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drawings/drawing10.xml" ContentType="application/vnd.openxmlformats-officedocument.drawing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drawings/drawing11.xml" ContentType="application/vnd.openxmlformats-officedocument.drawing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19200" windowHeight="6855" tabRatio="905"/>
  </bookViews>
  <sheets>
    <sheet name="Portada" sheetId="29" r:id="rId1"/>
    <sheet name="Datos" sheetId="30" r:id="rId2"/>
    <sheet name="Cuotas Simple" sheetId="38" r:id="rId3"/>
    <sheet name="HERR CLASICA CORREDIZA" sheetId="2" state="hidden" r:id="rId4"/>
    <sheet name="Rejas" sheetId="28" state="hidden" r:id="rId5"/>
    <sheet name="MATERIALES (2)" sheetId="15" state="hidden" r:id="rId6"/>
    <sheet name="SISTEMA COMPACTO" sheetId="8" state="hidden" r:id="rId7"/>
    <sheet name="HERR PREMIUM CORREDIZA" sheetId="3" state="hidden" r:id="rId8"/>
    <sheet name="HERR CLASICA POSTIGO" sheetId="4" state="hidden" r:id="rId9"/>
    <sheet name="HERR CLASICA RAJA-BAND-PROY" sheetId="5" state="hidden" r:id="rId10"/>
    <sheet name="HERR CLASICA PF" sheetId="6" state="hidden" r:id="rId11"/>
    <sheet name="HERR CLASICA PUERTA" sheetId="7" state="hidden" r:id="rId12"/>
    <sheet name="MODENA CLASICA CORREDIZA" sheetId="10" state="hidden" r:id="rId13"/>
    <sheet name="MODENA CLASICA ABRIR" sheetId="11" state="hidden" r:id="rId14"/>
    <sheet name="MODENA CLASICA PROY- DESPL- OSC" sheetId="12" state="hidden" r:id="rId15"/>
    <sheet name="MODENA CLASICA PF" sheetId="13" state="hidden" r:id="rId16"/>
    <sheet name="MODENA CLASICA PUERTA" sheetId="14" state="hidden" r:id="rId17"/>
    <sheet name="Varios" sheetId="32" state="hidden" r:id="rId18"/>
    <sheet name="MATERIALES" sheetId="1" state="hidden" r:id="rId19"/>
    <sheet name="Hoja1" sheetId="37" state="hidden" r:id="rId20"/>
    <sheet name="HERR CORREDIZA" sheetId="17" r:id="rId21"/>
    <sheet name="HERR POSTIGO" sheetId="18" r:id="rId22"/>
    <sheet name="HERR RAJA-BAND-PROY" sheetId="19" r:id="rId23"/>
    <sheet name="HERR PF" sheetId="20" r:id="rId24"/>
    <sheet name="HERR PATAGONICA" sheetId="36" state="hidden" r:id="rId25"/>
    <sheet name="HERR PUERTA" sheetId="21" r:id="rId26"/>
    <sheet name="MODENA CORREDIZA" sheetId="23" r:id="rId27"/>
    <sheet name="MODENA ABRIR" sheetId="24" r:id="rId28"/>
    <sheet name="MODENA OSCILO- PROY- DESPL" sheetId="25" r:id="rId29"/>
    <sheet name="MODENA PF" sheetId="26" r:id="rId30"/>
    <sheet name="MODENA PATAGONICA" sheetId="33" r:id="rId31"/>
    <sheet name="MODENA PUERTA" sheetId="27" r:id="rId32"/>
    <sheet name="Varios pesado" sheetId="31" r:id="rId33"/>
  </sheets>
  <definedNames>
    <definedName name="_xlnm.Print_Area" localSheetId="1">Datos!$A$1:$G$31</definedName>
    <definedName name="_xlnm.Print_Area" localSheetId="10">'HERR CLASICA PF'!$V$74:$AB$118</definedName>
    <definedName name="_xlnm.Print_Area" localSheetId="8">'HERR CLASICA POSTIGO'!$Y$153:$AF$205</definedName>
    <definedName name="_xlnm.Print_Area" localSheetId="11">'HERR CLASICA PUERTA'!$AJ$1:$AT$52</definedName>
    <definedName name="_xlnm.Print_Area" localSheetId="9">'HERR CLASICA RAJA-BAND-PROY'!$B$53:$H$97</definedName>
    <definedName name="_xlnm.Print_Area" localSheetId="20">'HERR CORREDIZA'!$AA$220:$AH$273</definedName>
    <definedName name="_xlnm.Print_Area" localSheetId="24">'HERR PATAGONICA'!$B$2:$H$25</definedName>
    <definedName name="_xlnm.Print_Area" localSheetId="23">'HERR PF'!$L$1:$R$45</definedName>
    <definedName name="_xlnm.Print_Area" localSheetId="21">'HERR POSTIGO'!$W$153:$AC$204</definedName>
    <definedName name="_xlnm.Print_Area" localSheetId="7">'HERR PREMIUM CORREDIZA'!$AA$223:$AH$274</definedName>
    <definedName name="_xlnm.Print_Area" localSheetId="25">'HERR PUERTA'!$AI$1:$AW$77</definedName>
    <definedName name="_xlnm.Print_Area" localSheetId="22">'HERR RAJA-BAND-PROY'!$X$58:$AD$102</definedName>
    <definedName name="_xlnm.Print_Area" localSheetId="18">MATERIALES!$A$133:$E$233</definedName>
    <definedName name="_xlnm.Print_Area" localSheetId="5">'MATERIALES (2)'!$B$124:$D$227</definedName>
    <definedName name="_xlnm.Print_Area" localSheetId="27">'MODENA ABRIR'!$AD$3:$AJ$61</definedName>
    <definedName name="_xlnm.Print_Area" localSheetId="13">'MODENA CLASICA ABRIR'!$AD$1:$AK$59</definedName>
    <definedName name="_xlnm.Print_Area" localSheetId="12">'MODENA CLASICA CORREDIZA'!$AA$210:$AH$260</definedName>
    <definedName name="_xlnm.Print_Area" localSheetId="15">'MODENA CLASICA PF'!$M$1:$S$45</definedName>
    <definedName name="_xlnm.Print_Area" localSheetId="14">'MODENA CLASICA PROY- DESPL- OSC'!$O$1:$T$42</definedName>
    <definedName name="_xlnm.Print_Area" localSheetId="16">'MODENA CLASICA PUERTA'!$AJ$1:$AX$60</definedName>
    <definedName name="_xlnm.Print_Area" localSheetId="26">'MODENA CORREDIZA'!$V$210:$AC$260</definedName>
    <definedName name="_xlnm.Print_Area" localSheetId="28">'MODENA OSCILO- PROY- DESPL'!$N$34:$T$92</definedName>
    <definedName name="_xlnm.Print_Area" localSheetId="30">'MODENA PATAGONICA'!$L$1:$T$46</definedName>
    <definedName name="_xlnm.Print_Area" localSheetId="29">'MODENA PF'!$M$1:$S$45</definedName>
    <definedName name="_xlnm.Print_Area" localSheetId="31">'MODENA PUERTA'!$AJ$1:$AX$60</definedName>
    <definedName name="_xlnm.Print_Area" localSheetId="6">'SISTEMA COMPACTO'!$D$25:$J$65</definedName>
    <definedName name="_xlnm.Print_Area" localSheetId="17">Varios!$B$34:$F$56</definedName>
    <definedName name="_xlnm.Print_Area" localSheetId="32">'Varios pesado'!$B$32:$F$58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31" l="1"/>
  <c r="D21" i="31"/>
  <c r="D20" i="31"/>
  <c r="D19" i="31"/>
  <c r="D18" i="31"/>
  <c r="P386" i="21" l="1"/>
  <c r="P381" i="21"/>
  <c r="P382" i="21"/>
  <c r="P383" i="21"/>
  <c r="P384" i="21"/>
  <c r="P385" i="21"/>
  <c r="P380" i="21"/>
  <c r="P379" i="21"/>
  <c r="D386" i="21"/>
  <c r="D381" i="21"/>
  <c r="D382" i="21"/>
  <c r="D383" i="21"/>
  <c r="D384" i="21"/>
  <c r="D385" i="21"/>
  <c r="D380" i="21"/>
  <c r="D379" i="21"/>
  <c r="P372" i="21"/>
  <c r="P367" i="21"/>
  <c r="P368" i="21"/>
  <c r="P369" i="21"/>
  <c r="P370" i="21"/>
  <c r="P371" i="21"/>
  <c r="P366" i="21"/>
  <c r="P365" i="21"/>
  <c r="D372" i="21"/>
  <c r="D367" i="21"/>
  <c r="D368" i="21"/>
  <c r="D369" i="21"/>
  <c r="D370" i="21"/>
  <c r="D371" i="21"/>
  <c r="D366" i="21"/>
  <c r="D365" i="21"/>
  <c r="P358" i="21"/>
  <c r="P353" i="21"/>
  <c r="P354" i="21"/>
  <c r="P355" i="21"/>
  <c r="P356" i="21"/>
  <c r="P357" i="21"/>
  <c r="P352" i="21"/>
  <c r="P351" i="21"/>
  <c r="D358" i="21"/>
  <c r="D353" i="21"/>
  <c r="D354" i="21"/>
  <c r="D355" i="21"/>
  <c r="D356" i="21"/>
  <c r="D357" i="21"/>
  <c r="D352" i="21"/>
  <c r="D351" i="21"/>
  <c r="P344" i="21"/>
  <c r="P339" i="21"/>
  <c r="P340" i="21"/>
  <c r="P341" i="21"/>
  <c r="P342" i="21"/>
  <c r="P343" i="21"/>
  <c r="P338" i="21"/>
  <c r="P337" i="21"/>
  <c r="D344" i="21"/>
  <c r="D339" i="21"/>
  <c r="D340" i="21"/>
  <c r="D341" i="21"/>
  <c r="D342" i="21"/>
  <c r="D343" i="21"/>
  <c r="D338" i="21"/>
  <c r="D337" i="21"/>
  <c r="P329" i="21"/>
  <c r="P324" i="21"/>
  <c r="P325" i="21"/>
  <c r="P326" i="21"/>
  <c r="P327" i="21"/>
  <c r="P328" i="21"/>
  <c r="P323" i="21"/>
  <c r="P322" i="21"/>
  <c r="D329" i="21"/>
  <c r="D324" i="21"/>
  <c r="D325" i="21"/>
  <c r="D326" i="21"/>
  <c r="D327" i="21"/>
  <c r="D328" i="21"/>
  <c r="D323" i="21"/>
  <c r="D322" i="21"/>
  <c r="Z315" i="21"/>
  <c r="Z310" i="21"/>
  <c r="Z311" i="21"/>
  <c r="Z312" i="21"/>
  <c r="Z313" i="21"/>
  <c r="Z314" i="21"/>
  <c r="Z309" i="21"/>
  <c r="Z308" i="21"/>
  <c r="P315" i="21"/>
  <c r="P310" i="21"/>
  <c r="P311" i="21"/>
  <c r="P312" i="21"/>
  <c r="P313" i="21"/>
  <c r="P314" i="21"/>
  <c r="P309" i="21"/>
  <c r="P308" i="21"/>
  <c r="D315" i="21"/>
  <c r="D310" i="21"/>
  <c r="D311" i="21"/>
  <c r="D312" i="21"/>
  <c r="D313" i="21"/>
  <c r="D314" i="21"/>
  <c r="D309" i="21"/>
  <c r="D308" i="21"/>
  <c r="P301" i="21"/>
  <c r="P296" i="21"/>
  <c r="P297" i="21"/>
  <c r="P298" i="21"/>
  <c r="P299" i="21"/>
  <c r="P300" i="21"/>
  <c r="P295" i="21"/>
  <c r="P294" i="21"/>
  <c r="D301" i="21"/>
  <c r="D296" i="21"/>
  <c r="D297" i="21"/>
  <c r="D298" i="21"/>
  <c r="D299" i="21"/>
  <c r="D300" i="21"/>
  <c r="D295" i="21"/>
  <c r="D294" i="21"/>
  <c r="P287" i="21"/>
  <c r="P282" i="21"/>
  <c r="P283" i="21"/>
  <c r="P284" i="21"/>
  <c r="P285" i="21"/>
  <c r="P286" i="21"/>
  <c r="P281" i="21"/>
  <c r="P280" i="21"/>
  <c r="D287" i="21"/>
  <c r="D282" i="21"/>
  <c r="D283" i="21"/>
  <c r="D284" i="21"/>
  <c r="D285" i="21"/>
  <c r="D286" i="21"/>
  <c r="D281" i="21"/>
  <c r="D280" i="21"/>
  <c r="P273" i="21"/>
  <c r="P268" i="21"/>
  <c r="P269" i="21"/>
  <c r="P270" i="21"/>
  <c r="P271" i="21"/>
  <c r="P272" i="21"/>
  <c r="P267" i="21"/>
  <c r="P266" i="21"/>
  <c r="D273" i="21"/>
  <c r="D268" i="21"/>
  <c r="D269" i="21"/>
  <c r="D270" i="21"/>
  <c r="D271" i="21"/>
  <c r="D272" i="21"/>
  <c r="D267" i="21"/>
  <c r="D266" i="21"/>
  <c r="P256" i="21"/>
  <c r="P255" i="21"/>
  <c r="P251" i="21"/>
  <c r="P252" i="21"/>
  <c r="P253" i="21"/>
  <c r="P254" i="21"/>
  <c r="P250" i="21"/>
  <c r="P249" i="21"/>
  <c r="D256" i="21"/>
  <c r="D251" i="21"/>
  <c r="D252" i="21"/>
  <c r="D253" i="21"/>
  <c r="D254" i="21"/>
  <c r="D255" i="21"/>
  <c r="D250" i="21"/>
  <c r="D249" i="21"/>
  <c r="P242" i="21"/>
  <c r="P237" i="21"/>
  <c r="P238" i="21"/>
  <c r="P239" i="21"/>
  <c r="P240" i="21"/>
  <c r="P241" i="21"/>
  <c r="P236" i="21"/>
  <c r="P235" i="21"/>
  <c r="D242" i="21"/>
  <c r="D237" i="21"/>
  <c r="D238" i="21"/>
  <c r="D239" i="21"/>
  <c r="D240" i="21"/>
  <c r="D241" i="21"/>
  <c r="D236" i="21"/>
  <c r="D235" i="21"/>
  <c r="P228" i="21"/>
  <c r="P223" i="21"/>
  <c r="P224" i="21"/>
  <c r="P225" i="21"/>
  <c r="P226" i="21"/>
  <c r="P227" i="21"/>
  <c r="P222" i="21"/>
  <c r="P221" i="21"/>
  <c r="D228" i="21"/>
  <c r="D223" i="21"/>
  <c r="D224" i="21"/>
  <c r="D225" i="21"/>
  <c r="D226" i="21"/>
  <c r="D227" i="21"/>
  <c r="D222" i="21"/>
  <c r="D221" i="21"/>
  <c r="P214" i="21"/>
  <c r="P209" i="21"/>
  <c r="P210" i="21"/>
  <c r="P211" i="21"/>
  <c r="P212" i="21"/>
  <c r="P213" i="21"/>
  <c r="P208" i="21"/>
  <c r="P207" i="21"/>
  <c r="D214" i="21"/>
  <c r="D209" i="21"/>
  <c r="D210" i="21"/>
  <c r="D211" i="21"/>
  <c r="D212" i="21"/>
  <c r="D213" i="21"/>
  <c r="D208" i="21"/>
  <c r="D207" i="21"/>
  <c r="P199" i="21"/>
  <c r="P194" i="21"/>
  <c r="P195" i="21"/>
  <c r="P196" i="21"/>
  <c r="P197" i="21"/>
  <c r="P198" i="21"/>
  <c r="P193" i="21"/>
  <c r="P192" i="21"/>
  <c r="D199" i="21"/>
  <c r="D194" i="21"/>
  <c r="D195" i="21"/>
  <c r="D196" i="21"/>
  <c r="D197" i="21"/>
  <c r="D198" i="21"/>
  <c r="D193" i="21"/>
  <c r="D192" i="21"/>
  <c r="Z185" i="21"/>
  <c r="Z180" i="21"/>
  <c r="Z181" i="21"/>
  <c r="Z182" i="21"/>
  <c r="Z183" i="21"/>
  <c r="Z184" i="21"/>
  <c r="Z179" i="21"/>
  <c r="Z178" i="21"/>
  <c r="P185" i="21"/>
  <c r="P180" i="21"/>
  <c r="P181" i="21"/>
  <c r="P182" i="21"/>
  <c r="P183" i="21"/>
  <c r="P184" i="21"/>
  <c r="P179" i="21"/>
  <c r="P178" i="21"/>
  <c r="D185" i="21"/>
  <c r="D180" i="21"/>
  <c r="D181" i="21"/>
  <c r="D182" i="21"/>
  <c r="D183" i="21"/>
  <c r="D184" i="21"/>
  <c r="D179" i="21"/>
  <c r="D178" i="21"/>
  <c r="P171" i="21"/>
  <c r="P170" i="21"/>
  <c r="P166" i="21"/>
  <c r="P167" i="21"/>
  <c r="P168" i="21"/>
  <c r="P169" i="21"/>
  <c r="P165" i="21"/>
  <c r="P164" i="21"/>
  <c r="D171" i="21"/>
  <c r="D166" i="21"/>
  <c r="D167" i="21"/>
  <c r="D168" i="21"/>
  <c r="D169" i="21"/>
  <c r="D170" i="21"/>
  <c r="D165" i="21"/>
  <c r="D164" i="21"/>
  <c r="P157" i="21"/>
  <c r="P152" i="21"/>
  <c r="P153" i="21"/>
  <c r="P154" i="21"/>
  <c r="P155" i="21"/>
  <c r="P156" i="21"/>
  <c r="P151" i="21"/>
  <c r="P150" i="21"/>
  <c r="D157" i="21"/>
  <c r="D152" i="21"/>
  <c r="D153" i="21"/>
  <c r="D154" i="21"/>
  <c r="D155" i="21"/>
  <c r="D156" i="21"/>
  <c r="D151" i="21"/>
  <c r="D150" i="21"/>
  <c r="P143" i="21"/>
  <c r="P138" i="21"/>
  <c r="P139" i="21"/>
  <c r="P140" i="21"/>
  <c r="P141" i="21"/>
  <c r="P142" i="21"/>
  <c r="P137" i="21"/>
  <c r="P136" i="21"/>
  <c r="D143" i="21"/>
  <c r="D138" i="21"/>
  <c r="D139" i="21"/>
  <c r="D140" i="21"/>
  <c r="D141" i="21"/>
  <c r="D142" i="21"/>
  <c r="D137" i="21"/>
  <c r="D136" i="21"/>
  <c r="D8" i="17" l="1"/>
  <c r="J9" i="15" l="1"/>
  <c r="M9" i="28" l="1"/>
  <c r="M8" i="28"/>
  <c r="M7" i="28"/>
  <c r="M6" i="28"/>
  <c r="K21" i="15" l="1"/>
  <c r="K20" i="15" s="1"/>
  <c r="W126" i="15" l="1"/>
  <c r="W127" i="15"/>
  <c r="W128" i="15"/>
  <c r="W129" i="15"/>
  <c r="W130" i="15"/>
  <c r="W131" i="15"/>
  <c r="W132" i="15"/>
  <c r="W133" i="15"/>
  <c r="W134" i="15"/>
  <c r="W135" i="15"/>
  <c r="W136" i="15"/>
  <c r="W137" i="15"/>
  <c r="W138" i="15"/>
  <c r="W139" i="15"/>
  <c r="W140" i="15"/>
  <c r="W141" i="15"/>
  <c r="W142" i="15"/>
  <c r="W143" i="15"/>
  <c r="W144" i="15"/>
  <c r="W145" i="15"/>
  <c r="W146" i="15"/>
  <c r="W147" i="15"/>
  <c r="W148" i="15"/>
  <c r="W149" i="15"/>
  <c r="W150" i="15"/>
  <c r="W151" i="15"/>
  <c r="W152" i="15"/>
  <c r="W153" i="15"/>
  <c r="W154" i="15"/>
  <c r="W155" i="15"/>
  <c r="W156" i="15"/>
  <c r="W157" i="15"/>
  <c r="W158" i="15"/>
  <c r="W159" i="15"/>
  <c r="W160" i="15"/>
  <c r="W161" i="15"/>
  <c r="W162" i="15"/>
  <c r="W163" i="15"/>
  <c r="W164" i="15"/>
  <c r="W165" i="15"/>
  <c r="W166" i="15"/>
  <c r="W167" i="15"/>
  <c r="W168" i="15"/>
  <c r="W169" i="15"/>
  <c r="W170" i="15"/>
  <c r="W171" i="15"/>
  <c r="W172" i="15"/>
  <c r="W173" i="15"/>
  <c r="W174" i="15"/>
  <c r="W175" i="15"/>
  <c r="W176" i="15"/>
  <c r="W177" i="15"/>
  <c r="W178" i="15"/>
  <c r="W179" i="15"/>
  <c r="W180" i="15"/>
  <c r="W181" i="15"/>
  <c r="W182" i="15"/>
  <c r="W183" i="15"/>
  <c r="W184" i="15"/>
  <c r="W185" i="15"/>
  <c r="W186" i="15"/>
  <c r="W187" i="15"/>
  <c r="W188" i="15"/>
  <c r="W189" i="15"/>
  <c r="W190" i="15"/>
  <c r="W191" i="15"/>
  <c r="W192" i="15"/>
  <c r="W193" i="15"/>
  <c r="W194" i="15"/>
  <c r="W195" i="15"/>
  <c r="W196" i="15"/>
  <c r="W197" i="15"/>
  <c r="W198" i="15"/>
  <c r="W199" i="15"/>
  <c r="W200" i="15"/>
  <c r="W201" i="15"/>
  <c r="W202" i="15"/>
  <c r="W203" i="15"/>
  <c r="W204" i="15"/>
  <c r="W205" i="15"/>
  <c r="W206" i="15"/>
  <c r="W207" i="15"/>
  <c r="W208" i="15"/>
  <c r="W209" i="15"/>
  <c r="W210" i="15"/>
  <c r="W211" i="15"/>
  <c r="W212" i="15"/>
  <c r="W213" i="15"/>
  <c r="W214" i="15"/>
  <c r="W215" i="15"/>
  <c r="W216" i="15"/>
  <c r="W217" i="15"/>
  <c r="W218" i="15"/>
  <c r="W219" i="15"/>
  <c r="W220" i="15"/>
  <c r="W221" i="15"/>
  <c r="W222" i="15"/>
  <c r="W223" i="15"/>
  <c r="W224" i="15"/>
  <c r="W125" i="15"/>
  <c r="D8" i="23" l="1"/>
  <c r="D7" i="23"/>
  <c r="F1" i="15" l="1"/>
  <c r="D17" i="31" l="1"/>
  <c r="D15" i="31"/>
  <c r="D13" i="31"/>
  <c r="D11" i="31"/>
  <c r="C45" i="28"/>
  <c r="E45" i="28"/>
  <c r="F45" i="28" s="1"/>
  <c r="E6" i="28" l="1"/>
  <c r="F2" i="15" l="1"/>
  <c r="D46" i="31"/>
  <c r="F4" i="8"/>
  <c r="O4" i="8"/>
  <c r="M4" i="8"/>
  <c r="G4" i="8" s="1"/>
  <c r="D10" i="31" l="1"/>
  <c r="D8" i="31"/>
  <c r="D12" i="31"/>
  <c r="D16" i="31"/>
  <c r="D14" i="31"/>
  <c r="D9" i="31"/>
  <c r="C7" i="23"/>
  <c r="C6" i="23"/>
  <c r="P4" i="8"/>
  <c r="K22" i="15" l="1"/>
  <c r="C329" i="21" l="1"/>
  <c r="H329" i="21" s="1"/>
  <c r="O138" i="21"/>
  <c r="O284" i="21"/>
  <c r="T284" i="21" s="1"/>
  <c r="C39" i="20"/>
  <c r="H39" i="20" s="1"/>
  <c r="C326" i="21"/>
  <c r="H326" i="21" s="1"/>
  <c r="O6" i="19"/>
  <c r="C92" i="18"/>
  <c r="O11" i="18"/>
  <c r="C31" i="18"/>
  <c r="C105" i="17"/>
  <c r="P110" i="17"/>
  <c r="C8" i="17"/>
  <c r="P30" i="17"/>
  <c r="P71" i="17"/>
  <c r="C124" i="17"/>
  <c r="I203" i="17"/>
  <c r="M203" i="17" s="1"/>
  <c r="C50" i="18"/>
  <c r="F40" i="18"/>
  <c r="O30" i="18"/>
  <c r="R20" i="18"/>
  <c r="C111" i="18"/>
  <c r="F101" i="18"/>
  <c r="F145" i="18"/>
  <c r="C35" i="36"/>
  <c r="C236" i="21"/>
  <c r="H236" i="21" s="1"/>
  <c r="C21" i="17"/>
  <c r="P59" i="17"/>
  <c r="I197" i="17"/>
  <c r="M197" i="17" s="1"/>
  <c r="F30" i="18"/>
  <c r="O16" i="18"/>
  <c r="C67" i="18"/>
  <c r="C97" i="18"/>
  <c r="F87" i="18"/>
  <c r="C16" i="19"/>
  <c r="C21" i="21"/>
  <c r="H21" i="21" s="1"/>
  <c r="O250" i="21"/>
  <c r="T250" i="21" s="1"/>
  <c r="O106" i="21" l="1"/>
  <c r="T106" i="21" s="1"/>
  <c r="C36" i="20"/>
  <c r="H36" i="20" s="1"/>
  <c r="R109" i="18"/>
  <c r="F119" i="18"/>
  <c r="C129" i="18"/>
  <c r="R38" i="18"/>
  <c r="O48" i="18"/>
  <c r="C40" i="18"/>
  <c r="C134" i="17"/>
  <c r="P43" i="17"/>
  <c r="C55" i="17"/>
  <c r="R7" i="21"/>
  <c r="C37" i="19"/>
  <c r="R123" i="18"/>
  <c r="F133" i="18"/>
  <c r="R67" i="18"/>
  <c r="R52" i="18"/>
  <c r="F8" i="18"/>
  <c r="C18" i="18"/>
  <c r="I171" i="17"/>
  <c r="M171" i="17" s="1"/>
  <c r="P94" i="17"/>
  <c r="C93" i="17"/>
  <c r="P14" i="17"/>
  <c r="P46" i="17"/>
  <c r="C38" i="17"/>
  <c r="P53" i="17"/>
  <c r="I184" i="17"/>
  <c r="M184" i="17" s="1"/>
  <c r="F21" i="18"/>
  <c r="C72" i="18"/>
  <c r="R84" i="18"/>
  <c r="C51" i="21"/>
  <c r="H51" i="21" s="1"/>
  <c r="C19" i="19"/>
  <c r="C82" i="21"/>
  <c r="H82" i="21" s="1"/>
  <c r="O40" i="21"/>
  <c r="T40" i="21" s="1"/>
  <c r="Y48" i="21"/>
  <c r="AD48" i="21" s="1"/>
  <c r="C222" i="21"/>
  <c r="H222" i="21" s="1"/>
  <c r="O7" i="21"/>
  <c r="T7" i="21" s="1"/>
  <c r="C71" i="20"/>
  <c r="H71" i="20" s="1"/>
  <c r="C41" i="19"/>
  <c r="C147" i="18"/>
  <c r="R125" i="18"/>
  <c r="F103" i="18"/>
  <c r="F135" i="18"/>
  <c r="C113" i="18"/>
  <c r="O71" i="18"/>
  <c r="R22" i="18"/>
  <c r="R54" i="18"/>
  <c r="O32" i="18"/>
  <c r="F14" i="18"/>
  <c r="F54" i="18"/>
  <c r="I165" i="17"/>
  <c r="M165" i="17" s="1"/>
  <c r="C98" i="17"/>
  <c r="C85" i="17"/>
  <c r="P25" i="17"/>
  <c r="P7" i="17"/>
  <c r="C39" i="17"/>
  <c r="Y49" i="21"/>
  <c r="AD49" i="21" s="1"/>
  <c r="O120" i="21"/>
  <c r="T120" i="21" s="1"/>
  <c r="C35" i="21"/>
  <c r="H35" i="21" s="1"/>
  <c r="C32" i="20"/>
  <c r="H32" i="20" s="1"/>
  <c r="C12" i="19"/>
  <c r="R107" i="18"/>
  <c r="F85" i="18"/>
  <c r="F117" i="18"/>
  <c r="C95" i="18"/>
  <c r="C127" i="18"/>
  <c r="C69" i="18"/>
  <c r="R36" i="18"/>
  <c r="O14" i="18"/>
  <c r="O46" i="18"/>
  <c r="F24" i="18"/>
  <c r="F56" i="18"/>
  <c r="C34" i="18"/>
  <c r="I215" i="17"/>
  <c r="M215" i="17" s="1"/>
  <c r="I187" i="17"/>
  <c r="M187" i="17" s="1"/>
  <c r="P116" i="17"/>
  <c r="C108" i="17"/>
  <c r="C139" i="17"/>
  <c r="C84" i="17"/>
  <c r="C67" i="17"/>
  <c r="P22" i="17"/>
  <c r="P38" i="17"/>
  <c r="P54" i="17"/>
  <c r="C16" i="17"/>
  <c r="C8" i="18"/>
  <c r="P72" i="17"/>
  <c r="C137" i="17"/>
  <c r="P113" i="17"/>
  <c r="I218" i="17"/>
  <c r="M218" i="17" s="1"/>
  <c r="F53" i="18"/>
  <c r="O43" i="18"/>
  <c r="R33" i="18"/>
  <c r="C124" i="18"/>
  <c r="F114" i="18"/>
  <c r="R102" i="18"/>
  <c r="C26" i="20"/>
  <c r="H26" i="20" s="1"/>
  <c r="C139" i="21"/>
  <c r="H139" i="21" s="1"/>
  <c r="C144" i="18"/>
  <c r="C34" i="19"/>
  <c r="C59" i="20"/>
  <c r="H59" i="20" s="1"/>
  <c r="C169" i="21"/>
  <c r="H169" i="21" s="1"/>
  <c r="C68" i="21"/>
  <c r="H68" i="21" s="1"/>
  <c r="C156" i="21"/>
  <c r="H156" i="21" s="1"/>
  <c r="C365" i="21"/>
  <c r="H365" i="21" s="1"/>
  <c r="O344" i="21"/>
  <c r="T344" i="21" s="1"/>
  <c r="C386" i="21"/>
  <c r="H386" i="21" s="1"/>
  <c r="C268" i="21"/>
  <c r="H268" i="21" s="1"/>
  <c r="C357" i="21"/>
  <c r="H357" i="21" s="1"/>
  <c r="O221" i="21"/>
  <c r="T221" i="21" s="1"/>
  <c r="O322" i="21"/>
  <c r="T322" i="21" s="1"/>
  <c r="Y53" i="21"/>
  <c r="AD53" i="21" s="1"/>
  <c r="O169" i="21"/>
  <c r="T169" i="21" s="1"/>
  <c r="C237" i="21"/>
  <c r="H237" i="21" s="1"/>
  <c r="C184" i="21"/>
  <c r="H184" i="21" s="1"/>
  <c r="O125" i="21"/>
  <c r="T125" i="21" s="1"/>
  <c r="O68" i="21"/>
  <c r="T68" i="21" s="1"/>
  <c r="R12" i="21"/>
  <c r="C97" i="21"/>
  <c r="H97" i="21" s="1"/>
  <c r="C40" i="21"/>
  <c r="H40" i="21" s="1"/>
  <c r="C72" i="36"/>
  <c r="O252" i="21"/>
  <c r="T252" i="21" s="1"/>
  <c r="C225" i="21"/>
  <c r="H225" i="21" s="1"/>
  <c r="O110" i="21"/>
  <c r="T110" i="21" s="1"/>
  <c r="O11" i="21"/>
  <c r="C25" i="21"/>
  <c r="H25" i="21" s="1"/>
  <c r="C36" i="36"/>
  <c r="C15" i="20"/>
  <c r="H15" i="20" s="1"/>
  <c r="C31" i="20"/>
  <c r="H31" i="20" s="1"/>
  <c r="C47" i="20"/>
  <c r="H47" i="20" s="1"/>
  <c r="C36" i="19"/>
  <c r="O13" i="19"/>
  <c r="C11" i="19"/>
  <c r="C6" i="19"/>
  <c r="F148" i="18"/>
  <c r="R91" i="18"/>
  <c r="F396" i="21"/>
  <c r="O208" i="21"/>
  <c r="T208" i="21" s="1"/>
  <c r="C195" i="21"/>
  <c r="H195" i="21" s="1"/>
  <c r="O80" i="21"/>
  <c r="T80" i="21" s="1"/>
  <c r="C108" i="21"/>
  <c r="H108" i="21" s="1"/>
  <c r="C61" i="36"/>
  <c r="C10" i="20"/>
  <c r="H10" i="20" s="1"/>
  <c r="C42" i="20"/>
  <c r="H42" i="20" s="1"/>
  <c r="O8" i="19"/>
  <c r="C22" i="19"/>
  <c r="R86" i="18"/>
  <c r="R112" i="18"/>
  <c r="R128" i="18"/>
  <c r="F90" i="18"/>
  <c r="F106" i="18"/>
  <c r="F122" i="18"/>
  <c r="C136" i="18"/>
  <c r="C100" i="18"/>
  <c r="C116" i="18"/>
  <c r="C132" i="18"/>
  <c r="O68" i="18"/>
  <c r="R9" i="18"/>
  <c r="R25" i="18"/>
  <c r="R41" i="18"/>
  <c r="R57" i="18"/>
  <c r="O19" i="18"/>
  <c r="O35" i="18"/>
  <c r="O51" i="18"/>
  <c r="F13" i="18"/>
  <c r="F29" i="18"/>
  <c r="F45" i="18"/>
  <c r="C59" i="18"/>
  <c r="C23" i="18"/>
  <c r="C39" i="18"/>
  <c r="C55" i="18"/>
  <c r="I160" i="17"/>
  <c r="M160" i="17" s="1"/>
  <c r="I176" i="17"/>
  <c r="M176" i="17" s="1"/>
  <c r="I192" i="17"/>
  <c r="M192" i="17" s="1"/>
  <c r="I156" i="17"/>
  <c r="M156" i="17" s="1"/>
  <c r="P121" i="17"/>
  <c r="C97" i="17"/>
  <c r="C113" i="17"/>
  <c r="C129" i="17"/>
  <c r="C45" i="17"/>
  <c r="C15" i="17"/>
  <c r="P37" i="17"/>
  <c r="P9" i="17"/>
  <c r="C144" i="17"/>
  <c r="C146" i="17"/>
  <c r="I185" i="17"/>
  <c r="M185" i="17" s="1"/>
  <c r="C36" i="18"/>
  <c r="O6" i="18"/>
  <c r="C46" i="17"/>
  <c r="C30" i="17"/>
  <c r="R270" i="21"/>
  <c r="R137" i="21"/>
  <c r="C165" i="21"/>
  <c r="H165" i="21" s="1"/>
  <c r="O49" i="21"/>
  <c r="T49" i="21" s="1"/>
  <c r="C78" i="21"/>
  <c r="H78" i="21" s="1"/>
  <c r="C40" i="36"/>
  <c r="C20" i="20"/>
  <c r="H20" i="20" s="1"/>
  <c r="C52" i="20"/>
  <c r="H52" i="20" s="1"/>
  <c r="O18" i="19"/>
  <c r="R145" i="18"/>
  <c r="R96" i="18"/>
  <c r="R117" i="18"/>
  <c r="R133" i="18"/>
  <c r="F95" i="18"/>
  <c r="F111" i="18"/>
  <c r="F127" i="18"/>
  <c r="C89" i="18"/>
  <c r="C105" i="18"/>
  <c r="C121" i="18"/>
  <c r="C83" i="18"/>
  <c r="F71" i="18"/>
  <c r="R14" i="18"/>
  <c r="R30" i="18"/>
  <c r="R46" i="18"/>
  <c r="O8" i="18"/>
  <c r="O24" i="18"/>
  <c r="O40" i="18"/>
  <c r="O56" i="18"/>
  <c r="F22" i="18"/>
  <c r="F38" i="18"/>
  <c r="C20" i="18"/>
  <c r="C56" i="18"/>
  <c r="I181" i="17"/>
  <c r="M181" i="17" s="1"/>
  <c r="P114" i="17"/>
  <c r="C118" i="17"/>
  <c r="C94" i="17"/>
  <c r="P70" i="17"/>
  <c r="P15" i="17"/>
  <c r="P33" i="17"/>
  <c r="P51" i="17"/>
  <c r="C13" i="17"/>
  <c r="C31" i="17"/>
  <c r="C47" i="17"/>
  <c r="Y311" i="21"/>
  <c r="AD311" i="21" s="1"/>
  <c r="O165" i="21"/>
  <c r="T165" i="21" s="1"/>
  <c r="C179" i="21"/>
  <c r="H179" i="21" s="1"/>
  <c r="O63" i="21"/>
  <c r="T63" i="21" s="1"/>
  <c r="C92" i="21"/>
  <c r="H92" i="21" s="1"/>
  <c r="C73" i="36"/>
  <c r="C16" i="20"/>
  <c r="H16" i="20" s="1"/>
  <c r="C48" i="20"/>
  <c r="H48" i="20" s="1"/>
  <c r="O14" i="19"/>
  <c r="R149" i="18"/>
  <c r="R92" i="18"/>
  <c r="R115" i="18"/>
  <c r="R131" i="18"/>
  <c r="F93" i="18"/>
  <c r="F109" i="18"/>
  <c r="F125" i="18"/>
  <c r="C87" i="18"/>
  <c r="C103" i="18"/>
  <c r="C119" i="18"/>
  <c r="C135" i="18"/>
  <c r="F69" i="18"/>
  <c r="R12" i="18"/>
  <c r="R28" i="18"/>
  <c r="R44" i="18"/>
  <c r="R6" i="18"/>
  <c r="O22" i="18"/>
  <c r="O38" i="18"/>
  <c r="O54" i="18"/>
  <c r="F16" i="18"/>
  <c r="F32" i="18"/>
  <c r="F48" i="18"/>
  <c r="C10" i="18"/>
  <c r="C26" i="18"/>
  <c r="C42" i="18"/>
  <c r="C58" i="18"/>
  <c r="I163" i="17"/>
  <c r="M163" i="17" s="1"/>
  <c r="I179" i="17"/>
  <c r="M179" i="17" s="1"/>
  <c r="I195" i="17"/>
  <c r="M195" i="17" s="1"/>
  <c r="P108" i="17"/>
  <c r="P124" i="17"/>
  <c r="C100" i="17"/>
  <c r="C116" i="17"/>
  <c r="C132" i="17"/>
  <c r="C143" i="17"/>
  <c r="P82" i="17"/>
  <c r="C80" i="17"/>
  <c r="C69" i="17"/>
  <c r="P10" i="17"/>
  <c r="P18" i="17"/>
  <c r="P26" i="17"/>
  <c r="P34" i="17"/>
  <c r="P42" i="17"/>
  <c r="P50" i="17"/>
  <c r="P58" i="17"/>
  <c r="C12" i="17"/>
  <c r="C22" i="17"/>
  <c r="C54" i="17"/>
  <c r="I157" i="17"/>
  <c r="M157" i="17" s="1"/>
  <c r="C122" i="17"/>
  <c r="P23" i="17"/>
  <c r="C29" i="17"/>
  <c r="C121" i="17"/>
  <c r="P97" i="17"/>
  <c r="I200" i="17"/>
  <c r="M200" i="17" s="1"/>
  <c r="I168" i="17"/>
  <c r="M168" i="17" s="1"/>
  <c r="C47" i="18"/>
  <c r="C15" i="18"/>
  <c r="F37" i="18"/>
  <c r="O7" i="18"/>
  <c r="O27" i="18"/>
  <c r="R49" i="18"/>
  <c r="R17" i="18"/>
  <c r="R70" i="18"/>
  <c r="C108" i="18"/>
  <c r="F130" i="18"/>
  <c r="F98" i="18"/>
  <c r="R120" i="18"/>
  <c r="O145" i="18"/>
  <c r="C58" i="20"/>
  <c r="H58" i="20" s="1"/>
  <c r="C46" i="36"/>
  <c r="O23" i="21"/>
  <c r="T23" i="21" s="1"/>
  <c r="C254" i="21"/>
  <c r="H254" i="21" s="1"/>
  <c r="R99" i="18"/>
  <c r="O146" i="18"/>
  <c r="O21" i="19"/>
  <c r="C55" i="20"/>
  <c r="H55" i="20" s="1"/>
  <c r="C23" i="20"/>
  <c r="H23" i="20" s="1"/>
  <c r="C39" i="36"/>
  <c r="O53" i="21"/>
  <c r="T53" i="21" s="1"/>
  <c r="R139" i="21"/>
  <c r="C12" i="21"/>
  <c r="H12" i="21" s="1"/>
  <c r="C125" i="21"/>
  <c r="H125" i="21" s="1"/>
  <c r="O97" i="21"/>
  <c r="T97" i="21" s="1"/>
  <c r="C213" i="21"/>
  <c r="H213" i="21" s="1"/>
  <c r="O226" i="21"/>
  <c r="T226" i="21" s="1"/>
  <c r="O164" i="21"/>
  <c r="T164" i="21" s="1"/>
  <c r="Y313" i="21"/>
  <c r="AD313" i="21" s="1"/>
  <c r="O301" i="21"/>
  <c r="T301" i="21" s="1"/>
  <c r="F397" i="21"/>
  <c r="C395" i="21"/>
  <c r="H395" i="21" s="1"/>
  <c r="O382" i="21"/>
  <c r="T382" i="21" s="1"/>
  <c r="O380" i="21"/>
  <c r="T380" i="21" s="1"/>
  <c r="O368" i="21"/>
  <c r="T368" i="21" s="1"/>
  <c r="O366" i="21"/>
  <c r="T366" i="21" s="1"/>
  <c r="O354" i="21"/>
  <c r="T354" i="21" s="1"/>
  <c r="O352" i="21"/>
  <c r="T352" i="21" s="1"/>
  <c r="O340" i="21"/>
  <c r="T340" i="21" s="1"/>
  <c r="O338" i="21"/>
  <c r="T338" i="21" s="1"/>
  <c r="O325" i="21"/>
  <c r="T325" i="21" s="1"/>
  <c r="O323" i="21"/>
  <c r="T323" i="21" s="1"/>
  <c r="Y310" i="21"/>
  <c r="AD310" i="21" s="1"/>
  <c r="Y314" i="21"/>
  <c r="AD314" i="21" s="1"/>
  <c r="O311" i="21"/>
  <c r="T311" i="21" s="1"/>
  <c r="O309" i="21"/>
  <c r="T309" i="21" s="1"/>
  <c r="O297" i="21"/>
  <c r="T297" i="21" s="1"/>
  <c r="O295" i="21"/>
  <c r="T295" i="21" s="1"/>
  <c r="O283" i="21"/>
  <c r="T283" i="21" s="1"/>
  <c r="O281" i="21"/>
  <c r="T281" i="21" s="1"/>
  <c r="R269" i="21"/>
  <c r="R267" i="21"/>
  <c r="O269" i="21"/>
  <c r="T269" i="21" s="1"/>
  <c r="O267" i="21"/>
  <c r="T267" i="21" s="1"/>
  <c r="C382" i="21"/>
  <c r="H382" i="21" s="1"/>
  <c r="C380" i="21"/>
  <c r="H380" i="21" s="1"/>
  <c r="C368" i="21"/>
  <c r="H368" i="21" s="1"/>
  <c r="C366" i="21"/>
  <c r="H366" i="21" s="1"/>
  <c r="C354" i="21"/>
  <c r="H354" i="21" s="1"/>
  <c r="C352" i="21"/>
  <c r="H352" i="21" s="1"/>
  <c r="C340" i="21"/>
  <c r="H340" i="21" s="1"/>
  <c r="C338" i="21"/>
  <c r="H338" i="21" s="1"/>
  <c r="C325" i="21"/>
  <c r="H325" i="21" s="1"/>
  <c r="C323" i="21"/>
  <c r="H323" i="21" s="1"/>
  <c r="C312" i="21"/>
  <c r="H312" i="21" s="1"/>
  <c r="C308" i="21"/>
  <c r="H308" i="21" s="1"/>
  <c r="C298" i="21"/>
  <c r="H298" i="21" s="1"/>
  <c r="C294" i="21"/>
  <c r="H294" i="21" s="1"/>
  <c r="C284" i="21"/>
  <c r="H284" i="21" s="1"/>
  <c r="C280" i="21"/>
  <c r="H280" i="21" s="1"/>
  <c r="C270" i="21"/>
  <c r="H270" i="21" s="1"/>
  <c r="C266" i="21"/>
  <c r="H266" i="21" s="1"/>
  <c r="O381" i="21"/>
  <c r="T381" i="21" s="1"/>
  <c r="O367" i="21"/>
  <c r="T367" i="21" s="1"/>
  <c r="O353" i="21"/>
  <c r="T353" i="21" s="1"/>
  <c r="O339" i="21"/>
  <c r="T339" i="21" s="1"/>
  <c r="O324" i="21"/>
  <c r="T324" i="21" s="1"/>
  <c r="Y315" i="21"/>
  <c r="AD315" i="21" s="1"/>
  <c r="O310" i="21"/>
  <c r="T310" i="21" s="1"/>
  <c r="O296" i="21"/>
  <c r="T296" i="21" s="1"/>
  <c r="O282" i="21"/>
  <c r="T282" i="21" s="1"/>
  <c r="R268" i="21"/>
  <c r="O268" i="21"/>
  <c r="C381" i="21"/>
  <c r="H381" i="21" s="1"/>
  <c r="C367" i="21"/>
  <c r="H367" i="21" s="1"/>
  <c r="C353" i="21"/>
  <c r="H353" i="21" s="1"/>
  <c r="C339" i="21"/>
  <c r="H339" i="21" s="1"/>
  <c r="C324" i="21"/>
  <c r="H324" i="21" s="1"/>
  <c r="C311" i="21"/>
  <c r="H311" i="21" s="1"/>
  <c r="C297" i="21"/>
  <c r="H297" i="21" s="1"/>
  <c r="C283" i="21"/>
  <c r="H283" i="21" s="1"/>
  <c r="C269" i="21"/>
  <c r="H269" i="21" s="1"/>
  <c r="Y50" i="21"/>
  <c r="AD50" i="21" s="1"/>
  <c r="Y54" i="21"/>
  <c r="AD54" i="21" s="1"/>
  <c r="Y180" i="21"/>
  <c r="AD180" i="21" s="1"/>
  <c r="Y184" i="21"/>
  <c r="AD184" i="21" s="1"/>
  <c r="O251" i="21"/>
  <c r="T251" i="21" s="1"/>
  <c r="O255" i="21"/>
  <c r="T255" i="21" s="1"/>
  <c r="O237" i="21"/>
  <c r="T237" i="21" s="1"/>
  <c r="O241" i="21"/>
  <c r="T241" i="21" s="1"/>
  <c r="O223" i="21"/>
  <c r="T223" i="21" s="1"/>
  <c r="O227" i="21"/>
  <c r="T227" i="21" s="1"/>
  <c r="O209" i="21"/>
  <c r="T209" i="21" s="1"/>
  <c r="O213" i="21"/>
  <c r="T213" i="21" s="1"/>
  <c r="O194" i="21"/>
  <c r="T194" i="21" s="1"/>
  <c r="O198" i="21"/>
  <c r="T198" i="21" s="1"/>
  <c r="O180" i="21"/>
  <c r="T180" i="21" s="1"/>
  <c r="O184" i="21"/>
  <c r="T184" i="21" s="1"/>
  <c r="O166" i="21"/>
  <c r="T166" i="21" s="1"/>
  <c r="O170" i="21"/>
  <c r="T170" i="21" s="1"/>
  <c r="O152" i="21"/>
  <c r="T152" i="21" s="1"/>
  <c r="O156" i="21"/>
  <c r="T156" i="21" s="1"/>
  <c r="R138" i="21"/>
  <c r="T138" i="21" s="1"/>
  <c r="R142" i="21"/>
  <c r="O379" i="21"/>
  <c r="T379" i="21" s="1"/>
  <c r="C397" i="21"/>
  <c r="H397" i="21" s="1"/>
  <c r="O384" i="21"/>
  <c r="T384" i="21" s="1"/>
  <c r="O370" i="21"/>
  <c r="T370" i="21" s="1"/>
  <c r="O356" i="21"/>
  <c r="T356" i="21" s="1"/>
  <c r="O342" i="21"/>
  <c r="T342" i="21" s="1"/>
  <c r="O327" i="21"/>
  <c r="T327" i="21" s="1"/>
  <c r="Y312" i="21"/>
  <c r="AD312" i="21" s="1"/>
  <c r="O313" i="21"/>
  <c r="T313" i="21" s="1"/>
  <c r="O299" i="21"/>
  <c r="T299" i="21" s="1"/>
  <c r="O285" i="21"/>
  <c r="T285" i="21" s="1"/>
  <c r="R271" i="21"/>
  <c r="O271" i="21"/>
  <c r="C384" i="21"/>
  <c r="H384" i="21" s="1"/>
  <c r="C370" i="21"/>
  <c r="H370" i="21" s="1"/>
  <c r="C356" i="21"/>
  <c r="H356" i="21" s="1"/>
  <c r="C342" i="21"/>
  <c r="H342" i="21" s="1"/>
  <c r="C327" i="21"/>
  <c r="H327" i="21" s="1"/>
  <c r="C314" i="21"/>
  <c r="H314" i="21" s="1"/>
  <c r="C300" i="21"/>
  <c r="H300" i="21" s="1"/>
  <c r="C286" i="21"/>
  <c r="H286" i="21" s="1"/>
  <c r="C272" i="21"/>
  <c r="H272" i="21" s="1"/>
  <c r="O385" i="21"/>
  <c r="T385" i="21" s="1"/>
  <c r="O357" i="21"/>
  <c r="T357" i="21" s="1"/>
  <c r="O328" i="21"/>
  <c r="T328" i="21" s="1"/>
  <c r="O314" i="21"/>
  <c r="T314" i="21" s="1"/>
  <c r="O286" i="21"/>
  <c r="T286" i="21" s="1"/>
  <c r="O272" i="21"/>
  <c r="C371" i="21"/>
  <c r="H371" i="21" s="1"/>
  <c r="C343" i="21"/>
  <c r="H343" i="21" s="1"/>
  <c r="C309" i="21"/>
  <c r="H309" i="21" s="1"/>
  <c r="C281" i="21"/>
  <c r="H281" i="21" s="1"/>
  <c r="Y52" i="21"/>
  <c r="AD52" i="21" s="1"/>
  <c r="Y182" i="21"/>
  <c r="AD182" i="21" s="1"/>
  <c r="O253" i="21"/>
  <c r="T253" i="21" s="1"/>
  <c r="O239" i="21"/>
  <c r="T239" i="21" s="1"/>
  <c r="O225" i="21"/>
  <c r="T225" i="21" s="1"/>
  <c r="O211" i="21"/>
  <c r="T211" i="21" s="1"/>
  <c r="O196" i="21"/>
  <c r="T196" i="21" s="1"/>
  <c r="O182" i="21"/>
  <c r="T182" i="21" s="1"/>
  <c r="O168" i="21"/>
  <c r="T168" i="21" s="1"/>
  <c r="O154" i="21"/>
  <c r="T154" i="21" s="1"/>
  <c r="R140" i="21"/>
  <c r="O365" i="21"/>
  <c r="T365" i="21" s="1"/>
  <c r="O337" i="21"/>
  <c r="T337" i="21" s="1"/>
  <c r="Y309" i="21"/>
  <c r="AD309" i="21" s="1"/>
  <c r="O294" i="21"/>
  <c r="T294" i="21" s="1"/>
  <c r="R266" i="21"/>
  <c r="C379" i="21"/>
  <c r="H379" i="21" s="1"/>
  <c r="C351" i="21"/>
  <c r="H351" i="21" s="1"/>
  <c r="C315" i="21"/>
  <c r="H315" i="21" s="1"/>
  <c r="C287" i="21"/>
  <c r="H287" i="21" s="1"/>
  <c r="Y55" i="21"/>
  <c r="AD55" i="21" s="1"/>
  <c r="Y185" i="21"/>
  <c r="AD185" i="21" s="1"/>
  <c r="O256" i="21"/>
  <c r="T256" i="21" s="1"/>
  <c r="O242" i="21"/>
  <c r="T242" i="21" s="1"/>
  <c r="O228" i="21"/>
  <c r="T228" i="21" s="1"/>
  <c r="O214" i="21"/>
  <c r="T214" i="21" s="1"/>
  <c r="O199" i="21"/>
  <c r="T199" i="21" s="1"/>
  <c r="O185" i="21"/>
  <c r="T185" i="21" s="1"/>
  <c r="O171" i="21"/>
  <c r="T171" i="21" s="1"/>
  <c r="O157" i="21"/>
  <c r="T157" i="21" s="1"/>
  <c r="R143" i="21"/>
  <c r="R136" i="21"/>
  <c r="O140" i="21"/>
  <c r="T140" i="21" s="1"/>
  <c r="O136" i="21"/>
  <c r="T136" i="21" s="1"/>
  <c r="C253" i="21"/>
  <c r="H253" i="21" s="1"/>
  <c r="C249" i="21"/>
  <c r="H249" i="21" s="1"/>
  <c r="C239" i="21"/>
  <c r="H239" i="21" s="1"/>
  <c r="C235" i="21"/>
  <c r="H235" i="21" s="1"/>
  <c r="C224" i="21"/>
  <c r="H224" i="21" s="1"/>
  <c r="C221" i="21"/>
  <c r="H221" i="21" s="1"/>
  <c r="C211" i="21"/>
  <c r="H211" i="21" s="1"/>
  <c r="C207" i="21"/>
  <c r="H207" i="21" s="1"/>
  <c r="C196" i="21"/>
  <c r="H196" i="21" s="1"/>
  <c r="C192" i="21"/>
  <c r="H192" i="21" s="1"/>
  <c r="C182" i="21"/>
  <c r="H182" i="21" s="1"/>
  <c r="C178" i="21"/>
  <c r="H178" i="21" s="1"/>
  <c r="C168" i="21"/>
  <c r="H168" i="21" s="1"/>
  <c r="C164" i="21"/>
  <c r="H164" i="21" s="1"/>
  <c r="C154" i="21"/>
  <c r="H154" i="21" s="1"/>
  <c r="C150" i="21"/>
  <c r="H150" i="21" s="1"/>
  <c r="C140" i="21"/>
  <c r="H140" i="21" s="1"/>
  <c r="C136" i="21"/>
  <c r="H136" i="21" s="1"/>
  <c r="O123" i="21"/>
  <c r="T123" i="21" s="1"/>
  <c r="O119" i="21"/>
  <c r="T119" i="21" s="1"/>
  <c r="O109" i="21"/>
  <c r="T109" i="21" s="1"/>
  <c r="O105" i="21"/>
  <c r="T105" i="21" s="1"/>
  <c r="O95" i="21"/>
  <c r="T95" i="21" s="1"/>
  <c r="O91" i="21"/>
  <c r="T91" i="21" s="1"/>
  <c r="O81" i="21"/>
  <c r="T81" i="21" s="1"/>
  <c r="O77" i="21"/>
  <c r="T77" i="21" s="1"/>
  <c r="O66" i="21"/>
  <c r="T66" i="21" s="1"/>
  <c r="O62" i="21"/>
  <c r="T62" i="21" s="1"/>
  <c r="O52" i="21"/>
  <c r="T52" i="21" s="1"/>
  <c r="O48" i="21"/>
  <c r="T48" i="21" s="1"/>
  <c r="O38" i="21"/>
  <c r="T38" i="21" s="1"/>
  <c r="O34" i="21"/>
  <c r="T34" i="21" s="1"/>
  <c r="O24" i="21"/>
  <c r="T24" i="21" s="1"/>
  <c r="O20" i="21"/>
  <c r="T20" i="21" s="1"/>
  <c r="R10" i="21"/>
  <c r="R6" i="21"/>
  <c r="O10" i="21"/>
  <c r="T10" i="21" s="1"/>
  <c r="O6" i="21"/>
  <c r="T6" i="21" s="1"/>
  <c r="C123" i="21"/>
  <c r="H123" i="21" s="1"/>
  <c r="C119" i="21"/>
  <c r="H119" i="21" s="1"/>
  <c r="C109" i="21"/>
  <c r="H109" i="21" s="1"/>
  <c r="C105" i="21"/>
  <c r="H105" i="21" s="1"/>
  <c r="C95" i="21"/>
  <c r="H95" i="21" s="1"/>
  <c r="C91" i="21"/>
  <c r="H91" i="21" s="1"/>
  <c r="C81" i="21"/>
  <c r="H81" i="21" s="1"/>
  <c r="C77" i="21"/>
  <c r="H77" i="21" s="1"/>
  <c r="C66" i="21"/>
  <c r="H66" i="21" s="1"/>
  <c r="C62" i="21"/>
  <c r="H62" i="21" s="1"/>
  <c r="C52" i="21"/>
  <c r="H52" i="21" s="1"/>
  <c r="C48" i="21"/>
  <c r="H48" i="21" s="1"/>
  <c r="C38" i="21"/>
  <c r="H38" i="21" s="1"/>
  <c r="C34" i="21"/>
  <c r="H34" i="21" s="1"/>
  <c r="C24" i="21"/>
  <c r="H24" i="21" s="1"/>
  <c r="C20" i="21"/>
  <c r="H20" i="21" s="1"/>
  <c r="C10" i="21"/>
  <c r="H10" i="21" s="1"/>
  <c r="C6" i="21"/>
  <c r="H6" i="21" s="1"/>
  <c r="C62" i="36"/>
  <c r="C66" i="36"/>
  <c r="C70" i="36"/>
  <c r="C59" i="36"/>
  <c r="C38" i="36"/>
  <c r="O355" i="21"/>
  <c r="T355" i="21" s="1"/>
  <c r="O312" i="21"/>
  <c r="T312" i="21" s="1"/>
  <c r="O270" i="21"/>
  <c r="T270" i="21" s="1"/>
  <c r="C341" i="21"/>
  <c r="H341" i="21" s="1"/>
  <c r="C285" i="21"/>
  <c r="H285" i="21" s="1"/>
  <c r="Y181" i="21"/>
  <c r="AD181" i="21" s="1"/>
  <c r="O238" i="21"/>
  <c r="T238" i="21" s="1"/>
  <c r="O210" i="21"/>
  <c r="T210" i="21" s="1"/>
  <c r="O181" i="21"/>
  <c r="T181" i="21" s="1"/>
  <c r="O153" i="21"/>
  <c r="T153" i="21" s="1"/>
  <c r="O143" i="21"/>
  <c r="T143" i="21" s="1"/>
  <c r="C256" i="21"/>
  <c r="H256" i="21" s="1"/>
  <c r="C242" i="21"/>
  <c r="H242" i="21" s="1"/>
  <c r="C228" i="21"/>
  <c r="H228" i="21" s="1"/>
  <c r="C214" i="21"/>
  <c r="H214" i="21" s="1"/>
  <c r="C199" i="21"/>
  <c r="H199" i="21" s="1"/>
  <c r="C185" i="21"/>
  <c r="H185" i="21" s="1"/>
  <c r="C171" i="21"/>
  <c r="H171" i="21" s="1"/>
  <c r="C157" i="21"/>
  <c r="H157" i="21" s="1"/>
  <c r="C143" i="21"/>
  <c r="H143" i="21" s="1"/>
  <c r="O126" i="21"/>
  <c r="T126" i="21" s="1"/>
  <c r="O112" i="21"/>
  <c r="T112" i="21" s="1"/>
  <c r="O98" i="21"/>
  <c r="T98" i="21" s="1"/>
  <c r="O84" i="21"/>
  <c r="T84" i="21" s="1"/>
  <c r="O69" i="21"/>
  <c r="T69" i="21" s="1"/>
  <c r="O55" i="21"/>
  <c r="T55" i="21" s="1"/>
  <c r="O41" i="21"/>
  <c r="T41" i="21" s="1"/>
  <c r="O27" i="21"/>
  <c r="T27" i="21" s="1"/>
  <c r="R13" i="21"/>
  <c r="O13" i="21"/>
  <c r="T13" i="21" s="1"/>
  <c r="C126" i="21"/>
  <c r="H126" i="21" s="1"/>
  <c r="C112" i="21"/>
  <c r="H112" i="21" s="1"/>
  <c r="C98" i="21"/>
  <c r="H98" i="21" s="1"/>
  <c r="C84" i="21"/>
  <c r="H84" i="21" s="1"/>
  <c r="C69" i="21"/>
  <c r="H69" i="21" s="1"/>
  <c r="C55" i="21"/>
  <c r="H55" i="21" s="1"/>
  <c r="C41" i="21"/>
  <c r="H41" i="21" s="1"/>
  <c r="C27" i="21"/>
  <c r="H27" i="21" s="1"/>
  <c r="C13" i="21"/>
  <c r="H13" i="21" s="1"/>
  <c r="C74" i="36"/>
  <c r="C67" i="36"/>
  <c r="C58" i="36"/>
  <c r="C41" i="36"/>
  <c r="C45" i="36"/>
  <c r="O386" i="21"/>
  <c r="T386" i="21" s="1"/>
  <c r="O358" i="21"/>
  <c r="T358" i="21" s="1"/>
  <c r="O329" i="21"/>
  <c r="T329" i="21" s="1"/>
  <c r="O315" i="21"/>
  <c r="T315" i="21" s="1"/>
  <c r="O287" i="21"/>
  <c r="T287" i="21" s="1"/>
  <c r="O273" i="21"/>
  <c r="C372" i="21"/>
  <c r="H372" i="21" s="1"/>
  <c r="C344" i="21"/>
  <c r="H344" i="21" s="1"/>
  <c r="C310" i="21"/>
  <c r="H310" i="21" s="1"/>
  <c r="C282" i="21"/>
  <c r="H282" i="21" s="1"/>
  <c r="C396" i="21"/>
  <c r="H396" i="21" s="1"/>
  <c r="O343" i="21"/>
  <c r="T343" i="21" s="1"/>
  <c r="O300" i="21"/>
  <c r="T300" i="21" s="1"/>
  <c r="C385" i="21"/>
  <c r="H385" i="21" s="1"/>
  <c r="C328" i="21"/>
  <c r="H328" i="21" s="1"/>
  <c r="C267" i="21"/>
  <c r="H267" i="21" s="1"/>
  <c r="Y178" i="21"/>
  <c r="AD178" i="21" s="1"/>
  <c r="O235" i="21"/>
  <c r="T235" i="21" s="1"/>
  <c r="O207" i="21"/>
  <c r="T207" i="21" s="1"/>
  <c r="O178" i="21"/>
  <c r="T178" i="21" s="1"/>
  <c r="O150" i="21"/>
  <c r="T150" i="21" s="1"/>
  <c r="O351" i="21"/>
  <c r="T351" i="21" s="1"/>
  <c r="O308" i="21"/>
  <c r="T308" i="21" s="1"/>
  <c r="O266" i="21"/>
  <c r="T266" i="21" s="1"/>
  <c r="C337" i="21"/>
  <c r="H337" i="21" s="1"/>
  <c r="C273" i="21"/>
  <c r="H273" i="21" s="1"/>
  <c r="Y183" i="21"/>
  <c r="AD183" i="21" s="1"/>
  <c r="O240" i="21"/>
  <c r="T240" i="21" s="1"/>
  <c r="O212" i="21"/>
  <c r="T212" i="21" s="1"/>
  <c r="O183" i="21"/>
  <c r="T183" i="21" s="1"/>
  <c r="O155" i="21"/>
  <c r="T155" i="21" s="1"/>
  <c r="O142" i="21"/>
  <c r="T142" i="21" s="1"/>
  <c r="C255" i="21"/>
  <c r="H255" i="21" s="1"/>
  <c r="C241" i="21"/>
  <c r="H241" i="21" s="1"/>
  <c r="C227" i="21"/>
  <c r="H227" i="21" s="1"/>
  <c r="C209" i="21"/>
  <c r="H209" i="21" s="1"/>
  <c r="C194" i="21"/>
  <c r="H194" i="21" s="1"/>
  <c r="C180" i="21"/>
  <c r="H180" i="21" s="1"/>
  <c r="C166" i="21"/>
  <c r="H166" i="21" s="1"/>
  <c r="C152" i="21"/>
  <c r="H152" i="21" s="1"/>
  <c r="C138" i="21"/>
  <c r="H138" i="21" s="1"/>
  <c r="O121" i="21"/>
  <c r="T121" i="21" s="1"/>
  <c r="O107" i="21"/>
  <c r="T107" i="21" s="1"/>
  <c r="O93" i="21"/>
  <c r="T93" i="21" s="1"/>
  <c r="O79" i="21"/>
  <c r="T79" i="21" s="1"/>
  <c r="O64" i="21"/>
  <c r="T64" i="21" s="1"/>
  <c r="O50" i="21"/>
  <c r="T50" i="21" s="1"/>
  <c r="O36" i="21"/>
  <c r="T36" i="21" s="1"/>
  <c r="O22" i="21"/>
  <c r="T22" i="21" s="1"/>
  <c r="R8" i="21"/>
  <c r="O8" i="21"/>
  <c r="C121" i="21"/>
  <c r="H121" i="21" s="1"/>
  <c r="C107" i="21"/>
  <c r="H107" i="21" s="1"/>
  <c r="C93" i="21"/>
  <c r="H93" i="21" s="1"/>
  <c r="C79" i="21"/>
  <c r="H79" i="21" s="1"/>
  <c r="C64" i="21"/>
  <c r="H64" i="21" s="1"/>
  <c r="C50" i="21"/>
  <c r="H50" i="21" s="1"/>
  <c r="C36" i="21"/>
  <c r="H36" i="21" s="1"/>
  <c r="C22" i="21"/>
  <c r="H22" i="21" s="1"/>
  <c r="C8" i="21"/>
  <c r="H8" i="21" s="1"/>
  <c r="C60" i="36"/>
  <c r="C68" i="36"/>
  <c r="C51" i="36"/>
  <c r="O326" i="21"/>
  <c r="T326" i="21" s="1"/>
  <c r="C369" i="21"/>
  <c r="H369" i="21" s="1"/>
  <c r="Y51" i="21"/>
  <c r="AD51" i="21" s="1"/>
  <c r="O224" i="21"/>
  <c r="T224" i="21" s="1"/>
  <c r="O167" i="21"/>
  <c r="T167" i="21" s="1"/>
  <c r="O139" i="21"/>
  <c r="T139" i="21" s="1"/>
  <c r="C238" i="21"/>
  <c r="H238" i="21" s="1"/>
  <c r="C212" i="21"/>
  <c r="H212" i="21" s="1"/>
  <c r="C183" i="21"/>
  <c r="H183" i="21" s="1"/>
  <c r="C155" i="21"/>
  <c r="H155" i="21" s="1"/>
  <c r="O124" i="21"/>
  <c r="T124" i="21" s="1"/>
  <c r="O96" i="21"/>
  <c r="T96" i="21" s="1"/>
  <c r="O67" i="21"/>
  <c r="T67" i="21" s="1"/>
  <c r="O39" i="21"/>
  <c r="T39" i="21" s="1"/>
  <c r="R11" i="21"/>
  <c r="C124" i="21"/>
  <c r="H124" i="21" s="1"/>
  <c r="C96" i="21"/>
  <c r="H96" i="21" s="1"/>
  <c r="C67" i="21"/>
  <c r="H67" i="21" s="1"/>
  <c r="C39" i="21"/>
  <c r="H39" i="21" s="1"/>
  <c r="C11" i="21"/>
  <c r="H11" i="21" s="1"/>
  <c r="C71" i="36"/>
  <c r="C43" i="36"/>
  <c r="C49" i="36"/>
  <c r="C72" i="20"/>
  <c r="H72" i="20" s="1"/>
  <c r="C68" i="20"/>
  <c r="H68" i="20" s="1"/>
  <c r="C9" i="20"/>
  <c r="H9" i="20" s="1"/>
  <c r="C13" i="20"/>
  <c r="H13" i="20" s="1"/>
  <c r="C17" i="20"/>
  <c r="H17" i="20" s="1"/>
  <c r="C21" i="20"/>
  <c r="H21" i="20" s="1"/>
  <c r="C25" i="20"/>
  <c r="H25" i="20" s="1"/>
  <c r="C29" i="20"/>
  <c r="H29" i="20" s="1"/>
  <c r="C33" i="20"/>
  <c r="H33" i="20" s="1"/>
  <c r="C37" i="20"/>
  <c r="H37" i="20" s="1"/>
  <c r="C41" i="20"/>
  <c r="H41" i="20" s="1"/>
  <c r="C45" i="20"/>
  <c r="H45" i="20" s="1"/>
  <c r="C49" i="20"/>
  <c r="H49" i="20" s="1"/>
  <c r="C53" i="20"/>
  <c r="H53" i="20" s="1"/>
  <c r="C57" i="20"/>
  <c r="H57" i="20" s="1"/>
  <c r="C44" i="19"/>
  <c r="C38" i="19"/>
  <c r="C42" i="19"/>
  <c r="O23" i="19"/>
  <c r="O11" i="19"/>
  <c r="O15" i="19"/>
  <c r="O19" i="19"/>
  <c r="O7" i="19"/>
  <c r="C9" i="19"/>
  <c r="C13" i="19"/>
  <c r="C17" i="19"/>
  <c r="C21" i="19"/>
  <c r="C25" i="19"/>
  <c r="R146" i="18"/>
  <c r="R144" i="18"/>
  <c r="O148" i="18"/>
  <c r="F146" i="18"/>
  <c r="F144" i="18"/>
  <c r="C146" i="18"/>
  <c r="R85" i="18"/>
  <c r="R89" i="18"/>
  <c r="R93" i="18"/>
  <c r="R97" i="18"/>
  <c r="R101" i="18"/>
  <c r="R105" i="18"/>
  <c r="O341" i="21"/>
  <c r="T341" i="21" s="1"/>
  <c r="C383" i="21"/>
  <c r="H383" i="21" s="1"/>
  <c r="C271" i="21"/>
  <c r="H271" i="21" s="1"/>
  <c r="O236" i="21"/>
  <c r="T236" i="21" s="1"/>
  <c r="O179" i="21"/>
  <c r="T179" i="21" s="1"/>
  <c r="O141" i="21"/>
  <c r="C240" i="21"/>
  <c r="H240" i="21" s="1"/>
  <c r="C210" i="21"/>
  <c r="H210" i="21" s="1"/>
  <c r="C181" i="21"/>
  <c r="H181" i="21" s="1"/>
  <c r="C153" i="21"/>
  <c r="H153" i="21" s="1"/>
  <c r="O122" i="21"/>
  <c r="T122" i="21" s="1"/>
  <c r="O94" i="21"/>
  <c r="T94" i="21" s="1"/>
  <c r="O65" i="21"/>
  <c r="T65" i="21" s="1"/>
  <c r="O37" i="21"/>
  <c r="T37" i="21" s="1"/>
  <c r="R9" i="21"/>
  <c r="C122" i="21"/>
  <c r="H122" i="21" s="1"/>
  <c r="C94" i="21"/>
  <c r="H94" i="21" s="1"/>
  <c r="C65" i="21"/>
  <c r="H65" i="21" s="1"/>
  <c r="C37" i="21"/>
  <c r="H37" i="21" s="1"/>
  <c r="C9" i="21"/>
  <c r="H9" i="21" s="1"/>
  <c r="C69" i="36"/>
  <c r="C42" i="36"/>
  <c r="C50" i="36"/>
  <c r="C67" i="20"/>
  <c r="H67" i="20" s="1"/>
  <c r="C14" i="20"/>
  <c r="H14" i="20" s="1"/>
  <c r="C22" i="20"/>
  <c r="H22" i="20" s="1"/>
  <c r="C30" i="20"/>
  <c r="H30" i="20" s="1"/>
  <c r="C38" i="20"/>
  <c r="H38" i="20" s="1"/>
  <c r="C46" i="20"/>
  <c r="H46" i="20" s="1"/>
  <c r="C54" i="20"/>
  <c r="H54" i="20" s="1"/>
  <c r="C35" i="19"/>
  <c r="C43" i="19"/>
  <c r="O12" i="19"/>
  <c r="O20" i="19"/>
  <c r="C10" i="19"/>
  <c r="C18" i="19"/>
  <c r="C7" i="19"/>
  <c r="O149" i="18"/>
  <c r="F147" i="18"/>
  <c r="C145" i="18"/>
  <c r="R90" i="18"/>
  <c r="R98" i="18"/>
  <c r="R106" i="18"/>
  <c r="R110" i="18"/>
  <c r="R114" i="18"/>
  <c r="R118" i="18"/>
  <c r="R122" i="18"/>
  <c r="R126" i="18"/>
  <c r="R130" i="18"/>
  <c r="R134" i="18"/>
  <c r="F136" i="18"/>
  <c r="F88" i="18"/>
  <c r="F92" i="18"/>
  <c r="F96" i="18"/>
  <c r="F100" i="18"/>
  <c r="F104" i="18"/>
  <c r="F108" i="18"/>
  <c r="F112" i="18"/>
  <c r="F116" i="18"/>
  <c r="F120" i="18"/>
  <c r="F124" i="18"/>
  <c r="F128" i="18"/>
  <c r="F132" i="18"/>
  <c r="F84" i="18"/>
  <c r="C86" i="18"/>
  <c r="C90" i="18"/>
  <c r="C94" i="18"/>
  <c r="C98" i="18"/>
  <c r="C102" i="18"/>
  <c r="C106" i="18"/>
  <c r="C110" i="18"/>
  <c r="C114" i="18"/>
  <c r="C118" i="18"/>
  <c r="C122" i="18"/>
  <c r="C126" i="18"/>
  <c r="C130" i="18"/>
  <c r="C134" i="18"/>
  <c r="R72" i="18"/>
  <c r="R68" i="18"/>
  <c r="O69" i="18"/>
  <c r="F72" i="18"/>
  <c r="F68" i="18"/>
  <c r="C70" i="18"/>
  <c r="R59" i="18"/>
  <c r="R11" i="18"/>
  <c r="R15" i="18"/>
  <c r="R19" i="18"/>
  <c r="R23" i="18"/>
  <c r="R27" i="18"/>
  <c r="R31" i="18"/>
  <c r="R35" i="18"/>
  <c r="R39" i="18"/>
  <c r="R43" i="18"/>
  <c r="R47" i="18"/>
  <c r="R51" i="18"/>
  <c r="R55" i="18"/>
  <c r="R7" i="18"/>
  <c r="O9" i="18"/>
  <c r="O13" i="18"/>
  <c r="O17" i="18"/>
  <c r="O21" i="18"/>
  <c r="O25" i="18"/>
  <c r="O29" i="18"/>
  <c r="O33" i="18"/>
  <c r="O37" i="18"/>
  <c r="O41" i="18"/>
  <c r="O45" i="18"/>
  <c r="O49" i="18"/>
  <c r="O53" i="18"/>
  <c r="O57" i="18"/>
  <c r="F59" i="18"/>
  <c r="F11" i="18"/>
  <c r="F15" i="18"/>
  <c r="F19" i="18"/>
  <c r="F23" i="18"/>
  <c r="F27" i="18"/>
  <c r="F31" i="18"/>
  <c r="F35" i="18"/>
  <c r="F39" i="18"/>
  <c r="F43" i="18"/>
  <c r="F47" i="18"/>
  <c r="F51" i="18"/>
  <c r="F55" i="18"/>
  <c r="F7" i="18"/>
  <c r="C9" i="18"/>
  <c r="C13" i="18"/>
  <c r="C17" i="18"/>
  <c r="C21" i="18"/>
  <c r="C25" i="18"/>
  <c r="C29" i="18"/>
  <c r="C33" i="18"/>
  <c r="C37" i="18"/>
  <c r="C41" i="18"/>
  <c r="C45" i="18"/>
  <c r="C49" i="18"/>
  <c r="C53" i="18"/>
  <c r="C57" i="18"/>
  <c r="I220" i="17"/>
  <c r="M220" i="17" s="1"/>
  <c r="I216" i="17"/>
  <c r="M216" i="17" s="1"/>
  <c r="I158" i="17"/>
  <c r="M158" i="17" s="1"/>
  <c r="I162" i="17"/>
  <c r="M162" i="17" s="1"/>
  <c r="I166" i="17"/>
  <c r="M166" i="17" s="1"/>
  <c r="I170" i="17"/>
  <c r="M170" i="17" s="1"/>
  <c r="I174" i="17"/>
  <c r="M174" i="17" s="1"/>
  <c r="I178" i="17"/>
  <c r="M178" i="17" s="1"/>
  <c r="I182" i="17"/>
  <c r="M182" i="17" s="1"/>
  <c r="I186" i="17"/>
  <c r="M186" i="17" s="1"/>
  <c r="I190" i="17"/>
  <c r="M190" i="17" s="1"/>
  <c r="I194" i="17"/>
  <c r="M194" i="17" s="1"/>
  <c r="I198" i="17"/>
  <c r="M198" i="17" s="1"/>
  <c r="I202" i="17"/>
  <c r="M202" i="17" s="1"/>
  <c r="I206" i="17"/>
  <c r="M206" i="17" s="1"/>
  <c r="P126" i="17"/>
  <c r="P111" i="17"/>
  <c r="P115" i="17"/>
  <c r="P119" i="17"/>
  <c r="P123" i="17"/>
  <c r="P106" i="17"/>
  <c r="P95" i="17"/>
  <c r="C95" i="17"/>
  <c r="C99" i="17"/>
  <c r="C103" i="17"/>
  <c r="C107" i="17"/>
  <c r="C111" i="17"/>
  <c r="C115" i="17"/>
  <c r="C119" i="17"/>
  <c r="C123" i="17"/>
  <c r="C127" i="17"/>
  <c r="C131" i="17"/>
  <c r="C135" i="17"/>
  <c r="C57" i="17"/>
  <c r="C49" i="17"/>
  <c r="C41" i="17"/>
  <c r="C33" i="17"/>
  <c r="C27" i="17"/>
  <c r="C19" i="17"/>
  <c r="C11" i="17"/>
  <c r="P57" i="17"/>
  <c r="P49" i="17"/>
  <c r="P41" i="17"/>
  <c r="P35" i="17"/>
  <c r="P27" i="17"/>
  <c r="P19" i="17"/>
  <c r="P13" i="17"/>
  <c r="C68" i="17"/>
  <c r="P68" i="17"/>
  <c r="C83" i="17"/>
  <c r="P85" i="17"/>
  <c r="C140" i="17"/>
  <c r="C130" i="17"/>
  <c r="C114" i="17"/>
  <c r="C102" i="17"/>
  <c r="P96" i="17"/>
  <c r="P118" i="17"/>
  <c r="I205" i="17"/>
  <c r="M205" i="17" s="1"/>
  <c r="I193" i="17"/>
  <c r="M193" i="17" s="1"/>
  <c r="I177" i="17"/>
  <c r="M177" i="17" s="1"/>
  <c r="I161" i="17"/>
  <c r="M161" i="17" s="1"/>
  <c r="C6" i="18"/>
  <c r="C44" i="18"/>
  <c r="C32" i="18"/>
  <c r="C16" i="18"/>
  <c r="F58" i="18"/>
  <c r="F42" i="18"/>
  <c r="C6" i="17"/>
  <c r="C56" i="17"/>
  <c r="C52" i="17"/>
  <c r="C48" i="17"/>
  <c r="C44" i="17"/>
  <c r="C40" i="17"/>
  <c r="C36" i="17"/>
  <c r="C32" i="17"/>
  <c r="C28" i="17"/>
  <c r="C24" i="17"/>
  <c r="C20" i="17"/>
  <c r="O369" i="21"/>
  <c r="T369" i="21" s="1"/>
  <c r="C299" i="21"/>
  <c r="H299" i="21" s="1"/>
  <c r="O193" i="21"/>
  <c r="T193" i="21" s="1"/>
  <c r="C250" i="21"/>
  <c r="H250" i="21" s="1"/>
  <c r="C193" i="21"/>
  <c r="H193" i="21" s="1"/>
  <c r="C137" i="21"/>
  <c r="H137" i="21" s="1"/>
  <c r="O78" i="21"/>
  <c r="T78" i="21" s="1"/>
  <c r="O21" i="21"/>
  <c r="T21" i="21" s="1"/>
  <c r="C106" i="21"/>
  <c r="H106" i="21" s="1"/>
  <c r="C49" i="21"/>
  <c r="H49" i="21" s="1"/>
  <c r="C65" i="36"/>
  <c r="C48" i="36"/>
  <c r="C12" i="20"/>
  <c r="H12" i="20" s="1"/>
  <c r="C28" i="20"/>
  <c r="H28" i="20" s="1"/>
  <c r="C44" i="20"/>
  <c r="H44" i="20" s="1"/>
  <c r="C6" i="20"/>
  <c r="H6" i="20" s="1"/>
  <c r="O10" i="19"/>
  <c r="C8" i="19"/>
  <c r="C24" i="19"/>
  <c r="F149" i="18"/>
  <c r="R88" i="18"/>
  <c r="R104" i="18"/>
  <c r="R113" i="18"/>
  <c r="R121" i="18"/>
  <c r="R129" i="18"/>
  <c r="R83" i="18"/>
  <c r="F91" i="18"/>
  <c r="F99" i="18"/>
  <c r="F107" i="18"/>
  <c r="F115" i="18"/>
  <c r="F123" i="18"/>
  <c r="F131" i="18"/>
  <c r="C85" i="18"/>
  <c r="C93" i="18"/>
  <c r="C101" i="18"/>
  <c r="C109" i="18"/>
  <c r="C117" i="18"/>
  <c r="C125" i="18"/>
  <c r="C133" i="18"/>
  <c r="R71" i="18"/>
  <c r="O67" i="18"/>
  <c r="C71" i="18"/>
  <c r="R10" i="18"/>
  <c r="R18" i="18"/>
  <c r="R26" i="18"/>
  <c r="R34" i="18"/>
  <c r="R42" i="18"/>
  <c r="R50" i="18"/>
  <c r="R58" i="18"/>
  <c r="O12" i="18"/>
  <c r="O20" i="18"/>
  <c r="O28" i="18"/>
  <c r="O36" i="18"/>
  <c r="O44" i="18"/>
  <c r="O52" i="18"/>
  <c r="F10" i="18"/>
  <c r="F18" i="18"/>
  <c r="F26" i="18"/>
  <c r="F34" i="18"/>
  <c r="F46" i="18"/>
  <c r="C12" i="18"/>
  <c r="C28" i="18"/>
  <c r="C48" i="18"/>
  <c r="I217" i="17"/>
  <c r="M217" i="17" s="1"/>
  <c r="I173" i="17"/>
  <c r="M173" i="17" s="1"/>
  <c r="I189" i="17"/>
  <c r="M189" i="17" s="1"/>
  <c r="I155" i="17"/>
  <c r="M155" i="17" s="1"/>
  <c r="P107" i="17"/>
  <c r="C110" i="17"/>
  <c r="C126" i="17"/>
  <c r="C142" i="17"/>
  <c r="P83" i="17"/>
  <c r="C81" i="17"/>
  <c r="C70" i="17"/>
  <c r="P11" i="17"/>
  <c r="P21" i="17"/>
  <c r="P29" i="17"/>
  <c r="P39" i="17"/>
  <c r="P47" i="17"/>
  <c r="P55" i="17"/>
  <c r="C9" i="17"/>
  <c r="C17" i="17"/>
  <c r="C25" i="17"/>
  <c r="C35" i="17"/>
  <c r="C43" i="17"/>
  <c r="C51" i="17"/>
  <c r="C7" i="17"/>
  <c r="C355" i="21"/>
  <c r="H355" i="21" s="1"/>
  <c r="O222" i="21"/>
  <c r="T222" i="21" s="1"/>
  <c r="O137" i="21"/>
  <c r="T137" i="21" s="1"/>
  <c r="C208" i="21"/>
  <c r="H208" i="21" s="1"/>
  <c r="C151" i="21"/>
  <c r="H151" i="21" s="1"/>
  <c r="O92" i="21"/>
  <c r="T92" i="21" s="1"/>
  <c r="O35" i="21"/>
  <c r="T35" i="21" s="1"/>
  <c r="C120" i="21"/>
  <c r="H120" i="21" s="1"/>
  <c r="C63" i="21"/>
  <c r="H63" i="21" s="1"/>
  <c r="C7" i="21"/>
  <c r="H7" i="21" s="1"/>
  <c r="C44" i="36"/>
  <c r="C8" i="20"/>
  <c r="H8" i="20" s="1"/>
  <c r="C24" i="20"/>
  <c r="H24" i="20" s="1"/>
  <c r="C40" i="20"/>
  <c r="H40" i="20" s="1"/>
  <c r="C56" i="20"/>
  <c r="H56" i="20" s="1"/>
  <c r="C33" i="19"/>
  <c r="O22" i="19"/>
  <c r="C20" i="19"/>
  <c r="O147" i="18"/>
  <c r="R136" i="18"/>
  <c r="R100" i="18"/>
  <c r="R111" i="18"/>
  <c r="R119" i="18"/>
  <c r="R127" i="18"/>
  <c r="R135" i="18"/>
  <c r="F89" i="18"/>
  <c r="F97" i="18"/>
  <c r="F105" i="18"/>
  <c r="F113" i="18"/>
  <c r="F121" i="18"/>
  <c r="F129" i="18"/>
  <c r="F83" i="18"/>
  <c r="C91" i="18"/>
  <c r="C99" i="18"/>
  <c r="C107" i="18"/>
  <c r="C115" i="18"/>
  <c r="C123" i="18"/>
  <c r="C131" i="18"/>
  <c r="R69" i="18"/>
  <c r="O70" i="18"/>
  <c r="F67" i="18"/>
  <c r="R8" i="18"/>
  <c r="R16" i="18"/>
  <c r="R24" i="18"/>
  <c r="R32" i="18"/>
  <c r="R40" i="18"/>
  <c r="R48" i="18"/>
  <c r="R56" i="18"/>
  <c r="O10" i="18"/>
  <c r="O18" i="18"/>
  <c r="O26" i="18"/>
  <c r="O34" i="18"/>
  <c r="O42" i="18"/>
  <c r="O50" i="18"/>
  <c r="O58" i="18"/>
  <c r="F12" i="18"/>
  <c r="F20" i="18"/>
  <c r="F28" i="18"/>
  <c r="F36" i="18"/>
  <c r="F44" i="18"/>
  <c r="F52" i="18"/>
  <c r="F6" i="18"/>
  <c r="C14" i="18"/>
  <c r="C22" i="18"/>
  <c r="C30" i="18"/>
  <c r="C38" i="18"/>
  <c r="C46" i="18"/>
  <c r="C54" i="18"/>
  <c r="I219" i="17"/>
  <c r="M219" i="17" s="1"/>
  <c r="I159" i="17"/>
  <c r="M159" i="17" s="1"/>
  <c r="I167" i="17"/>
  <c r="M167" i="17" s="1"/>
  <c r="I175" i="17"/>
  <c r="M175" i="17" s="1"/>
  <c r="I183" i="17"/>
  <c r="M183" i="17" s="1"/>
  <c r="I191" i="17"/>
  <c r="M191" i="17" s="1"/>
  <c r="I199" i="17"/>
  <c r="M199" i="17" s="1"/>
  <c r="I207" i="17"/>
  <c r="M207" i="17" s="1"/>
  <c r="P112" i="17"/>
  <c r="P120" i="17"/>
  <c r="P98" i="17"/>
  <c r="C96" i="17"/>
  <c r="C104" i="17"/>
  <c r="C112" i="17"/>
  <c r="C120" i="17"/>
  <c r="C128" i="17"/>
  <c r="C136" i="17"/>
  <c r="C141" i="17"/>
  <c r="C145" i="17"/>
  <c r="P84" i="17"/>
  <c r="P80" i="17"/>
  <c r="C82" i="17"/>
  <c r="P69" i="17"/>
  <c r="P67" i="17"/>
  <c r="C71" i="17"/>
  <c r="P8" i="17"/>
  <c r="P12" i="17"/>
  <c r="P16" i="17"/>
  <c r="P20" i="17"/>
  <c r="P24" i="17"/>
  <c r="P28" i="17"/>
  <c r="P32" i="17"/>
  <c r="P36" i="17"/>
  <c r="P40" i="17"/>
  <c r="P44" i="17"/>
  <c r="P48" i="17"/>
  <c r="P52" i="17"/>
  <c r="P56" i="17"/>
  <c r="P6" i="17"/>
  <c r="C10" i="17"/>
  <c r="C14" i="17"/>
  <c r="C18" i="17"/>
  <c r="C26" i="17"/>
  <c r="C34" i="17"/>
  <c r="C42" i="17"/>
  <c r="C50" i="17"/>
  <c r="C58" i="17"/>
  <c r="F50" i="18"/>
  <c r="C24" i="18"/>
  <c r="C52" i="18"/>
  <c r="I169" i="17"/>
  <c r="M169" i="17" s="1"/>
  <c r="I201" i="17"/>
  <c r="M201" i="17" s="1"/>
  <c r="P122" i="17"/>
  <c r="C106" i="17"/>
  <c r="C138" i="17"/>
  <c r="P81" i="17"/>
  <c r="C72" i="17"/>
  <c r="P17" i="17"/>
  <c r="P31" i="17"/>
  <c r="P45" i="17"/>
  <c r="C59" i="17"/>
  <c r="C23" i="17"/>
  <c r="C37" i="17"/>
  <c r="C53" i="17"/>
  <c r="C133" i="17"/>
  <c r="C125" i="17"/>
  <c r="C117" i="17"/>
  <c r="C109" i="17"/>
  <c r="C101" i="17"/>
  <c r="P93" i="17"/>
  <c r="P125" i="17"/>
  <c r="P117" i="17"/>
  <c r="P109" i="17"/>
  <c r="I204" i="17"/>
  <c r="M204" i="17" s="1"/>
  <c r="I196" i="17"/>
  <c r="M196" i="17" s="1"/>
  <c r="I188" i="17"/>
  <c r="M188" i="17" s="1"/>
  <c r="I180" i="17"/>
  <c r="M180" i="17" s="1"/>
  <c r="I172" i="17"/>
  <c r="M172" i="17" s="1"/>
  <c r="I164" i="17"/>
  <c r="M164" i="17" s="1"/>
  <c r="I208" i="17"/>
  <c r="M208" i="17" s="1"/>
  <c r="C7" i="18"/>
  <c r="C51" i="18"/>
  <c r="C43" i="18"/>
  <c r="C35" i="18"/>
  <c r="C27" i="18"/>
  <c r="C19" i="18"/>
  <c r="C11" i="18"/>
  <c r="F57" i="18"/>
  <c r="F49" i="18"/>
  <c r="F41" i="18"/>
  <c r="F33" i="18"/>
  <c r="F25" i="18"/>
  <c r="F17" i="18"/>
  <c r="F9" i="18"/>
  <c r="O55" i="18"/>
  <c r="O47" i="18"/>
  <c r="O39" i="18"/>
  <c r="O31" i="18"/>
  <c r="O23" i="18"/>
  <c r="O15" i="18"/>
  <c r="O59" i="18"/>
  <c r="R53" i="18"/>
  <c r="R45" i="18"/>
  <c r="R37" i="18"/>
  <c r="R29" i="18"/>
  <c r="R21" i="18"/>
  <c r="R13" i="18"/>
  <c r="C68" i="18"/>
  <c r="F70" i="18"/>
  <c r="O72" i="18"/>
  <c r="C84" i="18"/>
  <c r="C128" i="18"/>
  <c r="C120" i="18"/>
  <c r="C112" i="18"/>
  <c r="C104" i="18"/>
  <c r="C96" i="18"/>
  <c r="C88" i="18"/>
  <c r="F134" i="18"/>
  <c r="F126" i="18"/>
  <c r="F118" i="18"/>
  <c r="F110" i="18"/>
  <c r="F102" i="18"/>
  <c r="F94" i="18"/>
  <c r="F86" i="18"/>
  <c r="R132" i="18"/>
  <c r="R124" i="18"/>
  <c r="R116" i="18"/>
  <c r="R108" i="18"/>
  <c r="R94" i="18"/>
  <c r="C149" i="18"/>
  <c r="R147" i="18"/>
  <c r="C14" i="19"/>
  <c r="O16" i="19"/>
  <c r="C39" i="19"/>
  <c r="C50" i="20"/>
  <c r="H50" i="20" s="1"/>
  <c r="C34" i="20"/>
  <c r="H34" i="20" s="1"/>
  <c r="C18" i="20"/>
  <c r="H18" i="20" s="1"/>
  <c r="C69" i="20"/>
  <c r="H69" i="20" s="1"/>
  <c r="C37" i="36"/>
  <c r="C23" i="21"/>
  <c r="H23" i="21" s="1"/>
  <c r="C80" i="21"/>
  <c r="H80" i="21" s="1"/>
  <c r="O9" i="21"/>
  <c r="T9" i="21" s="1"/>
  <c r="O51" i="21"/>
  <c r="T51" i="21" s="1"/>
  <c r="O108" i="21"/>
  <c r="T108" i="21" s="1"/>
  <c r="C167" i="21"/>
  <c r="H167" i="21" s="1"/>
  <c r="C223" i="21"/>
  <c r="H223" i="21" s="1"/>
  <c r="O151" i="21"/>
  <c r="T151" i="21" s="1"/>
  <c r="Y179" i="21"/>
  <c r="AD179" i="21" s="1"/>
  <c r="O298" i="21"/>
  <c r="T298" i="21" s="1"/>
  <c r="R103" i="18"/>
  <c r="R95" i="18"/>
  <c r="R87" i="18"/>
  <c r="C148" i="18"/>
  <c r="O144" i="18"/>
  <c r="R148" i="18"/>
  <c r="C23" i="19"/>
  <c r="C15" i="19"/>
  <c r="C26" i="19"/>
  <c r="O17" i="19"/>
  <c r="O9" i="19"/>
  <c r="C40" i="19"/>
  <c r="C7" i="20"/>
  <c r="H7" i="20" s="1"/>
  <c r="C51" i="20"/>
  <c r="H51" i="20" s="1"/>
  <c r="C43" i="20"/>
  <c r="H43" i="20" s="1"/>
  <c r="C35" i="20"/>
  <c r="H35" i="20" s="1"/>
  <c r="C27" i="20"/>
  <c r="H27" i="20" s="1"/>
  <c r="C19" i="20"/>
  <c r="H19" i="20" s="1"/>
  <c r="C11" i="20"/>
  <c r="H11" i="20" s="1"/>
  <c r="C70" i="20"/>
  <c r="H70" i="20" s="1"/>
  <c r="C47" i="36"/>
  <c r="C63" i="36"/>
  <c r="C53" i="21"/>
  <c r="H53" i="21" s="1"/>
  <c r="C110" i="21"/>
  <c r="H110" i="21" s="1"/>
  <c r="O25" i="21"/>
  <c r="T25" i="21" s="1"/>
  <c r="O82" i="21"/>
  <c r="T82" i="21" s="1"/>
  <c r="C141" i="21"/>
  <c r="H141" i="21" s="1"/>
  <c r="C197" i="21"/>
  <c r="H197" i="21" s="1"/>
  <c r="C252" i="21"/>
  <c r="H252" i="21" s="1"/>
  <c r="O195" i="21"/>
  <c r="T195" i="21" s="1"/>
  <c r="C313" i="21"/>
  <c r="H313" i="21" s="1"/>
  <c r="O383" i="21"/>
  <c r="T383" i="21" s="1"/>
  <c r="C64" i="36"/>
  <c r="C26" i="21"/>
  <c r="H26" i="21" s="1"/>
  <c r="C54" i="21"/>
  <c r="H54" i="21" s="1"/>
  <c r="C83" i="21"/>
  <c r="H83" i="21" s="1"/>
  <c r="C111" i="21"/>
  <c r="H111" i="21" s="1"/>
  <c r="O12" i="21"/>
  <c r="T12" i="21" s="1"/>
  <c r="O26" i="21"/>
  <c r="T26" i="21" s="1"/>
  <c r="O54" i="21"/>
  <c r="T54" i="21" s="1"/>
  <c r="O83" i="21"/>
  <c r="T83" i="21" s="1"/>
  <c r="O111" i="21"/>
  <c r="T111" i="21" s="1"/>
  <c r="C142" i="21"/>
  <c r="H142" i="21" s="1"/>
  <c r="C170" i="21"/>
  <c r="H170" i="21" s="1"/>
  <c r="C198" i="21"/>
  <c r="H198" i="21" s="1"/>
  <c r="C226" i="21"/>
  <c r="H226" i="21" s="1"/>
  <c r="C251" i="21"/>
  <c r="H251" i="21" s="1"/>
  <c r="R141" i="21"/>
  <c r="O197" i="21"/>
  <c r="T197" i="21" s="1"/>
  <c r="O254" i="21"/>
  <c r="T254" i="21" s="1"/>
  <c r="C301" i="21"/>
  <c r="H301" i="21" s="1"/>
  <c r="O280" i="21"/>
  <c r="T280" i="21" s="1"/>
  <c r="Y308" i="21"/>
  <c r="AD308" i="21" s="1"/>
  <c r="O192" i="21"/>
  <c r="T192" i="21" s="1"/>
  <c r="O249" i="21"/>
  <c r="T249" i="21" s="1"/>
  <c r="C295" i="21"/>
  <c r="H295" i="21" s="1"/>
  <c r="R272" i="21"/>
  <c r="O371" i="21"/>
  <c r="T371" i="21" s="1"/>
  <c r="C296" i="21"/>
  <c r="H296" i="21" s="1"/>
  <c r="C358" i="21"/>
  <c r="H358" i="21" s="1"/>
  <c r="R273" i="21"/>
  <c r="C322" i="21"/>
  <c r="H322" i="21" s="1"/>
  <c r="O372" i="21"/>
  <c r="T372" i="21" s="1"/>
  <c r="C29" i="15"/>
  <c r="E29" i="15" s="1"/>
  <c r="T141" i="21" l="1"/>
  <c r="T273" i="21"/>
  <c r="T271" i="21"/>
  <c r="T268" i="21"/>
  <c r="T8" i="21"/>
  <c r="T272" i="21"/>
  <c r="T11" i="21"/>
  <c r="E9" i="28"/>
  <c r="E10" i="28"/>
  <c r="F10" i="28" s="1"/>
  <c r="F9" i="28"/>
  <c r="M5" i="8" l="1"/>
  <c r="O126" i="15" l="1"/>
  <c r="O127" i="15"/>
  <c r="O128" i="15"/>
  <c r="O129" i="15"/>
  <c r="O130" i="15"/>
  <c r="O131" i="15"/>
  <c r="O132" i="15"/>
  <c r="O133" i="15"/>
  <c r="O134" i="15"/>
  <c r="O135" i="15"/>
  <c r="O136" i="15"/>
  <c r="O137" i="15"/>
  <c r="O138" i="15"/>
  <c r="O139" i="15"/>
  <c r="O140" i="15"/>
  <c r="O141" i="15"/>
  <c r="O142" i="15"/>
  <c r="O143" i="15"/>
  <c r="O144" i="15"/>
  <c r="O145" i="15"/>
  <c r="O146" i="15"/>
  <c r="O147" i="15"/>
  <c r="O148" i="15"/>
  <c r="O149" i="15"/>
  <c r="O150" i="15"/>
  <c r="O151" i="15"/>
  <c r="O152" i="15"/>
  <c r="O153" i="15"/>
  <c r="O154" i="15"/>
  <c r="O155" i="15"/>
  <c r="O156" i="15"/>
  <c r="O157" i="15"/>
  <c r="O158" i="15"/>
  <c r="O159" i="15"/>
  <c r="O160" i="15"/>
  <c r="O161" i="15"/>
  <c r="O162" i="15"/>
  <c r="O163" i="15"/>
  <c r="O164" i="15"/>
  <c r="O165" i="15"/>
  <c r="O166" i="15"/>
  <c r="O167" i="15"/>
  <c r="O168" i="15"/>
  <c r="O169" i="15"/>
  <c r="O170" i="15"/>
  <c r="O171" i="15"/>
  <c r="O172" i="15"/>
  <c r="O173" i="15"/>
  <c r="O174" i="15"/>
  <c r="O175" i="15"/>
  <c r="O176" i="15"/>
  <c r="O177" i="15"/>
  <c r="O178" i="15"/>
  <c r="O179" i="15"/>
  <c r="O180" i="15"/>
  <c r="O181" i="15"/>
  <c r="O182" i="15"/>
  <c r="O183" i="15"/>
  <c r="O184" i="15"/>
  <c r="O185" i="15"/>
  <c r="O186" i="15"/>
  <c r="O187" i="15"/>
  <c r="O188" i="15"/>
  <c r="O189" i="15"/>
  <c r="O190" i="15"/>
  <c r="O191" i="15"/>
  <c r="O192" i="15"/>
  <c r="O193" i="15"/>
  <c r="O194" i="15"/>
  <c r="O195" i="15"/>
  <c r="O196" i="15"/>
  <c r="O197" i="15"/>
  <c r="O198" i="15"/>
  <c r="O199" i="15"/>
  <c r="O200" i="15"/>
  <c r="O201" i="15"/>
  <c r="O202" i="15"/>
  <c r="O203" i="15"/>
  <c r="O204" i="15"/>
  <c r="O205" i="15"/>
  <c r="O206" i="15"/>
  <c r="O207" i="15"/>
  <c r="O208" i="15"/>
  <c r="O209" i="15"/>
  <c r="O210" i="15"/>
  <c r="O211" i="15"/>
  <c r="O212" i="15"/>
  <c r="O213" i="15"/>
  <c r="O214" i="15"/>
  <c r="O215" i="15"/>
  <c r="O216" i="15"/>
  <c r="O217" i="15"/>
  <c r="O218" i="15"/>
  <c r="O219" i="15"/>
  <c r="O220" i="15"/>
  <c r="O221" i="15"/>
  <c r="O222" i="15"/>
  <c r="O223" i="15"/>
  <c r="O224" i="15"/>
  <c r="O225" i="15"/>
  <c r="O226" i="15"/>
  <c r="O227" i="15"/>
  <c r="O125" i="15"/>
  <c r="P135" i="15" l="1"/>
  <c r="P214" i="15" l="1"/>
  <c r="P175" i="15" l="1"/>
  <c r="P173" i="15"/>
  <c r="O14" i="8" l="1"/>
  <c r="M15" i="8"/>
  <c r="D83" i="1" l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82" i="1"/>
  <c r="O87" i="1"/>
  <c r="O86" i="1"/>
  <c r="O85" i="1"/>
  <c r="O84" i="1"/>
  <c r="O83" i="1"/>
  <c r="O82" i="1"/>
  <c r="K21" i="1" l="1"/>
  <c r="K20" i="1"/>
  <c r="F6" i="28" l="1"/>
  <c r="R212" i="27" l="1"/>
  <c r="R207" i="27"/>
  <c r="R208" i="27"/>
  <c r="R209" i="27"/>
  <c r="R210" i="27"/>
  <c r="R211" i="27"/>
  <c r="R206" i="27"/>
  <c r="R205" i="27"/>
  <c r="F170" i="27"/>
  <c r="F165" i="27"/>
  <c r="F166" i="27"/>
  <c r="F167" i="27"/>
  <c r="F168" i="27"/>
  <c r="F169" i="27"/>
  <c r="F164" i="27"/>
  <c r="F163" i="27"/>
  <c r="R62" i="27" l="1"/>
  <c r="R83" i="27"/>
  <c r="R78" i="27"/>
  <c r="R79" i="27"/>
  <c r="R80" i="27"/>
  <c r="R81" i="27"/>
  <c r="R82" i="27"/>
  <c r="R77" i="27"/>
  <c r="R76" i="27"/>
  <c r="R337" i="21" l="1"/>
  <c r="R338" i="21" l="1"/>
  <c r="R339" i="21"/>
  <c r="R340" i="21"/>
  <c r="R341" i="21"/>
  <c r="R342" i="21"/>
  <c r="R343" i="21"/>
  <c r="R344" i="21"/>
  <c r="R208" i="21"/>
  <c r="R209" i="21"/>
  <c r="R210" i="21"/>
  <c r="R211" i="21"/>
  <c r="R212" i="21"/>
  <c r="R213" i="21"/>
  <c r="R214" i="21"/>
  <c r="R207" i="21"/>
  <c r="R78" i="21"/>
  <c r="R79" i="21"/>
  <c r="R80" i="21"/>
  <c r="R81" i="21"/>
  <c r="R82" i="21"/>
  <c r="R83" i="21"/>
  <c r="R84" i="21"/>
  <c r="R77" i="21"/>
  <c r="M16" i="8" l="1"/>
  <c r="M13" i="8"/>
  <c r="M12" i="8"/>
  <c r="M9" i="8"/>
  <c r="M8" i="8"/>
  <c r="M11" i="8"/>
  <c r="M10" i="8"/>
  <c r="M6" i="8"/>
  <c r="M7" i="8"/>
  <c r="M14" i="8"/>
  <c r="P14" i="8" s="1"/>
  <c r="G5" i="8" l="1"/>
  <c r="G6" i="8"/>
  <c r="G7" i="8"/>
  <c r="G8" i="8"/>
  <c r="G9" i="8"/>
  <c r="G10" i="8"/>
  <c r="G11" i="8"/>
  <c r="G12" i="8"/>
  <c r="G13" i="8"/>
  <c r="G14" i="8"/>
  <c r="G15" i="8"/>
  <c r="G16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N6" i="28" l="1"/>
  <c r="C10" i="28"/>
  <c r="F5" i="15" l="1"/>
  <c r="O340" i="27" l="1"/>
  <c r="T340" i="27" s="1"/>
  <c r="O336" i="27"/>
  <c r="T336" i="27" s="1"/>
  <c r="O338" i="27"/>
  <c r="T338" i="27" s="1"/>
  <c r="O334" i="27"/>
  <c r="T334" i="27" s="1"/>
  <c r="O212" i="27"/>
  <c r="T212" i="27" s="1"/>
  <c r="O208" i="27"/>
  <c r="T208" i="27" s="1"/>
  <c r="O210" i="27"/>
  <c r="T210" i="27" s="1"/>
  <c r="O206" i="27"/>
  <c r="T206" i="27" s="1"/>
  <c r="O83" i="27"/>
  <c r="T83" i="27" s="1"/>
  <c r="O79" i="27"/>
  <c r="T79" i="27" s="1"/>
  <c r="O81" i="27"/>
  <c r="T81" i="27" s="1"/>
  <c r="O77" i="27"/>
  <c r="T77" i="27" s="1"/>
  <c r="O63" i="27"/>
  <c r="T63" i="27" s="1"/>
  <c r="O335" i="27"/>
  <c r="T335" i="27" s="1"/>
  <c r="O337" i="27"/>
  <c r="T337" i="27" s="1"/>
  <c r="O339" i="27"/>
  <c r="T339" i="27" s="1"/>
  <c r="O333" i="27"/>
  <c r="T333" i="27" s="1"/>
  <c r="O207" i="27"/>
  <c r="T207" i="27" s="1"/>
  <c r="O209" i="27"/>
  <c r="T209" i="27" s="1"/>
  <c r="O211" i="27"/>
  <c r="T211" i="27" s="1"/>
  <c r="O205" i="27"/>
  <c r="T205" i="27" s="1"/>
  <c r="O78" i="27"/>
  <c r="T78" i="27" s="1"/>
  <c r="O80" i="27"/>
  <c r="T80" i="27" s="1"/>
  <c r="O82" i="27"/>
  <c r="T82" i="27" s="1"/>
  <c r="O76" i="27"/>
  <c r="T76" i="27" s="1"/>
  <c r="O64" i="27"/>
  <c r="T64" i="27" s="1"/>
  <c r="O65" i="27"/>
  <c r="T65" i="27" s="1"/>
  <c r="O68" i="27"/>
  <c r="T68" i="27" s="1"/>
  <c r="Y50" i="27"/>
  <c r="AD50" i="27" s="1"/>
  <c r="Y52" i="27"/>
  <c r="AD52" i="27" s="1"/>
  <c r="Y54" i="27"/>
  <c r="AD54" i="27" s="1"/>
  <c r="Y49" i="27"/>
  <c r="AD49" i="27" s="1"/>
  <c r="Y305" i="27"/>
  <c r="AD305" i="27" s="1"/>
  <c r="Y179" i="27"/>
  <c r="AD179" i="27" s="1"/>
  <c r="Y51" i="27"/>
  <c r="AD51" i="27" s="1"/>
  <c r="Y53" i="27"/>
  <c r="AD53" i="27" s="1"/>
  <c r="Y55" i="27"/>
  <c r="AD55" i="27" s="1"/>
  <c r="Y48" i="27"/>
  <c r="AD48" i="27" s="1"/>
  <c r="Y307" i="27"/>
  <c r="AD307" i="27" s="1"/>
  <c r="AJ179" i="27"/>
  <c r="E7" i="28"/>
  <c r="F7" i="28" s="1"/>
  <c r="O8" i="8"/>
  <c r="F33" i="8" s="1"/>
  <c r="O12" i="8"/>
  <c r="F37" i="8" s="1"/>
  <c r="O16" i="8"/>
  <c r="F41" i="8" s="1"/>
  <c r="P5" i="8"/>
  <c r="G30" i="8" s="1"/>
  <c r="P6" i="8"/>
  <c r="G31" i="8" s="1"/>
  <c r="P7" i="8"/>
  <c r="G32" i="8" s="1"/>
  <c r="P8" i="8"/>
  <c r="G33" i="8" s="1"/>
  <c r="P9" i="8"/>
  <c r="G34" i="8" s="1"/>
  <c r="P10" i="8"/>
  <c r="G35" i="8" s="1"/>
  <c r="P11" i="8"/>
  <c r="G36" i="8" s="1"/>
  <c r="P12" i="8"/>
  <c r="G37" i="8" s="1"/>
  <c r="P13" i="8"/>
  <c r="G38" i="8" s="1"/>
  <c r="G39" i="8"/>
  <c r="P15" i="8"/>
  <c r="G40" i="8" s="1"/>
  <c r="P16" i="8"/>
  <c r="G41" i="8" s="1"/>
  <c r="P17" i="8"/>
  <c r="G42" i="8" s="1"/>
  <c r="P18" i="8"/>
  <c r="G43" i="8" s="1"/>
  <c r="O5" i="8"/>
  <c r="O6" i="8"/>
  <c r="F31" i="8" s="1"/>
  <c r="O7" i="8"/>
  <c r="F32" i="8" s="1"/>
  <c r="O9" i="8"/>
  <c r="F34" i="8" s="1"/>
  <c r="O10" i="8"/>
  <c r="F35" i="8" s="1"/>
  <c r="O11" i="8"/>
  <c r="F36" i="8" s="1"/>
  <c r="O13" i="8"/>
  <c r="F38" i="8" s="1"/>
  <c r="F39" i="8"/>
  <c r="O15" i="8"/>
  <c r="F40" i="8" s="1"/>
  <c r="O17" i="8"/>
  <c r="F42" i="8" s="1"/>
  <c r="O18" i="8"/>
  <c r="F43" i="8" s="1"/>
  <c r="G29" i="8"/>
  <c r="F29" i="8"/>
  <c r="F30" i="8" l="1"/>
  <c r="M18" i="28" l="1"/>
  <c r="N18" i="28" s="1"/>
  <c r="K18" i="28"/>
  <c r="AL74" i="21" l="1"/>
  <c r="O233" i="15"/>
  <c r="P233" i="15" l="1"/>
  <c r="N237" i="1" l="1"/>
  <c r="O237" i="1" s="1"/>
  <c r="C237" i="1" s="1"/>
  <c r="D22" i="32" s="1"/>
  <c r="N236" i="1"/>
  <c r="O236" i="1" s="1"/>
  <c r="C236" i="1" s="1"/>
  <c r="D21" i="32" s="1"/>
  <c r="N235" i="1"/>
  <c r="O235" i="1" s="1"/>
  <c r="C235" i="1" s="1"/>
  <c r="D20" i="32" s="1"/>
  <c r="N234" i="1"/>
  <c r="O234" i="1" s="1"/>
  <c r="C234" i="1" l="1"/>
  <c r="D19" i="32" s="1"/>
  <c r="D243" i="1"/>
  <c r="O243" i="1"/>
  <c r="C195" i="1"/>
  <c r="N233" i="1"/>
  <c r="O233" i="1" s="1"/>
  <c r="N232" i="1"/>
  <c r="O232" i="1" s="1"/>
  <c r="N231" i="1"/>
  <c r="O231" i="1" s="1"/>
  <c r="N230" i="1"/>
  <c r="O230" i="1" s="1"/>
  <c r="N229" i="1"/>
  <c r="O229" i="1" s="1"/>
  <c r="N228" i="1"/>
  <c r="O228" i="1" s="1"/>
  <c r="N227" i="1"/>
  <c r="O227" i="1" s="1"/>
  <c r="N226" i="1"/>
  <c r="O226" i="1" s="1"/>
  <c r="N225" i="1"/>
  <c r="O225" i="1" s="1"/>
  <c r="N224" i="1"/>
  <c r="O224" i="1" s="1"/>
  <c r="N223" i="1"/>
  <c r="O223" i="1" s="1"/>
  <c r="N222" i="1"/>
  <c r="O222" i="1" s="1"/>
  <c r="N221" i="1"/>
  <c r="O221" i="1" s="1"/>
  <c r="N220" i="1"/>
  <c r="O220" i="1" s="1"/>
  <c r="N219" i="1"/>
  <c r="O219" i="1" s="1"/>
  <c r="N218" i="1"/>
  <c r="O218" i="1" s="1"/>
  <c r="N217" i="1"/>
  <c r="O217" i="1" s="1"/>
  <c r="N216" i="1"/>
  <c r="O216" i="1" s="1"/>
  <c r="N215" i="1"/>
  <c r="O215" i="1" s="1"/>
  <c r="N214" i="1"/>
  <c r="O214" i="1" s="1"/>
  <c r="N213" i="1"/>
  <c r="O213" i="1" s="1"/>
  <c r="N212" i="1"/>
  <c r="O212" i="1" s="1"/>
  <c r="N211" i="1"/>
  <c r="O211" i="1" s="1"/>
  <c r="N210" i="1"/>
  <c r="O210" i="1" s="1"/>
  <c r="N209" i="1"/>
  <c r="O209" i="1" s="1"/>
  <c r="N208" i="1"/>
  <c r="O208" i="1" s="1"/>
  <c r="N207" i="1"/>
  <c r="O207" i="1" s="1"/>
  <c r="N206" i="1"/>
  <c r="O206" i="1" s="1"/>
  <c r="N205" i="1"/>
  <c r="O205" i="1" s="1"/>
  <c r="N204" i="1"/>
  <c r="O204" i="1" s="1"/>
  <c r="N203" i="1"/>
  <c r="O203" i="1" s="1"/>
  <c r="N202" i="1"/>
  <c r="O202" i="1" s="1"/>
  <c r="N201" i="1"/>
  <c r="O201" i="1" s="1"/>
  <c r="N200" i="1"/>
  <c r="O200" i="1" s="1"/>
  <c r="N199" i="1"/>
  <c r="O199" i="1" s="1"/>
  <c r="N198" i="1"/>
  <c r="O198" i="1" s="1"/>
  <c r="N197" i="1"/>
  <c r="O197" i="1" s="1"/>
  <c r="N196" i="1"/>
  <c r="O196" i="1" s="1"/>
  <c r="N195" i="1"/>
  <c r="O195" i="1" s="1"/>
  <c r="N194" i="1"/>
  <c r="O194" i="1" s="1"/>
  <c r="N193" i="1"/>
  <c r="O193" i="1" s="1"/>
  <c r="N192" i="1"/>
  <c r="O192" i="1" s="1"/>
  <c r="N191" i="1"/>
  <c r="O191" i="1" s="1"/>
  <c r="N190" i="1"/>
  <c r="O190" i="1" s="1"/>
  <c r="N189" i="1"/>
  <c r="O189" i="1" s="1"/>
  <c r="N188" i="1"/>
  <c r="O188" i="1" s="1"/>
  <c r="N187" i="1"/>
  <c r="O187" i="1" s="1"/>
  <c r="N186" i="1"/>
  <c r="O186" i="1" s="1"/>
  <c r="N185" i="1"/>
  <c r="O185" i="1" s="1"/>
  <c r="N184" i="1"/>
  <c r="O184" i="1" s="1"/>
  <c r="N183" i="1"/>
  <c r="O183" i="1" s="1"/>
  <c r="N182" i="1"/>
  <c r="O182" i="1" s="1"/>
  <c r="N181" i="1"/>
  <c r="O181" i="1" s="1"/>
  <c r="N180" i="1"/>
  <c r="O180" i="1" s="1"/>
  <c r="N179" i="1"/>
  <c r="O179" i="1" s="1"/>
  <c r="N178" i="1"/>
  <c r="O178" i="1" s="1"/>
  <c r="N177" i="1"/>
  <c r="O177" i="1" s="1"/>
  <c r="N176" i="1"/>
  <c r="O176" i="1" s="1"/>
  <c r="N175" i="1"/>
  <c r="O175" i="1" s="1"/>
  <c r="N174" i="1"/>
  <c r="O174" i="1" s="1"/>
  <c r="N173" i="1"/>
  <c r="O173" i="1" s="1"/>
  <c r="N172" i="1"/>
  <c r="O172" i="1" s="1"/>
  <c r="N171" i="1"/>
  <c r="O171" i="1" s="1"/>
  <c r="N170" i="1"/>
  <c r="O170" i="1" s="1"/>
  <c r="N169" i="1"/>
  <c r="O169" i="1" s="1"/>
  <c r="N168" i="1"/>
  <c r="O168" i="1" s="1"/>
  <c r="N167" i="1"/>
  <c r="O167" i="1" s="1"/>
  <c r="N166" i="1"/>
  <c r="O166" i="1" s="1"/>
  <c r="N165" i="1"/>
  <c r="O165" i="1" s="1"/>
  <c r="N164" i="1"/>
  <c r="O164" i="1" s="1"/>
  <c r="N163" i="1"/>
  <c r="O163" i="1" s="1"/>
  <c r="N162" i="1"/>
  <c r="O162" i="1" s="1"/>
  <c r="N161" i="1"/>
  <c r="O161" i="1" s="1"/>
  <c r="N160" i="1"/>
  <c r="O160" i="1" s="1"/>
  <c r="N159" i="1"/>
  <c r="O159" i="1" s="1"/>
  <c r="N158" i="1"/>
  <c r="O158" i="1" s="1"/>
  <c r="N157" i="1"/>
  <c r="O157" i="1" s="1"/>
  <c r="N156" i="1"/>
  <c r="O156" i="1" s="1"/>
  <c r="N155" i="1"/>
  <c r="O155" i="1" s="1"/>
  <c r="N154" i="1"/>
  <c r="O154" i="1" s="1"/>
  <c r="N153" i="1"/>
  <c r="O153" i="1" s="1"/>
  <c r="N152" i="1"/>
  <c r="O152" i="1" s="1"/>
  <c r="N151" i="1"/>
  <c r="O151" i="1" s="1"/>
  <c r="N150" i="1"/>
  <c r="O150" i="1" s="1"/>
  <c r="N149" i="1"/>
  <c r="O149" i="1" s="1"/>
  <c r="N148" i="1"/>
  <c r="O148" i="1" s="1"/>
  <c r="N147" i="1"/>
  <c r="O147" i="1" s="1"/>
  <c r="N145" i="1"/>
  <c r="O145" i="1" s="1"/>
  <c r="N144" i="1"/>
  <c r="O144" i="1" s="1"/>
  <c r="N143" i="1"/>
  <c r="O143" i="1" s="1"/>
  <c r="N142" i="1"/>
  <c r="O142" i="1" s="1"/>
  <c r="N141" i="1"/>
  <c r="O141" i="1" s="1"/>
  <c r="N140" i="1"/>
  <c r="O140" i="1" s="1"/>
  <c r="N139" i="1"/>
  <c r="O139" i="1" s="1"/>
  <c r="N138" i="1"/>
  <c r="O138" i="1" s="1"/>
  <c r="N137" i="1"/>
  <c r="O137" i="1" s="1"/>
  <c r="N136" i="1"/>
  <c r="C131" i="1"/>
  <c r="C130" i="1"/>
  <c r="C129" i="1"/>
  <c r="C128" i="1"/>
  <c r="C127" i="1"/>
  <c r="C126" i="1"/>
  <c r="C125" i="1"/>
  <c r="C124" i="1"/>
  <c r="C123" i="1"/>
  <c r="O131" i="1"/>
  <c r="O130" i="1"/>
  <c r="O129" i="1"/>
  <c r="O128" i="1"/>
  <c r="O127" i="1"/>
  <c r="O126" i="1"/>
  <c r="O125" i="1"/>
  <c r="O124" i="1"/>
  <c r="O123" i="1"/>
  <c r="F36" i="10"/>
  <c r="O116" i="1"/>
  <c r="O115" i="1"/>
  <c r="O113" i="1"/>
  <c r="O112" i="1"/>
  <c r="O111" i="1"/>
  <c r="O109" i="1"/>
  <c r="O108" i="1"/>
  <c r="O107" i="1"/>
  <c r="O105" i="1"/>
  <c r="O104" i="1"/>
  <c r="O103" i="1"/>
  <c r="O102" i="1"/>
  <c r="O101" i="1"/>
  <c r="O100" i="1"/>
  <c r="O98" i="1"/>
  <c r="O97" i="1"/>
  <c r="O95" i="1"/>
  <c r="O94" i="1"/>
  <c r="O92" i="1"/>
  <c r="O91" i="1"/>
  <c r="O90" i="1"/>
  <c r="O89" i="1"/>
  <c r="C207" i="1" l="1"/>
  <c r="O136" i="1"/>
  <c r="C136" i="1"/>
  <c r="P165" i="15"/>
  <c r="F73" i="36"/>
  <c r="F71" i="36"/>
  <c r="F69" i="36"/>
  <c r="F67" i="36"/>
  <c r="F65" i="36"/>
  <c r="F63" i="36"/>
  <c r="F61" i="36"/>
  <c r="F59" i="36"/>
  <c r="F51" i="36"/>
  <c r="F49" i="36"/>
  <c r="F47" i="36"/>
  <c r="F45" i="36"/>
  <c r="F43" i="36"/>
  <c r="F41" i="36"/>
  <c r="F39" i="36"/>
  <c r="F37" i="36"/>
  <c r="F35" i="36"/>
  <c r="F74" i="36"/>
  <c r="F72" i="36"/>
  <c r="F70" i="36"/>
  <c r="F68" i="36"/>
  <c r="F66" i="36"/>
  <c r="F64" i="36"/>
  <c r="F62" i="36"/>
  <c r="F60" i="36"/>
  <c r="F58" i="36"/>
  <c r="F50" i="36"/>
  <c r="F48" i="36"/>
  <c r="F46" i="36"/>
  <c r="F44" i="36"/>
  <c r="F42" i="36"/>
  <c r="F40" i="36"/>
  <c r="F38" i="36"/>
  <c r="F36" i="36"/>
  <c r="F85" i="33"/>
  <c r="F87" i="33"/>
  <c r="F89" i="33"/>
  <c r="F91" i="33"/>
  <c r="F93" i="33"/>
  <c r="F95" i="33"/>
  <c r="F97" i="33"/>
  <c r="F99" i="33"/>
  <c r="F84" i="33"/>
  <c r="F86" i="33"/>
  <c r="F88" i="33"/>
  <c r="F90" i="33"/>
  <c r="F92" i="33"/>
  <c r="F94" i="33"/>
  <c r="F96" i="33"/>
  <c r="F98" i="33"/>
  <c r="F83" i="33"/>
  <c r="L75" i="33"/>
  <c r="J75" i="33"/>
  <c r="K74" i="33"/>
  <c r="L73" i="33"/>
  <c r="J73" i="33"/>
  <c r="K72" i="33"/>
  <c r="L71" i="33"/>
  <c r="J71" i="33"/>
  <c r="K70" i="33"/>
  <c r="L69" i="33"/>
  <c r="J69" i="33"/>
  <c r="K68" i="33"/>
  <c r="L67" i="33"/>
  <c r="J67" i="33"/>
  <c r="K66" i="33"/>
  <c r="L65" i="33"/>
  <c r="J65" i="33"/>
  <c r="K64" i="33"/>
  <c r="L63" i="33"/>
  <c r="J63" i="33"/>
  <c r="K62" i="33"/>
  <c r="L61" i="33"/>
  <c r="J61" i="33"/>
  <c r="K60" i="33"/>
  <c r="L59" i="33"/>
  <c r="J59" i="33"/>
  <c r="K58" i="33"/>
  <c r="F22" i="33"/>
  <c r="F20" i="33"/>
  <c r="F18" i="33"/>
  <c r="F16" i="33"/>
  <c r="L74" i="33"/>
  <c r="K73" i="33"/>
  <c r="J72" i="33"/>
  <c r="L70" i="33"/>
  <c r="K69" i="33"/>
  <c r="J68" i="33"/>
  <c r="L66" i="33"/>
  <c r="K65" i="33"/>
  <c r="J64" i="33"/>
  <c r="L62" i="33"/>
  <c r="K61" i="33"/>
  <c r="J60" i="33"/>
  <c r="L58" i="33"/>
  <c r="F21" i="33"/>
  <c r="F17" i="33"/>
  <c r="L72" i="33"/>
  <c r="K71" i="33"/>
  <c r="J70" i="33"/>
  <c r="L64" i="33"/>
  <c r="K63" i="33"/>
  <c r="J62" i="33"/>
  <c r="F15" i="33"/>
  <c r="F13" i="33"/>
  <c r="F11" i="33"/>
  <c r="F9" i="33"/>
  <c r="F7" i="33"/>
  <c r="K75" i="33"/>
  <c r="J74" i="33"/>
  <c r="L68" i="33"/>
  <c r="K67" i="33"/>
  <c r="J66" i="33"/>
  <c r="L60" i="33"/>
  <c r="K59" i="33"/>
  <c r="J58" i="33"/>
  <c r="F19" i="33"/>
  <c r="F14" i="33"/>
  <c r="F12" i="33"/>
  <c r="F10" i="33"/>
  <c r="F8" i="33"/>
  <c r="F6" i="33"/>
  <c r="H85" i="33"/>
  <c r="H87" i="33"/>
  <c r="H89" i="33"/>
  <c r="H91" i="33"/>
  <c r="H93" i="33"/>
  <c r="H95" i="33"/>
  <c r="H97" i="33"/>
  <c r="H99" i="33"/>
  <c r="H84" i="33"/>
  <c r="H86" i="33"/>
  <c r="H88" i="33"/>
  <c r="H90" i="33"/>
  <c r="H92" i="33"/>
  <c r="H94" i="33"/>
  <c r="H96" i="33"/>
  <c r="H98" i="33"/>
  <c r="H83" i="33"/>
  <c r="R75" i="33"/>
  <c r="P75" i="33"/>
  <c r="Q74" i="33"/>
  <c r="R73" i="33"/>
  <c r="P73" i="33"/>
  <c r="Q72" i="33"/>
  <c r="R71" i="33"/>
  <c r="P71" i="33"/>
  <c r="Q70" i="33"/>
  <c r="R69" i="33"/>
  <c r="P69" i="33"/>
  <c r="Q68" i="33"/>
  <c r="R67" i="33"/>
  <c r="P67" i="33"/>
  <c r="Q66" i="33"/>
  <c r="R65" i="33"/>
  <c r="P65" i="33"/>
  <c r="Q64" i="33"/>
  <c r="R63" i="33"/>
  <c r="P63" i="33"/>
  <c r="Q62" i="33"/>
  <c r="R61" i="33"/>
  <c r="P61" i="33"/>
  <c r="Q60" i="33"/>
  <c r="R59" i="33"/>
  <c r="P59" i="33"/>
  <c r="Q58" i="33"/>
  <c r="H22" i="33"/>
  <c r="H20" i="33"/>
  <c r="H18" i="33"/>
  <c r="H16" i="33"/>
  <c r="Q75" i="33"/>
  <c r="P74" i="33"/>
  <c r="R72" i="33"/>
  <c r="Q71" i="33"/>
  <c r="P70" i="33"/>
  <c r="R68" i="33"/>
  <c r="Q67" i="33"/>
  <c r="P66" i="33"/>
  <c r="R64" i="33"/>
  <c r="Q63" i="33"/>
  <c r="P62" i="33"/>
  <c r="R60" i="33"/>
  <c r="Q59" i="33"/>
  <c r="P58" i="33"/>
  <c r="H19" i="33"/>
  <c r="R70" i="33"/>
  <c r="Q69" i="33"/>
  <c r="P68" i="33"/>
  <c r="R62" i="33"/>
  <c r="Q61" i="33"/>
  <c r="P60" i="33"/>
  <c r="H21" i="33"/>
  <c r="H15" i="33"/>
  <c r="H13" i="33"/>
  <c r="H11" i="33"/>
  <c r="H9" i="33"/>
  <c r="H7" i="33"/>
  <c r="R74" i="33"/>
  <c r="Q73" i="33"/>
  <c r="P72" i="33"/>
  <c r="R66" i="33"/>
  <c r="Q65" i="33"/>
  <c r="P64" i="33"/>
  <c r="R58" i="33"/>
  <c r="H17" i="33"/>
  <c r="H14" i="33"/>
  <c r="H12" i="33"/>
  <c r="H10" i="33"/>
  <c r="H8" i="33"/>
  <c r="H6" i="33"/>
  <c r="C141" i="1"/>
  <c r="C150" i="1"/>
  <c r="C166" i="1"/>
  <c r="C182" i="1"/>
  <c r="C222" i="1"/>
  <c r="C142" i="1"/>
  <c r="C158" i="1"/>
  <c r="C170" i="1"/>
  <c r="C186" i="1"/>
  <c r="C198" i="1"/>
  <c r="C210" i="1"/>
  <c r="C226" i="1"/>
  <c r="C153" i="1"/>
  <c r="C161" i="1"/>
  <c r="C137" i="1"/>
  <c r="C145" i="1"/>
  <c r="C154" i="1"/>
  <c r="C162" i="1"/>
  <c r="C174" i="1"/>
  <c r="C190" i="1"/>
  <c r="C202" i="1"/>
  <c r="C214" i="1"/>
  <c r="C230" i="1"/>
  <c r="C138" i="1"/>
  <c r="C149" i="1"/>
  <c r="C157" i="1"/>
  <c r="C165" i="1"/>
  <c r="C178" i="1"/>
  <c r="C194" i="1"/>
  <c r="C206" i="1"/>
  <c r="C218" i="1"/>
  <c r="C171" i="1"/>
  <c r="C175" i="1"/>
  <c r="C179" i="1"/>
  <c r="C183" i="1"/>
  <c r="C187" i="1"/>
  <c r="C191" i="1"/>
  <c r="C199" i="1"/>
  <c r="C203" i="1"/>
  <c r="C211" i="1"/>
  <c r="C215" i="1"/>
  <c r="C219" i="1"/>
  <c r="C223" i="1"/>
  <c r="C227" i="1"/>
  <c r="C231" i="1"/>
  <c r="C139" i="1"/>
  <c r="C143" i="1"/>
  <c r="C147" i="1"/>
  <c r="C151" i="1"/>
  <c r="C155" i="1"/>
  <c r="C159" i="1"/>
  <c r="C163" i="1"/>
  <c r="C167" i="1"/>
  <c r="C172" i="1"/>
  <c r="C176" i="1"/>
  <c r="C180" i="1"/>
  <c r="C184" i="1"/>
  <c r="C188" i="1"/>
  <c r="C192" i="1"/>
  <c r="C196" i="1"/>
  <c r="C200" i="1"/>
  <c r="C204" i="1"/>
  <c r="C208" i="1"/>
  <c r="C212" i="1"/>
  <c r="C216" i="1"/>
  <c r="C220" i="1"/>
  <c r="C224" i="1"/>
  <c r="C228" i="1"/>
  <c r="C232" i="1"/>
  <c r="C140" i="1"/>
  <c r="C144" i="1"/>
  <c r="C148" i="1"/>
  <c r="C152" i="1"/>
  <c r="C156" i="1"/>
  <c r="C160" i="1"/>
  <c r="C164" i="1"/>
  <c r="D18" i="32" s="1"/>
  <c r="C168" i="1"/>
  <c r="C173" i="1"/>
  <c r="C177" i="1"/>
  <c r="C181" i="1"/>
  <c r="C185" i="1"/>
  <c r="C189" i="1"/>
  <c r="C193" i="1"/>
  <c r="C197" i="1"/>
  <c r="C201" i="1"/>
  <c r="C205" i="1"/>
  <c r="C209" i="1"/>
  <c r="C213" i="1"/>
  <c r="C217" i="1"/>
  <c r="C221" i="1"/>
  <c r="C225" i="1"/>
  <c r="C229" i="1"/>
  <c r="C233" i="1"/>
  <c r="C169" i="1"/>
  <c r="F93" i="3" s="1"/>
  <c r="F2" i="1" l="1"/>
  <c r="F5" i="1" s="1"/>
  <c r="E44" i="1"/>
  <c r="E43" i="1"/>
  <c r="E42" i="1"/>
  <c r="E41" i="1"/>
  <c r="E40" i="1"/>
  <c r="E39" i="1"/>
  <c r="E38" i="1"/>
  <c r="E37" i="1"/>
  <c r="E36" i="1"/>
  <c r="E35" i="1"/>
  <c r="E34" i="1"/>
  <c r="D51" i="32"/>
  <c r="D50" i="32"/>
  <c r="D49" i="32"/>
  <c r="D48" i="32"/>
  <c r="D47" i="32"/>
  <c r="E41" i="15"/>
  <c r="E47" i="15"/>
  <c r="E42" i="15"/>
  <c r="E40" i="15"/>
  <c r="E39" i="15"/>
  <c r="E46" i="15"/>
  <c r="E45" i="15"/>
  <c r="E44" i="15"/>
  <c r="E43" i="15"/>
  <c r="E38" i="15"/>
  <c r="E37" i="15"/>
  <c r="E35" i="15"/>
  <c r="R386" i="21"/>
  <c r="F386" i="21"/>
  <c r="R385" i="21"/>
  <c r="F385" i="21"/>
  <c r="R384" i="21"/>
  <c r="F384" i="21"/>
  <c r="R383" i="21"/>
  <c r="F383" i="21"/>
  <c r="R382" i="21"/>
  <c r="F382" i="21"/>
  <c r="R381" i="21"/>
  <c r="F381" i="21"/>
  <c r="R380" i="21"/>
  <c r="F380" i="21"/>
  <c r="R379" i="21"/>
  <c r="F379" i="21"/>
  <c r="R372" i="21"/>
  <c r="F372" i="21"/>
  <c r="R371" i="21"/>
  <c r="F371" i="21"/>
  <c r="R370" i="21"/>
  <c r="F370" i="21"/>
  <c r="R369" i="21"/>
  <c r="F369" i="21"/>
  <c r="R368" i="21"/>
  <c r="F368" i="21"/>
  <c r="R367" i="21"/>
  <c r="F367" i="21"/>
  <c r="R366" i="21"/>
  <c r="F366" i="21"/>
  <c r="R365" i="21"/>
  <c r="F365" i="21"/>
  <c r="R358" i="21"/>
  <c r="F358" i="21"/>
  <c r="R357" i="21"/>
  <c r="F357" i="21"/>
  <c r="R356" i="21"/>
  <c r="F356" i="21"/>
  <c r="R355" i="21"/>
  <c r="F355" i="21"/>
  <c r="R354" i="21"/>
  <c r="F354" i="21"/>
  <c r="R353" i="21"/>
  <c r="F353" i="21"/>
  <c r="R352" i="21"/>
  <c r="F352" i="21"/>
  <c r="R351" i="21"/>
  <c r="F351" i="21"/>
  <c r="F344" i="21"/>
  <c r="F343" i="21"/>
  <c r="F342" i="21"/>
  <c r="F341" i="21"/>
  <c r="F340" i="21"/>
  <c r="F339" i="21"/>
  <c r="F338" i="21"/>
  <c r="F337" i="21"/>
  <c r="R329" i="21"/>
  <c r="F329" i="21"/>
  <c r="R328" i="21"/>
  <c r="F328" i="21"/>
  <c r="R327" i="21"/>
  <c r="F327" i="21"/>
  <c r="R326" i="21"/>
  <c r="F326" i="21"/>
  <c r="R325" i="21"/>
  <c r="F325" i="21"/>
  <c r="R324" i="21"/>
  <c r="F324" i="21"/>
  <c r="R323" i="21"/>
  <c r="F323" i="21"/>
  <c r="R322" i="21"/>
  <c r="F322" i="21"/>
  <c r="AB315" i="21"/>
  <c r="R315" i="21"/>
  <c r="F315" i="21"/>
  <c r="AB314" i="21"/>
  <c r="R314" i="21"/>
  <c r="F314" i="21"/>
  <c r="AB313" i="21"/>
  <c r="R313" i="21"/>
  <c r="F313" i="21"/>
  <c r="AB312" i="21"/>
  <c r="R312" i="21"/>
  <c r="F312" i="21"/>
  <c r="AB311" i="21"/>
  <c r="R311" i="21"/>
  <c r="F311" i="21"/>
  <c r="AB310" i="21"/>
  <c r="R310" i="21"/>
  <c r="F310" i="21"/>
  <c r="AB309" i="21"/>
  <c r="R309" i="21"/>
  <c r="F309" i="21"/>
  <c r="AB308" i="21"/>
  <c r="R308" i="21"/>
  <c r="F308" i="21"/>
  <c r="R301" i="21"/>
  <c r="F301" i="21"/>
  <c r="R300" i="21"/>
  <c r="F300" i="21"/>
  <c r="R299" i="21"/>
  <c r="F299" i="21"/>
  <c r="R298" i="21"/>
  <c r="F298" i="21"/>
  <c r="R297" i="21"/>
  <c r="F297" i="21"/>
  <c r="R296" i="21"/>
  <c r="F296" i="21"/>
  <c r="R295" i="21"/>
  <c r="F295" i="21"/>
  <c r="R294" i="21"/>
  <c r="F294" i="21"/>
  <c r="R287" i="21"/>
  <c r="F287" i="21"/>
  <c r="R286" i="21"/>
  <c r="F286" i="21"/>
  <c r="R285" i="21"/>
  <c r="F285" i="21"/>
  <c r="R284" i="21"/>
  <c r="F284" i="21"/>
  <c r="R283" i="21"/>
  <c r="F283" i="21"/>
  <c r="R282" i="21"/>
  <c r="F282" i="21"/>
  <c r="R281" i="21"/>
  <c r="F281" i="21"/>
  <c r="R280" i="21"/>
  <c r="F280" i="21"/>
  <c r="F273" i="21"/>
  <c r="F272" i="21"/>
  <c r="F271" i="21"/>
  <c r="F270" i="21"/>
  <c r="F269" i="21"/>
  <c r="F268" i="21"/>
  <c r="F267" i="21"/>
  <c r="F266" i="21"/>
  <c r="E34" i="15"/>
  <c r="E33" i="15"/>
  <c r="C126" i="7" l="1"/>
  <c r="C128" i="7"/>
  <c r="C130" i="7"/>
  <c r="C124" i="7"/>
  <c r="C112" i="7"/>
  <c r="C114" i="7"/>
  <c r="C116" i="7"/>
  <c r="C110" i="7"/>
  <c r="C98" i="7"/>
  <c r="C100" i="7"/>
  <c r="C102" i="7"/>
  <c r="C96" i="7"/>
  <c r="C84" i="7"/>
  <c r="C86" i="7"/>
  <c r="C88" i="7"/>
  <c r="C82" i="7"/>
  <c r="C125" i="7"/>
  <c r="C127" i="7"/>
  <c r="C129" i="7"/>
  <c r="C131" i="7"/>
  <c r="C111" i="7"/>
  <c r="C113" i="7"/>
  <c r="C115" i="7"/>
  <c r="C117" i="7"/>
  <c r="C97" i="7"/>
  <c r="C99" i="7"/>
  <c r="C101" i="7"/>
  <c r="C103" i="7"/>
  <c r="C83" i="7"/>
  <c r="C85" i="7"/>
  <c r="C87" i="7"/>
  <c r="C89" i="7"/>
  <c r="D8" i="32"/>
  <c r="D37" i="32" s="1"/>
  <c r="D13" i="32"/>
  <c r="C7" i="4"/>
  <c r="C6" i="5"/>
  <c r="O146" i="4"/>
  <c r="O148" i="4"/>
  <c r="O144" i="4"/>
  <c r="O85" i="4"/>
  <c r="O87" i="4"/>
  <c r="O89" i="4"/>
  <c r="O91" i="4"/>
  <c r="O93" i="4"/>
  <c r="O95" i="4"/>
  <c r="O97" i="4"/>
  <c r="O99" i="4"/>
  <c r="O101" i="4"/>
  <c r="O103" i="4"/>
  <c r="O105" i="4"/>
  <c r="O107" i="4"/>
  <c r="O109" i="4"/>
  <c r="O111" i="4"/>
  <c r="O113" i="4"/>
  <c r="O115" i="4"/>
  <c r="O117" i="4"/>
  <c r="O119" i="4"/>
  <c r="O121" i="4"/>
  <c r="O123" i="4"/>
  <c r="O125" i="4"/>
  <c r="O127" i="4"/>
  <c r="O129" i="4"/>
  <c r="O131" i="4"/>
  <c r="O133" i="4"/>
  <c r="O135" i="4"/>
  <c r="O83" i="4"/>
  <c r="R69" i="4"/>
  <c r="R71" i="4"/>
  <c r="R68" i="4"/>
  <c r="O69" i="4"/>
  <c r="O71" i="4"/>
  <c r="O67" i="4"/>
  <c r="R8" i="4"/>
  <c r="R10" i="4"/>
  <c r="R12" i="4"/>
  <c r="R14" i="4"/>
  <c r="R16" i="4"/>
  <c r="R18" i="4"/>
  <c r="R20" i="4"/>
  <c r="R22" i="4"/>
  <c r="R24" i="4"/>
  <c r="R26" i="4"/>
  <c r="R28" i="4"/>
  <c r="R30" i="4"/>
  <c r="R32" i="4"/>
  <c r="R34" i="4"/>
  <c r="R36" i="4"/>
  <c r="R38" i="4"/>
  <c r="R40" i="4"/>
  <c r="R42" i="4"/>
  <c r="R44" i="4"/>
  <c r="R46" i="4"/>
  <c r="R48" i="4"/>
  <c r="R50" i="4"/>
  <c r="R52" i="4"/>
  <c r="R54" i="4"/>
  <c r="R56" i="4"/>
  <c r="R58" i="4"/>
  <c r="R6" i="4"/>
  <c r="O8" i="4"/>
  <c r="O10" i="4"/>
  <c r="O12" i="4"/>
  <c r="O14" i="4"/>
  <c r="O16" i="4"/>
  <c r="O18" i="4"/>
  <c r="O20" i="4"/>
  <c r="O22" i="4"/>
  <c r="O24" i="4"/>
  <c r="O26" i="4"/>
  <c r="O28" i="4"/>
  <c r="O30" i="4"/>
  <c r="O32" i="4"/>
  <c r="O34" i="4"/>
  <c r="O36" i="4"/>
  <c r="O38" i="4"/>
  <c r="O40" i="4"/>
  <c r="O42" i="4"/>
  <c r="O44" i="4"/>
  <c r="O46" i="4"/>
  <c r="O48" i="4"/>
  <c r="O50" i="4"/>
  <c r="O52" i="4"/>
  <c r="O54" i="4"/>
  <c r="O56" i="4"/>
  <c r="O58" i="4"/>
  <c r="O6" i="4"/>
  <c r="C146" i="4"/>
  <c r="C148" i="4"/>
  <c r="C144" i="4"/>
  <c r="C88" i="4"/>
  <c r="C90" i="4"/>
  <c r="C92" i="4"/>
  <c r="C94" i="4"/>
  <c r="C96" i="4"/>
  <c r="C98" i="4"/>
  <c r="C100" i="4"/>
  <c r="C102" i="4"/>
  <c r="C104" i="4"/>
  <c r="C106" i="4"/>
  <c r="C108" i="4"/>
  <c r="C110" i="4"/>
  <c r="C112" i="4"/>
  <c r="O145" i="4"/>
  <c r="O147" i="4"/>
  <c r="O149" i="4"/>
  <c r="O84" i="4"/>
  <c r="O86" i="4"/>
  <c r="O88" i="4"/>
  <c r="O90" i="4"/>
  <c r="O92" i="4"/>
  <c r="O94" i="4"/>
  <c r="O96" i="4"/>
  <c r="O98" i="4"/>
  <c r="O100" i="4"/>
  <c r="O102" i="4"/>
  <c r="O104" i="4"/>
  <c r="O106" i="4"/>
  <c r="O108" i="4"/>
  <c r="O110" i="4"/>
  <c r="O112" i="4"/>
  <c r="O114" i="4"/>
  <c r="O116" i="4"/>
  <c r="O118" i="4"/>
  <c r="O120" i="4"/>
  <c r="O122" i="4"/>
  <c r="O124" i="4"/>
  <c r="O126" i="4"/>
  <c r="O128" i="4"/>
  <c r="O130" i="4"/>
  <c r="O132" i="4"/>
  <c r="O134" i="4"/>
  <c r="O136" i="4"/>
  <c r="R67" i="4"/>
  <c r="R70" i="4"/>
  <c r="R72" i="4"/>
  <c r="O68" i="4"/>
  <c r="O70" i="4"/>
  <c r="O72" i="4"/>
  <c r="R7" i="4"/>
  <c r="R9" i="4"/>
  <c r="R11" i="4"/>
  <c r="R13" i="4"/>
  <c r="R15" i="4"/>
  <c r="R17" i="4"/>
  <c r="R19" i="4"/>
  <c r="R21" i="4"/>
  <c r="R23" i="4"/>
  <c r="R25" i="4"/>
  <c r="R27" i="4"/>
  <c r="R29" i="4"/>
  <c r="R31" i="4"/>
  <c r="R33" i="4"/>
  <c r="R35" i="4"/>
  <c r="R37" i="4"/>
  <c r="R39" i="4"/>
  <c r="R41" i="4"/>
  <c r="R43" i="4"/>
  <c r="R45" i="4"/>
  <c r="R47" i="4"/>
  <c r="R49" i="4"/>
  <c r="R51" i="4"/>
  <c r="R53" i="4"/>
  <c r="R55" i="4"/>
  <c r="R57" i="4"/>
  <c r="R59" i="4"/>
  <c r="O7" i="4"/>
  <c r="O9" i="4"/>
  <c r="O11" i="4"/>
  <c r="O13" i="4"/>
  <c r="O15" i="4"/>
  <c r="O17" i="4"/>
  <c r="O19" i="4"/>
  <c r="O21" i="4"/>
  <c r="O23" i="4"/>
  <c r="O25" i="4"/>
  <c r="O27" i="4"/>
  <c r="O29" i="4"/>
  <c r="O31" i="4"/>
  <c r="O33" i="4"/>
  <c r="O35" i="4"/>
  <c r="O37" i="4"/>
  <c r="O39" i="4"/>
  <c r="O41" i="4"/>
  <c r="O43" i="4"/>
  <c r="O45" i="4"/>
  <c r="O47" i="4"/>
  <c r="O49" i="4"/>
  <c r="O51" i="4"/>
  <c r="O53" i="4"/>
  <c r="O55" i="4"/>
  <c r="O57" i="4"/>
  <c r="O59" i="4"/>
  <c r="C145" i="4"/>
  <c r="C147" i="4"/>
  <c r="C149" i="4"/>
  <c r="C87" i="4"/>
  <c r="C89" i="4"/>
  <c r="C91" i="4"/>
  <c r="C93" i="4"/>
  <c r="C95" i="4"/>
  <c r="C97" i="4"/>
  <c r="C99" i="4"/>
  <c r="C101" i="4"/>
  <c r="C103" i="4"/>
  <c r="C105" i="4"/>
  <c r="C107" i="4"/>
  <c r="C109" i="4"/>
  <c r="C111" i="4"/>
  <c r="C114" i="4"/>
  <c r="C116" i="4"/>
  <c r="C118" i="4"/>
  <c r="C120" i="4"/>
  <c r="C122" i="4"/>
  <c r="C124" i="4"/>
  <c r="C126" i="4"/>
  <c r="C128" i="4"/>
  <c r="C130" i="4"/>
  <c r="C132" i="4"/>
  <c r="C134" i="4"/>
  <c r="C136" i="4"/>
  <c r="C85" i="4"/>
  <c r="C83" i="4"/>
  <c r="F69" i="4"/>
  <c r="F71" i="4"/>
  <c r="F67" i="4"/>
  <c r="C69" i="4"/>
  <c r="C71" i="4"/>
  <c r="C67" i="4"/>
  <c r="F8" i="4"/>
  <c r="F10" i="4"/>
  <c r="F12" i="4"/>
  <c r="F14" i="4"/>
  <c r="F16" i="4"/>
  <c r="F18" i="4"/>
  <c r="F20" i="4"/>
  <c r="F22" i="4"/>
  <c r="F24" i="4"/>
  <c r="F26" i="4"/>
  <c r="F28" i="4"/>
  <c r="F30" i="4"/>
  <c r="F32" i="4"/>
  <c r="F34" i="4"/>
  <c r="F36" i="4"/>
  <c r="F38" i="4"/>
  <c r="F40" i="4"/>
  <c r="F42" i="4"/>
  <c r="F44" i="4"/>
  <c r="F46" i="4"/>
  <c r="F48" i="4"/>
  <c r="F50" i="4"/>
  <c r="F52" i="4"/>
  <c r="F54" i="4"/>
  <c r="F56" i="4"/>
  <c r="F58" i="4"/>
  <c r="F6" i="4"/>
  <c r="C8" i="4"/>
  <c r="C10" i="4"/>
  <c r="C12" i="4"/>
  <c r="C14" i="4"/>
  <c r="C16" i="4"/>
  <c r="C18" i="4"/>
  <c r="C20" i="4"/>
  <c r="C22" i="4"/>
  <c r="C24" i="4"/>
  <c r="C26" i="4"/>
  <c r="C28" i="4"/>
  <c r="C30" i="4"/>
  <c r="C32" i="4"/>
  <c r="C34" i="4"/>
  <c r="C36" i="4"/>
  <c r="C38" i="4"/>
  <c r="C40" i="4"/>
  <c r="C42" i="4"/>
  <c r="C44" i="4"/>
  <c r="C46" i="4"/>
  <c r="C48" i="4"/>
  <c r="C50" i="4"/>
  <c r="C52" i="4"/>
  <c r="C54" i="4"/>
  <c r="C56" i="4"/>
  <c r="C58" i="4"/>
  <c r="C6" i="4"/>
  <c r="C113" i="4"/>
  <c r="C115" i="4"/>
  <c r="C117" i="4"/>
  <c r="C119" i="4"/>
  <c r="C121" i="4"/>
  <c r="C123" i="4"/>
  <c r="C125" i="4"/>
  <c r="C127" i="4"/>
  <c r="C129" i="4"/>
  <c r="C131" i="4"/>
  <c r="C133" i="4"/>
  <c r="C135" i="4"/>
  <c r="C84" i="4"/>
  <c r="C86" i="4"/>
  <c r="F68" i="4"/>
  <c r="F70" i="4"/>
  <c r="F72" i="4"/>
  <c r="C68" i="4"/>
  <c r="C70" i="4"/>
  <c r="C72" i="4"/>
  <c r="F7" i="4"/>
  <c r="F9" i="4"/>
  <c r="F11" i="4"/>
  <c r="F13" i="4"/>
  <c r="F15" i="4"/>
  <c r="F17" i="4"/>
  <c r="F19" i="4"/>
  <c r="F21" i="4"/>
  <c r="F23" i="4"/>
  <c r="F25" i="4"/>
  <c r="F27" i="4"/>
  <c r="F29" i="4"/>
  <c r="F31" i="4"/>
  <c r="F33" i="4"/>
  <c r="F35" i="4"/>
  <c r="F37" i="4"/>
  <c r="F39" i="4"/>
  <c r="F41" i="4"/>
  <c r="F43" i="4"/>
  <c r="F45" i="4"/>
  <c r="F47" i="4"/>
  <c r="F49" i="4"/>
  <c r="F51" i="4"/>
  <c r="F53" i="4"/>
  <c r="F55" i="4"/>
  <c r="F57" i="4"/>
  <c r="F59" i="4"/>
  <c r="C9" i="4"/>
  <c r="C11" i="4"/>
  <c r="C13" i="4"/>
  <c r="C15" i="4"/>
  <c r="C17" i="4"/>
  <c r="C19" i="4"/>
  <c r="C21" i="4"/>
  <c r="C23" i="4"/>
  <c r="C25" i="4"/>
  <c r="C27" i="4"/>
  <c r="C29" i="4"/>
  <c r="C31" i="4"/>
  <c r="C33" i="4"/>
  <c r="C35" i="4"/>
  <c r="C37" i="4"/>
  <c r="C39" i="4"/>
  <c r="C41" i="4"/>
  <c r="C43" i="4"/>
  <c r="C45" i="4"/>
  <c r="C47" i="4"/>
  <c r="C49" i="4"/>
  <c r="C51" i="4"/>
  <c r="C53" i="4"/>
  <c r="C55" i="4"/>
  <c r="C57" i="4"/>
  <c r="C59" i="4"/>
  <c r="D14" i="32"/>
  <c r="D10" i="32"/>
  <c r="Y307" i="14"/>
  <c r="Y309" i="14"/>
  <c r="Y311" i="14"/>
  <c r="Y305" i="14"/>
  <c r="R265" i="14"/>
  <c r="R267" i="14"/>
  <c r="R269" i="14"/>
  <c r="R263" i="14"/>
  <c r="Y179" i="14"/>
  <c r="Y181" i="14"/>
  <c r="Y183" i="14"/>
  <c r="Y177" i="14"/>
  <c r="R137" i="14"/>
  <c r="R139" i="14"/>
  <c r="R141" i="14"/>
  <c r="R135" i="14"/>
  <c r="Y50" i="14"/>
  <c r="Y52" i="14"/>
  <c r="Y54" i="14"/>
  <c r="Y48" i="14"/>
  <c r="R8" i="14"/>
  <c r="R10" i="14"/>
  <c r="R12" i="14"/>
  <c r="R6" i="14"/>
  <c r="O125" i="7"/>
  <c r="O127" i="7"/>
  <c r="O129" i="7"/>
  <c r="O131" i="7"/>
  <c r="O111" i="7"/>
  <c r="O113" i="7"/>
  <c r="O115" i="7"/>
  <c r="O117" i="7"/>
  <c r="O83" i="7"/>
  <c r="O85" i="7"/>
  <c r="O87" i="7"/>
  <c r="O89" i="7"/>
  <c r="O68" i="7"/>
  <c r="O70" i="7"/>
  <c r="O72" i="7"/>
  <c r="O74" i="7"/>
  <c r="C68" i="7"/>
  <c r="C70" i="7"/>
  <c r="C72" i="7"/>
  <c r="C74" i="7"/>
  <c r="Y54" i="7"/>
  <c r="Y56" i="7"/>
  <c r="Y58" i="7"/>
  <c r="Y60" i="7"/>
  <c r="O26" i="7"/>
  <c r="O28" i="7"/>
  <c r="O30" i="7"/>
  <c r="O32" i="7"/>
  <c r="R8" i="7"/>
  <c r="R10" i="7"/>
  <c r="R12" i="7"/>
  <c r="R14" i="7"/>
  <c r="R16" i="7"/>
  <c r="Y306" i="14"/>
  <c r="Y308" i="14"/>
  <c r="Y310" i="14"/>
  <c r="Y312" i="14"/>
  <c r="R264" i="14"/>
  <c r="R266" i="14"/>
  <c r="R268" i="14"/>
  <c r="R270" i="14"/>
  <c r="Y178" i="14"/>
  <c r="Y180" i="14"/>
  <c r="Y182" i="14"/>
  <c r="Y184" i="14"/>
  <c r="R136" i="14"/>
  <c r="R138" i="14"/>
  <c r="R140" i="14"/>
  <c r="R142" i="14"/>
  <c r="Y49" i="14"/>
  <c r="Y51" i="14"/>
  <c r="Y53" i="14"/>
  <c r="Y55" i="14"/>
  <c r="R7" i="14"/>
  <c r="R9" i="14"/>
  <c r="R11" i="14"/>
  <c r="R13" i="14"/>
  <c r="O126" i="7"/>
  <c r="O128" i="7"/>
  <c r="O130" i="7"/>
  <c r="O124" i="7"/>
  <c r="O112" i="7"/>
  <c r="O114" i="7"/>
  <c r="O116" i="7"/>
  <c r="O110" i="7"/>
  <c r="O84" i="7"/>
  <c r="O86" i="7"/>
  <c r="O88" i="7"/>
  <c r="O82" i="7"/>
  <c r="O69" i="7"/>
  <c r="O71" i="7"/>
  <c r="O73" i="7"/>
  <c r="O67" i="7"/>
  <c r="C69" i="7"/>
  <c r="C71" i="7"/>
  <c r="C73" i="7"/>
  <c r="C67" i="7"/>
  <c r="Y55" i="7"/>
  <c r="Y57" i="7"/>
  <c r="Y59" i="7"/>
  <c r="Y53" i="7"/>
  <c r="O27" i="7"/>
  <c r="O29" i="7"/>
  <c r="O31" i="7"/>
  <c r="O25" i="7"/>
  <c r="R9" i="7"/>
  <c r="R11" i="7"/>
  <c r="R13" i="7"/>
  <c r="R15" i="7"/>
  <c r="R7" i="7"/>
  <c r="D9" i="32"/>
  <c r="D38" i="32" s="1"/>
  <c r="F44" i="1"/>
  <c r="F40" i="1"/>
  <c r="F38" i="1"/>
  <c r="F42" i="1"/>
  <c r="F35" i="1"/>
  <c r="F37" i="1"/>
  <c r="F39" i="1"/>
  <c r="F34" i="1"/>
  <c r="F36" i="1"/>
  <c r="F41" i="1"/>
  <c r="F43" i="1"/>
  <c r="R256" i="21"/>
  <c r="F256" i="21"/>
  <c r="R255" i="21"/>
  <c r="F255" i="21"/>
  <c r="R254" i="21"/>
  <c r="F254" i="21"/>
  <c r="R253" i="21"/>
  <c r="F253" i="21"/>
  <c r="R252" i="21"/>
  <c r="F252" i="21"/>
  <c r="R251" i="21"/>
  <c r="F251" i="21"/>
  <c r="R250" i="21"/>
  <c r="F250" i="21"/>
  <c r="R249" i="21"/>
  <c r="F249" i="21"/>
  <c r="R242" i="21"/>
  <c r="F242" i="21"/>
  <c r="R241" i="21"/>
  <c r="F241" i="21"/>
  <c r="R240" i="21"/>
  <c r="F240" i="21"/>
  <c r="R239" i="21"/>
  <c r="F239" i="21"/>
  <c r="R238" i="21"/>
  <c r="F238" i="21"/>
  <c r="R237" i="21"/>
  <c r="F237" i="21"/>
  <c r="R236" i="21"/>
  <c r="F236" i="21"/>
  <c r="R235" i="21"/>
  <c r="F235" i="21"/>
  <c r="R228" i="21"/>
  <c r="F228" i="21"/>
  <c r="R227" i="21"/>
  <c r="F227" i="21"/>
  <c r="R226" i="21"/>
  <c r="F226" i="21"/>
  <c r="R225" i="21"/>
  <c r="F225" i="21"/>
  <c r="R224" i="21"/>
  <c r="F224" i="21"/>
  <c r="R223" i="21"/>
  <c r="F223" i="21"/>
  <c r="R222" i="21"/>
  <c r="F222" i="21"/>
  <c r="R221" i="21"/>
  <c r="F221" i="21"/>
  <c r="F214" i="21"/>
  <c r="F213" i="21"/>
  <c r="F212" i="21"/>
  <c r="F211" i="21"/>
  <c r="F210" i="21"/>
  <c r="F209" i="21"/>
  <c r="F208" i="21"/>
  <c r="F207" i="21"/>
  <c r="R199" i="21"/>
  <c r="F199" i="21"/>
  <c r="R198" i="21"/>
  <c r="F198" i="21"/>
  <c r="R197" i="21"/>
  <c r="F197" i="21"/>
  <c r="R196" i="21"/>
  <c r="F196" i="21"/>
  <c r="R195" i="21"/>
  <c r="F195" i="21"/>
  <c r="R194" i="21"/>
  <c r="F194" i="21"/>
  <c r="R193" i="21"/>
  <c r="F193" i="21"/>
  <c r="R192" i="21"/>
  <c r="F192" i="21"/>
  <c r="AB185" i="21"/>
  <c r="R185" i="21"/>
  <c r="F185" i="21"/>
  <c r="AB184" i="21"/>
  <c r="R184" i="21"/>
  <c r="F184" i="21"/>
  <c r="AB183" i="21"/>
  <c r="R183" i="21"/>
  <c r="F183" i="21"/>
  <c r="AB182" i="21"/>
  <c r="R182" i="21"/>
  <c r="F182" i="21"/>
  <c r="AB181" i="21"/>
  <c r="R181" i="21"/>
  <c r="F181" i="21"/>
  <c r="AB180" i="21"/>
  <c r="R180" i="21"/>
  <c r="F180" i="21"/>
  <c r="AB179" i="21"/>
  <c r="R179" i="21"/>
  <c r="F179" i="21"/>
  <c r="AB178" i="21"/>
  <c r="R178" i="21"/>
  <c r="F178" i="21"/>
  <c r="R171" i="21"/>
  <c r="F171" i="21"/>
  <c r="R170" i="21"/>
  <c r="F170" i="21"/>
  <c r="R169" i="21"/>
  <c r="F169" i="21"/>
  <c r="R168" i="21"/>
  <c r="F168" i="21"/>
  <c r="R167" i="21"/>
  <c r="F167" i="21"/>
  <c r="R166" i="21"/>
  <c r="F166" i="21"/>
  <c r="R165" i="21"/>
  <c r="F165" i="21"/>
  <c r="R164" i="21"/>
  <c r="F164" i="21"/>
  <c r="R157" i="21"/>
  <c r="F157" i="21"/>
  <c r="R156" i="21"/>
  <c r="F156" i="21"/>
  <c r="R155" i="21"/>
  <c r="F155" i="21"/>
  <c r="R154" i="21"/>
  <c r="F154" i="21"/>
  <c r="R153" i="21"/>
  <c r="F153" i="21"/>
  <c r="R152" i="21"/>
  <c r="F152" i="21"/>
  <c r="R151" i="21"/>
  <c r="F151" i="21"/>
  <c r="R150" i="21"/>
  <c r="F150" i="21"/>
  <c r="F143" i="21"/>
  <c r="F142" i="21"/>
  <c r="F141" i="21"/>
  <c r="F140" i="21"/>
  <c r="F139" i="21"/>
  <c r="F138" i="21"/>
  <c r="F137" i="21"/>
  <c r="F136" i="21"/>
  <c r="F39" i="5" l="1"/>
  <c r="F40" i="5"/>
  <c r="F41" i="5"/>
  <c r="F42" i="5"/>
  <c r="F43" i="5"/>
  <c r="F44" i="5"/>
  <c r="F45" i="5"/>
  <c r="F46" i="5"/>
  <c r="F47" i="5"/>
  <c r="F48" i="5"/>
  <c r="F49" i="5"/>
  <c r="F38" i="5"/>
  <c r="R7" i="5"/>
  <c r="R8" i="5"/>
  <c r="R9" i="5"/>
  <c r="R10" i="5"/>
  <c r="R11" i="5"/>
  <c r="R12" i="5"/>
  <c r="R13" i="5"/>
  <c r="R14" i="5"/>
  <c r="R15" i="5"/>
  <c r="R16" i="5"/>
  <c r="R17" i="5"/>
  <c r="R6" i="5"/>
  <c r="O7" i="5"/>
  <c r="O8" i="5"/>
  <c r="O9" i="5"/>
  <c r="O10" i="5"/>
  <c r="O11" i="5"/>
  <c r="O12" i="5"/>
  <c r="O13" i="5"/>
  <c r="O14" i="5"/>
  <c r="O15" i="5"/>
  <c r="O16" i="5"/>
  <c r="O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6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9" i="5"/>
  <c r="C40" i="5"/>
  <c r="C41" i="5"/>
  <c r="C42" i="5"/>
  <c r="C43" i="5"/>
  <c r="C44" i="5"/>
  <c r="C45" i="5"/>
  <c r="C46" i="5"/>
  <c r="C47" i="5"/>
  <c r="C48" i="5"/>
  <c r="C49" i="5"/>
  <c r="C38" i="5"/>
  <c r="C7" i="5"/>
  <c r="C8" i="5"/>
  <c r="C9" i="5"/>
  <c r="C10" i="5"/>
  <c r="C11" i="5"/>
  <c r="F30" i="5"/>
  <c r="F29" i="5"/>
  <c r="F28" i="5"/>
  <c r="F27" i="5"/>
  <c r="O17" i="5"/>
  <c r="F6" i="27" l="1"/>
  <c r="F7" i="27"/>
  <c r="F8" i="27"/>
  <c r="F9" i="27"/>
  <c r="F10" i="27"/>
  <c r="F11" i="27"/>
  <c r="F12" i="27"/>
  <c r="F13" i="27"/>
  <c r="F20" i="27"/>
  <c r="R20" i="27"/>
  <c r="F21" i="27"/>
  <c r="R21" i="27"/>
  <c r="F22" i="27"/>
  <c r="R22" i="27"/>
  <c r="F23" i="27"/>
  <c r="R23" i="27"/>
  <c r="F24" i="27"/>
  <c r="R24" i="27"/>
  <c r="F25" i="27"/>
  <c r="R25" i="27"/>
  <c r="F26" i="27"/>
  <c r="R26" i="27"/>
  <c r="F27" i="27"/>
  <c r="R27" i="27"/>
  <c r="F34" i="27"/>
  <c r="R34" i="27"/>
  <c r="F35" i="27"/>
  <c r="R35" i="27"/>
  <c r="F36" i="27"/>
  <c r="R36" i="27"/>
  <c r="F37" i="27"/>
  <c r="R37" i="27"/>
  <c r="F38" i="27"/>
  <c r="R38" i="27"/>
  <c r="F39" i="27"/>
  <c r="R39" i="27"/>
  <c r="F40" i="27"/>
  <c r="R40" i="27"/>
  <c r="F41" i="27"/>
  <c r="R41" i="27"/>
  <c r="F48" i="27"/>
  <c r="R48" i="27"/>
  <c r="AB48" i="27"/>
  <c r="F49" i="27"/>
  <c r="R49" i="27"/>
  <c r="AB49" i="27"/>
  <c r="F50" i="27"/>
  <c r="R50" i="27"/>
  <c r="AB50" i="27"/>
  <c r="F51" i="27"/>
  <c r="R51" i="27"/>
  <c r="AB51" i="27"/>
  <c r="F52" i="27"/>
  <c r="R52" i="27"/>
  <c r="AB52" i="27"/>
  <c r="F53" i="27"/>
  <c r="R53" i="27"/>
  <c r="AB53" i="27"/>
  <c r="F54" i="27"/>
  <c r="R54" i="27"/>
  <c r="AB54" i="27"/>
  <c r="F55" i="27"/>
  <c r="R55" i="27"/>
  <c r="AB55" i="27"/>
  <c r="F62" i="27"/>
  <c r="F63" i="27"/>
  <c r="R63" i="27"/>
  <c r="F64" i="27"/>
  <c r="R64" i="27"/>
  <c r="F65" i="27"/>
  <c r="R65" i="27"/>
  <c r="F66" i="27"/>
  <c r="R66" i="27"/>
  <c r="F67" i="27"/>
  <c r="R67" i="27"/>
  <c r="F68" i="27"/>
  <c r="R68" i="27"/>
  <c r="F69" i="27"/>
  <c r="R69" i="27"/>
  <c r="F76" i="27"/>
  <c r="F77" i="27"/>
  <c r="F78" i="27"/>
  <c r="F79" i="27"/>
  <c r="F80" i="27"/>
  <c r="F81" i="27"/>
  <c r="F82" i="27"/>
  <c r="F83" i="27"/>
  <c r="F90" i="27"/>
  <c r="R90" i="27"/>
  <c r="F91" i="27"/>
  <c r="R91" i="27"/>
  <c r="F92" i="27"/>
  <c r="R92" i="27"/>
  <c r="F93" i="27"/>
  <c r="R93" i="27"/>
  <c r="F94" i="27"/>
  <c r="R94" i="27"/>
  <c r="F95" i="27"/>
  <c r="R95" i="27"/>
  <c r="F96" i="27"/>
  <c r="R96" i="27"/>
  <c r="F97" i="27"/>
  <c r="R97" i="27"/>
  <c r="F104" i="27"/>
  <c r="R104" i="27"/>
  <c r="F105" i="27"/>
  <c r="R105" i="27"/>
  <c r="F106" i="27"/>
  <c r="R106" i="27"/>
  <c r="F107" i="27"/>
  <c r="R107" i="27"/>
  <c r="F108" i="27"/>
  <c r="R108" i="27"/>
  <c r="F109" i="27"/>
  <c r="R109" i="27"/>
  <c r="F110" i="27"/>
  <c r="R110" i="27"/>
  <c r="F111" i="27"/>
  <c r="R111" i="27"/>
  <c r="F118" i="27"/>
  <c r="R118" i="27"/>
  <c r="F119" i="27"/>
  <c r="R119" i="27"/>
  <c r="F120" i="27"/>
  <c r="R120" i="27"/>
  <c r="F121" i="27"/>
  <c r="R121" i="27"/>
  <c r="F122" i="27"/>
  <c r="R122" i="27"/>
  <c r="F123" i="27"/>
  <c r="R123" i="27"/>
  <c r="F124" i="27"/>
  <c r="R124" i="27"/>
  <c r="F125" i="27"/>
  <c r="R125" i="27"/>
  <c r="F135" i="27"/>
  <c r="F136" i="27"/>
  <c r="F137" i="27"/>
  <c r="F138" i="27"/>
  <c r="F139" i="27"/>
  <c r="F140" i="27"/>
  <c r="F141" i="27"/>
  <c r="F142" i="27"/>
  <c r="F149" i="27"/>
  <c r="R149" i="27"/>
  <c r="F150" i="27"/>
  <c r="R150" i="27"/>
  <c r="F151" i="27"/>
  <c r="R151" i="27"/>
  <c r="F152" i="27"/>
  <c r="R152" i="27"/>
  <c r="F153" i="27"/>
  <c r="R153" i="27"/>
  <c r="F154" i="27"/>
  <c r="R154" i="27"/>
  <c r="F155" i="27"/>
  <c r="R155" i="27"/>
  <c r="F156" i="27"/>
  <c r="R156" i="27"/>
  <c r="R163" i="27"/>
  <c r="R164" i="27"/>
  <c r="R165" i="27"/>
  <c r="R166" i="27"/>
  <c r="R167" i="27"/>
  <c r="R168" i="27"/>
  <c r="R169" i="27"/>
  <c r="R170" i="27"/>
  <c r="F177" i="27"/>
  <c r="R177" i="27"/>
  <c r="AB177" i="27"/>
  <c r="F178" i="27"/>
  <c r="R178" i="27"/>
  <c r="AB178" i="27"/>
  <c r="F179" i="27"/>
  <c r="R179" i="27"/>
  <c r="AB179" i="27"/>
  <c r="F180" i="27"/>
  <c r="R180" i="27"/>
  <c r="AB180" i="27"/>
  <c r="F181" i="27"/>
  <c r="R181" i="27"/>
  <c r="AB181" i="27"/>
  <c r="F182" i="27"/>
  <c r="R182" i="27"/>
  <c r="AB182" i="27"/>
  <c r="F183" i="27"/>
  <c r="R183" i="27"/>
  <c r="AB183" i="27"/>
  <c r="F184" i="27"/>
  <c r="R184" i="27"/>
  <c r="AB184" i="27"/>
  <c r="F191" i="27"/>
  <c r="R191" i="27"/>
  <c r="F192" i="27"/>
  <c r="R192" i="27"/>
  <c r="F193" i="27"/>
  <c r="R193" i="27"/>
  <c r="F194" i="27"/>
  <c r="R194" i="27"/>
  <c r="F195" i="27"/>
  <c r="R195" i="27"/>
  <c r="F196" i="27"/>
  <c r="R196" i="27"/>
  <c r="F197" i="27"/>
  <c r="R197" i="27"/>
  <c r="F198" i="27"/>
  <c r="R198" i="27"/>
  <c r="F205" i="27"/>
  <c r="F206" i="27"/>
  <c r="F207" i="27"/>
  <c r="F208" i="27"/>
  <c r="F209" i="27"/>
  <c r="F210" i="27"/>
  <c r="F211" i="27"/>
  <c r="F212" i="27"/>
  <c r="F219" i="27"/>
  <c r="R219" i="27"/>
  <c r="F220" i="27"/>
  <c r="R220" i="27"/>
  <c r="F221" i="27"/>
  <c r="R221" i="27"/>
  <c r="F222" i="27"/>
  <c r="R222" i="27"/>
  <c r="F223" i="27"/>
  <c r="R223" i="27"/>
  <c r="F224" i="27"/>
  <c r="R224" i="27"/>
  <c r="F225" i="27"/>
  <c r="R225" i="27"/>
  <c r="F226" i="27"/>
  <c r="R226" i="27"/>
  <c r="F233" i="27"/>
  <c r="R233" i="27"/>
  <c r="F234" i="27"/>
  <c r="R234" i="27"/>
  <c r="F235" i="27"/>
  <c r="R235" i="27"/>
  <c r="F236" i="27"/>
  <c r="R236" i="27"/>
  <c r="F237" i="27"/>
  <c r="R237" i="27"/>
  <c r="F238" i="27"/>
  <c r="R238" i="27"/>
  <c r="F239" i="27"/>
  <c r="R239" i="27"/>
  <c r="F240" i="27"/>
  <c r="R240" i="27"/>
  <c r="F247" i="27"/>
  <c r="R247" i="27"/>
  <c r="F248" i="27"/>
  <c r="R248" i="27"/>
  <c r="F249" i="27"/>
  <c r="R249" i="27"/>
  <c r="F250" i="27"/>
  <c r="R250" i="27"/>
  <c r="F251" i="27"/>
  <c r="R251" i="27"/>
  <c r="F252" i="27"/>
  <c r="R252" i="27"/>
  <c r="F253" i="27"/>
  <c r="R253" i="27"/>
  <c r="F254" i="27"/>
  <c r="R254" i="27"/>
  <c r="R305" i="27"/>
  <c r="R306" i="27"/>
  <c r="R307" i="27"/>
  <c r="R308" i="27"/>
  <c r="R309" i="27"/>
  <c r="R310" i="27"/>
  <c r="R311" i="27"/>
  <c r="R312" i="27"/>
  <c r="AB178" i="14" l="1"/>
  <c r="AB179" i="14"/>
  <c r="AB180" i="14"/>
  <c r="AB181" i="14"/>
  <c r="AB182" i="14"/>
  <c r="AB183" i="14"/>
  <c r="AB184" i="14"/>
  <c r="AB177" i="14"/>
  <c r="R13" i="24"/>
  <c r="R14" i="24"/>
  <c r="R15" i="24"/>
  <c r="R16" i="24"/>
  <c r="R17" i="24"/>
  <c r="R18" i="24"/>
  <c r="R19" i="24"/>
  <c r="R20" i="24"/>
  <c r="R21" i="24"/>
  <c r="R22" i="24"/>
  <c r="R23" i="24"/>
  <c r="R24" i="24"/>
  <c r="R25" i="24"/>
  <c r="R26" i="24"/>
  <c r="R27" i="24"/>
  <c r="R28" i="24"/>
  <c r="R29" i="24"/>
  <c r="R30" i="24"/>
  <c r="R31" i="24"/>
  <c r="R32" i="24"/>
  <c r="R33" i="24"/>
  <c r="R34" i="24"/>
  <c r="R35" i="24"/>
  <c r="R36" i="24"/>
  <c r="R37" i="24"/>
  <c r="R38" i="24"/>
  <c r="R39" i="24"/>
  <c r="R40" i="24"/>
  <c r="R41" i="24"/>
  <c r="R42" i="24"/>
  <c r="R43" i="24"/>
  <c r="R44" i="24"/>
  <c r="R45" i="24"/>
  <c r="R46" i="24"/>
  <c r="R47" i="24"/>
  <c r="R48" i="24"/>
  <c r="R49" i="24"/>
  <c r="R50" i="24"/>
  <c r="R51" i="24"/>
  <c r="R52" i="24"/>
  <c r="R53" i="24"/>
  <c r="R54" i="24"/>
  <c r="R55" i="24"/>
  <c r="R56" i="24"/>
  <c r="R57" i="24"/>
  <c r="R58" i="24"/>
  <c r="R59" i="24"/>
  <c r="R9" i="24"/>
  <c r="R10" i="24"/>
  <c r="R11" i="24"/>
  <c r="R12" i="24"/>
  <c r="R8" i="24"/>
  <c r="Q8" i="24"/>
  <c r="L10" i="24"/>
  <c r="L11" i="24"/>
  <c r="L12" i="24"/>
  <c r="L13" i="24"/>
  <c r="L14" i="24"/>
  <c r="L15" i="24"/>
  <c r="L16" i="24"/>
  <c r="L17" i="24"/>
  <c r="L18" i="24"/>
  <c r="L19" i="24"/>
  <c r="L20" i="24"/>
  <c r="L21" i="24"/>
  <c r="L22" i="24"/>
  <c r="L23" i="24"/>
  <c r="L24" i="24"/>
  <c r="L25" i="24"/>
  <c r="L26" i="24"/>
  <c r="L27" i="24"/>
  <c r="L28" i="24"/>
  <c r="L29" i="24"/>
  <c r="L30" i="24"/>
  <c r="L31" i="24"/>
  <c r="L32" i="24"/>
  <c r="L33" i="24"/>
  <c r="L34" i="24"/>
  <c r="L35" i="24"/>
  <c r="L36" i="24"/>
  <c r="L37" i="24"/>
  <c r="L38" i="24"/>
  <c r="L39" i="24"/>
  <c r="L40" i="24"/>
  <c r="L41" i="24"/>
  <c r="L42" i="24"/>
  <c r="L43" i="24"/>
  <c r="L44" i="24"/>
  <c r="L45" i="24"/>
  <c r="L46" i="24"/>
  <c r="L47" i="24"/>
  <c r="L48" i="24"/>
  <c r="L49" i="24"/>
  <c r="L50" i="24"/>
  <c r="L51" i="24"/>
  <c r="L52" i="24"/>
  <c r="L53" i="24"/>
  <c r="L54" i="24"/>
  <c r="L55" i="24"/>
  <c r="L56" i="24"/>
  <c r="L57" i="24"/>
  <c r="L58" i="24"/>
  <c r="L59" i="24"/>
  <c r="L60" i="24"/>
  <c r="L9" i="24"/>
  <c r="K9" i="24"/>
  <c r="L8" i="24"/>
  <c r="K8" i="24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8" i="11"/>
  <c r="R9" i="11"/>
  <c r="R10" i="11"/>
  <c r="R11" i="11"/>
  <c r="R12" i="11"/>
  <c r="R7" i="11"/>
  <c r="Q7" i="11"/>
  <c r="R6" i="11"/>
  <c r="Q6" i="11"/>
  <c r="L59" i="11"/>
  <c r="K59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8" i="11"/>
  <c r="L9" i="11"/>
  <c r="L10" i="11"/>
  <c r="L11" i="11"/>
  <c r="L12" i="11"/>
  <c r="L13" i="11"/>
  <c r="L14" i="11"/>
  <c r="L15" i="11"/>
  <c r="L7" i="11"/>
  <c r="K7" i="11"/>
  <c r="L6" i="11"/>
  <c r="K6" i="11"/>
  <c r="R312" i="14"/>
  <c r="R311" i="14"/>
  <c r="R310" i="14"/>
  <c r="R309" i="14"/>
  <c r="R308" i="14"/>
  <c r="R307" i="14"/>
  <c r="R306" i="14"/>
  <c r="R305" i="14"/>
  <c r="R248" i="14"/>
  <c r="R249" i="14"/>
  <c r="R250" i="14"/>
  <c r="R251" i="14"/>
  <c r="R252" i="14"/>
  <c r="R253" i="14"/>
  <c r="R254" i="14"/>
  <c r="R247" i="14"/>
  <c r="R234" i="14"/>
  <c r="R235" i="14"/>
  <c r="R236" i="14"/>
  <c r="R237" i="14"/>
  <c r="R238" i="14"/>
  <c r="R239" i="14"/>
  <c r="R240" i="14"/>
  <c r="R233" i="14"/>
  <c r="R220" i="14"/>
  <c r="R221" i="14"/>
  <c r="R222" i="14"/>
  <c r="R223" i="14"/>
  <c r="R224" i="14"/>
  <c r="R225" i="14"/>
  <c r="R226" i="14"/>
  <c r="R219" i="14"/>
  <c r="R206" i="14"/>
  <c r="R207" i="14"/>
  <c r="R208" i="14"/>
  <c r="R209" i="14"/>
  <c r="R210" i="14"/>
  <c r="R211" i="14"/>
  <c r="R212" i="14"/>
  <c r="R205" i="14"/>
  <c r="R192" i="14"/>
  <c r="R193" i="14"/>
  <c r="R194" i="14"/>
  <c r="R195" i="14"/>
  <c r="R196" i="14"/>
  <c r="R197" i="14"/>
  <c r="R198" i="14"/>
  <c r="R191" i="14"/>
  <c r="R164" i="14"/>
  <c r="R165" i="14"/>
  <c r="R166" i="14"/>
  <c r="R167" i="14"/>
  <c r="R168" i="14"/>
  <c r="R169" i="14"/>
  <c r="R170" i="14"/>
  <c r="R163" i="14"/>
  <c r="R150" i="14"/>
  <c r="R151" i="14"/>
  <c r="R152" i="14"/>
  <c r="R153" i="14"/>
  <c r="R154" i="14"/>
  <c r="R155" i="14"/>
  <c r="R156" i="14"/>
  <c r="R149" i="14"/>
  <c r="F248" i="14"/>
  <c r="F249" i="14"/>
  <c r="F250" i="14"/>
  <c r="F251" i="14"/>
  <c r="F252" i="14"/>
  <c r="F253" i="14"/>
  <c r="F254" i="14"/>
  <c r="F247" i="14"/>
  <c r="F235" i="14"/>
  <c r="F236" i="14"/>
  <c r="F237" i="14"/>
  <c r="F238" i="14"/>
  <c r="F239" i="14"/>
  <c r="F240" i="14"/>
  <c r="F234" i="14"/>
  <c r="F233" i="14"/>
  <c r="F226" i="14"/>
  <c r="F221" i="14"/>
  <c r="F222" i="14"/>
  <c r="F223" i="14"/>
  <c r="F224" i="14"/>
  <c r="F225" i="14"/>
  <c r="F220" i="14"/>
  <c r="F219" i="14"/>
  <c r="F212" i="14"/>
  <c r="F207" i="14"/>
  <c r="F208" i="14"/>
  <c r="F209" i="14"/>
  <c r="F210" i="14"/>
  <c r="F211" i="14"/>
  <c r="F206" i="14"/>
  <c r="F205" i="14"/>
  <c r="F198" i="14"/>
  <c r="F193" i="14"/>
  <c r="F194" i="14"/>
  <c r="F195" i="14"/>
  <c r="F196" i="14"/>
  <c r="F197" i="14"/>
  <c r="F192" i="14"/>
  <c r="F191" i="14"/>
  <c r="F184" i="14"/>
  <c r="F180" i="14"/>
  <c r="F181" i="14"/>
  <c r="F182" i="14"/>
  <c r="F183" i="14"/>
  <c r="F179" i="14"/>
  <c r="F178" i="14"/>
  <c r="F177" i="14"/>
  <c r="F170" i="14"/>
  <c r="F165" i="14"/>
  <c r="F166" i="14"/>
  <c r="F167" i="14"/>
  <c r="F168" i="14"/>
  <c r="F169" i="14"/>
  <c r="F164" i="14"/>
  <c r="F163" i="14"/>
  <c r="F156" i="14"/>
  <c r="F151" i="14"/>
  <c r="F152" i="14"/>
  <c r="F153" i="14"/>
  <c r="F154" i="14"/>
  <c r="F155" i="14"/>
  <c r="F150" i="14"/>
  <c r="F149" i="14"/>
  <c r="F142" i="14"/>
  <c r="F137" i="14"/>
  <c r="F138" i="14"/>
  <c r="F139" i="14"/>
  <c r="F140" i="14"/>
  <c r="F141" i="14"/>
  <c r="F136" i="14"/>
  <c r="F135" i="14"/>
  <c r="R184" i="14"/>
  <c r="R183" i="14"/>
  <c r="R182" i="14"/>
  <c r="R181" i="14"/>
  <c r="R180" i="14"/>
  <c r="R179" i="14"/>
  <c r="R178" i="14"/>
  <c r="R177" i="14"/>
  <c r="H66" i="25"/>
  <c r="F66" i="25"/>
  <c r="D79" i="5"/>
  <c r="F22" i="19"/>
  <c r="F23" i="19"/>
  <c r="F24" i="19"/>
  <c r="F25" i="19"/>
  <c r="F26" i="19"/>
  <c r="Q72" i="23" l="1"/>
  <c r="Q70" i="23"/>
  <c r="Q68" i="23"/>
  <c r="C67" i="23"/>
  <c r="Q71" i="23"/>
  <c r="Q69" i="23"/>
  <c r="Q67" i="23"/>
  <c r="C85" i="33"/>
  <c r="C87" i="33"/>
  <c r="C89" i="33"/>
  <c r="C91" i="33"/>
  <c r="C93" i="33"/>
  <c r="C95" i="33"/>
  <c r="C97" i="33"/>
  <c r="C99" i="33"/>
  <c r="C84" i="33"/>
  <c r="C86" i="33"/>
  <c r="C90" i="33"/>
  <c r="C94" i="33"/>
  <c r="C98" i="33"/>
  <c r="C88" i="33"/>
  <c r="C92" i="33"/>
  <c r="C96" i="33"/>
  <c r="C83" i="33"/>
  <c r="E75" i="33"/>
  <c r="C75" i="33"/>
  <c r="D74" i="33"/>
  <c r="E73" i="33"/>
  <c r="C73" i="33"/>
  <c r="D72" i="33"/>
  <c r="E71" i="33"/>
  <c r="C71" i="33"/>
  <c r="D70" i="33"/>
  <c r="E69" i="33"/>
  <c r="C69" i="33"/>
  <c r="D68" i="33"/>
  <c r="E67" i="33"/>
  <c r="C67" i="33"/>
  <c r="D66" i="33"/>
  <c r="E65" i="33"/>
  <c r="C65" i="33"/>
  <c r="D64" i="33"/>
  <c r="E63" i="33"/>
  <c r="C63" i="33"/>
  <c r="D62" i="33"/>
  <c r="E61" i="33"/>
  <c r="C61" i="33"/>
  <c r="D60" i="33"/>
  <c r="E59" i="33"/>
  <c r="C59" i="33"/>
  <c r="D58" i="33"/>
  <c r="C22" i="33"/>
  <c r="C20" i="33"/>
  <c r="C18" i="33"/>
  <c r="C16" i="33"/>
  <c r="D75" i="33"/>
  <c r="C74" i="33"/>
  <c r="E72" i="33"/>
  <c r="D71" i="33"/>
  <c r="C70" i="33"/>
  <c r="E68" i="33"/>
  <c r="D67" i="33"/>
  <c r="C66" i="33"/>
  <c r="E64" i="33"/>
  <c r="D63" i="33"/>
  <c r="C62" i="33"/>
  <c r="E60" i="33"/>
  <c r="D59" i="33"/>
  <c r="C58" i="33"/>
  <c r="C19" i="33"/>
  <c r="E74" i="33"/>
  <c r="D73" i="33"/>
  <c r="C72" i="33"/>
  <c r="E66" i="33"/>
  <c r="D65" i="33"/>
  <c r="C64" i="33"/>
  <c r="E58" i="33"/>
  <c r="C17" i="33"/>
  <c r="C15" i="33"/>
  <c r="C13" i="33"/>
  <c r="C11" i="33"/>
  <c r="C9" i="33"/>
  <c r="C7" i="33"/>
  <c r="E70" i="33"/>
  <c r="D69" i="33"/>
  <c r="C68" i="33"/>
  <c r="E62" i="33"/>
  <c r="D61" i="33"/>
  <c r="C60" i="33"/>
  <c r="C21" i="33"/>
  <c r="C14" i="33"/>
  <c r="C12" i="33"/>
  <c r="C10" i="33"/>
  <c r="C8" i="33"/>
  <c r="C6" i="33"/>
  <c r="C363" i="27"/>
  <c r="H363" i="27" s="1"/>
  <c r="C365" i="27"/>
  <c r="H365" i="27" s="1"/>
  <c r="C367" i="27"/>
  <c r="H367" i="27" s="1"/>
  <c r="C361" i="27"/>
  <c r="H361" i="27" s="1"/>
  <c r="C349" i="27"/>
  <c r="H349" i="27" s="1"/>
  <c r="C351" i="27"/>
  <c r="H351" i="27" s="1"/>
  <c r="C353" i="27"/>
  <c r="H353" i="27" s="1"/>
  <c r="C347" i="27"/>
  <c r="H347" i="27" s="1"/>
  <c r="C335" i="27"/>
  <c r="H335" i="27" s="1"/>
  <c r="C337" i="27"/>
  <c r="H337" i="27" s="1"/>
  <c r="C339" i="27"/>
  <c r="H339" i="27" s="1"/>
  <c r="C333" i="27"/>
  <c r="H333" i="27" s="1"/>
  <c r="C249" i="27"/>
  <c r="H249" i="27" s="1"/>
  <c r="C251" i="27"/>
  <c r="H251" i="27" s="1"/>
  <c r="C253" i="27"/>
  <c r="H253" i="27" s="1"/>
  <c r="C247" i="27"/>
  <c r="H247" i="27" s="1"/>
  <c r="C235" i="27"/>
  <c r="H235" i="27" s="1"/>
  <c r="C237" i="27"/>
  <c r="H237" i="27" s="1"/>
  <c r="C239" i="27"/>
  <c r="H239" i="27" s="1"/>
  <c r="C233" i="27"/>
  <c r="H233" i="27" s="1"/>
  <c r="C221" i="27"/>
  <c r="H221" i="27" s="1"/>
  <c r="C223" i="27"/>
  <c r="H223" i="27" s="1"/>
  <c r="C225" i="27"/>
  <c r="H225" i="27" s="1"/>
  <c r="C219" i="27"/>
  <c r="H219" i="27" s="1"/>
  <c r="C207" i="27"/>
  <c r="H207" i="27" s="1"/>
  <c r="C209" i="27"/>
  <c r="H209" i="27" s="1"/>
  <c r="C211" i="27"/>
  <c r="H211" i="27" s="1"/>
  <c r="C205" i="27"/>
  <c r="H205" i="27" s="1"/>
  <c r="C120" i="27"/>
  <c r="H120" i="27" s="1"/>
  <c r="C122" i="27"/>
  <c r="H122" i="27" s="1"/>
  <c r="C124" i="27"/>
  <c r="H124" i="27" s="1"/>
  <c r="C118" i="27"/>
  <c r="H118" i="27" s="1"/>
  <c r="C106" i="27"/>
  <c r="H106" i="27" s="1"/>
  <c r="C108" i="27"/>
  <c r="H108" i="27" s="1"/>
  <c r="C110" i="27"/>
  <c r="H110" i="27" s="1"/>
  <c r="C104" i="27"/>
  <c r="H104" i="27" s="1"/>
  <c r="C92" i="27"/>
  <c r="H92" i="27" s="1"/>
  <c r="C94" i="27"/>
  <c r="H94" i="27" s="1"/>
  <c r="C96" i="27"/>
  <c r="H96" i="27" s="1"/>
  <c r="C90" i="27"/>
  <c r="H90" i="27" s="1"/>
  <c r="C78" i="27"/>
  <c r="H78" i="27" s="1"/>
  <c r="C82" i="27"/>
  <c r="H82" i="27" s="1"/>
  <c r="C362" i="27"/>
  <c r="H362" i="27" s="1"/>
  <c r="C364" i="27"/>
  <c r="H364" i="27" s="1"/>
  <c r="C366" i="27"/>
  <c r="H366" i="27" s="1"/>
  <c r="C368" i="27"/>
  <c r="H368" i="27" s="1"/>
  <c r="C348" i="27"/>
  <c r="H348" i="27" s="1"/>
  <c r="C350" i="27"/>
  <c r="H350" i="27" s="1"/>
  <c r="C352" i="27"/>
  <c r="H352" i="27" s="1"/>
  <c r="C354" i="27"/>
  <c r="H354" i="27" s="1"/>
  <c r="C334" i="27"/>
  <c r="H334" i="27" s="1"/>
  <c r="C336" i="27"/>
  <c r="H336" i="27" s="1"/>
  <c r="C338" i="27"/>
  <c r="H338" i="27" s="1"/>
  <c r="C340" i="27"/>
  <c r="H340" i="27" s="1"/>
  <c r="C248" i="27"/>
  <c r="H248" i="27" s="1"/>
  <c r="C250" i="27"/>
  <c r="H250" i="27" s="1"/>
  <c r="C252" i="27"/>
  <c r="H252" i="27" s="1"/>
  <c r="C254" i="27"/>
  <c r="H254" i="27" s="1"/>
  <c r="C234" i="27"/>
  <c r="H234" i="27" s="1"/>
  <c r="C236" i="27"/>
  <c r="H236" i="27" s="1"/>
  <c r="C238" i="27"/>
  <c r="H238" i="27" s="1"/>
  <c r="C240" i="27"/>
  <c r="H240" i="27" s="1"/>
  <c r="C220" i="27"/>
  <c r="H220" i="27" s="1"/>
  <c r="C222" i="27"/>
  <c r="H222" i="27" s="1"/>
  <c r="C224" i="27"/>
  <c r="H224" i="27" s="1"/>
  <c r="C226" i="27"/>
  <c r="H226" i="27" s="1"/>
  <c r="C206" i="27"/>
  <c r="H206" i="27" s="1"/>
  <c r="C208" i="27"/>
  <c r="H208" i="27" s="1"/>
  <c r="C210" i="27"/>
  <c r="H210" i="27" s="1"/>
  <c r="C212" i="27"/>
  <c r="H212" i="27" s="1"/>
  <c r="C119" i="27"/>
  <c r="H119" i="27" s="1"/>
  <c r="C121" i="27"/>
  <c r="H121" i="27" s="1"/>
  <c r="C123" i="27"/>
  <c r="H123" i="27" s="1"/>
  <c r="C125" i="27"/>
  <c r="H125" i="27" s="1"/>
  <c r="C105" i="27"/>
  <c r="H105" i="27" s="1"/>
  <c r="C107" i="27"/>
  <c r="H107" i="27" s="1"/>
  <c r="C109" i="27"/>
  <c r="H109" i="27" s="1"/>
  <c r="C111" i="27"/>
  <c r="H111" i="27" s="1"/>
  <c r="C91" i="27"/>
  <c r="H91" i="27" s="1"/>
  <c r="C93" i="27"/>
  <c r="H93" i="27" s="1"/>
  <c r="C95" i="27"/>
  <c r="H95" i="27" s="1"/>
  <c r="C97" i="27"/>
  <c r="H97" i="27" s="1"/>
  <c r="C77" i="27"/>
  <c r="H77" i="27" s="1"/>
  <c r="C79" i="27"/>
  <c r="H79" i="27" s="1"/>
  <c r="C81" i="27"/>
  <c r="H81" i="27" s="1"/>
  <c r="C83" i="27"/>
  <c r="H83" i="27" s="1"/>
  <c r="C80" i="27"/>
  <c r="H80" i="27" s="1"/>
  <c r="C76" i="27"/>
  <c r="H76" i="27" s="1"/>
  <c r="O123" i="18"/>
  <c r="O321" i="27"/>
  <c r="T321" i="27" s="1"/>
  <c r="O323" i="27"/>
  <c r="T323" i="27" s="1"/>
  <c r="O325" i="27"/>
  <c r="T325" i="27" s="1"/>
  <c r="O319" i="27"/>
  <c r="T319" i="27" s="1"/>
  <c r="C321" i="27"/>
  <c r="H321" i="27" s="1"/>
  <c r="C323" i="27"/>
  <c r="H323" i="27" s="1"/>
  <c r="C325" i="27"/>
  <c r="H325" i="27" s="1"/>
  <c r="C319" i="27"/>
  <c r="H319" i="27" s="1"/>
  <c r="Y309" i="27"/>
  <c r="AD309" i="27" s="1"/>
  <c r="Y311" i="27"/>
  <c r="AD311" i="27" s="1"/>
  <c r="O279" i="27"/>
  <c r="T279" i="27" s="1"/>
  <c r="O281" i="27"/>
  <c r="T281" i="27" s="1"/>
  <c r="O283" i="27"/>
  <c r="T283" i="27" s="1"/>
  <c r="O277" i="27"/>
  <c r="T277" i="27" s="1"/>
  <c r="R265" i="27"/>
  <c r="R267" i="27"/>
  <c r="R269" i="27"/>
  <c r="R263" i="27"/>
  <c r="O249" i="27"/>
  <c r="T249" i="27" s="1"/>
  <c r="O251" i="27"/>
  <c r="T251" i="27" s="1"/>
  <c r="O253" i="27"/>
  <c r="T253" i="27" s="1"/>
  <c r="O247" i="27"/>
  <c r="T247" i="27" s="1"/>
  <c r="O235" i="27"/>
  <c r="T235" i="27" s="1"/>
  <c r="O237" i="27"/>
  <c r="T237" i="27" s="1"/>
  <c r="O239" i="27"/>
  <c r="T239" i="27" s="1"/>
  <c r="O233" i="27"/>
  <c r="T233" i="27" s="1"/>
  <c r="O193" i="27"/>
  <c r="T193" i="27" s="1"/>
  <c r="O195" i="27"/>
  <c r="T195" i="27" s="1"/>
  <c r="O197" i="27"/>
  <c r="T197" i="27" s="1"/>
  <c r="O191" i="27"/>
  <c r="T191" i="27" s="1"/>
  <c r="C193" i="27"/>
  <c r="H193" i="27" s="1"/>
  <c r="C195" i="27"/>
  <c r="H195" i="27" s="1"/>
  <c r="C197" i="27"/>
  <c r="H197" i="27" s="1"/>
  <c r="C191" i="27"/>
  <c r="H191" i="27" s="1"/>
  <c r="Y181" i="27"/>
  <c r="AD181" i="27" s="1"/>
  <c r="Y183" i="27"/>
  <c r="AD183" i="27" s="1"/>
  <c r="Y177" i="27"/>
  <c r="AD177" i="27" s="1"/>
  <c r="O151" i="27"/>
  <c r="T151" i="27" s="1"/>
  <c r="O153" i="27"/>
  <c r="T153" i="27" s="1"/>
  <c r="O155" i="27"/>
  <c r="T155" i="27" s="1"/>
  <c r="O149" i="27"/>
  <c r="T149" i="27" s="1"/>
  <c r="R137" i="27"/>
  <c r="R139" i="27"/>
  <c r="R141" i="27"/>
  <c r="R135" i="27"/>
  <c r="O120" i="27"/>
  <c r="T120" i="27" s="1"/>
  <c r="O122" i="27"/>
  <c r="T122" i="27" s="1"/>
  <c r="O124" i="27"/>
  <c r="T124" i="27" s="1"/>
  <c r="O118" i="27"/>
  <c r="T118" i="27" s="1"/>
  <c r="O106" i="27"/>
  <c r="T106" i="27" s="1"/>
  <c r="O108" i="27"/>
  <c r="T108" i="27" s="1"/>
  <c r="O110" i="27"/>
  <c r="T110" i="27" s="1"/>
  <c r="O104" i="27"/>
  <c r="T104" i="27" s="1"/>
  <c r="O66" i="27"/>
  <c r="T66" i="27" s="1"/>
  <c r="O62" i="27"/>
  <c r="T62" i="27" s="1"/>
  <c r="C64" i="27"/>
  <c r="H64" i="27" s="1"/>
  <c r="C66" i="27"/>
  <c r="H66" i="27" s="1"/>
  <c r="C68" i="27"/>
  <c r="H68" i="27" s="1"/>
  <c r="C62" i="27"/>
  <c r="H62" i="27" s="1"/>
  <c r="O22" i="27"/>
  <c r="T22" i="27" s="1"/>
  <c r="O24" i="27"/>
  <c r="T24" i="27" s="1"/>
  <c r="O26" i="27"/>
  <c r="T26" i="27" s="1"/>
  <c r="O20" i="27"/>
  <c r="T20" i="27" s="1"/>
  <c r="R8" i="27"/>
  <c r="R10" i="27"/>
  <c r="R12" i="27"/>
  <c r="R6" i="27"/>
  <c r="O320" i="27"/>
  <c r="T320" i="27" s="1"/>
  <c r="O322" i="27"/>
  <c r="T322" i="27" s="1"/>
  <c r="O324" i="27"/>
  <c r="T324" i="27" s="1"/>
  <c r="O326" i="27"/>
  <c r="T326" i="27" s="1"/>
  <c r="C320" i="27"/>
  <c r="H320" i="27" s="1"/>
  <c r="C322" i="27"/>
  <c r="H322" i="27" s="1"/>
  <c r="C324" i="27"/>
  <c r="H324" i="27" s="1"/>
  <c r="C326" i="27"/>
  <c r="H326" i="27" s="1"/>
  <c r="Y306" i="27"/>
  <c r="AD306" i="27" s="1"/>
  <c r="Y308" i="27"/>
  <c r="AD308" i="27" s="1"/>
  <c r="Y310" i="27"/>
  <c r="AD310" i="27" s="1"/>
  <c r="Y312" i="27"/>
  <c r="AD312" i="27" s="1"/>
  <c r="O278" i="27"/>
  <c r="T278" i="27" s="1"/>
  <c r="O280" i="27"/>
  <c r="T280" i="27" s="1"/>
  <c r="O282" i="27"/>
  <c r="T282" i="27" s="1"/>
  <c r="O284" i="27"/>
  <c r="T284" i="27" s="1"/>
  <c r="R264" i="27"/>
  <c r="R266" i="27"/>
  <c r="R268" i="27"/>
  <c r="R270" i="27"/>
  <c r="O248" i="27"/>
  <c r="T248" i="27" s="1"/>
  <c r="O250" i="27"/>
  <c r="T250" i="27" s="1"/>
  <c r="O252" i="27"/>
  <c r="T252" i="27" s="1"/>
  <c r="O254" i="27"/>
  <c r="T254" i="27" s="1"/>
  <c r="O234" i="27"/>
  <c r="T234" i="27" s="1"/>
  <c r="O236" i="27"/>
  <c r="T236" i="27" s="1"/>
  <c r="O238" i="27"/>
  <c r="T238" i="27" s="1"/>
  <c r="O240" i="27"/>
  <c r="T240" i="27" s="1"/>
  <c r="O192" i="27"/>
  <c r="T192" i="27" s="1"/>
  <c r="O194" i="27"/>
  <c r="T194" i="27" s="1"/>
  <c r="O196" i="27"/>
  <c r="T196" i="27" s="1"/>
  <c r="O198" i="27"/>
  <c r="T198" i="27" s="1"/>
  <c r="C192" i="27"/>
  <c r="H192" i="27" s="1"/>
  <c r="C194" i="27"/>
  <c r="H194" i="27" s="1"/>
  <c r="C196" i="27"/>
  <c r="H196" i="27" s="1"/>
  <c r="C198" i="27"/>
  <c r="H198" i="27" s="1"/>
  <c r="Y178" i="27"/>
  <c r="AD178" i="27" s="1"/>
  <c r="Y180" i="27"/>
  <c r="AD180" i="27" s="1"/>
  <c r="Y182" i="27"/>
  <c r="AD182" i="27" s="1"/>
  <c r="Y184" i="27"/>
  <c r="AD184" i="27" s="1"/>
  <c r="O150" i="27"/>
  <c r="T150" i="27" s="1"/>
  <c r="O152" i="27"/>
  <c r="T152" i="27" s="1"/>
  <c r="O154" i="27"/>
  <c r="T154" i="27" s="1"/>
  <c r="O156" i="27"/>
  <c r="T156" i="27" s="1"/>
  <c r="R136" i="27"/>
  <c r="R138" i="27"/>
  <c r="R140" i="27"/>
  <c r="R142" i="27"/>
  <c r="O119" i="27"/>
  <c r="T119" i="27" s="1"/>
  <c r="O121" i="27"/>
  <c r="T121" i="27" s="1"/>
  <c r="O123" i="27"/>
  <c r="T123" i="27" s="1"/>
  <c r="O125" i="27"/>
  <c r="T125" i="27" s="1"/>
  <c r="O105" i="27"/>
  <c r="T105" i="27" s="1"/>
  <c r="O107" i="27"/>
  <c r="T107" i="27" s="1"/>
  <c r="O109" i="27"/>
  <c r="T109" i="27" s="1"/>
  <c r="O111" i="27"/>
  <c r="T111" i="27" s="1"/>
  <c r="O67" i="27"/>
  <c r="T67" i="27" s="1"/>
  <c r="O69" i="27"/>
  <c r="T69" i="27" s="1"/>
  <c r="C63" i="27"/>
  <c r="H63" i="27" s="1"/>
  <c r="C65" i="27"/>
  <c r="H65" i="27" s="1"/>
  <c r="C67" i="27"/>
  <c r="H67" i="27" s="1"/>
  <c r="C69" i="27"/>
  <c r="H69" i="27" s="1"/>
  <c r="O21" i="27"/>
  <c r="T21" i="27" s="1"/>
  <c r="O23" i="27"/>
  <c r="T23" i="27" s="1"/>
  <c r="O25" i="27"/>
  <c r="T25" i="27" s="1"/>
  <c r="O27" i="27"/>
  <c r="T27" i="27" s="1"/>
  <c r="R7" i="27"/>
  <c r="R9" i="27"/>
  <c r="R11" i="27"/>
  <c r="R13" i="27"/>
  <c r="E10" i="24"/>
  <c r="F44" i="15"/>
  <c r="D38" i="31"/>
  <c r="D37" i="31"/>
  <c r="F43" i="15"/>
  <c r="F35" i="15"/>
  <c r="F33" i="15"/>
  <c r="F45" i="15"/>
  <c r="F42" i="15"/>
  <c r="F38" i="15"/>
  <c r="F40" i="15"/>
  <c r="F34" i="15"/>
  <c r="F37" i="15"/>
  <c r="F39" i="15"/>
  <c r="F41" i="15"/>
  <c r="F46" i="15"/>
  <c r="F47" i="15"/>
  <c r="E60" i="24"/>
  <c r="E56" i="24"/>
  <c r="E52" i="24"/>
  <c r="E48" i="24"/>
  <c r="E44" i="24"/>
  <c r="E40" i="24"/>
  <c r="E36" i="24"/>
  <c r="E32" i="24"/>
  <c r="E28" i="24"/>
  <c r="E24" i="24"/>
  <c r="E20" i="24"/>
  <c r="E16" i="24"/>
  <c r="E12" i="24"/>
  <c r="D8" i="24"/>
  <c r="E59" i="24"/>
  <c r="E55" i="24"/>
  <c r="E51" i="24"/>
  <c r="E47" i="24"/>
  <c r="E43" i="24"/>
  <c r="E39" i="24"/>
  <c r="E35" i="24"/>
  <c r="E31" i="24"/>
  <c r="E27" i="24"/>
  <c r="E23" i="24"/>
  <c r="E19" i="24"/>
  <c r="E15" i="24"/>
  <c r="E11" i="24"/>
  <c r="E8" i="24"/>
  <c r="E58" i="24"/>
  <c r="E54" i="24"/>
  <c r="E50" i="24"/>
  <c r="E46" i="24"/>
  <c r="E42" i="24"/>
  <c r="E38" i="24"/>
  <c r="E34" i="24"/>
  <c r="E30" i="24"/>
  <c r="E26" i="24"/>
  <c r="E22" i="24"/>
  <c r="E18" i="24"/>
  <c r="E14" i="24"/>
  <c r="C66" i="25"/>
  <c r="C6" i="27"/>
  <c r="H6" i="27" s="1"/>
  <c r="O6" i="27"/>
  <c r="T6" i="27" s="1"/>
  <c r="C11" i="27"/>
  <c r="H11" i="27" s="1"/>
  <c r="O11" i="27"/>
  <c r="T11" i="27" s="1"/>
  <c r="C12" i="27"/>
  <c r="H12" i="27" s="1"/>
  <c r="O12" i="27"/>
  <c r="T12" i="27" s="1"/>
  <c r="C13" i="27"/>
  <c r="H13" i="27" s="1"/>
  <c r="O13" i="27"/>
  <c r="T13" i="27" s="1"/>
  <c r="C20" i="27"/>
  <c r="H20" i="27" s="1"/>
  <c r="C7" i="27"/>
  <c r="H7" i="27" s="1"/>
  <c r="C21" i="27"/>
  <c r="H21" i="27" s="1"/>
  <c r="O36" i="27"/>
  <c r="T36" i="27" s="1"/>
  <c r="C37" i="27"/>
  <c r="H37" i="27" s="1"/>
  <c r="O40" i="27"/>
  <c r="T40" i="27" s="1"/>
  <c r="C41" i="27"/>
  <c r="H41" i="27" s="1"/>
  <c r="O41" i="27"/>
  <c r="T41" i="27" s="1"/>
  <c r="C48" i="27"/>
  <c r="H48" i="27" s="1"/>
  <c r="C53" i="27"/>
  <c r="H53" i="27" s="1"/>
  <c r="O53" i="27"/>
  <c r="T53" i="27" s="1"/>
  <c r="O7" i="27"/>
  <c r="T7" i="27" s="1"/>
  <c r="C8" i="27"/>
  <c r="H8" i="27" s="1"/>
  <c r="O8" i="27"/>
  <c r="T8" i="27" s="1"/>
  <c r="C10" i="27"/>
  <c r="H10" i="27" s="1"/>
  <c r="O10" i="27"/>
  <c r="T10" i="27" s="1"/>
  <c r="C27" i="27"/>
  <c r="H27" i="27" s="1"/>
  <c r="C34" i="27"/>
  <c r="H34" i="27" s="1"/>
  <c r="O50" i="27"/>
  <c r="T50" i="27" s="1"/>
  <c r="C51" i="27"/>
  <c r="H51" i="27" s="1"/>
  <c r="O51" i="27"/>
  <c r="T51" i="27" s="1"/>
  <c r="C52" i="27"/>
  <c r="H52" i="27" s="1"/>
  <c r="O9" i="27"/>
  <c r="T9" i="27" s="1"/>
  <c r="O34" i="27"/>
  <c r="T34" i="27" s="1"/>
  <c r="C35" i="27"/>
  <c r="H35" i="27" s="1"/>
  <c r="C36" i="27"/>
  <c r="H36" i="27" s="1"/>
  <c r="C50" i="27"/>
  <c r="H50" i="27" s="1"/>
  <c r="O90" i="27"/>
  <c r="T90" i="27" s="1"/>
  <c r="O91" i="27"/>
  <c r="T91" i="27" s="1"/>
  <c r="C22" i="27"/>
  <c r="H22" i="27" s="1"/>
  <c r="C23" i="27"/>
  <c r="H23" i="27" s="1"/>
  <c r="C24" i="27"/>
  <c r="H24" i="27" s="1"/>
  <c r="C25" i="27"/>
  <c r="H25" i="27" s="1"/>
  <c r="C26" i="27"/>
  <c r="H26" i="27" s="1"/>
  <c r="O35" i="27"/>
  <c r="T35" i="27" s="1"/>
  <c r="C38" i="27"/>
  <c r="H38" i="27" s="1"/>
  <c r="O38" i="27"/>
  <c r="T38" i="27" s="1"/>
  <c r="C39" i="27"/>
  <c r="H39" i="27" s="1"/>
  <c r="C40" i="27"/>
  <c r="H40" i="27" s="1"/>
  <c r="O48" i="27"/>
  <c r="T48" i="27" s="1"/>
  <c r="O49" i="27"/>
  <c r="T49" i="27" s="1"/>
  <c r="O54" i="27"/>
  <c r="T54" i="27" s="1"/>
  <c r="C55" i="27"/>
  <c r="H55" i="27" s="1"/>
  <c r="O55" i="27"/>
  <c r="T55" i="27" s="1"/>
  <c r="C9" i="27"/>
  <c r="H9" i="27" s="1"/>
  <c r="O37" i="27"/>
  <c r="T37" i="27" s="1"/>
  <c r="O39" i="27"/>
  <c r="T39" i="27" s="1"/>
  <c r="C49" i="27"/>
  <c r="H49" i="27" s="1"/>
  <c r="O52" i="27"/>
  <c r="T52" i="27" s="1"/>
  <c r="C54" i="27"/>
  <c r="H54" i="27" s="1"/>
  <c r="O92" i="27"/>
  <c r="T92" i="27" s="1"/>
  <c r="O94" i="27"/>
  <c r="T94" i="27" s="1"/>
  <c r="O96" i="27"/>
  <c r="T96" i="27" s="1"/>
  <c r="C135" i="27"/>
  <c r="H135" i="27" s="1"/>
  <c r="O136" i="27"/>
  <c r="T136" i="27" s="1"/>
  <c r="C139" i="27"/>
  <c r="H139" i="27" s="1"/>
  <c r="O140" i="27"/>
  <c r="T140" i="27" s="1"/>
  <c r="C149" i="27"/>
  <c r="H149" i="27" s="1"/>
  <c r="C151" i="27"/>
  <c r="H151" i="27" s="1"/>
  <c r="C153" i="27"/>
  <c r="H153" i="27" s="1"/>
  <c r="C155" i="27"/>
  <c r="H155" i="27" s="1"/>
  <c r="C163" i="27"/>
  <c r="H163" i="27" s="1"/>
  <c r="C165" i="27"/>
  <c r="H165" i="27" s="1"/>
  <c r="C167" i="27"/>
  <c r="H167" i="27" s="1"/>
  <c r="C169" i="27"/>
  <c r="H169" i="27" s="1"/>
  <c r="C179" i="27"/>
  <c r="H179" i="27" s="1"/>
  <c r="O179" i="27"/>
  <c r="T179" i="27" s="1"/>
  <c r="C183" i="27"/>
  <c r="H183" i="27" s="1"/>
  <c r="O183" i="27"/>
  <c r="T183" i="27" s="1"/>
  <c r="C136" i="27"/>
  <c r="H136" i="27" s="1"/>
  <c r="O137" i="27"/>
  <c r="T137" i="27" s="1"/>
  <c r="C140" i="27"/>
  <c r="H140" i="27" s="1"/>
  <c r="O141" i="27"/>
  <c r="T141" i="27" s="1"/>
  <c r="O164" i="27"/>
  <c r="T164" i="27" s="1"/>
  <c r="O166" i="27"/>
  <c r="T166" i="27" s="1"/>
  <c r="O168" i="27"/>
  <c r="T168" i="27" s="1"/>
  <c r="C180" i="27"/>
  <c r="H180" i="27" s="1"/>
  <c r="O180" i="27"/>
  <c r="T180" i="27" s="1"/>
  <c r="C184" i="27"/>
  <c r="H184" i="27" s="1"/>
  <c r="O184" i="27"/>
  <c r="T184" i="27" s="1"/>
  <c r="O93" i="27"/>
  <c r="T93" i="27" s="1"/>
  <c r="O95" i="27"/>
  <c r="T95" i="27" s="1"/>
  <c r="O97" i="27"/>
  <c r="T97" i="27" s="1"/>
  <c r="C137" i="27"/>
  <c r="H137" i="27" s="1"/>
  <c r="O138" i="27"/>
  <c r="T138" i="27" s="1"/>
  <c r="C141" i="27"/>
  <c r="H141" i="27" s="1"/>
  <c r="O142" i="27"/>
  <c r="T142" i="27" s="1"/>
  <c r="C150" i="27"/>
  <c r="H150" i="27" s="1"/>
  <c r="C152" i="27"/>
  <c r="H152" i="27" s="1"/>
  <c r="C154" i="27"/>
  <c r="H154" i="27" s="1"/>
  <c r="C156" i="27"/>
  <c r="H156" i="27" s="1"/>
  <c r="C164" i="27"/>
  <c r="H164" i="27" s="1"/>
  <c r="C166" i="27"/>
  <c r="H166" i="27" s="1"/>
  <c r="C168" i="27"/>
  <c r="H168" i="27" s="1"/>
  <c r="C170" i="27"/>
  <c r="H170" i="27" s="1"/>
  <c r="O170" i="27"/>
  <c r="T170" i="27" s="1"/>
  <c r="C177" i="27"/>
  <c r="H177" i="27" s="1"/>
  <c r="O177" i="27"/>
  <c r="T177" i="27" s="1"/>
  <c r="C181" i="27"/>
  <c r="H181" i="27" s="1"/>
  <c r="O181" i="27"/>
  <c r="T181" i="27" s="1"/>
  <c r="O219" i="27"/>
  <c r="T219" i="27" s="1"/>
  <c r="O220" i="27"/>
  <c r="T220" i="27" s="1"/>
  <c r="O221" i="27"/>
  <c r="T221" i="27" s="1"/>
  <c r="O222" i="27"/>
  <c r="T222" i="27" s="1"/>
  <c r="O223" i="27"/>
  <c r="T223" i="27" s="1"/>
  <c r="O135" i="27"/>
  <c r="T135" i="27" s="1"/>
  <c r="C138" i="27"/>
  <c r="H138" i="27" s="1"/>
  <c r="O139" i="27"/>
  <c r="T139" i="27" s="1"/>
  <c r="C142" i="27"/>
  <c r="H142" i="27" s="1"/>
  <c r="O163" i="27"/>
  <c r="T163" i="27" s="1"/>
  <c r="O165" i="27"/>
  <c r="T165" i="27" s="1"/>
  <c r="O167" i="27"/>
  <c r="T167" i="27" s="1"/>
  <c r="O169" i="27"/>
  <c r="T169" i="27" s="1"/>
  <c r="C178" i="27"/>
  <c r="H178" i="27" s="1"/>
  <c r="O178" i="27"/>
  <c r="T178" i="27" s="1"/>
  <c r="C182" i="27"/>
  <c r="H182" i="27" s="1"/>
  <c r="O182" i="27"/>
  <c r="T182" i="27" s="1"/>
  <c r="O224" i="27"/>
  <c r="T224" i="27" s="1"/>
  <c r="O226" i="27"/>
  <c r="T226" i="27" s="1"/>
  <c r="C263" i="27"/>
  <c r="H263" i="27" s="1"/>
  <c r="C265" i="27"/>
  <c r="H265" i="27" s="1"/>
  <c r="C267" i="27"/>
  <c r="H267" i="27" s="1"/>
  <c r="C269" i="27"/>
  <c r="H269" i="27" s="1"/>
  <c r="C277" i="27"/>
  <c r="H277" i="27" s="1"/>
  <c r="C279" i="27"/>
  <c r="H279" i="27" s="1"/>
  <c r="C281" i="27"/>
  <c r="H281" i="27" s="1"/>
  <c r="C283" i="27"/>
  <c r="H283" i="27" s="1"/>
  <c r="C291" i="27"/>
  <c r="H291" i="27" s="1"/>
  <c r="C293" i="27"/>
  <c r="H293" i="27" s="1"/>
  <c r="C295" i="27"/>
  <c r="H295" i="27" s="1"/>
  <c r="C297" i="27"/>
  <c r="H297" i="27" s="1"/>
  <c r="O297" i="27"/>
  <c r="T297" i="27" s="1"/>
  <c r="C298" i="27"/>
  <c r="H298" i="27" s="1"/>
  <c r="O298" i="27"/>
  <c r="T298" i="27" s="1"/>
  <c r="C305" i="27"/>
  <c r="H305" i="27" s="1"/>
  <c r="O305" i="27"/>
  <c r="T305" i="27" s="1"/>
  <c r="O264" i="27"/>
  <c r="T264" i="27" s="1"/>
  <c r="O266" i="27"/>
  <c r="T266" i="27" s="1"/>
  <c r="O268" i="27"/>
  <c r="T268" i="27" s="1"/>
  <c r="O270" i="27"/>
  <c r="T270" i="27" s="1"/>
  <c r="O292" i="27"/>
  <c r="T292" i="27" s="1"/>
  <c r="O294" i="27"/>
  <c r="T294" i="27" s="1"/>
  <c r="O296" i="27"/>
  <c r="T296" i="27" s="1"/>
  <c r="C306" i="27"/>
  <c r="H306" i="27" s="1"/>
  <c r="O306" i="27"/>
  <c r="T306" i="27" s="1"/>
  <c r="C310" i="27"/>
  <c r="H310" i="27" s="1"/>
  <c r="O310" i="27"/>
  <c r="T310" i="27" s="1"/>
  <c r="O225" i="27"/>
  <c r="T225" i="27" s="1"/>
  <c r="C264" i="27"/>
  <c r="H264" i="27" s="1"/>
  <c r="C266" i="27"/>
  <c r="H266" i="27" s="1"/>
  <c r="C268" i="27"/>
  <c r="H268" i="27" s="1"/>
  <c r="C270" i="27"/>
  <c r="H270" i="27" s="1"/>
  <c r="C278" i="27"/>
  <c r="H278" i="27" s="1"/>
  <c r="C280" i="27"/>
  <c r="H280" i="27" s="1"/>
  <c r="C282" i="27"/>
  <c r="H282" i="27" s="1"/>
  <c r="C284" i="27"/>
  <c r="H284" i="27" s="1"/>
  <c r="C292" i="27"/>
  <c r="H292" i="27" s="1"/>
  <c r="C294" i="27"/>
  <c r="H294" i="27" s="1"/>
  <c r="C296" i="27"/>
  <c r="H296" i="27" s="1"/>
  <c r="C307" i="27"/>
  <c r="H307" i="27" s="1"/>
  <c r="O307" i="27"/>
  <c r="T307" i="27" s="1"/>
  <c r="C311" i="27"/>
  <c r="H311" i="27" s="1"/>
  <c r="O311" i="27"/>
  <c r="T311" i="27" s="1"/>
  <c r="O263" i="27"/>
  <c r="T263" i="27" s="1"/>
  <c r="O265" i="27"/>
  <c r="T265" i="27" s="1"/>
  <c r="O267" i="27"/>
  <c r="T267" i="27" s="1"/>
  <c r="O269" i="27"/>
  <c r="T269" i="27" s="1"/>
  <c r="O291" i="27"/>
  <c r="T291" i="27" s="1"/>
  <c r="O293" i="27"/>
  <c r="T293" i="27" s="1"/>
  <c r="O295" i="27"/>
  <c r="T295" i="27" s="1"/>
  <c r="C308" i="27"/>
  <c r="H308" i="27" s="1"/>
  <c r="O308" i="27"/>
  <c r="T308" i="27" s="1"/>
  <c r="C312" i="27"/>
  <c r="H312" i="27" s="1"/>
  <c r="O312" i="27"/>
  <c r="T312" i="27" s="1"/>
  <c r="C309" i="27"/>
  <c r="H309" i="27" s="1"/>
  <c r="O309" i="27"/>
  <c r="T309" i="27" s="1"/>
  <c r="E61" i="24"/>
  <c r="E57" i="24"/>
  <c r="E53" i="24"/>
  <c r="E49" i="24"/>
  <c r="E45" i="24"/>
  <c r="E41" i="24"/>
  <c r="E37" i="24"/>
  <c r="E33" i="24"/>
  <c r="E29" i="24"/>
  <c r="E25" i="24"/>
  <c r="E21" i="24"/>
  <c r="E17" i="24"/>
  <c r="E13" i="24"/>
  <c r="E9" i="24"/>
  <c r="H130" i="12"/>
  <c r="F130" i="12"/>
  <c r="C62" i="28"/>
  <c r="C65" i="28"/>
  <c r="C66" i="28"/>
  <c r="C67" i="28"/>
  <c r="C70" i="28"/>
  <c r="C71" i="28"/>
  <c r="C72" i="28"/>
  <c r="E69" i="28"/>
  <c r="F69" i="28" s="1"/>
  <c r="E68" i="28"/>
  <c r="F68" i="28" s="1"/>
  <c r="E64" i="28"/>
  <c r="E63" i="28"/>
  <c r="F63" i="28" s="1"/>
  <c r="E56" i="28"/>
  <c r="F56" i="28" s="1"/>
  <c r="E54" i="28"/>
  <c r="F54" i="28" s="1"/>
  <c r="E53" i="28"/>
  <c r="F53" i="28" s="1"/>
  <c r="E52" i="28"/>
  <c r="F52" i="28" s="1"/>
  <c r="M10" i="28"/>
  <c r="N10" i="28" s="1"/>
  <c r="N9" i="28"/>
  <c r="N8" i="28"/>
  <c r="N7" i="28"/>
  <c r="K36" i="11"/>
  <c r="C56" i="23"/>
  <c r="C10" i="24"/>
  <c r="AA9" i="24" l="1"/>
  <c r="U9" i="24"/>
  <c r="X9" i="24"/>
  <c r="AA25" i="24"/>
  <c r="U25" i="24"/>
  <c r="X25" i="24"/>
  <c r="AA41" i="24"/>
  <c r="U41" i="24"/>
  <c r="X41" i="24"/>
  <c r="AA49" i="24"/>
  <c r="U49" i="24"/>
  <c r="X49" i="24"/>
  <c r="AA13" i="24"/>
  <c r="U13" i="24"/>
  <c r="X13" i="24"/>
  <c r="AA21" i="24"/>
  <c r="U21" i="24"/>
  <c r="X21" i="24"/>
  <c r="AA29" i="24"/>
  <c r="U29" i="24"/>
  <c r="X29" i="24"/>
  <c r="AA37" i="24"/>
  <c r="U37" i="24"/>
  <c r="X37" i="24"/>
  <c r="AA45" i="24"/>
  <c r="U45" i="24"/>
  <c r="X45" i="24"/>
  <c r="AA53" i="24"/>
  <c r="U53" i="24"/>
  <c r="X53" i="24"/>
  <c r="AA61" i="24"/>
  <c r="U61" i="24"/>
  <c r="X61" i="24"/>
  <c r="AA14" i="24"/>
  <c r="X14" i="24"/>
  <c r="U14" i="24"/>
  <c r="AA22" i="24"/>
  <c r="X22" i="24"/>
  <c r="U22" i="24"/>
  <c r="AA30" i="24"/>
  <c r="X30" i="24"/>
  <c r="U30" i="24"/>
  <c r="AA38" i="24"/>
  <c r="X38" i="24"/>
  <c r="U38" i="24"/>
  <c r="AA46" i="24"/>
  <c r="X46" i="24"/>
  <c r="U46" i="24"/>
  <c r="AA54" i="24"/>
  <c r="X54" i="24"/>
  <c r="U54" i="24"/>
  <c r="X8" i="24"/>
  <c r="AA8" i="24"/>
  <c r="U8" i="24"/>
  <c r="AA15" i="24"/>
  <c r="X15" i="24"/>
  <c r="U15" i="24"/>
  <c r="AA23" i="24"/>
  <c r="X23" i="24"/>
  <c r="U23" i="24"/>
  <c r="AA31" i="24"/>
  <c r="X31" i="24"/>
  <c r="U31" i="24"/>
  <c r="AA39" i="24"/>
  <c r="X39" i="24"/>
  <c r="U39" i="24"/>
  <c r="AA47" i="24"/>
  <c r="X47" i="24"/>
  <c r="U47" i="24"/>
  <c r="AA55" i="24"/>
  <c r="X55" i="24"/>
  <c r="U55" i="24"/>
  <c r="Z8" i="24"/>
  <c r="T8" i="24"/>
  <c r="W8" i="24"/>
  <c r="AA16" i="24"/>
  <c r="X16" i="24"/>
  <c r="U16" i="24"/>
  <c r="AA24" i="24"/>
  <c r="X24" i="24"/>
  <c r="U24" i="24"/>
  <c r="AA32" i="24"/>
  <c r="X32" i="24"/>
  <c r="U32" i="24"/>
  <c r="AA40" i="24"/>
  <c r="X40" i="24"/>
  <c r="U40" i="24"/>
  <c r="AA48" i="24"/>
  <c r="X48" i="24"/>
  <c r="U48" i="24"/>
  <c r="AA56" i="24"/>
  <c r="X56" i="24"/>
  <c r="U56" i="24"/>
  <c r="AA10" i="24"/>
  <c r="X10" i="24"/>
  <c r="U10" i="24"/>
  <c r="K8" i="33"/>
  <c r="J8" i="33"/>
  <c r="I8" i="33"/>
  <c r="K12" i="33"/>
  <c r="J12" i="33"/>
  <c r="I12" i="33"/>
  <c r="K21" i="33"/>
  <c r="J21" i="33"/>
  <c r="I21" i="33"/>
  <c r="K9" i="33"/>
  <c r="J9" i="33"/>
  <c r="I9" i="33"/>
  <c r="K13" i="33"/>
  <c r="J13" i="33"/>
  <c r="I13" i="33"/>
  <c r="K17" i="33"/>
  <c r="J17" i="33"/>
  <c r="I17" i="33"/>
  <c r="K19" i="33"/>
  <c r="J19" i="33"/>
  <c r="I19" i="33"/>
  <c r="K18" i="33"/>
  <c r="J18" i="33"/>
  <c r="I18" i="33"/>
  <c r="K22" i="33"/>
  <c r="J22" i="33"/>
  <c r="I22" i="33"/>
  <c r="Y10" i="24"/>
  <c r="V10" i="24"/>
  <c r="S10" i="24"/>
  <c r="AA17" i="24"/>
  <c r="U17" i="24"/>
  <c r="X17" i="24"/>
  <c r="AA33" i="24"/>
  <c r="U33" i="24"/>
  <c r="X33" i="24"/>
  <c r="AA57" i="24"/>
  <c r="U57" i="24"/>
  <c r="X57" i="24"/>
  <c r="K66" i="25"/>
  <c r="I66" i="25"/>
  <c r="J66" i="25"/>
  <c r="AA18" i="24"/>
  <c r="X18" i="24"/>
  <c r="U18" i="24"/>
  <c r="AA26" i="24"/>
  <c r="X26" i="24"/>
  <c r="U26" i="24"/>
  <c r="AA34" i="24"/>
  <c r="X34" i="24"/>
  <c r="U34" i="24"/>
  <c r="AA42" i="24"/>
  <c r="X42" i="24"/>
  <c r="U42" i="24"/>
  <c r="AA50" i="24"/>
  <c r="X50" i="24"/>
  <c r="U50" i="24"/>
  <c r="AA58" i="24"/>
  <c r="X58" i="24"/>
  <c r="U58" i="24"/>
  <c r="AA11" i="24"/>
  <c r="X11" i="24"/>
  <c r="U11" i="24"/>
  <c r="AA19" i="24"/>
  <c r="X19" i="24"/>
  <c r="U19" i="24"/>
  <c r="AA27" i="24"/>
  <c r="X27" i="24"/>
  <c r="U27" i="24"/>
  <c r="AA35" i="24"/>
  <c r="X35" i="24"/>
  <c r="U35" i="24"/>
  <c r="AA43" i="24"/>
  <c r="X43" i="24"/>
  <c r="U43" i="24"/>
  <c r="AA51" i="24"/>
  <c r="X51" i="24"/>
  <c r="U51" i="24"/>
  <c r="AA59" i="24"/>
  <c r="X59" i="24"/>
  <c r="U59" i="24"/>
  <c r="AA12" i="24"/>
  <c r="X12" i="24"/>
  <c r="U12" i="24"/>
  <c r="AA20" i="24"/>
  <c r="X20" i="24"/>
  <c r="U20" i="24"/>
  <c r="AA28" i="24"/>
  <c r="X28" i="24"/>
  <c r="U28" i="24"/>
  <c r="AA36" i="24"/>
  <c r="X36" i="24"/>
  <c r="U36" i="24"/>
  <c r="AA44" i="24"/>
  <c r="X44" i="24"/>
  <c r="U44" i="24"/>
  <c r="AA52" i="24"/>
  <c r="X52" i="24"/>
  <c r="U52" i="24"/>
  <c r="AA60" i="24"/>
  <c r="X60" i="24"/>
  <c r="U60" i="24"/>
  <c r="J6" i="33"/>
  <c r="K6" i="33"/>
  <c r="I6" i="33"/>
  <c r="K10" i="33"/>
  <c r="J10" i="33"/>
  <c r="I10" i="33"/>
  <c r="K14" i="33"/>
  <c r="J14" i="33"/>
  <c r="I14" i="33"/>
  <c r="K7" i="33"/>
  <c r="J7" i="33"/>
  <c r="I7" i="33"/>
  <c r="K11" i="33"/>
  <c r="J11" i="33"/>
  <c r="I11" i="33"/>
  <c r="K15" i="33"/>
  <c r="J15" i="33"/>
  <c r="I15" i="33"/>
  <c r="K16" i="33"/>
  <c r="J16" i="33"/>
  <c r="I16" i="33"/>
  <c r="K20" i="33"/>
  <c r="J20" i="33"/>
  <c r="I20" i="33"/>
  <c r="F64" i="28"/>
  <c r="E71" i="5" s="1"/>
  <c r="E66" i="28"/>
  <c r="E72" i="28"/>
  <c r="E70" i="28"/>
  <c r="E59" i="5"/>
  <c r="AA64" i="19"/>
  <c r="E61" i="5"/>
  <c r="AA66" i="19"/>
  <c r="E60" i="5"/>
  <c r="AA65" i="19"/>
  <c r="E70" i="5"/>
  <c r="AA75" i="19"/>
  <c r="E63" i="5"/>
  <c r="AA68" i="19"/>
  <c r="E75" i="5"/>
  <c r="AA80" i="19"/>
  <c r="E76" i="5"/>
  <c r="AA81" i="19"/>
  <c r="C16" i="3"/>
  <c r="O124" i="3"/>
  <c r="O122" i="3"/>
  <c r="O120" i="3"/>
  <c r="O118" i="3"/>
  <c r="O116" i="3"/>
  <c r="O114" i="3"/>
  <c r="O112" i="3"/>
  <c r="O110" i="3"/>
  <c r="O108" i="3"/>
  <c r="O106" i="3"/>
  <c r="O123" i="3"/>
  <c r="O121" i="3"/>
  <c r="O119" i="3"/>
  <c r="O117" i="3"/>
  <c r="O115" i="3"/>
  <c r="O113" i="3"/>
  <c r="O111" i="3"/>
  <c r="O109" i="3"/>
  <c r="O107" i="3"/>
  <c r="O105" i="3"/>
  <c r="E65" i="28"/>
  <c r="F65" i="28" s="1"/>
  <c r="E67" i="28"/>
  <c r="F67" i="28" s="1"/>
  <c r="E62" i="28"/>
  <c r="F62" i="28" s="1"/>
  <c r="E55" i="28"/>
  <c r="F55" i="28" s="1"/>
  <c r="E71" i="28"/>
  <c r="F71" i="28" s="1"/>
  <c r="E58" i="28"/>
  <c r="F58" i="28" s="1"/>
  <c r="E60" i="28"/>
  <c r="F60" i="28" s="1"/>
  <c r="E61" i="28"/>
  <c r="F61" i="28" s="1"/>
  <c r="E57" i="28"/>
  <c r="F57" i="28" s="1"/>
  <c r="E59" i="28"/>
  <c r="F59" i="28" s="1"/>
  <c r="C9" i="24"/>
  <c r="C59" i="24"/>
  <c r="C57" i="24"/>
  <c r="C55" i="24"/>
  <c r="C53" i="24"/>
  <c r="C51" i="24"/>
  <c r="C49" i="24"/>
  <c r="C47" i="24"/>
  <c r="C45" i="24"/>
  <c r="C43" i="24"/>
  <c r="C41" i="24"/>
  <c r="C39" i="24"/>
  <c r="C37" i="24"/>
  <c r="C35" i="24"/>
  <c r="C33" i="24"/>
  <c r="C31" i="24"/>
  <c r="C29" i="24"/>
  <c r="C27" i="24"/>
  <c r="C25" i="24"/>
  <c r="C23" i="24"/>
  <c r="C21" i="24"/>
  <c r="C19" i="24"/>
  <c r="C17" i="24"/>
  <c r="C15" i="24"/>
  <c r="C13" i="24"/>
  <c r="C11" i="24"/>
  <c r="C61" i="24"/>
  <c r="C60" i="24"/>
  <c r="C58" i="24"/>
  <c r="C56" i="24"/>
  <c r="C54" i="24"/>
  <c r="C52" i="24"/>
  <c r="C50" i="24"/>
  <c r="C48" i="24"/>
  <c r="C46" i="24"/>
  <c r="C44" i="24"/>
  <c r="C42" i="24"/>
  <c r="C40" i="24"/>
  <c r="C38" i="24"/>
  <c r="C36" i="24"/>
  <c r="C34" i="24"/>
  <c r="C32" i="24"/>
  <c r="C30" i="24"/>
  <c r="C28" i="24"/>
  <c r="C26" i="24"/>
  <c r="C24" i="24"/>
  <c r="C22" i="24"/>
  <c r="C20" i="24"/>
  <c r="C18" i="24"/>
  <c r="C16" i="24"/>
  <c r="C14" i="24"/>
  <c r="C12" i="24"/>
  <c r="V28" i="3"/>
  <c r="V21" i="3"/>
  <c r="V15" i="3"/>
  <c r="J72" i="3"/>
  <c r="J69" i="3"/>
  <c r="J67" i="3"/>
  <c r="J59" i="3"/>
  <c r="J44" i="3"/>
  <c r="J37" i="3"/>
  <c r="J28" i="3"/>
  <c r="J21" i="3"/>
  <c r="J14" i="3"/>
  <c r="J6" i="3"/>
  <c r="F28" i="3"/>
  <c r="F24" i="3"/>
  <c r="J19" i="2"/>
  <c r="J6" i="2"/>
  <c r="H30" i="10"/>
  <c r="K10" i="28"/>
  <c r="K8" i="28"/>
  <c r="K9" i="28"/>
  <c r="K7" i="28"/>
  <c r="K6" i="28"/>
  <c r="P72" i="6"/>
  <c r="P71" i="6"/>
  <c r="P70" i="6"/>
  <c r="P69" i="6"/>
  <c r="P68" i="6"/>
  <c r="P67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F59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7" i="26"/>
  <c r="F6" i="26"/>
  <c r="F73" i="25"/>
  <c r="F72" i="25"/>
  <c r="F71" i="25"/>
  <c r="F70" i="25"/>
  <c r="F69" i="25"/>
  <c r="F68" i="25"/>
  <c r="F67" i="25"/>
  <c r="F65" i="25"/>
  <c r="F64" i="25"/>
  <c r="F63" i="25"/>
  <c r="F62" i="25"/>
  <c r="F61" i="25"/>
  <c r="F60" i="25"/>
  <c r="F59" i="25"/>
  <c r="F58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37" i="25"/>
  <c r="F36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8" i="25"/>
  <c r="F9" i="25"/>
  <c r="F10" i="25"/>
  <c r="F11" i="25"/>
  <c r="F12" i="25"/>
  <c r="F13" i="25"/>
  <c r="F7" i="25"/>
  <c r="F6" i="25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31" i="24"/>
  <c r="K32" i="24"/>
  <c r="K33" i="24"/>
  <c r="K34" i="24"/>
  <c r="K35" i="24"/>
  <c r="K36" i="24"/>
  <c r="K37" i="24"/>
  <c r="K38" i="24"/>
  <c r="K39" i="24"/>
  <c r="K40" i="24"/>
  <c r="K41" i="24"/>
  <c r="K42" i="24"/>
  <c r="K43" i="24"/>
  <c r="K44" i="24"/>
  <c r="K45" i="24"/>
  <c r="K46" i="24"/>
  <c r="K47" i="24"/>
  <c r="K48" i="24"/>
  <c r="K49" i="24"/>
  <c r="K50" i="24"/>
  <c r="K51" i="24"/>
  <c r="K52" i="24"/>
  <c r="K53" i="24"/>
  <c r="K54" i="24"/>
  <c r="K55" i="24"/>
  <c r="K56" i="24"/>
  <c r="K57" i="24"/>
  <c r="K58" i="24"/>
  <c r="K59" i="24"/>
  <c r="K60" i="24"/>
  <c r="K61" i="24"/>
  <c r="J61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J43" i="24"/>
  <c r="J44" i="24"/>
  <c r="J45" i="24"/>
  <c r="J46" i="24"/>
  <c r="J47" i="24"/>
  <c r="J48" i="24"/>
  <c r="J49" i="24"/>
  <c r="J50" i="24"/>
  <c r="J51" i="24"/>
  <c r="J52" i="24"/>
  <c r="J53" i="24"/>
  <c r="J54" i="24"/>
  <c r="J55" i="24"/>
  <c r="J56" i="24"/>
  <c r="J57" i="24"/>
  <c r="J58" i="24"/>
  <c r="J59" i="24"/>
  <c r="J60" i="24"/>
  <c r="J9" i="24"/>
  <c r="J8" i="24"/>
  <c r="T72" i="23"/>
  <c r="T71" i="23"/>
  <c r="T70" i="23"/>
  <c r="T69" i="23"/>
  <c r="T68" i="23"/>
  <c r="T67" i="23"/>
  <c r="F72" i="23"/>
  <c r="F71" i="23"/>
  <c r="F70" i="23"/>
  <c r="F69" i="23"/>
  <c r="F68" i="23"/>
  <c r="F67" i="23"/>
  <c r="T59" i="23"/>
  <c r="T8" i="23"/>
  <c r="T9" i="23"/>
  <c r="T10" i="23"/>
  <c r="T11" i="23"/>
  <c r="T12" i="23"/>
  <c r="T13" i="23"/>
  <c r="T14" i="23"/>
  <c r="T15" i="23"/>
  <c r="T16" i="23"/>
  <c r="T17" i="23"/>
  <c r="T18" i="23"/>
  <c r="T19" i="23"/>
  <c r="T20" i="23"/>
  <c r="T21" i="23"/>
  <c r="T22" i="23"/>
  <c r="T23" i="23"/>
  <c r="T24" i="23"/>
  <c r="T25" i="23"/>
  <c r="T26" i="23"/>
  <c r="T27" i="23"/>
  <c r="T28" i="23"/>
  <c r="T29" i="23"/>
  <c r="T30" i="23"/>
  <c r="T31" i="23"/>
  <c r="T32" i="23"/>
  <c r="T33" i="23"/>
  <c r="T34" i="23"/>
  <c r="T35" i="23"/>
  <c r="T36" i="23"/>
  <c r="T37" i="23"/>
  <c r="T38" i="23"/>
  <c r="T39" i="23"/>
  <c r="T40" i="23"/>
  <c r="T41" i="23"/>
  <c r="T42" i="23"/>
  <c r="T43" i="23"/>
  <c r="T44" i="23"/>
  <c r="T45" i="23"/>
  <c r="T46" i="23"/>
  <c r="T47" i="23"/>
  <c r="T48" i="23"/>
  <c r="T49" i="23"/>
  <c r="T50" i="23"/>
  <c r="T51" i="23"/>
  <c r="T52" i="23"/>
  <c r="T53" i="23"/>
  <c r="T54" i="23"/>
  <c r="T55" i="23"/>
  <c r="T56" i="23"/>
  <c r="T57" i="23"/>
  <c r="T58" i="23"/>
  <c r="T7" i="23"/>
  <c r="T6" i="23"/>
  <c r="F59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7" i="23"/>
  <c r="I7" i="23" s="1"/>
  <c r="F6" i="23"/>
  <c r="C68" i="6"/>
  <c r="R125" i="14"/>
  <c r="R120" i="14"/>
  <c r="R121" i="14"/>
  <c r="R122" i="14"/>
  <c r="R123" i="14"/>
  <c r="R124" i="14"/>
  <c r="R119" i="14"/>
  <c r="R118" i="14"/>
  <c r="F125" i="14"/>
  <c r="F120" i="14"/>
  <c r="F121" i="14"/>
  <c r="F122" i="14"/>
  <c r="F123" i="14"/>
  <c r="F124" i="14"/>
  <c r="F119" i="14"/>
  <c r="F118" i="14"/>
  <c r="R111" i="14"/>
  <c r="R106" i="14"/>
  <c r="R107" i="14"/>
  <c r="R108" i="14"/>
  <c r="R109" i="14"/>
  <c r="R110" i="14"/>
  <c r="R105" i="14"/>
  <c r="R104" i="14"/>
  <c r="F111" i="14"/>
  <c r="F110" i="14"/>
  <c r="F109" i="14"/>
  <c r="F108" i="14"/>
  <c r="F107" i="14"/>
  <c r="F106" i="14"/>
  <c r="F105" i="14"/>
  <c r="F104" i="14"/>
  <c r="R97" i="14"/>
  <c r="R92" i="14"/>
  <c r="R93" i="14"/>
  <c r="R94" i="14"/>
  <c r="R95" i="14"/>
  <c r="R96" i="14"/>
  <c r="R91" i="14"/>
  <c r="R90" i="14"/>
  <c r="F97" i="14"/>
  <c r="F92" i="14"/>
  <c r="F93" i="14"/>
  <c r="F94" i="14"/>
  <c r="F95" i="14"/>
  <c r="F96" i="14"/>
  <c r="F91" i="14"/>
  <c r="F90" i="14"/>
  <c r="R83" i="14"/>
  <c r="R78" i="14"/>
  <c r="R79" i="14"/>
  <c r="R80" i="14"/>
  <c r="R81" i="14"/>
  <c r="R82" i="14"/>
  <c r="R77" i="14"/>
  <c r="R76" i="14"/>
  <c r="F83" i="14"/>
  <c r="F78" i="14"/>
  <c r="F79" i="14"/>
  <c r="F80" i="14"/>
  <c r="F81" i="14"/>
  <c r="F82" i="14"/>
  <c r="F77" i="14"/>
  <c r="F76" i="14"/>
  <c r="R69" i="14"/>
  <c r="R64" i="14"/>
  <c r="R65" i="14"/>
  <c r="R66" i="14"/>
  <c r="R67" i="14"/>
  <c r="R68" i="14"/>
  <c r="R63" i="14"/>
  <c r="R62" i="14"/>
  <c r="F69" i="14"/>
  <c r="F64" i="14"/>
  <c r="F65" i="14"/>
  <c r="F66" i="14"/>
  <c r="F67" i="14"/>
  <c r="F68" i="14"/>
  <c r="F62" i="14"/>
  <c r="F63" i="14"/>
  <c r="AB55" i="14"/>
  <c r="AB50" i="14"/>
  <c r="AB51" i="14"/>
  <c r="AB52" i="14"/>
  <c r="AB53" i="14"/>
  <c r="AB54" i="14"/>
  <c r="AB49" i="14"/>
  <c r="AB48" i="14"/>
  <c r="F55" i="14"/>
  <c r="F50" i="14"/>
  <c r="F51" i="14"/>
  <c r="F52" i="14"/>
  <c r="F53" i="14"/>
  <c r="F54" i="14"/>
  <c r="F49" i="14"/>
  <c r="F48" i="14"/>
  <c r="R41" i="14"/>
  <c r="R36" i="14"/>
  <c r="R37" i="14"/>
  <c r="R38" i="14"/>
  <c r="R39" i="14"/>
  <c r="R40" i="14"/>
  <c r="R35" i="14"/>
  <c r="R34" i="14"/>
  <c r="F41" i="14"/>
  <c r="F36" i="14"/>
  <c r="F37" i="14"/>
  <c r="F38" i="14"/>
  <c r="F39" i="14"/>
  <c r="F40" i="14"/>
  <c r="F35" i="14"/>
  <c r="F34" i="14"/>
  <c r="R27" i="14"/>
  <c r="R26" i="14"/>
  <c r="R25" i="14"/>
  <c r="R24" i="14"/>
  <c r="R23" i="14"/>
  <c r="R22" i="14"/>
  <c r="R21" i="14"/>
  <c r="R20" i="14"/>
  <c r="F27" i="14"/>
  <c r="F23" i="14"/>
  <c r="F24" i="14"/>
  <c r="F25" i="14"/>
  <c r="F26" i="14"/>
  <c r="F22" i="14"/>
  <c r="F21" i="14"/>
  <c r="F20" i="14"/>
  <c r="F13" i="14"/>
  <c r="F8" i="14"/>
  <c r="F9" i="14"/>
  <c r="F10" i="14"/>
  <c r="F11" i="14"/>
  <c r="F12" i="14"/>
  <c r="F7" i="14"/>
  <c r="F6" i="14"/>
  <c r="F166" i="12"/>
  <c r="F165" i="12"/>
  <c r="F164" i="12"/>
  <c r="F163" i="12"/>
  <c r="F162" i="12"/>
  <c r="F161" i="12"/>
  <c r="F160" i="12"/>
  <c r="F159" i="12"/>
  <c r="F158" i="12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29" i="12"/>
  <c r="F128" i="12"/>
  <c r="F127" i="12"/>
  <c r="F126" i="12"/>
  <c r="F125" i="12"/>
  <c r="F124" i="12"/>
  <c r="F123" i="12"/>
  <c r="F122" i="12"/>
  <c r="F121" i="12"/>
  <c r="F114" i="12"/>
  <c r="F115" i="12"/>
  <c r="F116" i="12"/>
  <c r="F117" i="12"/>
  <c r="F118" i="12"/>
  <c r="F119" i="12"/>
  <c r="F120" i="12"/>
  <c r="F113" i="12"/>
  <c r="F112" i="12"/>
  <c r="F71" i="13"/>
  <c r="F70" i="13"/>
  <c r="F69" i="13"/>
  <c r="F68" i="13"/>
  <c r="F67" i="13"/>
  <c r="F66" i="13"/>
  <c r="F59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7" i="13"/>
  <c r="F6" i="13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J59" i="11"/>
  <c r="J58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7" i="11"/>
  <c r="J6" i="11"/>
  <c r="T72" i="10"/>
  <c r="T69" i="10"/>
  <c r="T70" i="10"/>
  <c r="T71" i="10"/>
  <c r="T68" i="10"/>
  <c r="T67" i="10"/>
  <c r="F72" i="10"/>
  <c r="F69" i="10"/>
  <c r="F70" i="10"/>
  <c r="F71" i="10"/>
  <c r="F68" i="10"/>
  <c r="F67" i="10"/>
  <c r="F7" i="10"/>
  <c r="T59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T53" i="10"/>
  <c r="T54" i="10"/>
  <c r="T55" i="10"/>
  <c r="T56" i="10"/>
  <c r="T57" i="10"/>
  <c r="T58" i="10"/>
  <c r="T7" i="10"/>
  <c r="T6" i="10"/>
  <c r="F59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6" i="10"/>
  <c r="C44" i="28"/>
  <c r="C43" i="28"/>
  <c r="C42" i="28"/>
  <c r="C41" i="28"/>
  <c r="C40" i="28"/>
  <c r="C39" i="28"/>
  <c r="C38" i="28"/>
  <c r="C37" i="28"/>
  <c r="C36" i="28"/>
  <c r="C35" i="28"/>
  <c r="C34" i="28"/>
  <c r="C33" i="28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E17" i="28"/>
  <c r="F17" i="28" s="1"/>
  <c r="C16" i="28"/>
  <c r="C15" i="28"/>
  <c r="C14" i="28"/>
  <c r="C13" i="28"/>
  <c r="C12" i="28"/>
  <c r="Y14" i="24" l="1"/>
  <c r="V14" i="24"/>
  <c r="S14" i="24"/>
  <c r="Y18" i="24"/>
  <c r="V18" i="24"/>
  <c r="S18" i="24"/>
  <c r="Y22" i="24"/>
  <c r="V22" i="24"/>
  <c r="S22" i="24"/>
  <c r="Y26" i="24"/>
  <c r="V26" i="24"/>
  <c r="S26" i="24"/>
  <c r="V30" i="24"/>
  <c r="Y30" i="24"/>
  <c r="S30" i="24"/>
  <c r="V34" i="24"/>
  <c r="Y34" i="24"/>
  <c r="S34" i="24"/>
  <c r="V38" i="24"/>
  <c r="Y38" i="24"/>
  <c r="S38" i="24"/>
  <c r="V42" i="24"/>
  <c r="Y42" i="24"/>
  <c r="S42" i="24"/>
  <c r="V46" i="24"/>
  <c r="Y46" i="24"/>
  <c r="S46" i="24"/>
  <c r="V50" i="24"/>
  <c r="Y50" i="24"/>
  <c r="S50" i="24"/>
  <c r="V54" i="24"/>
  <c r="Y54" i="24"/>
  <c r="S54" i="24"/>
  <c r="V58" i="24"/>
  <c r="Y58" i="24"/>
  <c r="S58" i="24"/>
  <c r="Y61" i="24"/>
  <c r="S61" i="24"/>
  <c r="V61" i="24"/>
  <c r="Y13" i="24"/>
  <c r="S13" i="24"/>
  <c r="V13" i="24"/>
  <c r="Y17" i="24"/>
  <c r="S17" i="24"/>
  <c r="V17" i="24"/>
  <c r="Y21" i="24"/>
  <c r="S21" i="24"/>
  <c r="V21" i="24"/>
  <c r="Y25" i="24"/>
  <c r="S25" i="24"/>
  <c r="V25" i="24"/>
  <c r="Y29" i="24"/>
  <c r="S29" i="24"/>
  <c r="V29" i="24"/>
  <c r="Y33" i="24"/>
  <c r="S33" i="24"/>
  <c r="V33" i="24"/>
  <c r="Y37" i="24"/>
  <c r="S37" i="24"/>
  <c r="V37" i="24"/>
  <c r="Y41" i="24"/>
  <c r="S41" i="24"/>
  <c r="V41" i="24"/>
  <c r="Y45" i="24"/>
  <c r="S45" i="24"/>
  <c r="V45" i="24"/>
  <c r="Y49" i="24"/>
  <c r="S49" i="24"/>
  <c r="V49" i="24"/>
  <c r="Y53" i="24"/>
  <c r="S53" i="24"/>
  <c r="V53" i="24"/>
  <c r="Y57" i="24"/>
  <c r="S57" i="24"/>
  <c r="V57" i="24"/>
  <c r="Y9" i="24"/>
  <c r="S9" i="24"/>
  <c r="V9" i="24"/>
  <c r="Y12" i="24"/>
  <c r="V12" i="24"/>
  <c r="S12" i="24"/>
  <c r="Y16" i="24"/>
  <c r="V16" i="24"/>
  <c r="S16" i="24"/>
  <c r="Y20" i="24"/>
  <c r="V20" i="24"/>
  <c r="S20" i="24"/>
  <c r="Y24" i="24"/>
  <c r="V24" i="24"/>
  <c r="S24" i="24"/>
  <c r="Y28" i="24"/>
  <c r="V28" i="24"/>
  <c r="S28" i="24"/>
  <c r="Y32" i="24"/>
  <c r="V32" i="24"/>
  <c r="S32" i="24"/>
  <c r="Y36" i="24"/>
  <c r="V36" i="24"/>
  <c r="S36" i="24"/>
  <c r="Y40" i="24"/>
  <c r="V40" i="24"/>
  <c r="S40" i="24"/>
  <c r="Y44" i="24"/>
  <c r="V44" i="24"/>
  <c r="S44" i="24"/>
  <c r="Y48" i="24"/>
  <c r="V48" i="24"/>
  <c r="S48" i="24"/>
  <c r="Y52" i="24"/>
  <c r="V52" i="24"/>
  <c r="S52" i="24"/>
  <c r="Y56" i="24"/>
  <c r="V56" i="24"/>
  <c r="S56" i="24"/>
  <c r="Y60" i="24"/>
  <c r="V60" i="24"/>
  <c r="S60" i="24"/>
  <c r="Y11" i="24"/>
  <c r="S11" i="24"/>
  <c r="V11" i="24"/>
  <c r="Y15" i="24"/>
  <c r="S15" i="24"/>
  <c r="V15" i="24"/>
  <c r="Y19" i="24"/>
  <c r="S19" i="24"/>
  <c r="V19" i="24"/>
  <c r="Y23" i="24"/>
  <c r="S23" i="24"/>
  <c r="V23" i="24"/>
  <c r="Y27" i="24"/>
  <c r="S27" i="24"/>
  <c r="V27" i="24"/>
  <c r="Y31" i="24"/>
  <c r="S31" i="24"/>
  <c r="V31" i="24"/>
  <c r="Y35" i="24"/>
  <c r="S35" i="24"/>
  <c r="V35" i="24"/>
  <c r="Y39" i="24"/>
  <c r="S39" i="24"/>
  <c r="V39" i="24"/>
  <c r="Y43" i="24"/>
  <c r="S43" i="24"/>
  <c r="V43" i="24"/>
  <c r="Y47" i="24"/>
  <c r="S47" i="24"/>
  <c r="V47" i="24"/>
  <c r="Y51" i="24"/>
  <c r="S51" i="24"/>
  <c r="V51" i="24"/>
  <c r="Y55" i="24"/>
  <c r="S55" i="24"/>
  <c r="V55" i="24"/>
  <c r="Y59" i="24"/>
  <c r="S59" i="24"/>
  <c r="V59" i="24"/>
  <c r="AA76" i="19"/>
  <c r="F70" i="28"/>
  <c r="AA82" i="19" s="1"/>
  <c r="F72" i="28"/>
  <c r="E79" i="5" s="1"/>
  <c r="F66" i="28"/>
  <c r="E73" i="5" s="1"/>
  <c r="C377" i="14"/>
  <c r="C379" i="14"/>
  <c r="C381" i="14"/>
  <c r="C375" i="14"/>
  <c r="C363" i="14"/>
  <c r="C365" i="14"/>
  <c r="C367" i="14"/>
  <c r="C361" i="14"/>
  <c r="C349" i="14"/>
  <c r="C351" i="14"/>
  <c r="C353" i="14"/>
  <c r="C347" i="14"/>
  <c r="C335" i="14"/>
  <c r="C337" i="14"/>
  <c r="C339" i="14"/>
  <c r="C333" i="14"/>
  <c r="C249" i="14"/>
  <c r="C251" i="14"/>
  <c r="C253" i="14"/>
  <c r="C247" i="14"/>
  <c r="C235" i="14"/>
  <c r="C237" i="14"/>
  <c r="C239" i="14"/>
  <c r="C233" i="14"/>
  <c r="C221" i="14"/>
  <c r="C223" i="14"/>
  <c r="C225" i="14"/>
  <c r="C219" i="14"/>
  <c r="C207" i="14"/>
  <c r="C209" i="14"/>
  <c r="C211" i="14"/>
  <c r="C205" i="14"/>
  <c r="C120" i="14"/>
  <c r="C122" i="14"/>
  <c r="C124" i="14"/>
  <c r="C118" i="14"/>
  <c r="C106" i="14"/>
  <c r="C108" i="14"/>
  <c r="C110" i="14"/>
  <c r="C104" i="14"/>
  <c r="C92" i="14"/>
  <c r="C94" i="14"/>
  <c r="C96" i="14"/>
  <c r="C90" i="14"/>
  <c r="C78" i="14"/>
  <c r="C80" i="14"/>
  <c r="C82" i="14"/>
  <c r="C76" i="14"/>
  <c r="C376" i="14"/>
  <c r="C378" i="14"/>
  <c r="C380" i="14"/>
  <c r="C382" i="14"/>
  <c r="C362" i="14"/>
  <c r="C364" i="14"/>
  <c r="C366" i="14"/>
  <c r="C368" i="14"/>
  <c r="C348" i="14"/>
  <c r="C350" i="14"/>
  <c r="C352" i="14"/>
  <c r="C354" i="14"/>
  <c r="C334" i="14"/>
  <c r="C336" i="14"/>
  <c r="C338" i="14"/>
  <c r="C340" i="14"/>
  <c r="C248" i="14"/>
  <c r="C250" i="14"/>
  <c r="C252" i="14"/>
  <c r="C254" i="14"/>
  <c r="C234" i="14"/>
  <c r="C236" i="14"/>
  <c r="C238" i="14"/>
  <c r="C240" i="14"/>
  <c r="C220" i="14"/>
  <c r="C222" i="14"/>
  <c r="C224" i="14"/>
  <c r="C226" i="14"/>
  <c r="C206" i="14"/>
  <c r="C208" i="14"/>
  <c r="C210" i="14"/>
  <c r="C212" i="14"/>
  <c r="C119" i="14"/>
  <c r="C121" i="14"/>
  <c r="C123" i="14"/>
  <c r="C125" i="14"/>
  <c r="C105" i="14"/>
  <c r="C107" i="14"/>
  <c r="C109" i="14"/>
  <c r="C111" i="14"/>
  <c r="C91" i="14"/>
  <c r="C93" i="14"/>
  <c r="C95" i="14"/>
  <c r="C97" i="14"/>
  <c r="C77" i="14"/>
  <c r="C79" i="14"/>
  <c r="C81" i="14"/>
  <c r="C83" i="14"/>
  <c r="O45" i="20"/>
  <c r="E77" i="5"/>
  <c r="M22" i="10"/>
  <c r="M38" i="10"/>
  <c r="M54" i="10"/>
  <c r="M7" i="10"/>
  <c r="Q7" i="13" s="1"/>
  <c r="M23" i="10"/>
  <c r="M39" i="10"/>
  <c r="M55" i="10"/>
  <c r="M8" i="10"/>
  <c r="M24" i="10"/>
  <c r="M40" i="10"/>
  <c r="M56" i="10"/>
  <c r="M13" i="10"/>
  <c r="S27" i="12" s="1"/>
  <c r="M29" i="10"/>
  <c r="M45" i="10"/>
  <c r="M68" i="10"/>
  <c r="M10" i="10"/>
  <c r="M26" i="10"/>
  <c r="M42" i="10"/>
  <c r="M58" i="10"/>
  <c r="M11" i="10"/>
  <c r="M27" i="10"/>
  <c r="M43" i="10"/>
  <c r="M59" i="10"/>
  <c r="M12" i="10"/>
  <c r="M28" i="10"/>
  <c r="M44" i="10"/>
  <c r="M67" i="10"/>
  <c r="M17" i="10"/>
  <c r="M33" i="10"/>
  <c r="M49" i="10"/>
  <c r="M72" i="10"/>
  <c r="M14" i="10"/>
  <c r="M30" i="10"/>
  <c r="M46" i="10"/>
  <c r="M69" i="10"/>
  <c r="M15" i="10"/>
  <c r="M31" i="10"/>
  <c r="M47" i="10"/>
  <c r="M70" i="10"/>
  <c r="M16" i="10"/>
  <c r="M32" i="10"/>
  <c r="M48" i="10"/>
  <c r="M71" i="10"/>
  <c r="M21" i="10"/>
  <c r="M37" i="10"/>
  <c r="M53" i="10"/>
  <c r="M6" i="10"/>
  <c r="Q6" i="10"/>
  <c r="M9" i="10"/>
  <c r="O377" i="14"/>
  <c r="O363" i="14"/>
  <c r="O335" i="14"/>
  <c r="O321" i="14"/>
  <c r="C321" i="14"/>
  <c r="O279" i="14"/>
  <c r="O249" i="14"/>
  <c r="O235" i="14"/>
  <c r="O207" i="14"/>
  <c r="O193" i="14"/>
  <c r="C193" i="14"/>
  <c r="O151" i="14"/>
  <c r="O120" i="14"/>
  <c r="O106" i="14"/>
  <c r="O78" i="14"/>
  <c r="O64" i="14"/>
  <c r="C64" i="14"/>
  <c r="O22" i="14"/>
  <c r="O382" i="14"/>
  <c r="O368" i="14"/>
  <c r="O340" i="14"/>
  <c r="O326" i="14"/>
  <c r="C326" i="14"/>
  <c r="O284" i="14"/>
  <c r="O254" i="14"/>
  <c r="O240" i="14"/>
  <c r="M18" i="10"/>
  <c r="M19" i="10"/>
  <c r="S37" i="12" s="1"/>
  <c r="M20" i="10"/>
  <c r="M25" i="10"/>
  <c r="O379" i="14"/>
  <c r="O365" i="14"/>
  <c r="O337" i="14"/>
  <c r="O323" i="14"/>
  <c r="C323" i="14"/>
  <c r="O281" i="14"/>
  <c r="O251" i="14"/>
  <c r="O237" i="14"/>
  <c r="O209" i="14"/>
  <c r="O195" i="14"/>
  <c r="C195" i="14"/>
  <c r="O153" i="14"/>
  <c r="O122" i="14"/>
  <c r="O108" i="14"/>
  <c r="O80" i="14"/>
  <c r="O66" i="14"/>
  <c r="C66" i="14"/>
  <c r="O24" i="14"/>
  <c r="O376" i="14"/>
  <c r="O362" i="14"/>
  <c r="M34" i="10"/>
  <c r="M35" i="10"/>
  <c r="M36" i="10"/>
  <c r="M41" i="10"/>
  <c r="O381" i="14"/>
  <c r="O367" i="14"/>
  <c r="O339" i="14"/>
  <c r="O325" i="14"/>
  <c r="C325" i="14"/>
  <c r="O283" i="14"/>
  <c r="O253" i="14"/>
  <c r="O239" i="14"/>
  <c r="O211" i="14"/>
  <c r="O197" i="14"/>
  <c r="C197" i="14"/>
  <c r="O155" i="14"/>
  <c r="O124" i="14"/>
  <c r="O110" i="14"/>
  <c r="O82" i="14"/>
  <c r="O68" i="14"/>
  <c r="C68" i="14"/>
  <c r="O26" i="14"/>
  <c r="O378" i="14"/>
  <c r="O364" i="14"/>
  <c r="O336" i="14"/>
  <c r="O322" i="14"/>
  <c r="C322" i="14"/>
  <c r="O280" i="14"/>
  <c r="O250" i="14"/>
  <c r="O236" i="14"/>
  <c r="M50" i="10"/>
  <c r="M51" i="10"/>
  <c r="M52" i="10"/>
  <c r="M57" i="10"/>
  <c r="O375" i="14"/>
  <c r="O361" i="14"/>
  <c r="O333" i="14"/>
  <c r="O319" i="14"/>
  <c r="C319" i="14"/>
  <c r="O277" i="14"/>
  <c r="O247" i="14"/>
  <c r="O233" i="14"/>
  <c r="O205" i="14"/>
  <c r="O191" i="14"/>
  <c r="C191" i="14"/>
  <c r="O149" i="14"/>
  <c r="O118" i="14"/>
  <c r="O104" i="14"/>
  <c r="O76" i="14"/>
  <c r="O62" i="14"/>
  <c r="C62" i="14"/>
  <c r="O20" i="14"/>
  <c r="O380" i="14"/>
  <c r="O366" i="14"/>
  <c r="O338" i="14"/>
  <c r="O324" i="14"/>
  <c r="C324" i="14"/>
  <c r="O282" i="14"/>
  <c r="O252" i="14"/>
  <c r="C320" i="14"/>
  <c r="O234" i="14"/>
  <c r="O210" i="14"/>
  <c r="O196" i="14"/>
  <c r="C196" i="14"/>
  <c r="O154" i="14"/>
  <c r="O123" i="14"/>
  <c r="O109" i="14"/>
  <c r="O81" i="14"/>
  <c r="O67" i="14"/>
  <c r="C67" i="14"/>
  <c r="O25" i="14"/>
  <c r="O334" i="14"/>
  <c r="O278" i="14"/>
  <c r="O212" i="14"/>
  <c r="C198" i="14"/>
  <c r="O156" i="14"/>
  <c r="O125" i="14"/>
  <c r="O111" i="14"/>
  <c r="C69" i="14"/>
  <c r="O27" i="14"/>
  <c r="O248" i="14"/>
  <c r="O206" i="14"/>
  <c r="O192" i="14"/>
  <c r="C192" i="14"/>
  <c r="O150" i="14"/>
  <c r="O119" i="14"/>
  <c r="O105" i="14"/>
  <c r="O77" i="14"/>
  <c r="O63" i="14"/>
  <c r="C63" i="14"/>
  <c r="O21" i="14"/>
  <c r="O238" i="14"/>
  <c r="O83" i="14"/>
  <c r="O69" i="14"/>
  <c r="O320" i="14"/>
  <c r="O208" i="14"/>
  <c r="O194" i="14"/>
  <c r="C194" i="14"/>
  <c r="O152" i="14"/>
  <c r="O121" i="14"/>
  <c r="O107" i="14"/>
  <c r="O79" i="14"/>
  <c r="O65" i="14"/>
  <c r="C65" i="14"/>
  <c r="O23" i="14"/>
  <c r="O198" i="14"/>
  <c r="AF265" i="17"/>
  <c r="E6" i="11"/>
  <c r="C130" i="12"/>
  <c r="AF274" i="3"/>
  <c r="AF273" i="17"/>
  <c r="AF270" i="3"/>
  <c r="AF269" i="17"/>
  <c r="AF273" i="3"/>
  <c r="AF272" i="17"/>
  <c r="C312" i="14"/>
  <c r="C298" i="14"/>
  <c r="O265" i="14"/>
  <c r="O225" i="14"/>
  <c r="O221" i="14"/>
  <c r="C184" i="14"/>
  <c r="O182" i="14"/>
  <c r="C180" i="14"/>
  <c r="O178" i="14"/>
  <c r="C142" i="14"/>
  <c r="O140" i="14"/>
  <c r="C138" i="14"/>
  <c r="O136" i="14"/>
  <c r="C306" i="14"/>
  <c r="C295" i="14"/>
  <c r="O293" i="14"/>
  <c r="C291" i="14"/>
  <c r="C281" i="14"/>
  <c r="C277" i="14"/>
  <c r="O222" i="14"/>
  <c r="C183" i="14"/>
  <c r="O181" i="14"/>
  <c r="C179" i="14"/>
  <c r="O177" i="14"/>
  <c r="O170" i="14"/>
  <c r="O169" i="14"/>
  <c r="O168" i="14"/>
  <c r="O167" i="14"/>
  <c r="O166" i="14"/>
  <c r="O165" i="14"/>
  <c r="O164" i="14"/>
  <c r="O163" i="14"/>
  <c r="C141" i="14"/>
  <c r="O139" i="14"/>
  <c r="C137" i="14"/>
  <c r="O135" i="14"/>
  <c r="O350" i="14"/>
  <c r="C308" i="14"/>
  <c r="C267" i="14"/>
  <c r="O226" i="14"/>
  <c r="O223" i="14"/>
  <c r="O219" i="14"/>
  <c r="O184" i="14"/>
  <c r="C182" i="14"/>
  <c r="O180" i="14"/>
  <c r="C178" i="14"/>
  <c r="O142" i="14"/>
  <c r="C140" i="14"/>
  <c r="O138" i="14"/>
  <c r="C136" i="14"/>
  <c r="C310" i="14"/>
  <c r="O220" i="14"/>
  <c r="O183" i="14"/>
  <c r="C181" i="14"/>
  <c r="O179" i="14"/>
  <c r="C177" i="14"/>
  <c r="C167" i="14"/>
  <c r="C163" i="14"/>
  <c r="C153" i="14"/>
  <c r="C149" i="14"/>
  <c r="O141" i="14"/>
  <c r="C139" i="14"/>
  <c r="O137" i="14"/>
  <c r="C135" i="14"/>
  <c r="C164" i="14"/>
  <c r="C6" i="11"/>
  <c r="C296" i="14"/>
  <c r="O269" i="14"/>
  <c r="C263" i="14"/>
  <c r="O224" i="14"/>
  <c r="C170" i="14"/>
  <c r="C166" i="14"/>
  <c r="C156" i="14"/>
  <c r="C152" i="14"/>
  <c r="C168" i="14"/>
  <c r="C150" i="14"/>
  <c r="C169" i="14"/>
  <c r="C165" i="14"/>
  <c r="C155" i="14"/>
  <c r="C151" i="14"/>
  <c r="C154" i="14"/>
  <c r="E12" i="11"/>
  <c r="E28" i="11"/>
  <c r="E44" i="11"/>
  <c r="D6" i="11"/>
  <c r="E18" i="11"/>
  <c r="E34" i="11"/>
  <c r="E50" i="11"/>
  <c r="E7" i="11"/>
  <c r="E23" i="11"/>
  <c r="E39" i="11"/>
  <c r="E55" i="11"/>
  <c r="E33" i="11"/>
  <c r="C270" i="14"/>
  <c r="O264" i="14"/>
  <c r="O354" i="14"/>
  <c r="O312" i="14"/>
  <c r="O298" i="14"/>
  <c r="C283" i="14"/>
  <c r="C265" i="14"/>
  <c r="E9" i="11"/>
  <c r="O270" i="14"/>
  <c r="E29" i="11"/>
  <c r="E13" i="11"/>
  <c r="O297" i="14"/>
  <c r="O307" i="14"/>
  <c r="O311" i="14"/>
  <c r="E16" i="11"/>
  <c r="E32" i="11"/>
  <c r="E48" i="11"/>
  <c r="E22" i="11"/>
  <c r="E38" i="11"/>
  <c r="E54" i="11"/>
  <c r="E11" i="11"/>
  <c r="E27" i="11"/>
  <c r="E43" i="11"/>
  <c r="E59" i="11"/>
  <c r="E49" i="11"/>
  <c r="C294" i="14"/>
  <c r="C280" i="14"/>
  <c r="O268" i="14"/>
  <c r="E21" i="11"/>
  <c r="O353" i="14"/>
  <c r="O310" i="14"/>
  <c r="O296" i="14"/>
  <c r="C269" i="14"/>
  <c r="O263" i="14"/>
  <c r="E25" i="11"/>
  <c r="C282" i="14"/>
  <c r="C264" i="14"/>
  <c r="E20" i="11"/>
  <c r="E36" i="11"/>
  <c r="E52" i="11"/>
  <c r="E10" i="11"/>
  <c r="E26" i="11"/>
  <c r="E42" i="11"/>
  <c r="E58" i="11"/>
  <c r="E15" i="11"/>
  <c r="E31" i="11"/>
  <c r="E47" i="11"/>
  <c r="O351" i="14"/>
  <c r="O347" i="14"/>
  <c r="O292" i="14"/>
  <c r="E37" i="11"/>
  <c r="O308" i="14"/>
  <c r="C293" i="14"/>
  <c r="C279" i="14"/>
  <c r="O267" i="14"/>
  <c r="E41" i="11"/>
  <c r="O294" i="14"/>
  <c r="C268" i="14"/>
  <c r="E45" i="11"/>
  <c r="O348" i="14"/>
  <c r="O295" i="14"/>
  <c r="O305" i="14"/>
  <c r="O309" i="14"/>
  <c r="E24" i="11"/>
  <c r="E30" i="11"/>
  <c r="E19" i="11"/>
  <c r="E17" i="11"/>
  <c r="C297" i="14"/>
  <c r="C311" i="14"/>
  <c r="E56" i="11"/>
  <c r="E51" i="11"/>
  <c r="E53" i="11"/>
  <c r="O306" i="14"/>
  <c r="E40" i="11"/>
  <c r="E46" i="11"/>
  <c r="E35" i="11"/>
  <c r="C266" i="14"/>
  <c r="E57" i="11"/>
  <c r="O266" i="14"/>
  <c r="C305" i="14"/>
  <c r="C284" i="14"/>
  <c r="C292" i="14"/>
  <c r="C307" i="14"/>
  <c r="E8" i="11"/>
  <c r="C278" i="14"/>
  <c r="E14" i="11"/>
  <c r="O352" i="14"/>
  <c r="O349" i="14"/>
  <c r="C309" i="14"/>
  <c r="O291" i="14"/>
  <c r="C23" i="10"/>
  <c r="O17" i="20"/>
  <c r="AF237" i="17"/>
  <c r="E66" i="5"/>
  <c r="AA71" i="19"/>
  <c r="E68" i="5"/>
  <c r="AA73" i="19"/>
  <c r="E65" i="5"/>
  <c r="AA70" i="19"/>
  <c r="E62" i="5"/>
  <c r="AA67" i="19"/>
  <c r="E72" i="5"/>
  <c r="AA77" i="19"/>
  <c r="O6" i="20"/>
  <c r="AF226" i="17"/>
  <c r="E64" i="5"/>
  <c r="AA69" i="19"/>
  <c r="E67" i="5"/>
  <c r="AA72" i="19"/>
  <c r="E78" i="5"/>
  <c r="AA83" i="19"/>
  <c r="E69" i="5"/>
  <c r="AA74" i="19"/>
  <c r="E74" i="5"/>
  <c r="AA79" i="19"/>
  <c r="AF238" i="3"/>
  <c r="Y90" i="6"/>
  <c r="AF227" i="3"/>
  <c r="Y79" i="6"/>
  <c r="C33" i="11"/>
  <c r="C11" i="14"/>
  <c r="O53" i="14"/>
  <c r="C49" i="11"/>
  <c r="C25" i="14"/>
  <c r="C17" i="11"/>
  <c r="C39" i="14"/>
  <c r="C45" i="11"/>
  <c r="C29" i="11"/>
  <c r="C13" i="11"/>
  <c r="C13" i="14"/>
  <c r="C27" i="14"/>
  <c r="O55" i="14"/>
  <c r="C41" i="14"/>
  <c r="C57" i="11"/>
  <c r="C41" i="11"/>
  <c r="C25" i="11"/>
  <c r="C9" i="11"/>
  <c r="O11" i="14"/>
  <c r="O39" i="14"/>
  <c r="C53" i="14"/>
  <c r="O95" i="14"/>
  <c r="C53" i="11"/>
  <c r="C37" i="11"/>
  <c r="C21" i="11"/>
  <c r="O13" i="14"/>
  <c r="O41" i="14"/>
  <c r="C55" i="14"/>
  <c r="O97" i="14"/>
  <c r="C55" i="11"/>
  <c r="C51" i="11"/>
  <c r="C47" i="11"/>
  <c r="C43" i="11"/>
  <c r="C39" i="11"/>
  <c r="C35" i="11"/>
  <c r="C31" i="11"/>
  <c r="C27" i="11"/>
  <c r="C23" i="11"/>
  <c r="C19" i="11"/>
  <c r="C15" i="11"/>
  <c r="C11" i="11"/>
  <c r="C58" i="11"/>
  <c r="C7" i="14"/>
  <c r="C9" i="14"/>
  <c r="O7" i="14"/>
  <c r="O9" i="14"/>
  <c r="C21" i="14"/>
  <c r="C23" i="14"/>
  <c r="O49" i="14"/>
  <c r="O51" i="14"/>
  <c r="O35" i="14"/>
  <c r="O37" i="14"/>
  <c r="C35" i="14"/>
  <c r="C37" i="14"/>
  <c r="C49" i="14"/>
  <c r="C51" i="14"/>
  <c r="O91" i="14"/>
  <c r="O93" i="14"/>
  <c r="C7" i="11"/>
  <c r="C54" i="11"/>
  <c r="C50" i="11"/>
  <c r="C46" i="11"/>
  <c r="C42" i="11"/>
  <c r="C38" i="11"/>
  <c r="C34" i="11"/>
  <c r="C30" i="11"/>
  <c r="C26" i="11"/>
  <c r="C22" i="11"/>
  <c r="C18" i="11"/>
  <c r="C14" i="11"/>
  <c r="C10" i="11"/>
  <c r="C59" i="11"/>
  <c r="C12" i="14"/>
  <c r="C8" i="14"/>
  <c r="O12" i="14"/>
  <c r="O8" i="14"/>
  <c r="C26" i="14"/>
  <c r="C22" i="14"/>
  <c r="O54" i="14"/>
  <c r="O50" i="14"/>
  <c r="O40" i="14"/>
  <c r="O36" i="14"/>
  <c r="C40" i="14"/>
  <c r="C36" i="14"/>
  <c r="C54" i="14"/>
  <c r="C50" i="14"/>
  <c r="O96" i="14"/>
  <c r="O92" i="14"/>
  <c r="C56" i="11"/>
  <c r="C52" i="11"/>
  <c r="C48" i="11"/>
  <c r="C44" i="11"/>
  <c r="C40" i="11"/>
  <c r="C36" i="11"/>
  <c r="C32" i="11"/>
  <c r="C28" i="11"/>
  <c r="C24" i="11"/>
  <c r="C20" i="11"/>
  <c r="C16" i="11"/>
  <c r="C12" i="11"/>
  <c r="C8" i="11"/>
  <c r="C6" i="14"/>
  <c r="C10" i="14"/>
  <c r="O6" i="14"/>
  <c r="O10" i="14"/>
  <c r="C20" i="14"/>
  <c r="C24" i="14"/>
  <c r="O48" i="14"/>
  <c r="O52" i="14"/>
  <c r="O34" i="14"/>
  <c r="O38" i="14"/>
  <c r="C34" i="14"/>
  <c r="C38" i="14"/>
  <c r="C48" i="14"/>
  <c r="C52" i="14"/>
  <c r="O90" i="14"/>
  <c r="O94" i="14"/>
  <c r="C7" i="10"/>
  <c r="C57" i="10"/>
  <c r="C55" i="10"/>
  <c r="C53" i="10"/>
  <c r="C51" i="10"/>
  <c r="C49" i="10"/>
  <c r="C47" i="10"/>
  <c r="C45" i="10"/>
  <c r="C43" i="10"/>
  <c r="C41" i="10"/>
  <c r="C39" i="10"/>
  <c r="C37" i="10"/>
  <c r="C35" i="10"/>
  <c r="C33" i="10"/>
  <c r="C31" i="10"/>
  <c r="C29" i="10"/>
  <c r="C27" i="10"/>
  <c r="C25" i="10"/>
  <c r="C21" i="10"/>
  <c r="C19" i="10"/>
  <c r="C17" i="10"/>
  <c r="C15" i="10"/>
  <c r="C13" i="10"/>
  <c r="C11" i="10"/>
  <c r="C9" i="10"/>
  <c r="C59" i="10"/>
  <c r="Q7" i="10"/>
  <c r="Q57" i="10"/>
  <c r="Q55" i="10"/>
  <c r="Q53" i="10"/>
  <c r="Q51" i="10"/>
  <c r="Q49" i="10"/>
  <c r="Q47" i="10"/>
  <c r="Q45" i="10"/>
  <c r="Q43" i="10"/>
  <c r="Q41" i="10"/>
  <c r="Q39" i="10"/>
  <c r="Q37" i="10"/>
  <c r="Q35" i="10"/>
  <c r="Q33" i="10"/>
  <c r="Q31" i="10"/>
  <c r="Q29" i="10"/>
  <c r="Q27" i="10"/>
  <c r="Q25" i="10"/>
  <c r="Q23" i="10"/>
  <c r="Q21" i="10"/>
  <c r="Q19" i="10"/>
  <c r="Q17" i="10"/>
  <c r="Q15" i="10"/>
  <c r="Q13" i="10"/>
  <c r="Q11" i="10"/>
  <c r="Q9" i="10"/>
  <c r="Q59" i="10"/>
  <c r="C68" i="10"/>
  <c r="C70" i="10"/>
  <c r="C72" i="10"/>
  <c r="Q68" i="10"/>
  <c r="Q70" i="10"/>
  <c r="Q72" i="10"/>
  <c r="C81" i="10"/>
  <c r="C131" i="10"/>
  <c r="C129" i="10"/>
  <c r="C127" i="10"/>
  <c r="C125" i="10"/>
  <c r="C123" i="10"/>
  <c r="C121" i="10"/>
  <c r="C119" i="10"/>
  <c r="C117" i="10"/>
  <c r="C115" i="10"/>
  <c r="C113" i="10"/>
  <c r="C111" i="10"/>
  <c r="C109" i="10"/>
  <c r="C107" i="10"/>
  <c r="C105" i="10"/>
  <c r="C103" i="10"/>
  <c r="C101" i="10"/>
  <c r="C99" i="10"/>
  <c r="C97" i="10"/>
  <c r="C95" i="10"/>
  <c r="C93" i="10"/>
  <c r="C91" i="10"/>
  <c r="C89" i="10"/>
  <c r="C87" i="10"/>
  <c r="C85" i="10"/>
  <c r="C83" i="10"/>
  <c r="C133" i="10"/>
  <c r="O81" i="10"/>
  <c r="O83" i="10"/>
  <c r="O85" i="10"/>
  <c r="D58" i="11"/>
  <c r="D56" i="11"/>
  <c r="D54" i="11"/>
  <c r="D52" i="11"/>
  <c r="D50" i="11"/>
  <c r="D48" i="11"/>
  <c r="D46" i="11"/>
  <c r="D44" i="11"/>
  <c r="D42" i="11"/>
  <c r="D40" i="11"/>
  <c r="D38" i="11"/>
  <c r="D36" i="11"/>
  <c r="D34" i="11"/>
  <c r="D32" i="11"/>
  <c r="D30" i="11"/>
  <c r="D28" i="11"/>
  <c r="D26" i="11"/>
  <c r="D24" i="11"/>
  <c r="D22" i="11"/>
  <c r="D20" i="11"/>
  <c r="D18" i="11"/>
  <c r="D16" i="11"/>
  <c r="D14" i="11"/>
  <c r="D12" i="11"/>
  <c r="D10" i="11"/>
  <c r="D8" i="11"/>
  <c r="C112" i="12"/>
  <c r="C120" i="12"/>
  <c r="C118" i="12"/>
  <c r="C116" i="12"/>
  <c r="C114" i="12"/>
  <c r="C122" i="12"/>
  <c r="C124" i="12"/>
  <c r="C126" i="12"/>
  <c r="C128" i="12"/>
  <c r="C131" i="12"/>
  <c r="C133" i="12"/>
  <c r="C135" i="12"/>
  <c r="C137" i="12"/>
  <c r="C139" i="12"/>
  <c r="C141" i="12"/>
  <c r="C143" i="12"/>
  <c r="C145" i="12"/>
  <c r="C147" i="12"/>
  <c r="C149" i="12"/>
  <c r="C151" i="12"/>
  <c r="C153" i="12"/>
  <c r="C155" i="12"/>
  <c r="C157" i="12"/>
  <c r="C159" i="12"/>
  <c r="C161" i="12"/>
  <c r="C163" i="12"/>
  <c r="C165" i="12"/>
  <c r="C6" i="12"/>
  <c r="C8" i="12"/>
  <c r="C10" i="12"/>
  <c r="C12" i="12"/>
  <c r="C14" i="12"/>
  <c r="C16" i="12"/>
  <c r="C18" i="12"/>
  <c r="C20" i="12"/>
  <c r="C22" i="12"/>
  <c r="C24" i="12"/>
  <c r="C26" i="12"/>
  <c r="C28" i="12"/>
  <c r="C30" i="12"/>
  <c r="C32" i="12"/>
  <c r="C34" i="12"/>
  <c r="C36" i="12"/>
  <c r="C38" i="12"/>
  <c r="C40" i="12"/>
  <c r="C42" i="12"/>
  <c r="C44" i="12"/>
  <c r="C6" i="13"/>
  <c r="C58" i="13"/>
  <c r="C56" i="13"/>
  <c r="C54" i="13"/>
  <c r="C52" i="13"/>
  <c r="C50" i="13"/>
  <c r="C48" i="13"/>
  <c r="C46" i="13"/>
  <c r="C44" i="13"/>
  <c r="C42" i="13"/>
  <c r="C40" i="13"/>
  <c r="C38" i="13"/>
  <c r="C36" i="13"/>
  <c r="C34" i="13"/>
  <c r="C32" i="13"/>
  <c r="C30" i="13"/>
  <c r="C28" i="13"/>
  <c r="C26" i="13"/>
  <c r="C24" i="13"/>
  <c r="C22" i="13"/>
  <c r="C20" i="13"/>
  <c r="C18" i="13"/>
  <c r="C16" i="13"/>
  <c r="C14" i="13"/>
  <c r="C12" i="13"/>
  <c r="C10" i="13"/>
  <c r="C8" i="13"/>
  <c r="C66" i="13"/>
  <c r="C70" i="13"/>
  <c r="C68" i="13"/>
  <c r="C6" i="10"/>
  <c r="C58" i="10"/>
  <c r="C56" i="10"/>
  <c r="C54" i="10"/>
  <c r="C52" i="10"/>
  <c r="C50" i="10"/>
  <c r="C48" i="10"/>
  <c r="C46" i="10"/>
  <c r="C44" i="10"/>
  <c r="C42" i="10"/>
  <c r="C40" i="10"/>
  <c r="C38" i="10"/>
  <c r="C36" i="10"/>
  <c r="C34" i="10"/>
  <c r="C32" i="10"/>
  <c r="C30" i="10"/>
  <c r="C28" i="10"/>
  <c r="C26" i="10"/>
  <c r="C24" i="10"/>
  <c r="C22" i="10"/>
  <c r="C20" i="10"/>
  <c r="C18" i="10"/>
  <c r="C16" i="10"/>
  <c r="C14" i="10"/>
  <c r="C12" i="10"/>
  <c r="C10" i="10"/>
  <c r="C8" i="10"/>
  <c r="Q58" i="10"/>
  <c r="Q56" i="10"/>
  <c r="Q54" i="10"/>
  <c r="Q52" i="10"/>
  <c r="Q50" i="10"/>
  <c r="Q48" i="10"/>
  <c r="Q46" i="10"/>
  <c r="Q44" i="10"/>
  <c r="Q42" i="10"/>
  <c r="Q40" i="10"/>
  <c r="Q38" i="10"/>
  <c r="Q36" i="10"/>
  <c r="Q34" i="10"/>
  <c r="Q32" i="10"/>
  <c r="Q30" i="10"/>
  <c r="Q28" i="10"/>
  <c r="Q26" i="10"/>
  <c r="Q24" i="10"/>
  <c r="Q22" i="10"/>
  <c r="Q20" i="10"/>
  <c r="Q18" i="10"/>
  <c r="Q16" i="10"/>
  <c r="Q14" i="10"/>
  <c r="Q12" i="10"/>
  <c r="Q10" i="10"/>
  <c r="Q8" i="10"/>
  <c r="C67" i="10"/>
  <c r="C71" i="10"/>
  <c r="C69" i="10"/>
  <c r="Q67" i="10"/>
  <c r="Q71" i="10"/>
  <c r="Q69" i="10"/>
  <c r="C80" i="10"/>
  <c r="C132" i="10"/>
  <c r="C130" i="10"/>
  <c r="C128" i="10"/>
  <c r="C126" i="10"/>
  <c r="C124" i="10"/>
  <c r="C122" i="10"/>
  <c r="C120" i="10"/>
  <c r="C118" i="10"/>
  <c r="C116" i="10"/>
  <c r="C114" i="10"/>
  <c r="C112" i="10"/>
  <c r="C110" i="10"/>
  <c r="C108" i="10"/>
  <c r="C106" i="10"/>
  <c r="C104" i="10"/>
  <c r="C102" i="10"/>
  <c r="C100" i="10"/>
  <c r="C98" i="10"/>
  <c r="C96" i="10"/>
  <c r="C94" i="10"/>
  <c r="C92" i="10"/>
  <c r="C90" i="10"/>
  <c r="C88" i="10"/>
  <c r="C86" i="10"/>
  <c r="C84" i="10"/>
  <c r="C82" i="10"/>
  <c r="O80" i="10"/>
  <c r="O84" i="10"/>
  <c r="O82" i="10"/>
  <c r="I142" i="10"/>
  <c r="D7" i="11"/>
  <c r="D57" i="11"/>
  <c r="D55" i="11"/>
  <c r="D53" i="11"/>
  <c r="D51" i="11"/>
  <c r="D49" i="11"/>
  <c r="D47" i="11"/>
  <c r="D45" i="11"/>
  <c r="D43" i="11"/>
  <c r="D41" i="11"/>
  <c r="D39" i="11"/>
  <c r="D37" i="11"/>
  <c r="D35" i="11"/>
  <c r="D33" i="11"/>
  <c r="D31" i="11"/>
  <c r="D29" i="11"/>
  <c r="D27" i="11"/>
  <c r="D25" i="11"/>
  <c r="D23" i="11"/>
  <c r="D21" i="11"/>
  <c r="D19" i="11"/>
  <c r="D17" i="11"/>
  <c r="D15" i="11"/>
  <c r="D13" i="11"/>
  <c r="D11" i="11"/>
  <c r="D9" i="11"/>
  <c r="D59" i="11"/>
  <c r="C113" i="12"/>
  <c r="C119" i="12"/>
  <c r="C117" i="12"/>
  <c r="C115" i="12"/>
  <c r="C121" i="12"/>
  <c r="C123" i="12"/>
  <c r="C125" i="12"/>
  <c r="C127" i="12"/>
  <c r="C129" i="12"/>
  <c r="C132" i="12"/>
  <c r="C134" i="12"/>
  <c r="C136" i="12"/>
  <c r="C138" i="12"/>
  <c r="C140" i="12"/>
  <c r="C142" i="12"/>
  <c r="C144" i="12"/>
  <c r="C146" i="12"/>
  <c r="C148" i="12"/>
  <c r="C150" i="12"/>
  <c r="C152" i="12"/>
  <c r="C154" i="12"/>
  <c r="C156" i="12"/>
  <c r="C158" i="12"/>
  <c r="C160" i="12"/>
  <c r="C162" i="12"/>
  <c r="C164" i="12"/>
  <c r="C166" i="12"/>
  <c r="C7" i="12"/>
  <c r="C9" i="12"/>
  <c r="C11" i="12"/>
  <c r="C13" i="12"/>
  <c r="C15" i="12"/>
  <c r="C17" i="12"/>
  <c r="C19" i="12"/>
  <c r="C21" i="12"/>
  <c r="C23" i="12"/>
  <c r="C25" i="12"/>
  <c r="C27" i="12"/>
  <c r="C29" i="12"/>
  <c r="C31" i="12"/>
  <c r="C33" i="12"/>
  <c r="C35" i="12"/>
  <c r="C37" i="12"/>
  <c r="C39" i="12"/>
  <c r="C41" i="12"/>
  <c r="C43" i="12"/>
  <c r="C45" i="12"/>
  <c r="C7" i="13"/>
  <c r="C57" i="13"/>
  <c r="C55" i="13"/>
  <c r="C53" i="13"/>
  <c r="C51" i="13"/>
  <c r="C49" i="13"/>
  <c r="C47" i="13"/>
  <c r="C45" i="13"/>
  <c r="C43" i="13"/>
  <c r="C41" i="13"/>
  <c r="C39" i="13"/>
  <c r="C37" i="13"/>
  <c r="C35" i="13"/>
  <c r="C33" i="13"/>
  <c r="C31" i="13"/>
  <c r="C29" i="13"/>
  <c r="C27" i="13"/>
  <c r="C25" i="13"/>
  <c r="C23" i="13"/>
  <c r="C21" i="13"/>
  <c r="C19" i="13"/>
  <c r="C17" i="13"/>
  <c r="C15" i="13"/>
  <c r="C13" i="13"/>
  <c r="C11" i="13"/>
  <c r="C9" i="13"/>
  <c r="C59" i="13"/>
  <c r="C67" i="13"/>
  <c r="C69" i="13"/>
  <c r="C71" i="13"/>
  <c r="M6" i="6"/>
  <c r="M59" i="6"/>
  <c r="M57" i="6"/>
  <c r="M55" i="6"/>
  <c r="M53" i="6"/>
  <c r="M51" i="6"/>
  <c r="M49" i="6"/>
  <c r="M47" i="6"/>
  <c r="M45" i="6"/>
  <c r="M43" i="6"/>
  <c r="M41" i="6"/>
  <c r="M39" i="6"/>
  <c r="M37" i="6"/>
  <c r="M35" i="6"/>
  <c r="M33" i="6"/>
  <c r="M31" i="6"/>
  <c r="M29" i="6"/>
  <c r="M27" i="6"/>
  <c r="M25" i="6"/>
  <c r="M23" i="6"/>
  <c r="M21" i="6"/>
  <c r="M19" i="6"/>
  <c r="M17" i="6"/>
  <c r="M15" i="6"/>
  <c r="M13" i="6"/>
  <c r="M11" i="6"/>
  <c r="M9" i="6"/>
  <c r="M67" i="6"/>
  <c r="M71" i="6"/>
  <c r="M69" i="6"/>
  <c r="C67" i="6"/>
  <c r="C71" i="6"/>
  <c r="C69" i="6"/>
  <c r="C6" i="6"/>
  <c r="P6" i="2"/>
  <c r="M7" i="6"/>
  <c r="M58" i="6"/>
  <c r="M56" i="6"/>
  <c r="M54" i="6"/>
  <c r="M52" i="6"/>
  <c r="M50" i="6"/>
  <c r="M48" i="6"/>
  <c r="M46" i="6"/>
  <c r="M44" i="6"/>
  <c r="M42" i="6"/>
  <c r="M40" i="6"/>
  <c r="M38" i="6"/>
  <c r="M36" i="6"/>
  <c r="M34" i="6"/>
  <c r="M32" i="6"/>
  <c r="M30" i="6"/>
  <c r="M28" i="6"/>
  <c r="M26" i="6"/>
  <c r="M24" i="6"/>
  <c r="M22" i="6"/>
  <c r="M20" i="6"/>
  <c r="M18" i="6"/>
  <c r="M16" i="6"/>
  <c r="M14" i="6"/>
  <c r="M12" i="6"/>
  <c r="M10" i="6"/>
  <c r="M8" i="6"/>
  <c r="M72" i="6"/>
  <c r="M70" i="6"/>
  <c r="M68" i="6"/>
  <c r="C72" i="6"/>
  <c r="C70" i="6"/>
  <c r="E8" i="28"/>
  <c r="F8" i="28" s="1"/>
  <c r="E11" i="28"/>
  <c r="E12" i="28"/>
  <c r="F12" i="28" s="1"/>
  <c r="E13" i="28"/>
  <c r="F13" i="28" s="1"/>
  <c r="E14" i="28"/>
  <c r="F14" i="28" s="1"/>
  <c r="E15" i="28"/>
  <c r="F15" i="28" s="1"/>
  <c r="E16" i="28"/>
  <c r="F16" i="28" s="1"/>
  <c r="E18" i="28"/>
  <c r="F18" i="28" s="1"/>
  <c r="E19" i="28"/>
  <c r="F19" i="28" s="1"/>
  <c r="E20" i="28"/>
  <c r="F20" i="28" s="1"/>
  <c r="E21" i="28"/>
  <c r="F21" i="28" s="1"/>
  <c r="E22" i="28"/>
  <c r="E23" i="28"/>
  <c r="F23" i="28" s="1"/>
  <c r="E24" i="28"/>
  <c r="F24" i="28" s="1"/>
  <c r="E25" i="28"/>
  <c r="F25" i="28" s="1"/>
  <c r="E26" i="28"/>
  <c r="F26" i="28" s="1"/>
  <c r="E27" i="28"/>
  <c r="F27" i="28" s="1"/>
  <c r="E28" i="28"/>
  <c r="F28" i="28" s="1"/>
  <c r="E29" i="28"/>
  <c r="F29" i="28" s="1"/>
  <c r="E30" i="28"/>
  <c r="F30" i="28" s="1"/>
  <c r="E31" i="28"/>
  <c r="F31" i="28" s="1"/>
  <c r="E32" i="28"/>
  <c r="F32" i="28" s="1"/>
  <c r="E33" i="28"/>
  <c r="F33" i="28" s="1"/>
  <c r="E34" i="28"/>
  <c r="F34" i="28" s="1"/>
  <c r="E35" i="28"/>
  <c r="F35" i="28" s="1"/>
  <c r="E36" i="28"/>
  <c r="F36" i="28" s="1"/>
  <c r="E37" i="28"/>
  <c r="F37" i="28" s="1"/>
  <c r="E38" i="28"/>
  <c r="F38" i="28" s="1"/>
  <c r="E39" i="28"/>
  <c r="F39" i="28" s="1"/>
  <c r="E40" i="28"/>
  <c r="F40" i="28" s="1"/>
  <c r="E41" i="28"/>
  <c r="F41" i="28" s="1"/>
  <c r="E42" i="28"/>
  <c r="F42" i="28" s="1"/>
  <c r="E43" i="28"/>
  <c r="F43" i="28" s="1"/>
  <c r="E44" i="28"/>
  <c r="F44" i="28" s="1"/>
  <c r="Y118" i="6" l="1"/>
  <c r="AA84" i="19"/>
  <c r="AA78" i="19"/>
  <c r="AF266" i="3"/>
  <c r="F11" i="28"/>
  <c r="AF232" i="3" s="1"/>
  <c r="F22" i="28"/>
  <c r="Y95" i="6" s="1"/>
  <c r="S32" i="12"/>
  <c r="S38" i="12"/>
  <c r="S36" i="12"/>
  <c r="S42" i="12"/>
  <c r="S35" i="12"/>
  <c r="S41" i="12"/>
  <c r="S40" i="12"/>
  <c r="S34" i="12"/>
  <c r="AF213" i="10"/>
  <c r="Q6" i="13"/>
  <c r="S39" i="12"/>
  <c r="S33" i="12"/>
  <c r="AF271" i="3"/>
  <c r="AF270" i="17"/>
  <c r="AF272" i="3"/>
  <c r="AF271" i="17"/>
  <c r="O7" i="20"/>
  <c r="AF227" i="17"/>
  <c r="Y116" i="6"/>
  <c r="O43" i="20"/>
  <c r="AF263" i="17"/>
  <c r="Y114" i="6"/>
  <c r="O41" i="20"/>
  <c r="AF261" i="17"/>
  <c r="Y112" i="6"/>
  <c r="O39" i="20"/>
  <c r="AF259" i="17"/>
  <c r="Y110" i="6"/>
  <c r="O37" i="20"/>
  <c r="AF257" i="17"/>
  <c r="Y108" i="6"/>
  <c r="O35" i="20"/>
  <c r="AF255" i="17"/>
  <c r="Y106" i="6"/>
  <c r="O33" i="20"/>
  <c r="AF253" i="17"/>
  <c r="Y104" i="6"/>
  <c r="O31" i="20"/>
  <c r="AF251" i="17"/>
  <c r="Y102" i="6"/>
  <c r="O29" i="20"/>
  <c r="AF249" i="17"/>
  <c r="Y100" i="6"/>
  <c r="O27" i="20"/>
  <c r="AF247" i="17"/>
  <c r="Y98" i="6"/>
  <c r="O25" i="20"/>
  <c r="AF245" i="17"/>
  <c r="Y96" i="6"/>
  <c r="O23" i="20"/>
  <c r="AF243" i="17"/>
  <c r="Y94" i="6"/>
  <c r="O21" i="20"/>
  <c r="AF241" i="17"/>
  <c r="Y92" i="6"/>
  <c r="O19" i="20"/>
  <c r="AF239" i="17"/>
  <c r="Y89" i="6"/>
  <c r="O16" i="20"/>
  <c r="AF236" i="17"/>
  <c r="Y87" i="6"/>
  <c r="AF234" i="17"/>
  <c r="O14" i="20"/>
  <c r="Y85" i="6"/>
  <c r="O12" i="20"/>
  <c r="AF232" i="17"/>
  <c r="Y83" i="6"/>
  <c r="O10" i="20"/>
  <c r="AF230" i="17"/>
  <c r="O9" i="20"/>
  <c r="AF229" i="17"/>
  <c r="Y117" i="6"/>
  <c r="AF264" i="17"/>
  <c r="O44" i="20"/>
  <c r="Y115" i="6"/>
  <c r="O42" i="20"/>
  <c r="AF262" i="17"/>
  <c r="Y113" i="6"/>
  <c r="AF260" i="17"/>
  <c r="O40" i="20"/>
  <c r="Y111" i="6"/>
  <c r="O38" i="20"/>
  <c r="AF258" i="17"/>
  <c r="Y109" i="6"/>
  <c r="AF256" i="17"/>
  <c r="O36" i="20"/>
  <c r="Y107" i="6"/>
  <c r="O34" i="20"/>
  <c r="AF254" i="17"/>
  <c r="Y105" i="6"/>
  <c r="AF252" i="17"/>
  <c r="O32" i="20"/>
  <c r="Y103" i="6"/>
  <c r="O30" i="20"/>
  <c r="AF250" i="17"/>
  <c r="Y101" i="6"/>
  <c r="AF248" i="17"/>
  <c r="O28" i="20"/>
  <c r="Y99" i="6"/>
  <c r="O26" i="20"/>
  <c r="AF246" i="17"/>
  <c r="Y97" i="6"/>
  <c r="AF244" i="17"/>
  <c r="O24" i="20"/>
  <c r="Y93" i="6"/>
  <c r="O20" i="20"/>
  <c r="AF240" i="17"/>
  <c r="Y91" i="6"/>
  <c r="AF238" i="17"/>
  <c r="O18" i="20"/>
  <c r="Y88" i="6"/>
  <c r="O15" i="20"/>
  <c r="AF235" i="17"/>
  <c r="Y86" i="6"/>
  <c r="O13" i="20"/>
  <c r="AF233" i="17"/>
  <c r="Y84" i="6"/>
  <c r="AF228" i="17"/>
  <c r="O8" i="20"/>
  <c r="AF228" i="3"/>
  <c r="Y80" i="6"/>
  <c r="AF230" i="3"/>
  <c r="Y82" i="6"/>
  <c r="AF229" i="3"/>
  <c r="Y81" i="6"/>
  <c r="AF265" i="3"/>
  <c r="AF264" i="3"/>
  <c r="AF263" i="3"/>
  <c r="AF262" i="3"/>
  <c r="AF261" i="3"/>
  <c r="AF260" i="3"/>
  <c r="AF259" i="3"/>
  <c r="AF258" i="3"/>
  <c r="AF257" i="3"/>
  <c r="AF256" i="3"/>
  <c r="AF255" i="3"/>
  <c r="AF254" i="3"/>
  <c r="AF253" i="3"/>
  <c r="AF252" i="3"/>
  <c r="AF251" i="3"/>
  <c r="AF250" i="3"/>
  <c r="AF249" i="3"/>
  <c r="AF248" i="3"/>
  <c r="AF247" i="3"/>
  <c r="AF246" i="3"/>
  <c r="AF245" i="3"/>
  <c r="AF244" i="3"/>
  <c r="AF242" i="3"/>
  <c r="AF241" i="3"/>
  <c r="AF240" i="3"/>
  <c r="AF239" i="3"/>
  <c r="AF237" i="3"/>
  <c r="AF236" i="3"/>
  <c r="AF235" i="3"/>
  <c r="AF234" i="3"/>
  <c r="AF233" i="3"/>
  <c r="AF231" i="3"/>
  <c r="C6" i="2"/>
  <c r="E8" i="15"/>
  <c r="F8" i="15" s="1"/>
  <c r="E5" i="15"/>
  <c r="H71" i="26"/>
  <c r="F71" i="26"/>
  <c r="H70" i="26"/>
  <c r="F70" i="26"/>
  <c r="H69" i="26"/>
  <c r="F69" i="26"/>
  <c r="H68" i="26"/>
  <c r="F68" i="26"/>
  <c r="H67" i="26"/>
  <c r="F67" i="26"/>
  <c r="H66" i="26"/>
  <c r="F66" i="26"/>
  <c r="H59" i="26"/>
  <c r="H58" i="26"/>
  <c r="H57" i="26"/>
  <c r="H56" i="26"/>
  <c r="H55" i="26"/>
  <c r="H54" i="26"/>
  <c r="H53" i="26"/>
  <c r="H52" i="26"/>
  <c r="H51" i="26"/>
  <c r="H50" i="26"/>
  <c r="H49" i="26"/>
  <c r="H48" i="26"/>
  <c r="H47" i="26"/>
  <c r="H46" i="26"/>
  <c r="H45" i="26"/>
  <c r="H44" i="26"/>
  <c r="H43" i="26"/>
  <c r="H42" i="26"/>
  <c r="H41" i="26"/>
  <c r="H40" i="26"/>
  <c r="H39" i="26"/>
  <c r="H38" i="26"/>
  <c r="H37" i="26"/>
  <c r="H36" i="26"/>
  <c r="H35" i="26"/>
  <c r="H34" i="26"/>
  <c r="H33" i="26"/>
  <c r="H32" i="26"/>
  <c r="H31" i="26"/>
  <c r="H30" i="26"/>
  <c r="H29" i="26"/>
  <c r="H28" i="26"/>
  <c r="H27" i="26"/>
  <c r="H26" i="26"/>
  <c r="H25" i="26"/>
  <c r="H24" i="26"/>
  <c r="H23" i="26"/>
  <c r="H22" i="26"/>
  <c r="H21" i="26"/>
  <c r="H20" i="26"/>
  <c r="H19" i="26"/>
  <c r="H18" i="26"/>
  <c r="H17" i="26"/>
  <c r="H16" i="26"/>
  <c r="H15" i="26"/>
  <c r="H14" i="26"/>
  <c r="H13" i="26"/>
  <c r="H12" i="26"/>
  <c r="H11" i="26"/>
  <c r="H10" i="26"/>
  <c r="H9" i="26"/>
  <c r="H8" i="26"/>
  <c r="H7" i="26"/>
  <c r="H6" i="26"/>
  <c r="H73" i="25"/>
  <c r="H72" i="25"/>
  <c r="H71" i="25"/>
  <c r="H70" i="25"/>
  <c r="H69" i="25"/>
  <c r="H68" i="25"/>
  <c r="H67" i="25"/>
  <c r="H65" i="25"/>
  <c r="H64" i="25"/>
  <c r="H63" i="25"/>
  <c r="H62" i="25"/>
  <c r="H61" i="25"/>
  <c r="H60" i="25"/>
  <c r="H59" i="25"/>
  <c r="H58" i="25"/>
  <c r="H51" i="25"/>
  <c r="H50" i="25"/>
  <c r="H49" i="25"/>
  <c r="H48" i="25"/>
  <c r="H47" i="25"/>
  <c r="H46" i="25"/>
  <c r="H45" i="25"/>
  <c r="H44" i="25"/>
  <c r="H43" i="25"/>
  <c r="H42" i="25"/>
  <c r="H41" i="25"/>
  <c r="H40" i="25"/>
  <c r="H39" i="25"/>
  <c r="H38" i="25"/>
  <c r="H37" i="25"/>
  <c r="H36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Q61" i="24"/>
  <c r="P61" i="24"/>
  <c r="Q60" i="24"/>
  <c r="P60" i="24"/>
  <c r="Q59" i="24"/>
  <c r="P59" i="24"/>
  <c r="Q58" i="24"/>
  <c r="P58" i="24"/>
  <c r="Q57" i="24"/>
  <c r="P57" i="24"/>
  <c r="Q56" i="24"/>
  <c r="P56" i="24"/>
  <c r="Q55" i="24"/>
  <c r="P55" i="24"/>
  <c r="Q54" i="24"/>
  <c r="P54" i="24"/>
  <c r="Q53" i="24"/>
  <c r="P53" i="24"/>
  <c r="Q52" i="24"/>
  <c r="P52" i="24"/>
  <c r="Q51" i="24"/>
  <c r="P51" i="24"/>
  <c r="Q50" i="24"/>
  <c r="P50" i="24"/>
  <c r="Q49" i="24"/>
  <c r="P49" i="24"/>
  <c r="Q48" i="24"/>
  <c r="P48" i="24"/>
  <c r="Q47" i="24"/>
  <c r="P47" i="24"/>
  <c r="Q46" i="24"/>
  <c r="P46" i="24"/>
  <c r="Q45" i="24"/>
  <c r="P45" i="24"/>
  <c r="Q44" i="24"/>
  <c r="P44" i="24"/>
  <c r="Q43" i="24"/>
  <c r="P43" i="24"/>
  <c r="Q42" i="24"/>
  <c r="P42" i="24"/>
  <c r="Q41" i="24"/>
  <c r="P41" i="24"/>
  <c r="Q40" i="24"/>
  <c r="P40" i="24"/>
  <c r="Q39" i="24"/>
  <c r="P39" i="24"/>
  <c r="Q38" i="24"/>
  <c r="P38" i="24"/>
  <c r="Q37" i="24"/>
  <c r="P37" i="24"/>
  <c r="Q36" i="24"/>
  <c r="P36" i="24"/>
  <c r="Q35" i="24"/>
  <c r="P35" i="24"/>
  <c r="Q34" i="24"/>
  <c r="P34" i="24"/>
  <c r="Q33" i="24"/>
  <c r="P33" i="24"/>
  <c r="Q32" i="24"/>
  <c r="P32" i="24"/>
  <c r="Q31" i="24"/>
  <c r="P31" i="24"/>
  <c r="Q30" i="24"/>
  <c r="P30" i="24"/>
  <c r="Q29" i="24"/>
  <c r="P29" i="24"/>
  <c r="Q28" i="24"/>
  <c r="P28" i="24"/>
  <c r="Q27" i="24"/>
  <c r="P27" i="24"/>
  <c r="Q26" i="24"/>
  <c r="P26" i="24"/>
  <c r="Q25" i="24"/>
  <c r="P25" i="24"/>
  <c r="Q24" i="24"/>
  <c r="P24" i="24"/>
  <c r="Q23" i="24"/>
  <c r="P23" i="24"/>
  <c r="Q22" i="24"/>
  <c r="P22" i="24"/>
  <c r="Q21" i="24"/>
  <c r="P21" i="24"/>
  <c r="Q20" i="24"/>
  <c r="P20" i="24"/>
  <c r="Q19" i="24"/>
  <c r="P19" i="24"/>
  <c r="Q18" i="24"/>
  <c r="P18" i="24"/>
  <c r="Q17" i="24"/>
  <c r="P17" i="24"/>
  <c r="Q16" i="24"/>
  <c r="P16" i="24"/>
  <c r="Q15" i="24"/>
  <c r="P15" i="24"/>
  <c r="Q14" i="24"/>
  <c r="P14" i="24"/>
  <c r="Q13" i="24"/>
  <c r="P13" i="24"/>
  <c r="Q12" i="24"/>
  <c r="P12" i="24"/>
  <c r="Q11" i="24"/>
  <c r="P11" i="24"/>
  <c r="Q10" i="24"/>
  <c r="P10" i="24"/>
  <c r="Q9" i="24"/>
  <c r="P9" i="24"/>
  <c r="P8" i="24"/>
  <c r="V72" i="23"/>
  <c r="H72" i="23"/>
  <c r="V71" i="23"/>
  <c r="H71" i="23"/>
  <c r="V70" i="23"/>
  <c r="H70" i="23"/>
  <c r="V69" i="23"/>
  <c r="H69" i="23"/>
  <c r="V68" i="23"/>
  <c r="H68" i="23"/>
  <c r="V67" i="23"/>
  <c r="H67" i="23"/>
  <c r="V59" i="23"/>
  <c r="H59" i="23"/>
  <c r="V58" i="23"/>
  <c r="H58" i="23"/>
  <c r="V57" i="23"/>
  <c r="H57" i="23"/>
  <c r="V56" i="23"/>
  <c r="H56" i="23"/>
  <c r="V55" i="23"/>
  <c r="H55" i="23"/>
  <c r="V54" i="23"/>
  <c r="H54" i="23"/>
  <c r="V53" i="23"/>
  <c r="H53" i="23"/>
  <c r="V52" i="23"/>
  <c r="H52" i="23"/>
  <c r="V51" i="23"/>
  <c r="H51" i="23"/>
  <c r="V50" i="23"/>
  <c r="H50" i="23"/>
  <c r="V49" i="23"/>
  <c r="H49" i="23"/>
  <c r="V48" i="23"/>
  <c r="H48" i="23"/>
  <c r="V47" i="23"/>
  <c r="H47" i="23"/>
  <c r="V46" i="23"/>
  <c r="H46" i="23"/>
  <c r="V45" i="23"/>
  <c r="H45" i="23"/>
  <c r="V44" i="23"/>
  <c r="H44" i="23"/>
  <c r="V43" i="23"/>
  <c r="H43" i="23"/>
  <c r="V42" i="23"/>
  <c r="H42" i="23"/>
  <c r="V41" i="23"/>
  <c r="H41" i="23"/>
  <c r="V40" i="23"/>
  <c r="H40" i="23"/>
  <c r="V39" i="23"/>
  <c r="H39" i="23"/>
  <c r="V38" i="23"/>
  <c r="H38" i="23"/>
  <c r="V37" i="23"/>
  <c r="H37" i="23"/>
  <c r="V36" i="23"/>
  <c r="H36" i="23"/>
  <c r="V35" i="23"/>
  <c r="H35" i="23"/>
  <c r="V34" i="23"/>
  <c r="H34" i="23"/>
  <c r="V33" i="23"/>
  <c r="H33" i="23"/>
  <c r="V32" i="23"/>
  <c r="H32" i="23"/>
  <c r="V31" i="23"/>
  <c r="H31" i="23"/>
  <c r="V30" i="23"/>
  <c r="H30" i="23"/>
  <c r="V29" i="23"/>
  <c r="H29" i="23"/>
  <c r="V28" i="23"/>
  <c r="H28" i="23"/>
  <c r="V27" i="23"/>
  <c r="H27" i="23"/>
  <c r="V26" i="23"/>
  <c r="H26" i="23"/>
  <c r="V25" i="23"/>
  <c r="H25" i="23"/>
  <c r="V24" i="23"/>
  <c r="H24" i="23"/>
  <c r="V23" i="23"/>
  <c r="H23" i="23"/>
  <c r="V22" i="23"/>
  <c r="H22" i="23"/>
  <c r="V21" i="23"/>
  <c r="H21" i="23"/>
  <c r="V20" i="23"/>
  <c r="H20" i="23"/>
  <c r="V19" i="23"/>
  <c r="H19" i="23"/>
  <c r="V18" i="23"/>
  <c r="H18" i="23"/>
  <c r="V17" i="23"/>
  <c r="H17" i="23"/>
  <c r="V16" i="23"/>
  <c r="H16" i="23"/>
  <c r="V15" i="23"/>
  <c r="H15" i="23"/>
  <c r="V14" i="23"/>
  <c r="H14" i="23"/>
  <c r="V13" i="23"/>
  <c r="H13" i="23"/>
  <c r="V12" i="23"/>
  <c r="H12" i="23"/>
  <c r="V11" i="23"/>
  <c r="H11" i="23"/>
  <c r="V10" i="23"/>
  <c r="H10" i="23"/>
  <c r="V9" i="23"/>
  <c r="H9" i="23"/>
  <c r="V8" i="23"/>
  <c r="H8" i="23"/>
  <c r="V7" i="23"/>
  <c r="H7" i="23"/>
  <c r="K7" i="23" s="1"/>
  <c r="V6" i="23"/>
  <c r="H6" i="23"/>
  <c r="R126" i="21"/>
  <c r="F126" i="21"/>
  <c r="R125" i="21"/>
  <c r="F125" i="21"/>
  <c r="R124" i="21"/>
  <c r="F124" i="21"/>
  <c r="R123" i="21"/>
  <c r="F123" i="21"/>
  <c r="R122" i="21"/>
  <c r="F122" i="21"/>
  <c r="R121" i="21"/>
  <c r="F121" i="21"/>
  <c r="R120" i="21"/>
  <c r="F120" i="21"/>
  <c r="R119" i="21"/>
  <c r="F119" i="21"/>
  <c r="R112" i="21"/>
  <c r="F112" i="21"/>
  <c r="R111" i="21"/>
  <c r="F111" i="21"/>
  <c r="R110" i="21"/>
  <c r="F110" i="21"/>
  <c r="R109" i="21"/>
  <c r="F109" i="21"/>
  <c r="R108" i="21"/>
  <c r="F108" i="21"/>
  <c r="R107" i="21"/>
  <c r="F107" i="21"/>
  <c r="R106" i="21"/>
  <c r="F106" i="21"/>
  <c r="R105" i="21"/>
  <c r="F105" i="21"/>
  <c r="R98" i="21"/>
  <c r="F98" i="21"/>
  <c r="R97" i="21"/>
  <c r="F97" i="21"/>
  <c r="R96" i="21"/>
  <c r="F96" i="21"/>
  <c r="R95" i="21"/>
  <c r="F95" i="21"/>
  <c r="R94" i="21"/>
  <c r="F94" i="21"/>
  <c r="R93" i="21"/>
  <c r="F93" i="21"/>
  <c r="R92" i="21"/>
  <c r="F92" i="21"/>
  <c r="R91" i="21"/>
  <c r="F91" i="21"/>
  <c r="F84" i="21"/>
  <c r="F83" i="21"/>
  <c r="F82" i="21"/>
  <c r="F81" i="21"/>
  <c r="F80" i="21"/>
  <c r="F79" i="21"/>
  <c r="F78" i="21"/>
  <c r="F77" i="21"/>
  <c r="R69" i="21"/>
  <c r="F69" i="21"/>
  <c r="R68" i="21"/>
  <c r="F68" i="21"/>
  <c r="R67" i="21"/>
  <c r="F67" i="21"/>
  <c r="R66" i="21"/>
  <c r="F66" i="21"/>
  <c r="R65" i="21"/>
  <c r="F65" i="21"/>
  <c r="R64" i="21"/>
  <c r="F64" i="21"/>
  <c r="R63" i="21"/>
  <c r="F63" i="21"/>
  <c r="R62" i="21"/>
  <c r="F62" i="21"/>
  <c r="AB55" i="21"/>
  <c r="R55" i="21"/>
  <c r="F55" i="21"/>
  <c r="AB54" i="21"/>
  <c r="R54" i="21"/>
  <c r="F54" i="21"/>
  <c r="AB53" i="21"/>
  <c r="R53" i="21"/>
  <c r="F53" i="21"/>
  <c r="AB52" i="21"/>
  <c r="R52" i="21"/>
  <c r="F52" i="21"/>
  <c r="AB51" i="21"/>
  <c r="R51" i="21"/>
  <c r="F51" i="21"/>
  <c r="AB50" i="21"/>
  <c r="R50" i="21"/>
  <c r="F50" i="21"/>
  <c r="AB49" i="21"/>
  <c r="R49" i="21"/>
  <c r="F49" i="21"/>
  <c r="AB48" i="21"/>
  <c r="R48" i="21"/>
  <c r="F48" i="21"/>
  <c r="R41" i="21"/>
  <c r="F41" i="21"/>
  <c r="R40" i="21"/>
  <c r="F40" i="21"/>
  <c r="R39" i="21"/>
  <c r="F39" i="21"/>
  <c r="R38" i="21"/>
  <c r="F38" i="21"/>
  <c r="R37" i="21"/>
  <c r="F37" i="21"/>
  <c r="R36" i="21"/>
  <c r="F36" i="21"/>
  <c r="R35" i="21"/>
  <c r="F35" i="21"/>
  <c r="R34" i="21"/>
  <c r="F34" i="21"/>
  <c r="R27" i="21"/>
  <c r="F27" i="21"/>
  <c r="R26" i="21"/>
  <c r="F26" i="21"/>
  <c r="R25" i="21"/>
  <c r="F25" i="21"/>
  <c r="R24" i="21"/>
  <c r="F24" i="21"/>
  <c r="R23" i="21"/>
  <c r="F23" i="21"/>
  <c r="R22" i="21"/>
  <c r="F22" i="21"/>
  <c r="R21" i="21"/>
  <c r="F21" i="21"/>
  <c r="R20" i="21"/>
  <c r="F20" i="21"/>
  <c r="F13" i="21"/>
  <c r="F12" i="21"/>
  <c r="F11" i="21"/>
  <c r="F10" i="21"/>
  <c r="F9" i="21"/>
  <c r="F8" i="21"/>
  <c r="F7" i="21"/>
  <c r="F6" i="21"/>
  <c r="F72" i="20"/>
  <c r="F71" i="20"/>
  <c r="F70" i="20"/>
  <c r="F69" i="20"/>
  <c r="F68" i="20"/>
  <c r="F67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44" i="19"/>
  <c r="F43" i="19"/>
  <c r="F42" i="19"/>
  <c r="F41" i="19"/>
  <c r="F40" i="19"/>
  <c r="F39" i="19"/>
  <c r="F38" i="19"/>
  <c r="F37" i="19"/>
  <c r="F36" i="19"/>
  <c r="F35" i="19"/>
  <c r="F34" i="19"/>
  <c r="F33" i="19"/>
  <c r="R23" i="19"/>
  <c r="F21" i="19"/>
  <c r="R22" i="19"/>
  <c r="F20" i="19"/>
  <c r="R21" i="19"/>
  <c r="R20" i="19"/>
  <c r="F19" i="19"/>
  <c r="R19" i="19"/>
  <c r="F18" i="19"/>
  <c r="R18" i="19"/>
  <c r="F17" i="19"/>
  <c r="R17" i="19"/>
  <c r="F16" i="19"/>
  <c r="R16" i="19"/>
  <c r="F15" i="19"/>
  <c r="R15" i="19"/>
  <c r="R14" i="19"/>
  <c r="F14" i="19"/>
  <c r="R13" i="19"/>
  <c r="F13" i="19"/>
  <c r="R12" i="19"/>
  <c r="F12" i="19"/>
  <c r="R11" i="19"/>
  <c r="F11" i="19"/>
  <c r="R10" i="19"/>
  <c r="F10" i="19"/>
  <c r="R9" i="19"/>
  <c r="F9" i="19"/>
  <c r="R8" i="19"/>
  <c r="F8" i="19"/>
  <c r="R7" i="19"/>
  <c r="F7" i="19"/>
  <c r="R6" i="19"/>
  <c r="F6" i="19"/>
  <c r="S85" i="17"/>
  <c r="F85" i="17"/>
  <c r="S84" i="17"/>
  <c r="F84" i="17"/>
  <c r="S83" i="17"/>
  <c r="F83" i="17"/>
  <c r="S82" i="17"/>
  <c r="F82" i="17"/>
  <c r="S81" i="17"/>
  <c r="F81" i="17"/>
  <c r="S80" i="17"/>
  <c r="F80" i="17"/>
  <c r="S72" i="17"/>
  <c r="F72" i="17"/>
  <c r="S71" i="17"/>
  <c r="F71" i="17"/>
  <c r="S70" i="17"/>
  <c r="F70" i="17"/>
  <c r="S69" i="17"/>
  <c r="F69" i="17"/>
  <c r="S68" i="17"/>
  <c r="F68" i="17"/>
  <c r="S67" i="17"/>
  <c r="F67" i="17"/>
  <c r="S59" i="17"/>
  <c r="F59" i="17"/>
  <c r="S58" i="17"/>
  <c r="F58" i="17"/>
  <c r="S57" i="17"/>
  <c r="F57" i="17"/>
  <c r="S56" i="17"/>
  <c r="F56" i="17"/>
  <c r="S55" i="17"/>
  <c r="F55" i="17"/>
  <c r="S54" i="17"/>
  <c r="F54" i="17"/>
  <c r="S53" i="17"/>
  <c r="F53" i="17"/>
  <c r="S52" i="17"/>
  <c r="F52" i="17"/>
  <c r="S51" i="17"/>
  <c r="F51" i="17"/>
  <c r="S50" i="17"/>
  <c r="F50" i="17"/>
  <c r="S49" i="17"/>
  <c r="F49" i="17"/>
  <c r="S48" i="17"/>
  <c r="F48" i="17"/>
  <c r="S47" i="17"/>
  <c r="F47" i="17"/>
  <c r="S46" i="17"/>
  <c r="F46" i="17"/>
  <c r="S45" i="17"/>
  <c r="F45" i="17"/>
  <c r="S44" i="17"/>
  <c r="F44" i="17"/>
  <c r="S43" i="17"/>
  <c r="F43" i="17"/>
  <c r="S42" i="17"/>
  <c r="F42" i="17"/>
  <c r="S41" i="17"/>
  <c r="F41" i="17"/>
  <c r="S40" i="17"/>
  <c r="F40" i="17"/>
  <c r="S39" i="17"/>
  <c r="F39" i="17"/>
  <c r="S38" i="17"/>
  <c r="F38" i="17"/>
  <c r="S37" i="17"/>
  <c r="F37" i="17"/>
  <c r="S36" i="17"/>
  <c r="F36" i="17"/>
  <c r="S35" i="17"/>
  <c r="F35" i="17"/>
  <c r="S34" i="17"/>
  <c r="F34" i="17"/>
  <c r="S33" i="17"/>
  <c r="F33" i="17"/>
  <c r="S32" i="17"/>
  <c r="F32" i="17"/>
  <c r="S31" i="17"/>
  <c r="F31" i="17"/>
  <c r="S30" i="17"/>
  <c r="F30" i="17"/>
  <c r="S29" i="17"/>
  <c r="F29" i="17"/>
  <c r="S28" i="17"/>
  <c r="F28" i="17"/>
  <c r="S27" i="17"/>
  <c r="F27" i="17"/>
  <c r="S26" i="17"/>
  <c r="F26" i="17"/>
  <c r="S25" i="17"/>
  <c r="F25" i="17"/>
  <c r="S24" i="17"/>
  <c r="F24" i="17"/>
  <c r="S23" i="17"/>
  <c r="F23" i="17"/>
  <c r="S22" i="17"/>
  <c r="F22" i="17"/>
  <c r="S21" i="17"/>
  <c r="F21" i="17"/>
  <c r="S20" i="17"/>
  <c r="F20" i="17"/>
  <c r="S19" i="17"/>
  <c r="F19" i="17"/>
  <c r="S18" i="17"/>
  <c r="F18" i="17"/>
  <c r="S17" i="17"/>
  <c r="F17" i="17"/>
  <c r="S16" i="17"/>
  <c r="F16" i="17"/>
  <c r="S15" i="17"/>
  <c r="F15" i="17"/>
  <c r="S14" i="17"/>
  <c r="F14" i="17"/>
  <c r="S13" i="17"/>
  <c r="F13" i="17"/>
  <c r="S12" i="17"/>
  <c r="F12" i="17"/>
  <c r="S11" i="17"/>
  <c r="F11" i="17"/>
  <c r="S10" i="17"/>
  <c r="F10" i="17"/>
  <c r="S9" i="17"/>
  <c r="F9" i="17"/>
  <c r="S8" i="17"/>
  <c r="F8" i="17"/>
  <c r="H8" i="17" s="1"/>
  <c r="S7" i="17"/>
  <c r="F7" i="17"/>
  <c r="S6" i="17"/>
  <c r="F6" i="17"/>
  <c r="D246" i="15"/>
  <c r="E246" i="15" s="1"/>
  <c r="D245" i="15"/>
  <c r="E245" i="15" s="1"/>
  <c r="D244" i="15"/>
  <c r="AA50" i="27" s="1"/>
  <c r="D243" i="15"/>
  <c r="D242" i="15"/>
  <c r="E242" i="15" s="1"/>
  <c r="D241" i="15"/>
  <c r="E241" i="15" s="1"/>
  <c r="D240" i="15"/>
  <c r="E240" i="15" s="1"/>
  <c r="D239" i="15"/>
  <c r="E80" i="15"/>
  <c r="F80" i="15" s="1"/>
  <c r="E79" i="15"/>
  <c r="F79" i="15" s="1"/>
  <c r="E78" i="15"/>
  <c r="F78" i="15" s="1"/>
  <c r="E77" i="15"/>
  <c r="F77" i="15" s="1"/>
  <c r="E76" i="15"/>
  <c r="F76" i="15" s="1"/>
  <c r="E75" i="15"/>
  <c r="F75" i="15" s="1"/>
  <c r="E74" i="15"/>
  <c r="F74" i="15" s="1"/>
  <c r="E73" i="15"/>
  <c r="F73" i="15" s="1"/>
  <c r="E72" i="15"/>
  <c r="F72" i="15" s="1"/>
  <c r="E71" i="15"/>
  <c r="F71" i="15" s="1"/>
  <c r="E70" i="15"/>
  <c r="F70" i="15" s="1"/>
  <c r="E69" i="15"/>
  <c r="F69" i="15" s="1"/>
  <c r="E68" i="15"/>
  <c r="F68" i="15" s="1"/>
  <c r="E67" i="15"/>
  <c r="F67" i="15" s="1"/>
  <c r="E66" i="15"/>
  <c r="F66" i="15" s="1"/>
  <c r="E65" i="15"/>
  <c r="F65" i="15" s="1"/>
  <c r="E64" i="15"/>
  <c r="F64" i="15" s="1"/>
  <c r="E63" i="15"/>
  <c r="F63" i="15" s="1"/>
  <c r="E62" i="15"/>
  <c r="F62" i="15" s="1"/>
  <c r="E61" i="15"/>
  <c r="F61" i="15" s="1"/>
  <c r="E60" i="15"/>
  <c r="F60" i="15" s="1"/>
  <c r="E59" i="15"/>
  <c r="F59" i="15" s="1"/>
  <c r="E58" i="15"/>
  <c r="F58" i="15" s="1"/>
  <c r="E57" i="15"/>
  <c r="F57" i="15" s="1"/>
  <c r="E56" i="15"/>
  <c r="F56" i="15" s="1"/>
  <c r="E55" i="15"/>
  <c r="F55" i="15" s="1"/>
  <c r="E54" i="15"/>
  <c r="F54" i="15" s="1"/>
  <c r="E53" i="15"/>
  <c r="F53" i="15" s="1"/>
  <c r="E52" i="15"/>
  <c r="F52" i="15" s="1"/>
  <c r="E51" i="15"/>
  <c r="F51" i="15" s="1"/>
  <c r="E50" i="15"/>
  <c r="F50" i="15" s="1"/>
  <c r="E49" i="15"/>
  <c r="F49" i="15" s="1"/>
  <c r="E32" i="15"/>
  <c r="F32" i="15" s="1"/>
  <c r="E31" i="15"/>
  <c r="F31" i="15" s="1"/>
  <c r="E30" i="15"/>
  <c r="F30" i="15" s="1"/>
  <c r="E28" i="15"/>
  <c r="F28" i="15" s="1"/>
  <c r="E27" i="15"/>
  <c r="F27" i="15" s="1"/>
  <c r="E26" i="15"/>
  <c r="F26" i="15" s="1"/>
  <c r="E25" i="15"/>
  <c r="F25" i="15" s="1"/>
  <c r="E24" i="15"/>
  <c r="F24" i="15" s="1"/>
  <c r="E23" i="15"/>
  <c r="F23" i="15" s="1"/>
  <c r="E22" i="15"/>
  <c r="F22" i="15" s="1"/>
  <c r="E21" i="15"/>
  <c r="F21" i="15" s="1"/>
  <c r="E20" i="15"/>
  <c r="F20" i="15" s="1"/>
  <c r="E19" i="15"/>
  <c r="F19" i="15" s="1"/>
  <c r="E18" i="15"/>
  <c r="F18" i="15" s="1"/>
  <c r="E17" i="15"/>
  <c r="F17" i="15" s="1"/>
  <c r="E16" i="15"/>
  <c r="F16" i="15" s="1"/>
  <c r="E15" i="15"/>
  <c r="F15" i="15" s="1"/>
  <c r="E14" i="15"/>
  <c r="F14" i="15" s="1"/>
  <c r="E13" i="15"/>
  <c r="F13" i="15" s="1"/>
  <c r="E12" i="15"/>
  <c r="F12" i="15" s="1"/>
  <c r="E11" i="15"/>
  <c r="F11" i="15" s="1"/>
  <c r="E10" i="15"/>
  <c r="F10" i="15" s="1"/>
  <c r="E9" i="15"/>
  <c r="F9" i="15" s="1"/>
  <c r="E7" i="15"/>
  <c r="F7" i="15" s="1"/>
  <c r="E6" i="15"/>
  <c r="F6" i="15" s="1"/>
  <c r="R49" i="14"/>
  <c r="R50" i="14"/>
  <c r="R51" i="14"/>
  <c r="R52" i="14"/>
  <c r="R53" i="14"/>
  <c r="R54" i="14"/>
  <c r="R55" i="14"/>
  <c r="R48" i="14"/>
  <c r="C105" i="12"/>
  <c r="C54" i="12"/>
  <c r="C57" i="12"/>
  <c r="C58" i="12"/>
  <c r="C61" i="12"/>
  <c r="C62" i="12"/>
  <c r="C65" i="12"/>
  <c r="C66" i="12"/>
  <c r="C69" i="12"/>
  <c r="C70" i="12"/>
  <c r="C73" i="12"/>
  <c r="C74" i="12"/>
  <c r="C77" i="12"/>
  <c r="C78" i="12"/>
  <c r="C81" i="12"/>
  <c r="C82" i="12"/>
  <c r="C85" i="12"/>
  <c r="C86" i="12"/>
  <c r="C89" i="12"/>
  <c r="C90" i="12"/>
  <c r="C93" i="12"/>
  <c r="C94" i="12"/>
  <c r="C97" i="12"/>
  <c r="C98" i="12"/>
  <c r="C101" i="12"/>
  <c r="C102" i="12"/>
  <c r="C53" i="12"/>
  <c r="C52" i="12"/>
  <c r="E76" i="1"/>
  <c r="E77" i="1"/>
  <c r="F125" i="7"/>
  <c r="F126" i="7"/>
  <c r="F127" i="7"/>
  <c r="F128" i="7"/>
  <c r="F129" i="7"/>
  <c r="F130" i="7"/>
  <c r="F131" i="7"/>
  <c r="F124" i="7"/>
  <c r="AB60" i="7"/>
  <c r="AB59" i="7"/>
  <c r="AB58" i="7"/>
  <c r="AB57" i="7"/>
  <c r="AB56" i="7"/>
  <c r="AB55" i="7"/>
  <c r="AB54" i="7"/>
  <c r="AB53" i="7"/>
  <c r="R25" i="7"/>
  <c r="C29" i="1"/>
  <c r="F83" i="4" s="1"/>
  <c r="R85" i="3"/>
  <c r="F85" i="3"/>
  <c r="R84" i="3"/>
  <c r="F84" i="3"/>
  <c r="R83" i="3"/>
  <c r="F83" i="3"/>
  <c r="R82" i="3"/>
  <c r="F82" i="3"/>
  <c r="R81" i="3"/>
  <c r="F81" i="3"/>
  <c r="R80" i="3"/>
  <c r="F80" i="3"/>
  <c r="R72" i="3"/>
  <c r="F72" i="3"/>
  <c r="R71" i="3"/>
  <c r="F71" i="3"/>
  <c r="R70" i="3"/>
  <c r="F70" i="3"/>
  <c r="R69" i="3"/>
  <c r="F69" i="3"/>
  <c r="R68" i="3"/>
  <c r="F68" i="3"/>
  <c r="R67" i="3"/>
  <c r="F67" i="3"/>
  <c r="R59" i="3"/>
  <c r="F59" i="3"/>
  <c r="R58" i="3"/>
  <c r="F58" i="3"/>
  <c r="R57" i="3"/>
  <c r="F57" i="3"/>
  <c r="R56" i="3"/>
  <c r="F56" i="3"/>
  <c r="R55" i="3"/>
  <c r="F55" i="3"/>
  <c r="R54" i="3"/>
  <c r="F54" i="3"/>
  <c r="R53" i="3"/>
  <c r="F53" i="3"/>
  <c r="R52" i="3"/>
  <c r="F52" i="3"/>
  <c r="R51" i="3"/>
  <c r="F51" i="3"/>
  <c r="R50" i="3"/>
  <c r="F50" i="3"/>
  <c r="R49" i="3"/>
  <c r="F49" i="3"/>
  <c r="R48" i="3"/>
  <c r="F48" i="3"/>
  <c r="R47" i="3"/>
  <c r="F47" i="3"/>
  <c r="R46" i="3"/>
  <c r="F46" i="3"/>
  <c r="R45" i="3"/>
  <c r="F45" i="3"/>
  <c r="R44" i="3"/>
  <c r="F44" i="3"/>
  <c r="R43" i="3"/>
  <c r="F43" i="3"/>
  <c r="R42" i="3"/>
  <c r="F42" i="3"/>
  <c r="R41" i="3"/>
  <c r="F41" i="3"/>
  <c r="R40" i="3"/>
  <c r="F40" i="3"/>
  <c r="R39" i="3"/>
  <c r="F39" i="3"/>
  <c r="R38" i="3"/>
  <c r="F38" i="3"/>
  <c r="R37" i="3"/>
  <c r="F37" i="3"/>
  <c r="R36" i="3"/>
  <c r="F36" i="3"/>
  <c r="R35" i="3"/>
  <c r="F35" i="3"/>
  <c r="R34" i="3"/>
  <c r="F34" i="3"/>
  <c r="R33" i="3"/>
  <c r="F33" i="3"/>
  <c r="R32" i="3"/>
  <c r="F32" i="3"/>
  <c r="R31" i="3"/>
  <c r="F31" i="3"/>
  <c r="R30" i="3"/>
  <c r="F30" i="3"/>
  <c r="R29" i="3"/>
  <c r="F29" i="3"/>
  <c r="R28" i="3"/>
  <c r="R27" i="3"/>
  <c r="F27" i="3"/>
  <c r="R26" i="3"/>
  <c r="F26" i="3"/>
  <c r="R25" i="3"/>
  <c r="F25" i="3"/>
  <c r="R24" i="3"/>
  <c r="R23" i="3"/>
  <c r="F23" i="3"/>
  <c r="R22" i="3"/>
  <c r="F22" i="3"/>
  <c r="R21" i="3"/>
  <c r="F21" i="3"/>
  <c r="R20" i="3"/>
  <c r="F20" i="3"/>
  <c r="R19" i="3"/>
  <c r="F19" i="3"/>
  <c r="R18" i="3"/>
  <c r="F18" i="3"/>
  <c r="R17" i="3"/>
  <c r="F17" i="3"/>
  <c r="R16" i="3"/>
  <c r="F16" i="3"/>
  <c r="R15" i="3"/>
  <c r="F15" i="3"/>
  <c r="R14" i="3"/>
  <c r="F14" i="3"/>
  <c r="R13" i="3"/>
  <c r="F13" i="3"/>
  <c r="R12" i="3"/>
  <c r="F12" i="3"/>
  <c r="R11" i="3"/>
  <c r="F11" i="3"/>
  <c r="R10" i="3"/>
  <c r="F10" i="3"/>
  <c r="R9" i="3"/>
  <c r="F9" i="3"/>
  <c r="R8" i="3"/>
  <c r="F8" i="3"/>
  <c r="R7" i="3"/>
  <c r="F7" i="3"/>
  <c r="R6" i="3"/>
  <c r="F6" i="3"/>
  <c r="N146" i="1"/>
  <c r="E29" i="1"/>
  <c r="F84" i="10"/>
  <c r="D42" i="32"/>
  <c r="D12" i="32"/>
  <c r="D41" i="32" s="1"/>
  <c r="D15" i="32"/>
  <c r="D44" i="32" s="1"/>
  <c r="I171" i="2"/>
  <c r="I179" i="2"/>
  <c r="I187" i="2"/>
  <c r="I203" i="2"/>
  <c r="J184" i="2"/>
  <c r="I150" i="10"/>
  <c r="I158" i="10"/>
  <c r="I166" i="10"/>
  <c r="I182" i="10"/>
  <c r="I190" i="10"/>
  <c r="C31" i="2"/>
  <c r="H166" i="12"/>
  <c r="H165" i="12"/>
  <c r="H164" i="12"/>
  <c r="H163" i="12"/>
  <c r="H162" i="12"/>
  <c r="H161" i="12"/>
  <c r="H160" i="12"/>
  <c r="H159" i="12"/>
  <c r="H158" i="12"/>
  <c r="H157" i="12"/>
  <c r="H156" i="12"/>
  <c r="H155" i="12"/>
  <c r="H154" i="12"/>
  <c r="H153" i="12"/>
  <c r="H152" i="12"/>
  <c r="H151" i="12"/>
  <c r="H150" i="12"/>
  <c r="H149" i="12"/>
  <c r="H148" i="12"/>
  <c r="H147" i="12"/>
  <c r="H146" i="12"/>
  <c r="H145" i="12"/>
  <c r="H144" i="12"/>
  <c r="H143" i="12"/>
  <c r="H142" i="12"/>
  <c r="H141" i="12"/>
  <c r="H140" i="12"/>
  <c r="H139" i="12"/>
  <c r="H138" i="12"/>
  <c r="H137" i="12"/>
  <c r="H136" i="12"/>
  <c r="H135" i="12"/>
  <c r="H134" i="12"/>
  <c r="H133" i="12"/>
  <c r="H132" i="12"/>
  <c r="H131" i="12"/>
  <c r="H129" i="12"/>
  <c r="H128" i="12"/>
  <c r="H127" i="12"/>
  <c r="H126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05" i="12"/>
  <c r="F105" i="12"/>
  <c r="H104" i="12"/>
  <c r="F104" i="12"/>
  <c r="H103" i="12"/>
  <c r="F103" i="12"/>
  <c r="H102" i="12"/>
  <c r="F102" i="12"/>
  <c r="H101" i="12"/>
  <c r="F101" i="12"/>
  <c r="H100" i="12"/>
  <c r="F100" i="12"/>
  <c r="H99" i="12"/>
  <c r="F99" i="12"/>
  <c r="H98" i="12"/>
  <c r="F98" i="12"/>
  <c r="H97" i="12"/>
  <c r="F97" i="12"/>
  <c r="H96" i="12"/>
  <c r="F96" i="12"/>
  <c r="H95" i="12"/>
  <c r="F95" i="12"/>
  <c r="H94" i="12"/>
  <c r="F94" i="12"/>
  <c r="H93" i="12"/>
  <c r="F93" i="12"/>
  <c r="H92" i="12"/>
  <c r="F92" i="12"/>
  <c r="H91" i="12"/>
  <c r="F91" i="12"/>
  <c r="H90" i="12"/>
  <c r="F90" i="12"/>
  <c r="H89" i="12"/>
  <c r="F89" i="12"/>
  <c r="H88" i="12"/>
  <c r="F88" i="12"/>
  <c r="H87" i="12"/>
  <c r="F87" i="12"/>
  <c r="H86" i="12"/>
  <c r="F86" i="12"/>
  <c r="H85" i="12"/>
  <c r="F85" i="12"/>
  <c r="H84" i="12"/>
  <c r="F84" i="12"/>
  <c r="H83" i="12"/>
  <c r="F83" i="12"/>
  <c r="H82" i="12"/>
  <c r="F82" i="12"/>
  <c r="H81" i="12"/>
  <c r="F81" i="12"/>
  <c r="H80" i="12"/>
  <c r="F80" i="12"/>
  <c r="H79" i="12"/>
  <c r="F79" i="12"/>
  <c r="H78" i="12"/>
  <c r="F78" i="12"/>
  <c r="H77" i="12"/>
  <c r="F77" i="12"/>
  <c r="H76" i="12"/>
  <c r="F76" i="12"/>
  <c r="H75" i="12"/>
  <c r="F75" i="12"/>
  <c r="H74" i="12"/>
  <c r="F74" i="12"/>
  <c r="H73" i="12"/>
  <c r="F73" i="12"/>
  <c r="H72" i="12"/>
  <c r="F72" i="12"/>
  <c r="H71" i="12"/>
  <c r="F71" i="12"/>
  <c r="H70" i="12"/>
  <c r="F70" i="12"/>
  <c r="H69" i="12"/>
  <c r="F69" i="12"/>
  <c r="H68" i="12"/>
  <c r="F68" i="12"/>
  <c r="H67" i="12"/>
  <c r="F67" i="12"/>
  <c r="H66" i="12"/>
  <c r="F66" i="12"/>
  <c r="H65" i="12"/>
  <c r="F65" i="12"/>
  <c r="H64" i="12"/>
  <c r="F64" i="12"/>
  <c r="H63" i="12"/>
  <c r="F63" i="12"/>
  <c r="H62" i="12"/>
  <c r="F62" i="12"/>
  <c r="H61" i="12"/>
  <c r="F61" i="12"/>
  <c r="H60" i="12"/>
  <c r="F60" i="12"/>
  <c r="H59" i="12"/>
  <c r="F59" i="12"/>
  <c r="H58" i="12"/>
  <c r="F58" i="12"/>
  <c r="H57" i="12"/>
  <c r="F57" i="12"/>
  <c r="H56" i="12"/>
  <c r="F56" i="12"/>
  <c r="H55" i="12"/>
  <c r="F55" i="12"/>
  <c r="H54" i="12"/>
  <c r="F54" i="12"/>
  <c r="H53" i="12"/>
  <c r="F53" i="12"/>
  <c r="H52" i="12"/>
  <c r="F52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71" i="13"/>
  <c r="H70" i="13"/>
  <c r="H69" i="13"/>
  <c r="H68" i="13"/>
  <c r="H67" i="13"/>
  <c r="H6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" i="13"/>
  <c r="P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7" i="11"/>
  <c r="P8" i="11"/>
  <c r="P9" i="11"/>
  <c r="P10" i="11"/>
  <c r="P11" i="11"/>
  <c r="P12" i="11"/>
  <c r="P13" i="11"/>
  <c r="P14" i="11"/>
  <c r="P15" i="11"/>
  <c r="P16" i="11"/>
  <c r="Q59" i="11"/>
  <c r="Q58" i="11"/>
  <c r="Q57" i="11"/>
  <c r="Q56" i="11"/>
  <c r="Q55" i="1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Q8" i="11"/>
  <c r="I217" i="2"/>
  <c r="I219" i="2"/>
  <c r="J207" i="10"/>
  <c r="I203" i="10"/>
  <c r="I205" i="10"/>
  <c r="I206" i="10"/>
  <c r="I207" i="10"/>
  <c r="F83" i="10"/>
  <c r="F87" i="10"/>
  <c r="F91" i="10"/>
  <c r="F95" i="10"/>
  <c r="F99" i="10"/>
  <c r="F103" i="10"/>
  <c r="F107" i="10"/>
  <c r="F111" i="10"/>
  <c r="F115" i="10"/>
  <c r="F119" i="10"/>
  <c r="F123" i="10"/>
  <c r="F127" i="10"/>
  <c r="F131" i="10"/>
  <c r="V72" i="10"/>
  <c r="V71" i="10"/>
  <c r="V70" i="10"/>
  <c r="V69" i="10"/>
  <c r="V68" i="10"/>
  <c r="V67" i="10"/>
  <c r="E75" i="1"/>
  <c r="F75" i="1" s="1"/>
  <c r="V59" i="10"/>
  <c r="V58" i="10"/>
  <c r="V57" i="10"/>
  <c r="V56" i="10"/>
  <c r="V55" i="10"/>
  <c r="V54" i="10"/>
  <c r="V53" i="10"/>
  <c r="V52" i="10"/>
  <c r="V51" i="10"/>
  <c r="V50" i="10"/>
  <c r="V49" i="10"/>
  <c r="V48" i="10"/>
  <c r="V47" i="10"/>
  <c r="V46" i="10"/>
  <c r="V45" i="10"/>
  <c r="V44" i="10"/>
  <c r="V43" i="10"/>
  <c r="V42" i="10"/>
  <c r="V41" i="10"/>
  <c r="V40" i="10"/>
  <c r="V39" i="10"/>
  <c r="V38" i="10"/>
  <c r="V37" i="10"/>
  <c r="V36" i="10"/>
  <c r="V35" i="10"/>
  <c r="V34" i="10"/>
  <c r="V33" i="10"/>
  <c r="V32" i="10"/>
  <c r="V31" i="10"/>
  <c r="V30" i="10"/>
  <c r="V29" i="10"/>
  <c r="V28" i="10"/>
  <c r="V27" i="10"/>
  <c r="V26" i="10"/>
  <c r="V25" i="10"/>
  <c r="V24" i="10"/>
  <c r="V23" i="10"/>
  <c r="V22" i="10"/>
  <c r="V21" i="10"/>
  <c r="V20" i="10"/>
  <c r="V19" i="10"/>
  <c r="V18" i="10"/>
  <c r="V17" i="10"/>
  <c r="V16" i="10"/>
  <c r="V15" i="10"/>
  <c r="V14" i="10"/>
  <c r="V13" i="10"/>
  <c r="V12" i="10"/>
  <c r="V11" i="10"/>
  <c r="V10" i="10"/>
  <c r="V9" i="10"/>
  <c r="V8" i="10"/>
  <c r="V7" i="10"/>
  <c r="V6" i="10"/>
  <c r="H67" i="10"/>
  <c r="H68" i="10"/>
  <c r="H69" i="10"/>
  <c r="H70" i="10"/>
  <c r="H71" i="10"/>
  <c r="H72" i="10"/>
  <c r="AF231" i="17" l="1"/>
  <c r="O11" i="20"/>
  <c r="AF242" i="17"/>
  <c r="AF243" i="3"/>
  <c r="O22" i="20"/>
  <c r="O146" i="1"/>
  <c r="C146" i="1"/>
  <c r="D43" i="5" s="1"/>
  <c r="H43" i="5" s="1"/>
  <c r="R148" i="4"/>
  <c r="R91" i="4"/>
  <c r="R99" i="4"/>
  <c r="R107" i="4"/>
  <c r="R115" i="4"/>
  <c r="R123" i="4"/>
  <c r="R131" i="4"/>
  <c r="F148" i="4"/>
  <c r="F91" i="4"/>
  <c r="F99" i="4"/>
  <c r="F107" i="4"/>
  <c r="F115" i="4"/>
  <c r="F123" i="4"/>
  <c r="F131" i="4"/>
  <c r="R86" i="4"/>
  <c r="R94" i="4"/>
  <c r="R102" i="4"/>
  <c r="R110" i="4"/>
  <c r="R118" i="4"/>
  <c r="R126" i="4"/>
  <c r="R134" i="4"/>
  <c r="F86" i="4"/>
  <c r="F94" i="4"/>
  <c r="F102" i="4"/>
  <c r="F110" i="4"/>
  <c r="F118" i="4"/>
  <c r="F126" i="4"/>
  <c r="F134" i="4"/>
  <c r="R144" i="4"/>
  <c r="R85" i="4"/>
  <c r="R93" i="4"/>
  <c r="R101" i="4"/>
  <c r="R109" i="4"/>
  <c r="R117" i="4"/>
  <c r="R125" i="4"/>
  <c r="R133" i="4"/>
  <c r="F144" i="4"/>
  <c r="F85" i="4"/>
  <c r="F93" i="4"/>
  <c r="F101" i="4"/>
  <c r="F109" i="4"/>
  <c r="F117" i="4"/>
  <c r="F125" i="4"/>
  <c r="F133" i="4"/>
  <c r="R145" i="4"/>
  <c r="R88" i="4"/>
  <c r="R96" i="4"/>
  <c r="R104" i="4"/>
  <c r="R112" i="4"/>
  <c r="R120" i="4"/>
  <c r="R128" i="4"/>
  <c r="R136" i="4"/>
  <c r="F145" i="4"/>
  <c r="F88" i="4"/>
  <c r="F96" i="4"/>
  <c r="F104" i="4"/>
  <c r="F112" i="4"/>
  <c r="F120" i="4"/>
  <c r="F128" i="4"/>
  <c r="F136" i="4"/>
  <c r="R87" i="4"/>
  <c r="R95" i="4"/>
  <c r="R103" i="4"/>
  <c r="R111" i="4"/>
  <c r="R119" i="4"/>
  <c r="R127" i="4"/>
  <c r="R135" i="4"/>
  <c r="R113" i="4"/>
  <c r="F89" i="4"/>
  <c r="F105" i="4"/>
  <c r="F121" i="4"/>
  <c r="R90" i="4"/>
  <c r="R106" i="4"/>
  <c r="R122" i="4"/>
  <c r="F149" i="4"/>
  <c r="F84" i="4"/>
  <c r="F100" i="4"/>
  <c r="F116" i="4"/>
  <c r="F132" i="4"/>
  <c r="R146" i="4"/>
  <c r="R89" i="4"/>
  <c r="R121" i="4"/>
  <c r="F95" i="4"/>
  <c r="F111" i="4"/>
  <c r="F127" i="4"/>
  <c r="R92" i="4"/>
  <c r="R108" i="4"/>
  <c r="R124" i="4"/>
  <c r="F90" i="4"/>
  <c r="F106" i="4"/>
  <c r="F122" i="4"/>
  <c r="R97" i="4"/>
  <c r="R129" i="4"/>
  <c r="F97" i="4"/>
  <c r="F113" i="4"/>
  <c r="F129" i="4"/>
  <c r="R147" i="4"/>
  <c r="R98" i="4"/>
  <c r="R114" i="4"/>
  <c r="R130" i="4"/>
  <c r="F92" i="4"/>
  <c r="F108" i="4"/>
  <c r="F124" i="4"/>
  <c r="R105" i="4"/>
  <c r="R83" i="4"/>
  <c r="F146" i="4"/>
  <c r="F87" i="4"/>
  <c r="F103" i="4"/>
  <c r="F119" i="4"/>
  <c r="F135" i="4"/>
  <c r="R149" i="4"/>
  <c r="R84" i="4"/>
  <c r="R100" i="4"/>
  <c r="R116" i="4"/>
  <c r="R132" i="4"/>
  <c r="F147" i="4"/>
  <c r="F98" i="4"/>
  <c r="F114" i="4"/>
  <c r="F130" i="4"/>
  <c r="F130" i="10"/>
  <c r="F126" i="10"/>
  <c r="F122" i="10"/>
  <c r="F118" i="10"/>
  <c r="F114" i="10"/>
  <c r="F110" i="10"/>
  <c r="F106" i="10"/>
  <c r="F102" i="10"/>
  <c r="F98" i="10"/>
  <c r="F94" i="10"/>
  <c r="F90" i="10"/>
  <c r="F86" i="10"/>
  <c r="F82" i="10"/>
  <c r="F133" i="10"/>
  <c r="F129" i="10"/>
  <c r="F125" i="10"/>
  <c r="F121" i="10"/>
  <c r="F117" i="10"/>
  <c r="F113" i="10"/>
  <c r="F109" i="10"/>
  <c r="F105" i="10"/>
  <c r="F101" i="10"/>
  <c r="F97" i="10"/>
  <c r="F93" i="10"/>
  <c r="F89" i="10"/>
  <c r="F85" i="10"/>
  <c r="F81" i="10"/>
  <c r="D16" i="32"/>
  <c r="D45" i="32" s="1"/>
  <c r="D39" i="5"/>
  <c r="H39" i="5" s="1"/>
  <c r="D47" i="5"/>
  <c r="H47" i="5" s="1"/>
  <c r="P7" i="5"/>
  <c r="P11" i="5"/>
  <c r="D8" i="5"/>
  <c r="H8" i="5" s="1"/>
  <c r="D12" i="5"/>
  <c r="H12" i="5" s="1"/>
  <c r="D16" i="5"/>
  <c r="H16" i="5" s="1"/>
  <c r="D24" i="5"/>
  <c r="H24" i="5" s="1"/>
  <c r="D28" i="5"/>
  <c r="H28" i="5" s="1"/>
  <c r="D13" i="5"/>
  <c r="H13" i="5" s="1"/>
  <c r="D29" i="5"/>
  <c r="H29" i="5" s="1"/>
  <c r="D40" i="5"/>
  <c r="H40" i="5" s="1"/>
  <c r="D44" i="5"/>
  <c r="H44" i="5" s="1"/>
  <c r="P8" i="5"/>
  <c r="P12" i="5"/>
  <c r="P16" i="5"/>
  <c r="D45" i="5"/>
  <c r="H45" i="5" s="1"/>
  <c r="D49" i="5"/>
  <c r="H49" i="5" s="1"/>
  <c r="P9" i="5"/>
  <c r="P17" i="5"/>
  <c r="D10" i="5"/>
  <c r="H10" i="5" s="1"/>
  <c r="D14" i="5"/>
  <c r="H14" i="5" s="1"/>
  <c r="D22" i="5"/>
  <c r="H22" i="5" s="1"/>
  <c r="D26" i="5"/>
  <c r="H26" i="5" s="1"/>
  <c r="D30" i="5"/>
  <c r="H30" i="5" s="1"/>
  <c r="D46" i="5"/>
  <c r="H46" i="5" s="1"/>
  <c r="D38" i="5"/>
  <c r="H38" i="5" s="1"/>
  <c r="P10" i="5"/>
  <c r="P6" i="5"/>
  <c r="D7" i="5"/>
  <c r="H7" i="5" s="1"/>
  <c r="D11" i="5"/>
  <c r="H11" i="5" s="1"/>
  <c r="D19" i="5"/>
  <c r="H19" i="5" s="1"/>
  <c r="D23" i="5"/>
  <c r="H23" i="5" s="1"/>
  <c r="D27" i="5"/>
  <c r="H27" i="5" s="1"/>
  <c r="D17" i="5"/>
  <c r="H17" i="5" s="1"/>
  <c r="D25" i="5"/>
  <c r="H25" i="5" s="1"/>
  <c r="D11" i="32"/>
  <c r="D40" i="32" s="1"/>
  <c r="F132" i="10"/>
  <c r="F128" i="10"/>
  <c r="F124" i="10"/>
  <c r="F120" i="10"/>
  <c r="F116" i="10"/>
  <c r="F112" i="10"/>
  <c r="F108" i="10"/>
  <c r="F104" i="10"/>
  <c r="F100" i="10"/>
  <c r="F96" i="10"/>
  <c r="F92" i="10"/>
  <c r="F88" i="10"/>
  <c r="D17" i="32"/>
  <c r="D46" i="32" s="1"/>
  <c r="D39" i="32"/>
  <c r="D43" i="32"/>
  <c r="AA315" i="21"/>
  <c r="AA313" i="21"/>
  <c r="AA311" i="21"/>
  <c r="AA309" i="21"/>
  <c r="AA314" i="21"/>
  <c r="AA312" i="21"/>
  <c r="AA310" i="21"/>
  <c r="AA308" i="21"/>
  <c r="AA184" i="21"/>
  <c r="AA182" i="21"/>
  <c r="AA181" i="21"/>
  <c r="AA179" i="21"/>
  <c r="AA185" i="21"/>
  <c r="AA183" i="21"/>
  <c r="AA180" i="21"/>
  <c r="AA178" i="21"/>
  <c r="J170" i="10"/>
  <c r="E66" i="25"/>
  <c r="AA51" i="27"/>
  <c r="AA55" i="27"/>
  <c r="AA53" i="27"/>
  <c r="AA48" i="27"/>
  <c r="AA49" i="27"/>
  <c r="AA52" i="27"/>
  <c r="AA54" i="27"/>
  <c r="AA177" i="27"/>
  <c r="AA181" i="27"/>
  <c r="AA178" i="27"/>
  <c r="AA182" i="27"/>
  <c r="AA179" i="27"/>
  <c r="AA183" i="27"/>
  <c r="AA180" i="27"/>
  <c r="AA184" i="27"/>
  <c r="AA308" i="27"/>
  <c r="AA312" i="27"/>
  <c r="AA305" i="27"/>
  <c r="AA309" i="27"/>
  <c r="AA306" i="27"/>
  <c r="AA310" i="27"/>
  <c r="AA307" i="27"/>
  <c r="AA311" i="27"/>
  <c r="F347" i="14"/>
  <c r="F319" i="14"/>
  <c r="R277" i="14"/>
  <c r="R333" i="14"/>
  <c r="R319" i="14"/>
  <c r="F305" i="14"/>
  <c r="F291" i="14"/>
  <c r="F333" i="14"/>
  <c r="R291" i="14"/>
  <c r="F361" i="14"/>
  <c r="F277" i="14"/>
  <c r="F363" i="14"/>
  <c r="F367" i="14"/>
  <c r="F350" i="14"/>
  <c r="F354" i="14"/>
  <c r="R337" i="14"/>
  <c r="F334" i="14"/>
  <c r="F338" i="14"/>
  <c r="F293" i="14"/>
  <c r="F297" i="14"/>
  <c r="R322" i="14"/>
  <c r="R326" i="14"/>
  <c r="F323" i="14"/>
  <c r="AB305" i="14"/>
  <c r="AB309" i="14"/>
  <c r="F306" i="14"/>
  <c r="F310" i="14"/>
  <c r="R293" i="14"/>
  <c r="R297" i="14"/>
  <c r="R280" i="14"/>
  <c r="R284" i="14"/>
  <c r="F281" i="14"/>
  <c r="F264" i="14"/>
  <c r="F268" i="14"/>
  <c r="F263" i="14"/>
  <c r="F364" i="14"/>
  <c r="F368" i="14"/>
  <c r="F351" i="14"/>
  <c r="R334" i="14"/>
  <c r="R338" i="14"/>
  <c r="F335" i="14"/>
  <c r="F339" i="14"/>
  <c r="F294" i="14"/>
  <c r="F292" i="14"/>
  <c r="R323" i="14"/>
  <c r="F320" i="14"/>
  <c r="F324" i="14"/>
  <c r="AB312" i="14"/>
  <c r="AB308" i="14"/>
  <c r="F307" i="14"/>
  <c r="F311" i="14"/>
  <c r="R294" i="14"/>
  <c r="R298" i="14"/>
  <c r="R281" i="14"/>
  <c r="F278" i="14"/>
  <c r="F282" i="14"/>
  <c r="F265" i="14"/>
  <c r="F269" i="14"/>
  <c r="O6" i="11"/>
  <c r="F365" i="14"/>
  <c r="F349" i="14"/>
  <c r="F352" i="14"/>
  <c r="R335" i="14"/>
  <c r="R339" i="14"/>
  <c r="F336" i="14"/>
  <c r="F340" i="14"/>
  <c r="F295" i="14"/>
  <c r="R320" i="14"/>
  <c r="R324" i="14"/>
  <c r="F321" i="14"/>
  <c r="F325" i="14"/>
  <c r="AB311" i="14"/>
  <c r="AB307" i="14"/>
  <c r="F308" i="14"/>
  <c r="F312" i="14"/>
  <c r="R295" i="14"/>
  <c r="R278" i="14"/>
  <c r="R282" i="14"/>
  <c r="F279" i="14"/>
  <c r="F283" i="14"/>
  <c r="F266" i="14"/>
  <c r="F270" i="14"/>
  <c r="F362" i="14"/>
  <c r="F366" i="14"/>
  <c r="F348" i="14"/>
  <c r="F353" i="14"/>
  <c r="R336" i="14"/>
  <c r="R340" i="14"/>
  <c r="F337" i="14"/>
  <c r="F298" i="14"/>
  <c r="F296" i="14"/>
  <c r="R321" i="14"/>
  <c r="R325" i="14"/>
  <c r="F322" i="14"/>
  <c r="F326" i="14"/>
  <c r="AB310" i="14"/>
  <c r="AB306" i="14"/>
  <c r="F309" i="14"/>
  <c r="R292" i="14"/>
  <c r="R296" i="14"/>
  <c r="R279" i="14"/>
  <c r="R283" i="14"/>
  <c r="F280" i="14"/>
  <c r="F284" i="14"/>
  <c r="F267" i="14"/>
  <c r="N6" i="11"/>
  <c r="Z311" i="14"/>
  <c r="Z307" i="14"/>
  <c r="Z183" i="14"/>
  <c r="Z179" i="14"/>
  <c r="Z312" i="14"/>
  <c r="Z308" i="14"/>
  <c r="Z184" i="14"/>
  <c r="Z180" i="14"/>
  <c r="Z309" i="14"/>
  <c r="Z305" i="14"/>
  <c r="Z181" i="14"/>
  <c r="Z177" i="14"/>
  <c r="Z310" i="14"/>
  <c r="Z306" i="14"/>
  <c r="Z182" i="14"/>
  <c r="Z178" i="14"/>
  <c r="H6" i="11"/>
  <c r="J194" i="10"/>
  <c r="P124" i="3"/>
  <c r="P122" i="3"/>
  <c r="P120" i="3"/>
  <c r="P118" i="3"/>
  <c r="P116" i="3"/>
  <c r="P114" i="3"/>
  <c r="P112" i="3"/>
  <c r="P110" i="3"/>
  <c r="P108" i="3"/>
  <c r="P106" i="3"/>
  <c r="P123" i="3"/>
  <c r="P121" i="3"/>
  <c r="P119" i="3"/>
  <c r="P117" i="3"/>
  <c r="P115" i="3"/>
  <c r="P113" i="3"/>
  <c r="P111" i="3"/>
  <c r="P109" i="3"/>
  <c r="P107" i="3"/>
  <c r="P105" i="3"/>
  <c r="J162" i="10"/>
  <c r="O9" i="11"/>
  <c r="O13" i="11"/>
  <c r="O17" i="11"/>
  <c r="O21" i="11"/>
  <c r="O25" i="11"/>
  <c r="O29" i="11"/>
  <c r="O33" i="11"/>
  <c r="O37" i="11"/>
  <c r="O41" i="11"/>
  <c r="O45" i="11"/>
  <c r="O49" i="11"/>
  <c r="O53" i="11"/>
  <c r="O57" i="11"/>
  <c r="O7" i="11"/>
  <c r="O11" i="11"/>
  <c r="O15" i="11"/>
  <c r="O19" i="11"/>
  <c r="O23" i="11"/>
  <c r="O27" i="11"/>
  <c r="O31" i="11"/>
  <c r="O35" i="11"/>
  <c r="O39" i="11"/>
  <c r="O43" i="11"/>
  <c r="O47" i="11"/>
  <c r="O51" i="11"/>
  <c r="O55" i="11"/>
  <c r="O59" i="11"/>
  <c r="O8" i="11"/>
  <c r="O12" i="11"/>
  <c r="O16" i="11"/>
  <c r="O20" i="11"/>
  <c r="O24" i="11"/>
  <c r="O28" i="11"/>
  <c r="O32" i="11"/>
  <c r="O36" i="11"/>
  <c r="O40" i="11"/>
  <c r="O44" i="11"/>
  <c r="O48" i="11"/>
  <c r="O52" i="11"/>
  <c r="O56" i="11"/>
  <c r="O14" i="11"/>
  <c r="O30" i="11"/>
  <c r="O46" i="11"/>
  <c r="M6" i="11"/>
  <c r="O18" i="11"/>
  <c r="O34" i="11"/>
  <c r="O50" i="11"/>
  <c r="O22" i="11"/>
  <c r="O38" i="11"/>
  <c r="O54" i="11"/>
  <c r="O10" i="11"/>
  <c r="O26" i="11"/>
  <c r="O42" i="11"/>
  <c r="G6" i="13"/>
  <c r="O58" i="11"/>
  <c r="G130" i="12"/>
  <c r="D382" i="14"/>
  <c r="P379" i="14"/>
  <c r="D378" i="14"/>
  <c r="P375" i="14"/>
  <c r="D368" i="14"/>
  <c r="P365" i="14"/>
  <c r="D364" i="14"/>
  <c r="P361" i="14"/>
  <c r="D354" i="14"/>
  <c r="P351" i="14"/>
  <c r="D350" i="14"/>
  <c r="P382" i="14"/>
  <c r="D381" i="14"/>
  <c r="P378" i="14"/>
  <c r="D377" i="14"/>
  <c r="P368" i="14"/>
  <c r="D367" i="14"/>
  <c r="P364" i="14"/>
  <c r="D363" i="14"/>
  <c r="P354" i="14"/>
  <c r="D353" i="14"/>
  <c r="P350" i="14"/>
  <c r="D349" i="14"/>
  <c r="P381" i="14"/>
  <c r="P380" i="14"/>
  <c r="D376" i="14"/>
  <c r="P367" i="14"/>
  <c r="P366" i="14"/>
  <c r="D362" i="14"/>
  <c r="P353" i="14"/>
  <c r="P352" i="14"/>
  <c r="P340" i="14"/>
  <c r="D339" i="14"/>
  <c r="P336" i="14"/>
  <c r="D335" i="14"/>
  <c r="P326" i="14"/>
  <c r="P324" i="14"/>
  <c r="P322" i="14"/>
  <c r="P320" i="14"/>
  <c r="P312" i="14"/>
  <c r="P310" i="14"/>
  <c r="P308" i="14"/>
  <c r="P306" i="14"/>
  <c r="P298" i="14"/>
  <c r="P296" i="14"/>
  <c r="D293" i="14"/>
  <c r="P291" i="14"/>
  <c r="D283" i="14"/>
  <c r="P281" i="14"/>
  <c r="D279" i="14"/>
  <c r="P277" i="14"/>
  <c r="D269" i="14"/>
  <c r="P267" i="14"/>
  <c r="D265" i="14"/>
  <c r="P263" i="14"/>
  <c r="P254" i="14"/>
  <c r="P253" i="14"/>
  <c r="P252" i="14"/>
  <c r="P251" i="14"/>
  <c r="P250" i="14"/>
  <c r="P249" i="14"/>
  <c r="P248" i="14"/>
  <c r="P247" i="14"/>
  <c r="P240" i="14"/>
  <c r="P239" i="14"/>
  <c r="P238" i="14"/>
  <c r="P237" i="14"/>
  <c r="P236" i="14"/>
  <c r="P235" i="14"/>
  <c r="P234" i="14"/>
  <c r="P233" i="14"/>
  <c r="P226" i="14"/>
  <c r="P225" i="14"/>
  <c r="D379" i="14"/>
  <c r="D365" i="14"/>
  <c r="D351" i="14"/>
  <c r="D348" i="14"/>
  <c r="P339" i="14"/>
  <c r="D338" i="14"/>
  <c r="P335" i="14"/>
  <c r="D334" i="14"/>
  <c r="P325" i="14"/>
  <c r="P323" i="14"/>
  <c r="P321" i="14"/>
  <c r="P319" i="14"/>
  <c r="P311" i="14"/>
  <c r="P309" i="14"/>
  <c r="P307" i="14"/>
  <c r="P305" i="14"/>
  <c r="P297" i="14"/>
  <c r="P295" i="14"/>
  <c r="P294" i="14"/>
  <c r="D292" i="14"/>
  <c r="P284" i="14"/>
  <c r="D282" i="14"/>
  <c r="P280" i="14"/>
  <c r="D278" i="14"/>
  <c r="P270" i="14"/>
  <c r="D268" i="14"/>
  <c r="P266" i="14"/>
  <c r="D264" i="14"/>
  <c r="D380" i="14"/>
  <c r="P377" i="14"/>
  <c r="P376" i="14"/>
  <c r="D366" i="14"/>
  <c r="P363" i="14"/>
  <c r="P362" i="14"/>
  <c r="D352" i="14"/>
  <c r="P349" i="14"/>
  <c r="P348" i="14"/>
  <c r="D347" i="14"/>
  <c r="P338" i="14"/>
  <c r="D337" i="14"/>
  <c r="P334" i="14"/>
  <c r="D333" i="14"/>
  <c r="D326" i="14"/>
  <c r="D325" i="14"/>
  <c r="D324" i="14"/>
  <c r="D323" i="14"/>
  <c r="D322" i="14"/>
  <c r="D321" i="14"/>
  <c r="D320" i="14"/>
  <c r="D319" i="14"/>
  <c r="D312" i="14"/>
  <c r="D311" i="14"/>
  <c r="D310" i="14"/>
  <c r="D309" i="14"/>
  <c r="D308" i="14"/>
  <c r="D307" i="14"/>
  <c r="D306" i="14"/>
  <c r="D305" i="14"/>
  <c r="D298" i="14"/>
  <c r="D297" i="14"/>
  <c r="D296" i="14"/>
  <c r="D295" i="14"/>
  <c r="P293" i="14"/>
  <c r="D291" i="14"/>
  <c r="P283" i="14"/>
  <c r="D281" i="14"/>
  <c r="P279" i="14"/>
  <c r="D277" i="14"/>
  <c r="P269" i="14"/>
  <c r="D267" i="14"/>
  <c r="P265" i="14"/>
  <c r="D263" i="14"/>
  <c r="D254" i="14"/>
  <c r="D253" i="14"/>
  <c r="D252" i="14"/>
  <c r="D251" i="14"/>
  <c r="D250" i="14"/>
  <c r="D249" i="14"/>
  <c r="D248" i="14"/>
  <c r="D247" i="14"/>
  <c r="D240" i="14"/>
  <c r="D239" i="14"/>
  <c r="D238" i="14"/>
  <c r="D237" i="14"/>
  <c r="D236" i="14"/>
  <c r="D235" i="14"/>
  <c r="D234" i="14"/>
  <c r="D233" i="14"/>
  <c r="D226" i="14"/>
  <c r="D225" i="14"/>
  <c r="D224" i="14"/>
  <c r="D223" i="14"/>
  <c r="D222" i="14"/>
  <c r="D221" i="14"/>
  <c r="D220" i="14"/>
  <c r="D219" i="14"/>
  <c r="D212" i="14"/>
  <c r="D211" i="14"/>
  <c r="D210" i="14"/>
  <c r="D209" i="14"/>
  <c r="D361" i="14"/>
  <c r="P268" i="14"/>
  <c r="P222" i="14"/>
  <c r="P212" i="14"/>
  <c r="P208" i="14"/>
  <c r="P207" i="14"/>
  <c r="P206" i="14"/>
  <c r="P205" i="14"/>
  <c r="P198" i="14"/>
  <c r="P197" i="14"/>
  <c r="P196" i="14"/>
  <c r="P195" i="14"/>
  <c r="P194" i="14"/>
  <c r="P193" i="14"/>
  <c r="P192" i="14"/>
  <c r="P191" i="14"/>
  <c r="D183" i="14"/>
  <c r="P181" i="14"/>
  <c r="D179" i="14"/>
  <c r="P177" i="14"/>
  <c r="P170" i="14"/>
  <c r="P169" i="14"/>
  <c r="P168" i="14"/>
  <c r="P167" i="14"/>
  <c r="P166" i="14"/>
  <c r="P165" i="14"/>
  <c r="P164" i="14"/>
  <c r="P163" i="14"/>
  <c r="P156" i="14"/>
  <c r="P155" i="14"/>
  <c r="P154" i="14"/>
  <c r="P153" i="14"/>
  <c r="P152" i="14"/>
  <c r="P151" i="14"/>
  <c r="P150" i="14"/>
  <c r="P149" i="14"/>
  <c r="D141" i="14"/>
  <c r="P139" i="14"/>
  <c r="D137" i="14"/>
  <c r="P135" i="14"/>
  <c r="D375" i="14"/>
  <c r="P333" i="14"/>
  <c r="P264" i="14"/>
  <c r="P223" i="14"/>
  <c r="P219" i="14"/>
  <c r="P209" i="14"/>
  <c r="P184" i="14"/>
  <c r="D182" i="14"/>
  <c r="P180" i="14"/>
  <c r="D178" i="14"/>
  <c r="P142" i="14"/>
  <c r="D140" i="14"/>
  <c r="P138" i="14"/>
  <c r="D136" i="14"/>
  <c r="P337" i="14"/>
  <c r="D336" i="14"/>
  <c r="D270" i="14"/>
  <c r="G270" i="14" s="1"/>
  <c r="P224" i="14"/>
  <c r="P220" i="14"/>
  <c r="P210" i="14"/>
  <c r="D208" i="14"/>
  <c r="D207" i="14"/>
  <c r="D206" i="14"/>
  <c r="D205" i="14"/>
  <c r="D198" i="14"/>
  <c r="D197" i="14"/>
  <c r="D196" i="14"/>
  <c r="D195" i="14"/>
  <c r="D194" i="14"/>
  <c r="D193" i="14"/>
  <c r="D192" i="14"/>
  <c r="D191" i="14"/>
  <c r="P183" i="14"/>
  <c r="D181" i="14"/>
  <c r="P179" i="14"/>
  <c r="D177" i="14"/>
  <c r="D170" i="14"/>
  <c r="D169" i="14"/>
  <c r="D168" i="14"/>
  <c r="D167" i="14"/>
  <c r="D166" i="14"/>
  <c r="D165" i="14"/>
  <c r="D164" i="14"/>
  <c r="D163" i="14"/>
  <c r="D156" i="14"/>
  <c r="D155" i="14"/>
  <c r="D154" i="14"/>
  <c r="D153" i="14"/>
  <c r="D152" i="14"/>
  <c r="D151" i="14"/>
  <c r="D150" i="14"/>
  <c r="D149" i="14"/>
  <c r="P141" i="14"/>
  <c r="D139" i="14"/>
  <c r="P137" i="14"/>
  <c r="D135" i="14"/>
  <c r="P347" i="14"/>
  <c r="D340" i="14"/>
  <c r="D294" i="14"/>
  <c r="D280" i="14"/>
  <c r="P282" i="14"/>
  <c r="D266" i="14"/>
  <c r="P221" i="14"/>
  <c r="D284" i="14"/>
  <c r="P211" i="14"/>
  <c r="D184" i="14"/>
  <c r="P182" i="14"/>
  <c r="D180" i="14"/>
  <c r="P178" i="14"/>
  <c r="D142" i="14"/>
  <c r="P140" i="14"/>
  <c r="D138" i="14"/>
  <c r="P136" i="14"/>
  <c r="P292" i="14"/>
  <c r="P278" i="14"/>
  <c r="H9" i="11"/>
  <c r="H13" i="11"/>
  <c r="H17" i="11"/>
  <c r="H21" i="11"/>
  <c r="H25" i="11"/>
  <c r="H29" i="11"/>
  <c r="H33" i="11"/>
  <c r="H37" i="11"/>
  <c r="H41" i="11"/>
  <c r="H45" i="11"/>
  <c r="H49" i="11"/>
  <c r="H53" i="11"/>
  <c r="H57" i="11"/>
  <c r="F6" i="11"/>
  <c r="H7" i="11"/>
  <c r="H11" i="11"/>
  <c r="H15" i="11"/>
  <c r="H19" i="11"/>
  <c r="H23" i="11"/>
  <c r="H27" i="11"/>
  <c r="H31" i="11"/>
  <c r="H35" i="11"/>
  <c r="H39" i="11"/>
  <c r="H43" i="11"/>
  <c r="H47" i="11"/>
  <c r="H51" i="11"/>
  <c r="H55" i="11"/>
  <c r="H59" i="11"/>
  <c r="H8" i="11"/>
  <c r="H12" i="11"/>
  <c r="H16" i="11"/>
  <c r="H20" i="11"/>
  <c r="H24" i="11"/>
  <c r="H28" i="11"/>
  <c r="H32" i="11"/>
  <c r="H36" i="11"/>
  <c r="H40" i="11"/>
  <c r="H44" i="11"/>
  <c r="H48" i="11"/>
  <c r="H52" i="11"/>
  <c r="H56" i="11"/>
  <c r="H10" i="11"/>
  <c r="H26" i="11"/>
  <c r="H42" i="11"/>
  <c r="H58" i="11"/>
  <c r="H14" i="11"/>
  <c r="H30" i="11"/>
  <c r="H46" i="11"/>
  <c r="H18" i="11"/>
  <c r="H34" i="11"/>
  <c r="H50" i="11"/>
  <c r="G6" i="11"/>
  <c r="H22" i="11"/>
  <c r="H38" i="11"/>
  <c r="H54" i="11"/>
  <c r="D130" i="12"/>
  <c r="R123" i="3"/>
  <c r="R121" i="3"/>
  <c r="R119" i="3"/>
  <c r="R117" i="3"/>
  <c r="R115" i="3"/>
  <c r="R113" i="3"/>
  <c r="R111" i="3"/>
  <c r="R120" i="3"/>
  <c r="R112" i="3"/>
  <c r="R107" i="3"/>
  <c r="R122" i="3"/>
  <c r="R118" i="3"/>
  <c r="R110" i="3"/>
  <c r="R106" i="3"/>
  <c r="R114" i="3"/>
  <c r="R124" i="3"/>
  <c r="R116" i="3"/>
  <c r="R109" i="3"/>
  <c r="R105" i="3"/>
  <c r="R108" i="3"/>
  <c r="J202" i="10"/>
  <c r="J186" i="10"/>
  <c r="J154" i="10"/>
  <c r="D6" i="2"/>
  <c r="J160" i="2"/>
  <c r="J178" i="10"/>
  <c r="J146" i="10"/>
  <c r="J195" i="10"/>
  <c r="D95" i="3"/>
  <c r="J208" i="2"/>
  <c r="J176" i="2"/>
  <c r="J218" i="2"/>
  <c r="J200" i="2"/>
  <c r="J168" i="2"/>
  <c r="J192" i="2"/>
  <c r="D149" i="12"/>
  <c r="J145" i="10"/>
  <c r="N58" i="6"/>
  <c r="N57" i="6"/>
  <c r="N54" i="6"/>
  <c r="N53" i="6"/>
  <c r="N50" i="6"/>
  <c r="N49" i="6"/>
  <c r="N46" i="6"/>
  <c r="N45" i="6"/>
  <c r="N43" i="6"/>
  <c r="N41" i="6"/>
  <c r="N39" i="6"/>
  <c r="N36" i="6"/>
  <c r="N35" i="6"/>
  <c r="N33" i="6"/>
  <c r="N31" i="6"/>
  <c r="N29" i="6"/>
  <c r="N26" i="6"/>
  <c r="N25" i="6"/>
  <c r="N23" i="6"/>
  <c r="N21" i="6"/>
  <c r="N19" i="6"/>
  <c r="N17" i="6"/>
  <c r="N15" i="6"/>
  <c r="N13" i="6"/>
  <c r="N11" i="6"/>
  <c r="N8" i="6"/>
  <c r="N7" i="6"/>
  <c r="N6" i="6"/>
  <c r="R6" i="6" s="1"/>
  <c r="N72" i="6"/>
  <c r="N71" i="6"/>
  <c r="N70" i="6"/>
  <c r="N69" i="6"/>
  <c r="N68" i="6"/>
  <c r="N67" i="6"/>
  <c r="N9" i="6"/>
  <c r="N59" i="6"/>
  <c r="N56" i="6"/>
  <c r="N55" i="6"/>
  <c r="N52" i="6"/>
  <c r="N51" i="6"/>
  <c r="N48" i="6"/>
  <c r="N47" i="6"/>
  <c r="N44" i="6"/>
  <c r="N42" i="6"/>
  <c r="N40" i="6"/>
  <c r="N38" i="6"/>
  <c r="N37" i="6"/>
  <c r="N34" i="6"/>
  <c r="N32" i="6"/>
  <c r="N30" i="6"/>
  <c r="N28" i="6"/>
  <c r="N27" i="6"/>
  <c r="N24" i="6"/>
  <c r="N22" i="6"/>
  <c r="N20" i="6"/>
  <c r="N18" i="6"/>
  <c r="N16" i="6"/>
  <c r="N14" i="6"/>
  <c r="N12" i="6"/>
  <c r="N10" i="6"/>
  <c r="G71" i="13"/>
  <c r="G69" i="13"/>
  <c r="G67" i="13"/>
  <c r="G59" i="13"/>
  <c r="G9" i="13"/>
  <c r="G11" i="13"/>
  <c r="G13" i="13"/>
  <c r="G15" i="13"/>
  <c r="G17" i="13"/>
  <c r="G19" i="13"/>
  <c r="G21" i="13"/>
  <c r="G23" i="13"/>
  <c r="G25" i="13"/>
  <c r="G27" i="13"/>
  <c r="G29" i="13"/>
  <c r="G31" i="13"/>
  <c r="G33" i="13"/>
  <c r="G35" i="13"/>
  <c r="G37" i="13"/>
  <c r="G39" i="13"/>
  <c r="G41" i="13"/>
  <c r="G43" i="13"/>
  <c r="G45" i="13"/>
  <c r="G47" i="13"/>
  <c r="G49" i="13"/>
  <c r="G51" i="13"/>
  <c r="G53" i="13"/>
  <c r="G55" i="13"/>
  <c r="G57" i="13"/>
  <c r="G7" i="13"/>
  <c r="G35" i="12"/>
  <c r="G37" i="12"/>
  <c r="G34" i="12"/>
  <c r="G32" i="12"/>
  <c r="G29" i="12"/>
  <c r="G31" i="12"/>
  <c r="G26" i="12"/>
  <c r="G22" i="12"/>
  <c r="G24" i="12"/>
  <c r="G20" i="12"/>
  <c r="G15" i="12"/>
  <c r="G17" i="12"/>
  <c r="G14" i="12"/>
  <c r="G9" i="12"/>
  <c r="G11" i="12"/>
  <c r="G13" i="12"/>
  <c r="G6" i="12"/>
  <c r="G54" i="12"/>
  <c r="G56" i="12"/>
  <c r="G58" i="12"/>
  <c r="G60" i="12"/>
  <c r="G62" i="12"/>
  <c r="G64" i="12"/>
  <c r="G66" i="12"/>
  <c r="G68" i="12"/>
  <c r="G70" i="12"/>
  <c r="G72" i="12"/>
  <c r="G74" i="12"/>
  <c r="G76" i="12"/>
  <c r="G78" i="12"/>
  <c r="G80" i="12"/>
  <c r="G82" i="12"/>
  <c r="G84" i="12"/>
  <c r="G86" i="12"/>
  <c r="G88" i="12"/>
  <c r="G90" i="12"/>
  <c r="G92" i="12"/>
  <c r="G94" i="12"/>
  <c r="G96" i="12"/>
  <c r="G98" i="12"/>
  <c r="G100" i="12"/>
  <c r="G102" i="12"/>
  <c r="G104" i="12"/>
  <c r="G52" i="12"/>
  <c r="G164" i="12"/>
  <c r="G163" i="12"/>
  <c r="G162" i="12"/>
  <c r="G157" i="12"/>
  <c r="G159" i="12"/>
  <c r="G154" i="12"/>
  <c r="G153" i="12"/>
  <c r="G151" i="12"/>
  <c r="G149" i="12"/>
  <c r="G148" i="12"/>
  <c r="G143" i="12"/>
  <c r="G145" i="12"/>
  <c r="G140" i="12"/>
  <c r="G139" i="12"/>
  <c r="G137" i="12"/>
  <c r="G135" i="12"/>
  <c r="G134" i="12"/>
  <c r="G129" i="12"/>
  <c r="G128" i="12"/>
  <c r="G127" i="12"/>
  <c r="G123" i="12"/>
  <c r="G122" i="12"/>
  <c r="G114" i="12"/>
  <c r="G116" i="12"/>
  <c r="G118" i="12"/>
  <c r="G120" i="12"/>
  <c r="G112" i="12"/>
  <c r="N8" i="11"/>
  <c r="N10" i="11"/>
  <c r="N12" i="11"/>
  <c r="N14" i="11"/>
  <c r="N16" i="11"/>
  <c r="N18" i="11"/>
  <c r="N20" i="11"/>
  <c r="N22" i="11"/>
  <c r="N24" i="11"/>
  <c r="N26" i="11"/>
  <c r="N28" i="11"/>
  <c r="N30" i="11"/>
  <c r="N32" i="11"/>
  <c r="N34" i="11"/>
  <c r="N36" i="11"/>
  <c r="N38" i="11"/>
  <c r="N40" i="11"/>
  <c r="N42" i="11"/>
  <c r="N44" i="11"/>
  <c r="N46" i="11"/>
  <c r="N48" i="11"/>
  <c r="N50" i="11"/>
  <c r="N52" i="11"/>
  <c r="N54" i="11"/>
  <c r="N56" i="11"/>
  <c r="N58" i="11"/>
  <c r="M8" i="11"/>
  <c r="M10" i="11"/>
  <c r="M12" i="11"/>
  <c r="M14" i="11"/>
  <c r="M16" i="11"/>
  <c r="M18" i="11"/>
  <c r="M20" i="11"/>
  <c r="M22" i="11"/>
  <c r="M24" i="11"/>
  <c r="M26" i="11"/>
  <c r="M28" i="11"/>
  <c r="M30" i="11"/>
  <c r="M32" i="11"/>
  <c r="M34" i="11"/>
  <c r="M36" i="11"/>
  <c r="M38" i="11"/>
  <c r="M40" i="11"/>
  <c r="M42" i="11"/>
  <c r="M44" i="11"/>
  <c r="M46" i="11"/>
  <c r="M48" i="11"/>
  <c r="M50" i="11"/>
  <c r="M52" i="11"/>
  <c r="M54" i="11"/>
  <c r="M56" i="11"/>
  <c r="M58" i="11"/>
  <c r="G69" i="10"/>
  <c r="G71" i="10"/>
  <c r="G67" i="10"/>
  <c r="U69" i="10"/>
  <c r="U71" i="10"/>
  <c r="U67" i="10"/>
  <c r="U8" i="10"/>
  <c r="U10" i="10"/>
  <c r="U12" i="10"/>
  <c r="U14" i="10"/>
  <c r="U16" i="10"/>
  <c r="U18" i="10"/>
  <c r="U20" i="10"/>
  <c r="U22" i="10"/>
  <c r="U24" i="10"/>
  <c r="U26" i="10"/>
  <c r="U28" i="10"/>
  <c r="U30" i="10"/>
  <c r="U32" i="10"/>
  <c r="U34" i="10"/>
  <c r="U36" i="10"/>
  <c r="U38" i="10"/>
  <c r="U40" i="10"/>
  <c r="U42" i="10"/>
  <c r="U44" i="10"/>
  <c r="U46" i="10"/>
  <c r="U48" i="10"/>
  <c r="U50" i="10"/>
  <c r="U52" i="10"/>
  <c r="U54" i="10"/>
  <c r="U56" i="10"/>
  <c r="U58" i="10"/>
  <c r="U6" i="10"/>
  <c r="G8" i="10"/>
  <c r="G10" i="10"/>
  <c r="G12" i="10"/>
  <c r="G14" i="10"/>
  <c r="G16" i="10"/>
  <c r="G18" i="10"/>
  <c r="G20" i="10"/>
  <c r="G22" i="10"/>
  <c r="G24" i="10"/>
  <c r="G26" i="10"/>
  <c r="G28" i="10"/>
  <c r="G30" i="10"/>
  <c r="G32" i="10"/>
  <c r="G34" i="10"/>
  <c r="G36" i="10"/>
  <c r="G38" i="10"/>
  <c r="G40" i="10"/>
  <c r="G42" i="10"/>
  <c r="G44" i="10"/>
  <c r="G46" i="10"/>
  <c r="G48" i="10"/>
  <c r="G50" i="10"/>
  <c r="G52" i="10"/>
  <c r="G54" i="10"/>
  <c r="G56" i="10"/>
  <c r="G58" i="10"/>
  <c r="G6" i="10"/>
  <c r="G70" i="13"/>
  <c r="G8" i="13"/>
  <c r="G12" i="13"/>
  <c r="G16" i="13"/>
  <c r="G20" i="13"/>
  <c r="G24" i="13"/>
  <c r="G28" i="13"/>
  <c r="G32" i="13"/>
  <c r="G36" i="13"/>
  <c r="G40" i="13"/>
  <c r="G44" i="13"/>
  <c r="G48" i="13"/>
  <c r="G52" i="13"/>
  <c r="G56" i="13"/>
  <c r="G38" i="12"/>
  <c r="G28" i="12"/>
  <c r="G27" i="12"/>
  <c r="G23" i="12"/>
  <c r="G19" i="12"/>
  <c r="G18" i="12"/>
  <c r="G10" i="12"/>
  <c r="G7" i="12"/>
  <c r="G55" i="12"/>
  <c r="G59" i="12"/>
  <c r="G63" i="12"/>
  <c r="G67" i="12"/>
  <c r="G71" i="12"/>
  <c r="G75" i="12"/>
  <c r="G79" i="12"/>
  <c r="G83" i="12"/>
  <c r="G87" i="12"/>
  <c r="G91" i="12"/>
  <c r="G95" i="12"/>
  <c r="G99" i="12"/>
  <c r="G103" i="12"/>
  <c r="G166" i="12"/>
  <c r="G161" i="12"/>
  <c r="G158" i="12"/>
  <c r="G155" i="12"/>
  <c r="G152" i="12"/>
  <c r="G146" i="12"/>
  <c r="G142" i="12"/>
  <c r="G136" i="12"/>
  <c r="G133" i="12"/>
  <c r="G131" i="12"/>
  <c r="G125" i="12"/>
  <c r="G121" i="12"/>
  <c r="G117" i="12"/>
  <c r="G113" i="12"/>
  <c r="N9" i="11"/>
  <c r="N13" i="11"/>
  <c r="N17" i="11"/>
  <c r="N21" i="11"/>
  <c r="N25" i="11"/>
  <c r="N29" i="11"/>
  <c r="N33" i="11"/>
  <c r="N37" i="11"/>
  <c r="N41" i="11"/>
  <c r="N45" i="11"/>
  <c r="N49" i="11"/>
  <c r="N53" i="11"/>
  <c r="N57" i="11"/>
  <c r="M59" i="11"/>
  <c r="M11" i="11"/>
  <c r="M15" i="11"/>
  <c r="M19" i="11"/>
  <c r="M23" i="11"/>
  <c r="M27" i="11"/>
  <c r="M31" i="11"/>
  <c r="M35" i="11"/>
  <c r="M39" i="11"/>
  <c r="M43" i="11"/>
  <c r="M47" i="11"/>
  <c r="M51" i="11"/>
  <c r="M55" i="11"/>
  <c r="M7" i="11"/>
  <c r="G70" i="10"/>
  <c r="U72" i="10"/>
  <c r="U68" i="10"/>
  <c r="U9" i="10"/>
  <c r="U13" i="10"/>
  <c r="U17" i="10"/>
  <c r="U21" i="10"/>
  <c r="U25" i="10"/>
  <c r="U29" i="10"/>
  <c r="U33" i="10"/>
  <c r="U37" i="10"/>
  <c r="U41" i="10"/>
  <c r="U45" i="10"/>
  <c r="U49" i="10"/>
  <c r="U53" i="10"/>
  <c r="U57" i="10"/>
  <c r="G59" i="10"/>
  <c r="G11" i="10"/>
  <c r="G15" i="10"/>
  <c r="G19" i="10"/>
  <c r="G23" i="10"/>
  <c r="G27" i="10"/>
  <c r="G31" i="10"/>
  <c r="G35" i="10"/>
  <c r="G39" i="10"/>
  <c r="G43" i="10"/>
  <c r="G47" i="10"/>
  <c r="G51" i="10"/>
  <c r="G55" i="10"/>
  <c r="G7" i="10"/>
  <c r="G68" i="13"/>
  <c r="G66" i="13"/>
  <c r="G10" i="13"/>
  <c r="G14" i="13"/>
  <c r="G18" i="13"/>
  <c r="G22" i="13"/>
  <c r="G26" i="13"/>
  <c r="G30" i="13"/>
  <c r="G34" i="13"/>
  <c r="G38" i="13"/>
  <c r="G42" i="13"/>
  <c r="G46" i="13"/>
  <c r="G50" i="13"/>
  <c r="G54" i="13"/>
  <c r="G58" i="13"/>
  <c r="G36" i="12"/>
  <c r="G33" i="12"/>
  <c r="G30" i="12"/>
  <c r="G25" i="12"/>
  <c r="G21" i="12"/>
  <c r="G16" i="12"/>
  <c r="G8" i="12"/>
  <c r="G12" i="12"/>
  <c r="G105" i="12"/>
  <c r="G57" i="12"/>
  <c r="G61" i="12"/>
  <c r="G65" i="12"/>
  <c r="G69" i="12"/>
  <c r="G73" i="12"/>
  <c r="G77" i="12"/>
  <c r="G81" i="12"/>
  <c r="G85" i="12"/>
  <c r="G89" i="12"/>
  <c r="G93" i="12"/>
  <c r="G97" i="12"/>
  <c r="G101" i="12"/>
  <c r="G53" i="12"/>
  <c r="G165" i="12"/>
  <c r="G160" i="12"/>
  <c r="G156" i="12"/>
  <c r="G150" i="12"/>
  <c r="G147" i="12"/>
  <c r="G144" i="12"/>
  <c r="G141" i="12"/>
  <c r="G138" i="12"/>
  <c r="G132" i="12"/>
  <c r="G126" i="12"/>
  <c r="G124" i="12"/>
  <c r="G115" i="12"/>
  <c r="G119" i="12"/>
  <c r="N59" i="11"/>
  <c r="N11" i="11"/>
  <c r="N15" i="11"/>
  <c r="N19" i="11"/>
  <c r="N23" i="11"/>
  <c r="N27" i="11"/>
  <c r="N31" i="11"/>
  <c r="N35" i="11"/>
  <c r="N39" i="11"/>
  <c r="N43" i="11"/>
  <c r="N47" i="11"/>
  <c r="N51" i="11"/>
  <c r="N55" i="11"/>
  <c r="N7" i="11"/>
  <c r="M9" i="11"/>
  <c r="M13" i="11"/>
  <c r="M17" i="11"/>
  <c r="M21" i="11"/>
  <c r="M25" i="11"/>
  <c r="M29" i="11"/>
  <c r="M33" i="11"/>
  <c r="M37" i="11"/>
  <c r="M41" i="11"/>
  <c r="M45" i="11"/>
  <c r="M49" i="11"/>
  <c r="M53" i="11"/>
  <c r="M57" i="11"/>
  <c r="G72" i="10"/>
  <c r="G68" i="10"/>
  <c r="U70" i="10"/>
  <c r="U59" i="10"/>
  <c r="U11" i="10"/>
  <c r="U15" i="10"/>
  <c r="U19" i="10"/>
  <c r="U23" i="10"/>
  <c r="U27" i="10"/>
  <c r="U31" i="10"/>
  <c r="U35" i="10"/>
  <c r="U39" i="10"/>
  <c r="U43" i="10"/>
  <c r="U47" i="10"/>
  <c r="U51" i="10"/>
  <c r="U55" i="10"/>
  <c r="U7" i="10"/>
  <c r="G9" i="10"/>
  <c r="G13" i="10"/>
  <c r="G17" i="10"/>
  <c r="G21" i="10"/>
  <c r="G25" i="10"/>
  <c r="G29" i="10"/>
  <c r="G33" i="10"/>
  <c r="G37" i="10"/>
  <c r="G41" i="10"/>
  <c r="G45" i="10"/>
  <c r="G49" i="10"/>
  <c r="G53" i="10"/>
  <c r="G57" i="10"/>
  <c r="D54" i="12"/>
  <c r="D56" i="12"/>
  <c r="D58" i="12"/>
  <c r="D60" i="12"/>
  <c r="D62" i="12"/>
  <c r="D64" i="12"/>
  <c r="D66" i="12"/>
  <c r="D68" i="12"/>
  <c r="D70" i="12"/>
  <c r="D72" i="12"/>
  <c r="D74" i="12"/>
  <c r="D76" i="12"/>
  <c r="D78" i="12"/>
  <c r="D80" i="12"/>
  <c r="D82" i="12"/>
  <c r="D84" i="12"/>
  <c r="D86" i="12"/>
  <c r="D88" i="12"/>
  <c r="D90" i="12"/>
  <c r="D92" i="12"/>
  <c r="D94" i="12"/>
  <c r="D96" i="12"/>
  <c r="D98" i="12"/>
  <c r="D100" i="12"/>
  <c r="D102" i="12"/>
  <c r="D104" i="12"/>
  <c r="D52" i="12"/>
  <c r="D105" i="12"/>
  <c r="D55" i="12"/>
  <c r="D57" i="12"/>
  <c r="D59" i="12"/>
  <c r="D61" i="12"/>
  <c r="D63" i="12"/>
  <c r="D67" i="12"/>
  <c r="D71" i="12"/>
  <c r="D75" i="12"/>
  <c r="D79" i="12"/>
  <c r="D83" i="12"/>
  <c r="D87" i="12"/>
  <c r="D91" i="12"/>
  <c r="D95" i="12"/>
  <c r="D99" i="12"/>
  <c r="D103" i="12"/>
  <c r="D65" i="12"/>
  <c r="D69" i="12"/>
  <c r="D73" i="12"/>
  <c r="D77" i="12"/>
  <c r="D81" i="12"/>
  <c r="D85" i="12"/>
  <c r="D89" i="12"/>
  <c r="D93" i="12"/>
  <c r="D97" i="12"/>
  <c r="D101" i="12"/>
  <c r="D53" i="12"/>
  <c r="D90" i="10"/>
  <c r="J157" i="2"/>
  <c r="D102" i="10"/>
  <c r="H102" i="10" s="1"/>
  <c r="AE235" i="10" s="1"/>
  <c r="P6" i="3"/>
  <c r="J206" i="10"/>
  <c r="J215" i="2"/>
  <c r="J217" i="2"/>
  <c r="M217" i="2" s="1"/>
  <c r="G41" i="12"/>
  <c r="J193" i="10"/>
  <c r="J185" i="10"/>
  <c r="J177" i="10"/>
  <c r="J169" i="10"/>
  <c r="J161" i="10"/>
  <c r="J153" i="10"/>
  <c r="J155" i="2"/>
  <c r="J201" i="2"/>
  <c r="J193" i="2"/>
  <c r="J185" i="2"/>
  <c r="J177" i="2"/>
  <c r="J169" i="2"/>
  <c r="J161" i="2"/>
  <c r="D159" i="12"/>
  <c r="D62" i="14"/>
  <c r="R68" i="10"/>
  <c r="R18" i="10"/>
  <c r="W18" i="10" s="1"/>
  <c r="D120" i="10"/>
  <c r="P82" i="10"/>
  <c r="AA54" i="21"/>
  <c r="AA52" i="21"/>
  <c r="AA50" i="21"/>
  <c r="AA53" i="21"/>
  <c r="AA49" i="21"/>
  <c r="AA51" i="21"/>
  <c r="AA55" i="21"/>
  <c r="AA48" i="21"/>
  <c r="C69" i="26"/>
  <c r="C59" i="26"/>
  <c r="C68" i="26"/>
  <c r="C57" i="26"/>
  <c r="C56" i="26"/>
  <c r="C54" i="26"/>
  <c r="C50" i="26"/>
  <c r="C46" i="26"/>
  <c r="C42" i="26"/>
  <c r="C38" i="26"/>
  <c r="C34" i="26"/>
  <c r="C30" i="26"/>
  <c r="C26" i="26"/>
  <c r="C22" i="26"/>
  <c r="C18" i="26"/>
  <c r="C14" i="26"/>
  <c r="C10" i="26"/>
  <c r="C6" i="26"/>
  <c r="C70" i="26"/>
  <c r="C67" i="26"/>
  <c r="C58" i="26"/>
  <c r="C53" i="26"/>
  <c r="C49" i="26"/>
  <c r="C45" i="26"/>
  <c r="C41" i="26"/>
  <c r="C37" i="26"/>
  <c r="C33" i="26"/>
  <c r="C29" i="26"/>
  <c r="C25" i="26"/>
  <c r="C21" i="26"/>
  <c r="C17" i="26"/>
  <c r="C13" i="26"/>
  <c r="C9" i="26"/>
  <c r="C52" i="26"/>
  <c r="C48" i="26"/>
  <c r="C44" i="26"/>
  <c r="C40" i="26"/>
  <c r="C36" i="26"/>
  <c r="C32" i="26"/>
  <c r="C28" i="26"/>
  <c r="C24" i="26"/>
  <c r="C20" i="26"/>
  <c r="C16" i="26"/>
  <c r="C12" i="26"/>
  <c r="C8" i="26"/>
  <c r="C71" i="26"/>
  <c r="C66" i="26"/>
  <c r="C55" i="26"/>
  <c r="C51" i="26"/>
  <c r="C47" i="26"/>
  <c r="C43" i="26"/>
  <c r="C39" i="26"/>
  <c r="C35" i="26"/>
  <c r="C31" i="26"/>
  <c r="C27" i="26"/>
  <c r="C23" i="26"/>
  <c r="C19" i="26"/>
  <c r="C15" i="26"/>
  <c r="C11" i="26"/>
  <c r="C7" i="26"/>
  <c r="C73" i="25"/>
  <c r="C69" i="25"/>
  <c r="C65" i="25"/>
  <c r="C59" i="25"/>
  <c r="C51" i="25"/>
  <c r="C47" i="25"/>
  <c r="C43" i="25"/>
  <c r="C39" i="25"/>
  <c r="C72" i="25"/>
  <c r="C68" i="25"/>
  <c r="C64" i="25"/>
  <c r="C62" i="25"/>
  <c r="C58" i="25"/>
  <c r="C50" i="25"/>
  <c r="C46" i="25"/>
  <c r="C42" i="25"/>
  <c r="C38" i="25"/>
  <c r="C70" i="25"/>
  <c r="C61" i="25"/>
  <c r="C36" i="25"/>
  <c r="C26" i="25"/>
  <c r="C22" i="25"/>
  <c r="C18" i="25"/>
  <c r="C16" i="25"/>
  <c r="C12" i="25"/>
  <c r="C8" i="25"/>
  <c r="C71" i="25"/>
  <c r="C67" i="25"/>
  <c r="C63" i="25"/>
  <c r="C60" i="25"/>
  <c r="C49" i="25"/>
  <c r="C44" i="25"/>
  <c r="C41" i="25"/>
  <c r="C25" i="25"/>
  <c r="C21" i="25"/>
  <c r="C37" i="25"/>
  <c r="C27" i="25"/>
  <c r="C24" i="25"/>
  <c r="C17" i="25"/>
  <c r="C7" i="25"/>
  <c r="C6" i="25"/>
  <c r="D61" i="24"/>
  <c r="D57" i="24"/>
  <c r="D53" i="24"/>
  <c r="D49" i="24"/>
  <c r="D45" i="24"/>
  <c r="D41" i="24"/>
  <c r="C40" i="25"/>
  <c r="C14" i="25"/>
  <c r="C13" i="25"/>
  <c r="D60" i="24"/>
  <c r="D56" i="24"/>
  <c r="D52" i="24"/>
  <c r="D48" i="24"/>
  <c r="D44" i="24"/>
  <c r="D40" i="24"/>
  <c r="D36" i="24"/>
  <c r="D32" i="24"/>
  <c r="C45" i="25"/>
  <c r="C28" i="25"/>
  <c r="C23" i="25"/>
  <c r="C15" i="25"/>
  <c r="C10" i="25"/>
  <c r="C9" i="25"/>
  <c r="D59" i="24"/>
  <c r="D55" i="24"/>
  <c r="D51" i="24"/>
  <c r="D47" i="24"/>
  <c r="D43" i="24"/>
  <c r="D39" i="24"/>
  <c r="D35" i="24"/>
  <c r="D31" i="24"/>
  <c r="D27" i="24"/>
  <c r="D23" i="24"/>
  <c r="D19" i="24"/>
  <c r="D15" i="24"/>
  <c r="D11" i="24"/>
  <c r="C48" i="25"/>
  <c r="C20" i="25"/>
  <c r="C19" i="25"/>
  <c r="C11" i="25"/>
  <c r="D58" i="24"/>
  <c r="D54" i="24"/>
  <c r="D50" i="24"/>
  <c r="D46" i="24"/>
  <c r="D42" i="24"/>
  <c r="D38" i="24"/>
  <c r="D34" i="24"/>
  <c r="D30" i="24"/>
  <c r="D26" i="24"/>
  <c r="D22" i="24"/>
  <c r="D18" i="24"/>
  <c r="D14" i="24"/>
  <c r="D37" i="24"/>
  <c r="D25" i="24"/>
  <c r="D17" i="24"/>
  <c r="C8" i="24"/>
  <c r="I204" i="23"/>
  <c r="M204" i="23" s="1"/>
  <c r="I194" i="23"/>
  <c r="M194" i="23" s="1"/>
  <c r="I190" i="23"/>
  <c r="M190" i="23" s="1"/>
  <c r="I186" i="23"/>
  <c r="M186" i="23" s="1"/>
  <c r="I182" i="23"/>
  <c r="M182" i="23" s="1"/>
  <c r="I178" i="23"/>
  <c r="M178" i="23" s="1"/>
  <c r="I174" i="23"/>
  <c r="M174" i="23" s="1"/>
  <c r="I170" i="23"/>
  <c r="M170" i="23" s="1"/>
  <c r="I166" i="23"/>
  <c r="M166" i="23" s="1"/>
  <c r="I162" i="23"/>
  <c r="M162" i="23" s="1"/>
  <c r="I158" i="23"/>
  <c r="M158" i="23" s="1"/>
  <c r="I154" i="23"/>
  <c r="M154" i="23" s="1"/>
  <c r="I150" i="23"/>
  <c r="M150" i="23" s="1"/>
  <c r="I146" i="23"/>
  <c r="M146" i="23" s="1"/>
  <c r="I142" i="23"/>
  <c r="M142" i="23" s="1"/>
  <c r="C132" i="23"/>
  <c r="C130" i="23"/>
  <c r="C128" i="23"/>
  <c r="C126" i="23"/>
  <c r="C124" i="23"/>
  <c r="C122" i="23"/>
  <c r="C120" i="23"/>
  <c r="C118" i="23"/>
  <c r="C116" i="23"/>
  <c r="C114" i="23"/>
  <c r="C112" i="23"/>
  <c r="C110" i="23"/>
  <c r="C108" i="23"/>
  <c r="C106" i="23"/>
  <c r="C104" i="23"/>
  <c r="C102" i="23"/>
  <c r="C100" i="23"/>
  <c r="C98" i="23"/>
  <c r="C96" i="23"/>
  <c r="C94" i="23"/>
  <c r="C92" i="23"/>
  <c r="C90" i="23"/>
  <c r="C88" i="23"/>
  <c r="C86" i="23"/>
  <c r="C85" i="23"/>
  <c r="C84" i="23"/>
  <c r="C83" i="23"/>
  <c r="C82" i="23"/>
  <c r="C81" i="23"/>
  <c r="C80" i="23"/>
  <c r="C71" i="23"/>
  <c r="C69" i="23"/>
  <c r="C58" i="23"/>
  <c r="C54" i="23"/>
  <c r="C52" i="23"/>
  <c r="C50" i="23"/>
  <c r="C48" i="23"/>
  <c r="C46" i="23"/>
  <c r="C44" i="23"/>
  <c r="C42" i="23"/>
  <c r="C40" i="23"/>
  <c r="C38" i="23"/>
  <c r="C36" i="23"/>
  <c r="C34" i="23"/>
  <c r="C32" i="23"/>
  <c r="C30" i="23"/>
  <c r="D33" i="24"/>
  <c r="D24" i="24"/>
  <c r="D16" i="24"/>
  <c r="D10" i="24"/>
  <c r="I207" i="23"/>
  <c r="M207" i="23" s="1"/>
  <c r="I203" i="23"/>
  <c r="M203" i="23" s="1"/>
  <c r="I193" i="23"/>
  <c r="M193" i="23" s="1"/>
  <c r="I189" i="23"/>
  <c r="M189" i="23" s="1"/>
  <c r="I185" i="23"/>
  <c r="M185" i="23" s="1"/>
  <c r="I181" i="23"/>
  <c r="M181" i="23" s="1"/>
  <c r="I177" i="23"/>
  <c r="M177" i="23" s="1"/>
  <c r="I173" i="23"/>
  <c r="M173" i="23" s="1"/>
  <c r="I169" i="23"/>
  <c r="M169" i="23" s="1"/>
  <c r="I165" i="23"/>
  <c r="M165" i="23" s="1"/>
  <c r="I161" i="23"/>
  <c r="M161" i="23" s="1"/>
  <c r="I157" i="23"/>
  <c r="M157" i="23" s="1"/>
  <c r="I153" i="23"/>
  <c r="M153" i="23" s="1"/>
  <c r="I149" i="23"/>
  <c r="M149" i="23" s="1"/>
  <c r="I145" i="23"/>
  <c r="M145" i="23" s="1"/>
  <c r="Q59" i="23"/>
  <c r="Q57" i="23"/>
  <c r="Q55" i="23"/>
  <c r="Q53" i="23"/>
  <c r="Q51" i="23"/>
  <c r="Q49" i="23"/>
  <c r="Q47" i="23"/>
  <c r="Q45" i="23"/>
  <c r="Q43" i="23"/>
  <c r="Q41" i="23"/>
  <c r="Q39" i="23"/>
  <c r="Q37" i="23"/>
  <c r="Q35" i="23"/>
  <c r="Q33" i="23"/>
  <c r="D29" i="24"/>
  <c r="D21" i="24"/>
  <c r="D13" i="24"/>
  <c r="D9" i="24"/>
  <c r="I206" i="23"/>
  <c r="M206" i="23" s="1"/>
  <c r="I202" i="23"/>
  <c r="M202" i="23" s="1"/>
  <c r="I192" i="23"/>
  <c r="M192" i="23" s="1"/>
  <c r="I188" i="23"/>
  <c r="M188" i="23" s="1"/>
  <c r="I184" i="23"/>
  <c r="M184" i="23" s="1"/>
  <c r="I180" i="23"/>
  <c r="M180" i="23" s="1"/>
  <c r="I176" i="23"/>
  <c r="M176" i="23" s="1"/>
  <c r="I172" i="23"/>
  <c r="M172" i="23" s="1"/>
  <c r="I168" i="23"/>
  <c r="M168" i="23" s="1"/>
  <c r="I164" i="23"/>
  <c r="M164" i="23" s="1"/>
  <c r="I160" i="23"/>
  <c r="M160" i="23" s="1"/>
  <c r="I156" i="23"/>
  <c r="M156" i="23" s="1"/>
  <c r="I152" i="23"/>
  <c r="M152" i="23" s="1"/>
  <c r="I148" i="23"/>
  <c r="M148" i="23" s="1"/>
  <c r="I144" i="23"/>
  <c r="M144" i="23" s="1"/>
  <c r="C133" i="23"/>
  <c r="C131" i="23"/>
  <c r="C129" i="23"/>
  <c r="C127" i="23"/>
  <c r="C125" i="23"/>
  <c r="C123" i="23"/>
  <c r="C121" i="23"/>
  <c r="C119" i="23"/>
  <c r="C117" i="23"/>
  <c r="C115" i="23"/>
  <c r="C113" i="23"/>
  <c r="C111" i="23"/>
  <c r="C109" i="23"/>
  <c r="C107" i="23"/>
  <c r="C105" i="23"/>
  <c r="C103" i="23"/>
  <c r="C101" i="23"/>
  <c r="C99" i="23"/>
  <c r="C97" i="23"/>
  <c r="C95" i="23"/>
  <c r="C93" i="23"/>
  <c r="C91" i="23"/>
  <c r="C89" i="23"/>
  <c r="C87" i="23"/>
  <c r="O85" i="23"/>
  <c r="O84" i="23"/>
  <c r="O83" i="23"/>
  <c r="O82" i="23"/>
  <c r="O81" i="23"/>
  <c r="O80" i="23"/>
  <c r="C72" i="23"/>
  <c r="C70" i="23"/>
  <c r="D28" i="24"/>
  <c r="D20" i="24"/>
  <c r="D12" i="24"/>
  <c r="I205" i="23"/>
  <c r="M205" i="23" s="1"/>
  <c r="I183" i="23"/>
  <c r="M183" i="23" s="1"/>
  <c r="I167" i="23"/>
  <c r="M167" i="23" s="1"/>
  <c r="I151" i="23"/>
  <c r="M151" i="23" s="1"/>
  <c r="C31" i="23"/>
  <c r="Q30" i="23"/>
  <c r="Q28" i="23"/>
  <c r="Q26" i="23"/>
  <c r="Q24" i="23"/>
  <c r="Q22" i="23"/>
  <c r="Q20" i="23"/>
  <c r="Q18" i="23"/>
  <c r="Q16" i="23"/>
  <c r="Q14" i="23"/>
  <c r="Q12" i="23"/>
  <c r="Q10" i="23"/>
  <c r="Q8" i="23"/>
  <c r="Q6" i="23"/>
  <c r="I195" i="23"/>
  <c r="M195" i="23" s="1"/>
  <c r="I179" i="23"/>
  <c r="M179" i="23" s="1"/>
  <c r="I163" i="23"/>
  <c r="M163" i="23" s="1"/>
  <c r="I147" i="23"/>
  <c r="M147" i="23" s="1"/>
  <c r="C59" i="23"/>
  <c r="Q56" i="23"/>
  <c r="C55" i="23"/>
  <c r="Q52" i="23"/>
  <c r="C51" i="23"/>
  <c r="Q48" i="23"/>
  <c r="C47" i="23"/>
  <c r="Q44" i="23"/>
  <c r="C43" i="23"/>
  <c r="Q40" i="23"/>
  <c r="C39" i="23"/>
  <c r="Q36" i="23"/>
  <c r="C35" i="23"/>
  <c r="Q31" i="23"/>
  <c r="C28" i="23"/>
  <c r="C26" i="23"/>
  <c r="C24" i="23"/>
  <c r="C22" i="23"/>
  <c r="C20" i="23"/>
  <c r="C18" i="23"/>
  <c r="C16" i="23"/>
  <c r="C14" i="23"/>
  <c r="C12" i="23"/>
  <c r="C10" i="23"/>
  <c r="C8" i="23"/>
  <c r="I191" i="23"/>
  <c r="M191" i="23" s="1"/>
  <c r="I175" i="23"/>
  <c r="M175" i="23" s="1"/>
  <c r="I159" i="23"/>
  <c r="M159" i="23" s="1"/>
  <c r="I143" i="23"/>
  <c r="M143" i="23" s="1"/>
  <c r="Q29" i="23"/>
  <c r="Q27" i="23"/>
  <c r="Q25" i="23"/>
  <c r="Q23" i="23"/>
  <c r="Q21" i="23"/>
  <c r="Q19" i="23"/>
  <c r="Q17" i="23"/>
  <c r="Q15" i="23"/>
  <c r="Q13" i="23"/>
  <c r="Q11" i="23"/>
  <c r="Q9" i="23"/>
  <c r="Q7" i="23"/>
  <c r="I187" i="23"/>
  <c r="M187" i="23" s="1"/>
  <c r="I171" i="23"/>
  <c r="M171" i="23" s="1"/>
  <c r="I155" i="23"/>
  <c r="M155" i="23" s="1"/>
  <c r="C68" i="23"/>
  <c r="Q58" i="23"/>
  <c r="C57" i="23"/>
  <c r="Q54" i="23"/>
  <c r="C53" i="23"/>
  <c r="Q50" i="23"/>
  <c r="C49" i="23"/>
  <c r="Q46" i="23"/>
  <c r="C45" i="23"/>
  <c r="Q42" i="23"/>
  <c r="C41" i="23"/>
  <c r="Q38" i="23"/>
  <c r="C37" i="23"/>
  <c r="Q34" i="23"/>
  <c r="C33" i="23"/>
  <c r="Q32" i="23"/>
  <c r="C29" i="23"/>
  <c r="C27" i="23"/>
  <c r="C25" i="23"/>
  <c r="C23" i="23"/>
  <c r="C21" i="23"/>
  <c r="C19" i="23"/>
  <c r="C17" i="23"/>
  <c r="C15" i="23"/>
  <c r="C13" i="23"/>
  <c r="C11" i="23"/>
  <c r="C9" i="23"/>
  <c r="O135" i="18"/>
  <c r="O133" i="18"/>
  <c r="O131" i="18"/>
  <c r="O128" i="18"/>
  <c r="O127" i="18"/>
  <c r="O136" i="18"/>
  <c r="O134" i="18"/>
  <c r="O132" i="18"/>
  <c r="O130" i="18"/>
  <c r="O126" i="18"/>
  <c r="O124" i="18"/>
  <c r="O122" i="18"/>
  <c r="O121" i="18"/>
  <c r="O120" i="18"/>
  <c r="O119" i="18"/>
  <c r="O118" i="18"/>
  <c r="O117" i="18"/>
  <c r="O116" i="18"/>
  <c r="O115" i="18"/>
  <c r="O114" i="18"/>
  <c r="O113" i="18"/>
  <c r="O112" i="18"/>
  <c r="O111" i="18"/>
  <c r="O110" i="18"/>
  <c r="O109" i="18"/>
  <c r="O108" i="18"/>
  <c r="O107" i="18"/>
  <c r="O106" i="18"/>
  <c r="O105" i="18"/>
  <c r="O104" i="18"/>
  <c r="O103" i="18"/>
  <c r="O102" i="18"/>
  <c r="O101" i="18"/>
  <c r="O100" i="18"/>
  <c r="O99" i="18"/>
  <c r="O98" i="18"/>
  <c r="O97" i="18"/>
  <c r="O96" i="18"/>
  <c r="O95" i="18"/>
  <c r="O94" i="18"/>
  <c r="O93" i="18"/>
  <c r="O92" i="18"/>
  <c r="O91" i="18"/>
  <c r="O90" i="18"/>
  <c r="O89" i="18"/>
  <c r="O88" i="18"/>
  <c r="O87" i="18"/>
  <c r="O86" i="18"/>
  <c r="O85" i="18"/>
  <c r="O84" i="18"/>
  <c r="O83" i="18"/>
  <c r="O129" i="18"/>
  <c r="O125" i="18"/>
  <c r="E71" i="26"/>
  <c r="E67" i="26"/>
  <c r="E70" i="26"/>
  <c r="E66" i="26"/>
  <c r="E69" i="26"/>
  <c r="E68" i="26"/>
  <c r="E71" i="25"/>
  <c r="E63" i="25"/>
  <c r="E61" i="25"/>
  <c r="E49" i="25"/>
  <c r="E45" i="25"/>
  <c r="E41" i="25"/>
  <c r="E37" i="25"/>
  <c r="E70" i="25"/>
  <c r="E67" i="25"/>
  <c r="E60" i="25"/>
  <c r="E48" i="25"/>
  <c r="E44" i="25"/>
  <c r="E40" i="25"/>
  <c r="E72" i="25"/>
  <c r="E69" i="25"/>
  <c r="E64" i="25"/>
  <c r="E58" i="25"/>
  <c r="E50" i="25"/>
  <c r="E73" i="25"/>
  <c r="E68" i="25"/>
  <c r="E65" i="25"/>
  <c r="E62" i="25"/>
  <c r="E59" i="25"/>
  <c r="E51" i="25"/>
  <c r="E46" i="25"/>
  <c r="E43" i="25"/>
  <c r="E38" i="25"/>
  <c r="E39" i="25"/>
  <c r="E36" i="25"/>
  <c r="E42" i="25"/>
  <c r="E47" i="25"/>
  <c r="E244" i="15"/>
  <c r="E239" i="15"/>
  <c r="E243" i="15"/>
  <c r="D162" i="12"/>
  <c r="D140" i="12"/>
  <c r="D135" i="12"/>
  <c r="D44" i="10"/>
  <c r="D16" i="10"/>
  <c r="R42" i="10"/>
  <c r="W42" i="10" s="1"/>
  <c r="R13" i="10"/>
  <c r="W13" i="10" s="1"/>
  <c r="P41" i="14"/>
  <c r="P80" i="14"/>
  <c r="D123" i="14"/>
  <c r="G40" i="12"/>
  <c r="G42" i="12"/>
  <c r="G43" i="12"/>
  <c r="G39" i="12"/>
  <c r="P120" i="14"/>
  <c r="P124" i="14"/>
  <c r="D120" i="14"/>
  <c r="D124" i="14"/>
  <c r="P105" i="14"/>
  <c r="P109" i="14"/>
  <c r="D105" i="14"/>
  <c r="D109" i="14"/>
  <c r="D91" i="14"/>
  <c r="D95" i="14"/>
  <c r="P77" i="14"/>
  <c r="P81" i="14"/>
  <c r="D77" i="14"/>
  <c r="D81" i="14"/>
  <c r="P63" i="14"/>
  <c r="P67" i="14"/>
  <c r="D64" i="14"/>
  <c r="D68" i="14"/>
  <c r="Z49" i="14"/>
  <c r="Z53" i="14"/>
  <c r="P49" i="14"/>
  <c r="P53" i="14"/>
  <c r="D52" i="14"/>
  <c r="P35" i="14"/>
  <c r="P39" i="14"/>
  <c r="D35" i="14"/>
  <c r="D39" i="14"/>
  <c r="P24" i="14"/>
  <c r="P20" i="14"/>
  <c r="D21" i="14"/>
  <c r="D25" i="14"/>
  <c r="P7" i="14"/>
  <c r="P11" i="14"/>
  <c r="D10" i="14"/>
  <c r="P92" i="14"/>
  <c r="P96" i="14"/>
  <c r="P121" i="14"/>
  <c r="P125" i="14"/>
  <c r="D121" i="14"/>
  <c r="D125" i="14"/>
  <c r="P106" i="14"/>
  <c r="P110" i="14"/>
  <c r="D106" i="14"/>
  <c r="D110" i="14"/>
  <c r="D92" i="14"/>
  <c r="D96" i="14"/>
  <c r="P78" i="14"/>
  <c r="P82" i="14"/>
  <c r="D78" i="14"/>
  <c r="D82" i="14"/>
  <c r="P64" i="14"/>
  <c r="P68" i="14"/>
  <c r="D65" i="14"/>
  <c r="D69" i="14"/>
  <c r="Z50" i="14"/>
  <c r="Z54" i="14"/>
  <c r="P50" i="14"/>
  <c r="P54" i="14"/>
  <c r="D49" i="14"/>
  <c r="D53" i="14"/>
  <c r="P36" i="14"/>
  <c r="P40" i="14"/>
  <c r="D36" i="14"/>
  <c r="D40" i="14"/>
  <c r="P21" i="14"/>
  <c r="P25" i="14"/>
  <c r="D22" i="14"/>
  <c r="D26" i="14"/>
  <c r="P8" i="14"/>
  <c r="P12" i="14"/>
  <c r="D7" i="14"/>
  <c r="D11" i="14"/>
  <c r="P93" i="14"/>
  <c r="P97" i="14"/>
  <c r="P122" i="14"/>
  <c r="D122" i="14"/>
  <c r="P107" i="14"/>
  <c r="D107" i="14"/>
  <c r="D93" i="14"/>
  <c r="P79" i="14"/>
  <c r="D79" i="14"/>
  <c r="P65" i="14"/>
  <c r="D66" i="14"/>
  <c r="Z51" i="14"/>
  <c r="P51" i="14"/>
  <c r="D50" i="14"/>
  <c r="P37" i="14"/>
  <c r="D37" i="14"/>
  <c r="P22" i="14"/>
  <c r="D23" i="14"/>
  <c r="P9" i="14"/>
  <c r="D8" i="14"/>
  <c r="P95" i="14"/>
  <c r="P123" i="14"/>
  <c r="P108" i="14"/>
  <c r="D111" i="14"/>
  <c r="P83" i="14"/>
  <c r="P69" i="14"/>
  <c r="D67" i="14"/>
  <c r="Z55" i="14"/>
  <c r="D51" i="14"/>
  <c r="D41" i="14"/>
  <c r="P27" i="14"/>
  <c r="D27" i="14"/>
  <c r="D9" i="14"/>
  <c r="P94" i="14"/>
  <c r="D118" i="14"/>
  <c r="P111" i="14"/>
  <c r="D83" i="14"/>
  <c r="P66" i="14"/>
  <c r="D54" i="14"/>
  <c r="P34" i="14"/>
  <c r="D34" i="14"/>
  <c r="D24" i="14"/>
  <c r="P10" i="14"/>
  <c r="D13" i="14"/>
  <c r="P91" i="14"/>
  <c r="P104" i="14"/>
  <c r="D104" i="14"/>
  <c r="D90" i="14"/>
  <c r="Z52" i="14"/>
  <c r="P52" i="14"/>
  <c r="D55" i="14"/>
  <c r="P23" i="14"/>
  <c r="D20" i="14"/>
  <c r="P13" i="14"/>
  <c r="P90" i="14"/>
  <c r="R71" i="10"/>
  <c r="D68" i="10"/>
  <c r="D72" i="10"/>
  <c r="R72" i="10"/>
  <c r="D69" i="10"/>
  <c r="R69" i="10"/>
  <c r="R70" i="10"/>
  <c r="D70" i="10"/>
  <c r="D134" i="12"/>
  <c r="D58" i="10"/>
  <c r="D43" i="10"/>
  <c r="D15" i="10"/>
  <c r="R40" i="10"/>
  <c r="W40" i="10" s="1"/>
  <c r="R26" i="10"/>
  <c r="W26" i="10" s="1"/>
  <c r="D132" i="10"/>
  <c r="D99" i="10"/>
  <c r="H99" i="10" s="1"/>
  <c r="AE232" i="10" s="1"/>
  <c r="P26" i="14"/>
  <c r="P38" i="14"/>
  <c r="P55" i="14"/>
  <c r="D63" i="14"/>
  <c r="D76" i="14"/>
  <c r="D119" i="14"/>
  <c r="J205" i="10"/>
  <c r="J220" i="2"/>
  <c r="G45" i="12"/>
  <c r="J190" i="10"/>
  <c r="J182" i="10"/>
  <c r="J174" i="10"/>
  <c r="J166" i="10"/>
  <c r="J158" i="10"/>
  <c r="J150" i="10"/>
  <c r="J205" i="2"/>
  <c r="J197" i="2"/>
  <c r="J189" i="2"/>
  <c r="J181" i="2"/>
  <c r="J173" i="2"/>
  <c r="J165" i="2"/>
  <c r="D153" i="12"/>
  <c r="D126" i="12"/>
  <c r="D121" i="12"/>
  <c r="D143" i="12"/>
  <c r="D52" i="10"/>
  <c r="D38" i="10"/>
  <c r="D23" i="10"/>
  <c r="D10" i="10"/>
  <c r="R49" i="10"/>
  <c r="W49" i="10" s="1"/>
  <c r="R34" i="10"/>
  <c r="W34" i="10" s="1"/>
  <c r="R21" i="10"/>
  <c r="W21" i="10" s="1"/>
  <c r="D67" i="10"/>
  <c r="D127" i="10"/>
  <c r="H127" i="10" s="1"/>
  <c r="D113" i="10"/>
  <c r="D12" i="14"/>
  <c r="D38" i="14"/>
  <c r="D48" i="14"/>
  <c r="P62" i="14"/>
  <c r="D80" i="14"/>
  <c r="D97" i="14"/>
  <c r="P118" i="14"/>
  <c r="D117" i="12"/>
  <c r="D59" i="10"/>
  <c r="D31" i="10"/>
  <c r="R56" i="10"/>
  <c r="W56" i="10" s="1"/>
  <c r="R28" i="10"/>
  <c r="W28" i="10" s="1"/>
  <c r="P48" i="14"/>
  <c r="J143" i="10"/>
  <c r="J147" i="10"/>
  <c r="J151" i="10"/>
  <c r="J155" i="10"/>
  <c r="J159" i="10"/>
  <c r="J163" i="10"/>
  <c r="J167" i="10"/>
  <c r="J171" i="10"/>
  <c r="J175" i="10"/>
  <c r="J179" i="10"/>
  <c r="J183" i="10"/>
  <c r="J187" i="10"/>
  <c r="J191" i="10"/>
  <c r="J142" i="10"/>
  <c r="M142" i="10" s="1"/>
  <c r="J144" i="10"/>
  <c r="J148" i="10"/>
  <c r="J152" i="10"/>
  <c r="J156" i="10"/>
  <c r="J160" i="10"/>
  <c r="J164" i="10"/>
  <c r="J168" i="10"/>
  <c r="J172" i="10"/>
  <c r="J176" i="10"/>
  <c r="J180" i="10"/>
  <c r="J184" i="10"/>
  <c r="J188" i="10"/>
  <c r="J192" i="10"/>
  <c r="J203" i="10"/>
  <c r="P83" i="10"/>
  <c r="D80" i="10"/>
  <c r="D84" i="10"/>
  <c r="H84" i="10" s="1"/>
  <c r="AE217" i="10" s="1"/>
  <c r="D88" i="10"/>
  <c r="H88" i="10" s="1"/>
  <c r="AE221" i="10" s="1"/>
  <c r="D92" i="10"/>
  <c r="D96" i="10"/>
  <c r="D100" i="10"/>
  <c r="D104" i="10"/>
  <c r="H104" i="10" s="1"/>
  <c r="AE237" i="10" s="1"/>
  <c r="D108" i="10"/>
  <c r="P84" i="10"/>
  <c r="D81" i="10"/>
  <c r="D85" i="10"/>
  <c r="D89" i="10"/>
  <c r="D93" i="10"/>
  <c r="D97" i="10"/>
  <c r="D101" i="10"/>
  <c r="D105" i="10"/>
  <c r="P80" i="10"/>
  <c r="D87" i="10"/>
  <c r="H87" i="10" s="1"/>
  <c r="AE220" i="10" s="1"/>
  <c r="D95" i="10"/>
  <c r="H95" i="10" s="1"/>
  <c r="AE228" i="10" s="1"/>
  <c r="D103" i="10"/>
  <c r="H103" i="10" s="1"/>
  <c r="AE236" i="10" s="1"/>
  <c r="D110" i="10"/>
  <c r="D114" i="10"/>
  <c r="H114" i="10" s="1"/>
  <c r="AE247" i="10" s="1"/>
  <c r="D118" i="10"/>
  <c r="H118" i="10" s="1"/>
  <c r="AE251" i="10" s="1"/>
  <c r="D122" i="10"/>
  <c r="H122" i="10" s="1"/>
  <c r="D126" i="10"/>
  <c r="D130" i="10"/>
  <c r="H130" i="10" s="1"/>
  <c r="P81" i="10"/>
  <c r="D83" i="10"/>
  <c r="H83" i="10" s="1"/>
  <c r="AE216" i="10" s="1"/>
  <c r="D94" i="10"/>
  <c r="D106" i="10"/>
  <c r="D112" i="10"/>
  <c r="D117" i="10"/>
  <c r="D123" i="10"/>
  <c r="H123" i="10" s="1"/>
  <c r="D128" i="10"/>
  <c r="D133" i="10"/>
  <c r="P85" i="10"/>
  <c r="D91" i="10"/>
  <c r="H91" i="10" s="1"/>
  <c r="AE224" i="10" s="1"/>
  <c r="D107" i="10"/>
  <c r="H107" i="10" s="1"/>
  <c r="AE240" i="10" s="1"/>
  <c r="D115" i="10"/>
  <c r="H115" i="10" s="1"/>
  <c r="AE248" i="10" s="1"/>
  <c r="D121" i="10"/>
  <c r="D129" i="10"/>
  <c r="H129" i="10" s="1"/>
  <c r="D82" i="10"/>
  <c r="H82" i="10" s="1"/>
  <c r="AE215" i="10" s="1"/>
  <c r="D98" i="10"/>
  <c r="H98" i="10" s="1"/>
  <c r="AE231" i="10" s="1"/>
  <c r="D109" i="10"/>
  <c r="D116" i="10"/>
  <c r="D124" i="10"/>
  <c r="D131" i="10"/>
  <c r="H131" i="10" s="1"/>
  <c r="J158" i="2"/>
  <c r="J162" i="2"/>
  <c r="J166" i="2"/>
  <c r="J170" i="2"/>
  <c r="J174" i="2"/>
  <c r="J178" i="2"/>
  <c r="J182" i="2"/>
  <c r="J186" i="2"/>
  <c r="J190" i="2"/>
  <c r="J194" i="2"/>
  <c r="J198" i="2"/>
  <c r="J202" i="2"/>
  <c r="J206" i="2"/>
  <c r="J216" i="2"/>
  <c r="J159" i="2"/>
  <c r="J163" i="2"/>
  <c r="J167" i="2"/>
  <c r="J171" i="2"/>
  <c r="J175" i="2"/>
  <c r="J179" i="2"/>
  <c r="J183" i="2"/>
  <c r="J187" i="2"/>
  <c r="J191" i="2"/>
  <c r="J195" i="2"/>
  <c r="J199" i="2"/>
  <c r="J203" i="2"/>
  <c r="J207" i="2"/>
  <c r="D161" i="12"/>
  <c r="D116" i="12"/>
  <c r="D138" i="12"/>
  <c r="D163" i="12"/>
  <c r="D28" i="10"/>
  <c r="R54" i="10"/>
  <c r="W54" i="10" s="1"/>
  <c r="R12" i="10"/>
  <c r="W12" i="10" s="1"/>
  <c r="D119" i="10"/>
  <c r="H119" i="10" s="1"/>
  <c r="AE252" i="10" s="1"/>
  <c r="D6" i="14"/>
  <c r="D108" i="14"/>
  <c r="J204" i="10"/>
  <c r="J219" i="2"/>
  <c r="G44" i="12"/>
  <c r="J189" i="10"/>
  <c r="J181" i="10"/>
  <c r="J173" i="10"/>
  <c r="J165" i="10"/>
  <c r="J157" i="10"/>
  <c r="J149" i="10"/>
  <c r="J204" i="2"/>
  <c r="J196" i="2"/>
  <c r="J188" i="2"/>
  <c r="J180" i="2"/>
  <c r="J172" i="2"/>
  <c r="J164" i="2"/>
  <c r="J156" i="2"/>
  <c r="D148" i="12"/>
  <c r="D125" i="12"/>
  <c r="D123" i="12"/>
  <c r="D71" i="10"/>
  <c r="D50" i="10"/>
  <c r="D36" i="10"/>
  <c r="D22" i="10"/>
  <c r="D7" i="10"/>
  <c r="R48" i="10"/>
  <c r="W48" i="10" s="1"/>
  <c r="R33" i="10"/>
  <c r="W33" i="10" s="1"/>
  <c r="R67" i="10"/>
  <c r="D125" i="10"/>
  <c r="D111" i="10"/>
  <c r="H111" i="10" s="1"/>
  <c r="AE244" i="10" s="1"/>
  <c r="D86" i="10"/>
  <c r="P6" i="14"/>
  <c r="Z48" i="14"/>
  <c r="P76" i="14"/>
  <c r="D94" i="14"/>
  <c r="P119" i="14"/>
  <c r="D165" i="12"/>
  <c r="D158" i="12"/>
  <c r="D151" i="12"/>
  <c r="D144" i="12"/>
  <c r="D137" i="12"/>
  <c r="D131" i="12"/>
  <c r="D157" i="12"/>
  <c r="D152" i="12"/>
  <c r="D142" i="12"/>
  <c r="D129" i="12"/>
  <c r="D124" i="12"/>
  <c r="D115" i="12"/>
  <c r="D119" i="12"/>
  <c r="D127" i="12"/>
  <c r="D139" i="12"/>
  <c r="D147" i="12"/>
  <c r="D155" i="12"/>
  <c r="D112" i="12"/>
  <c r="R7" i="10"/>
  <c r="R11" i="10"/>
  <c r="R15" i="10"/>
  <c r="W15" i="10" s="1"/>
  <c r="R19" i="10"/>
  <c r="W19" i="10" s="1"/>
  <c r="R23" i="10"/>
  <c r="W23" i="10" s="1"/>
  <c r="R27" i="10"/>
  <c r="W27" i="10" s="1"/>
  <c r="R31" i="10"/>
  <c r="W31" i="10" s="1"/>
  <c r="R35" i="10"/>
  <c r="W35" i="10" s="1"/>
  <c r="R39" i="10"/>
  <c r="W39" i="10" s="1"/>
  <c r="R43" i="10"/>
  <c r="W43" i="10" s="1"/>
  <c r="R47" i="10"/>
  <c r="W47" i="10" s="1"/>
  <c r="R51" i="10"/>
  <c r="W51" i="10" s="1"/>
  <c r="R55" i="10"/>
  <c r="W55" i="10" s="1"/>
  <c r="R59" i="10"/>
  <c r="D9" i="10"/>
  <c r="D13" i="10"/>
  <c r="D17" i="10"/>
  <c r="D21" i="10"/>
  <c r="D25" i="10"/>
  <c r="D29" i="10"/>
  <c r="D33" i="10"/>
  <c r="D37" i="10"/>
  <c r="D41" i="10"/>
  <c r="D45" i="10"/>
  <c r="D49" i="10"/>
  <c r="D53" i="10"/>
  <c r="D57" i="10"/>
  <c r="R9" i="10"/>
  <c r="R14" i="10"/>
  <c r="W14" i="10" s="1"/>
  <c r="R20" i="10"/>
  <c r="W20" i="10" s="1"/>
  <c r="R25" i="10"/>
  <c r="W25" i="10" s="1"/>
  <c r="R30" i="10"/>
  <c r="W30" i="10" s="1"/>
  <c r="R36" i="10"/>
  <c r="W36" i="10" s="1"/>
  <c r="R41" i="10"/>
  <c r="W41" i="10" s="1"/>
  <c r="R46" i="10"/>
  <c r="W46" i="10" s="1"/>
  <c r="R52" i="10"/>
  <c r="W52" i="10" s="1"/>
  <c r="R57" i="10"/>
  <c r="W57" i="10" s="1"/>
  <c r="D8" i="10"/>
  <c r="D14" i="10"/>
  <c r="D19" i="10"/>
  <c r="D24" i="10"/>
  <c r="D30" i="10"/>
  <c r="K30" i="10" s="1"/>
  <c r="D35" i="10"/>
  <c r="D40" i="10"/>
  <c r="D46" i="10"/>
  <c r="D51" i="10"/>
  <c r="D56" i="10"/>
  <c r="C50" i="2"/>
  <c r="C104" i="12"/>
  <c r="C100" i="12"/>
  <c r="C96" i="12"/>
  <c r="C92" i="12"/>
  <c r="C88" i="12"/>
  <c r="C84" i="12"/>
  <c r="C80" i="12"/>
  <c r="C76" i="12"/>
  <c r="C72" i="12"/>
  <c r="C68" i="12"/>
  <c r="C64" i="12"/>
  <c r="C60" i="12"/>
  <c r="C56" i="12"/>
  <c r="D160" i="12"/>
  <c r="D146" i="12"/>
  <c r="D133" i="12"/>
  <c r="D120" i="12"/>
  <c r="D114" i="12"/>
  <c r="D122" i="12"/>
  <c r="D136" i="12"/>
  <c r="D150" i="12"/>
  <c r="D166" i="12"/>
  <c r="D55" i="10"/>
  <c r="D48" i="10"/>
  <c r="D42" i="10"/>
  <c r="D34" i="10"/>
  <c r="D27" i="10"/>
  <c r="D20" i="10"/>
  <c r="D12" i="10"/>
  <c r="R6" i="10"/>
  <c r="W6" i="10" s="1"/>
  <c r="R53" i="10"/>
  <c r="W53" i="10" s="1"/>
  <c r="R45" i="10"/>
  <c r="W45" i="10" s="1"/>
  <c r="R38" i="10"/>
  <c r="W38" i="10" s="1"/>
  <c r="R32" i="10"/>
  <c r="W32" i="10" s="1"/>
  <c r="R24" i="10"/>
  <c r="W24" i="10" s="1"/>
  <c r="R17" i="10"/>
  <c r="W17" i="10" s="1"/>
  <c r="R10" i="10"/>
  <c r="I174" i="10"/>
  <c r="I195" i="2"/>
  <c r="I163" i="2"/>
  <c r="F76" i="1"/>
  <c r="C103" i="12"/>
  <c r="C99" i="12"/>
  <c r="C95" i="12"/>
  <c r="C91" i="12"/>
  <c r="C87" i="12"/>
  <c r="C83" i="12"/>
  <c r="C79" i="12"/>
  <c r="C75" i="12"/>
  <c r="C71" i="12"/>
  <c r="C67" i="12"/>
  <c r="C63" i="12"/>
  <c r="C59" i="12"/>
  <c r="C55" i="12"/>
  <c r="D154" i="12"/>
  <c r="D141" i="12"/>
  <c r="D132" i="12"/>
  <c r="D118" i="12"/>
  <c r="D113" i="12"/>
  <c r="D128" i="12"/>
  <c r="D145" i="12"/>
  <c r="D156" i="12"/>
  <c r="D164" i="12"/>
  <c r="D6" i="10"/>
  <c r="D54" i="10"/>
  <c r="D47" i="10"/>
  <c r="D39" i="10"/>
  <c r="D32" i="10"/>
  <c r="D26" i="10"/>
  <c r="D18" i="10"/>
  <c r="D11" i="10"/>
  <c r="R58" i="10"/>
  <c r="W58" i="10" s="1"/>
  <c r="R50" i="10"/>
  <c r="W50" i="10" s="1"/>
  <c r="R44" i="10"/>
  <c r="W44" i="10" s="1"/>
  <c r="R37" i="10"/>
  <c r="W37" i="10" s="1"/>
  <c r="R29" i="10"/>
  <c r="W29" i="10" s="1"/>
  <c r="R22" i="10"/>
  <c r="W22" i="10" s="1"/>
  <c r="R16" i="10"/>
  <c r="W16" i="10" s="1"/>
  <c r="R8" i="10"/>
  <c r="D67" i="6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P98" i="3"/>
  <c r="D98" i="3"/>
  <c r="P97" i="3"/>
  <c r="D97" i="3"/>
  <c r="P96" i="3"/>
  <c r="D96" i="3"/>
  <c r="P95" i="3"/>
  <c r="P94" i="3"/>
  <c r="D94" i="3"/>
  <c r="P93" i="3"/>
  <c r="D93" i="3"/>
  <c r="Q94" i="2"/>
  <c r="Q96" i="2"/>
  <c r="Q98" i="2"/>
  <c r="D146" i="2"/>
  <c r="D96" i="2"/>
  <c r="D98" i="2"/>
  <c r="D100" i="2"/>
  <c r="D102" i="2"/>
  <c r="D104" i="2"/>
  <c r="D106" i="2"/>
  <c r="D108" i="2"/>
  <c r="Q95" i="2"/>
  <c r="Q97" i="2"/>
  <c r="Q93" i="2"/>
  <c r="D95" i="2"/>
  <c r="D97" i="2"/>
  <c r="D99" i="2"/>
  <c r="D101" i="2"/>
  <c r="D103" i="2"/>
  <c r="D105" i="2"/>
  <c r="D107" i="2"/>
  <c r="D93" i="2"/>
  <c r="D145" i="2"/>
  <c r="D143" i="2"/>
  <c r="D141" i="2"/>
  <c r="D139" i="2"/>
  <c r="D137" i="2"/>
  <c r="D135" i="2"/>
  <c r="D133" i="2"/>
  <c r="D131" i="2"/>
  <c r="D129" i="2"/>
  <c r="D127" i="2"/>
  <c r="D125" i="2"/>
  <c r="D123" i="2"/>
  <c r="D121" i="2"/>
  <c r="D119" i="2"/>
  <c r="D117" i="2"/>
  <c r="D115" i="2"/>
  <c r="D113" i="2"/>
  <c r="D111" i="2"/>
  <c r="D109" i="2"/>
  <c r="P81" i="3"/>
  <c r="P83" i="3"/>
  <c r="P85" i="3"/>
  <c r="D82" i="3"/>
  <c r="D84" i="3"/>
  <c r="D80" i="3"/>
  <c r="P68" i="3"/>
  <c r="P70" i="3"/>
  <c r="P72" i="3"/>
  <c r="D68" i="3"/>
  <c r="D70" i="3"/>
  <c r="D72" i="3"/>
  <c r="P7" i="3"/>
  <c r="P9" i="3"/>
  <c r="P11" i="3"/>
  <c r="P13" i="3"/>
  <c r="P15" i="3"/>
  <c r="P17" i="3"/>
  <c r="P19" i="3"/>
  <c r="P21" i="3"/>
  <c r="P23" i="3"/>
  <c r="P25" i="3"/>
  <c r="P27" i="3"/>
  <c r="P29" i="3"/>
  <c r="P31" i="3"/>
  <c r="P33" i="3"/>
  <c r="P35" i="3"/>
  <c r="P37" i="3"/>
  <c r="P39" i="3"/>
  <c r="P41" i="3"/>
  <c r="P43" i="3"/>
  <c r="P45" i="3"/>
  <c r="P47" i="3"/>
  <c r="P49" i="3"/>
  <c r="P51" i="3"/>
  <c r="P53" i="3"/>
  <c r="P55" i="3"/>
  <c r="P57" i="3"/>
  <c r="P59" i="3"/>
  <c r="D7" i="3"/>
  <c r="D9" i="3"/>
  <c r="D11" i="3"/>
  <c r="D13" i="3"/>
  <c r="D15" i="3"/>
  <c r="D17" i="3"/>
  <c r="D19" i="3"/>
  <c r="D21" i="3"/>
  <c r="D23" i="3"/>
  <c r="D25" i="3"/>
  <c r="D27" i="3"/>
  <c r="D29" i="3"/>
  <c r="D31" i="3"/>
  <c r="D33" i="3"/>
  <c r="D35" i="3"/>
  <c r="D37" i="3"/>
  <c r="D39" i="3"/>
  <c r="D41" i="3"/>
  <c r="D43" i="3"/>
  <c r="D45" i="3"/>
  <c r="D47" i="3"/>
  <c r="D49" i="3"/>
  <c r="D51" i="3"/>
  <c r="D53" i="3"/>
  <c r="D55" i="3"/>
  <c r="D57" i="3"/>
  <c r="D59" i="3"/>
  <c r="Q82" i="2"/>
  <c r="Q84" i="2"/>
  <c r="Q80" i="2"/>
  <c r="D82" i="2"/>
  <c r="D84" i="2"/>
  <c r="D80" i="2"/>
  <c r="Q68" i="2"/>
  <c r="Q70" i="2"/>
  <c r="Q72" i="2"/>
  <c r="D69" i="2"/>
  <c r="D71" i="2"/>
  <c r="Q7" i="2"/>
  <c r="Q9" i="2"/>
  <c r="Q11" i="2"/>
  <c r="Q13" i="2"/>
  <c r="Q15" i="2"/>
  <c r="Q17" i="2"/>
  <c r="Q19" i="2"/>
  <c r="Q21" i="2"/>
  <c r="Q23" i="2"/>
  <c r="Q25" i="2"/>
  <c r="Q27" i="2"/>
  <c r="Q29" i="2"/>
  <c r="Q31" i="2"/>
  <c r="Q33" i="2"/>
  <c r="Q35" i="2"/>
  <c r="Q37" i="2"/>
  <c r="Q39" i="2"/>
  <c r="Q41" i="2"/>
  <c r="Q43" i="2"/>
  <c r="Q45" i="2"/>
  <c r="Q47" i="2"/>
  <c r="Q49" i="2"/>
  <c r="Q51" i="2"/>
  <c r="Q53" i="2"/>
  <c r="Q55" i="2"/>
  <c r="Q57" i="2"/>
  <c r="Q59" i="2"/>
  <c r="D7" i="2"/>
  <c r="D9" i="2"/>
  <c r="D11" i="2"/>
  <c r="D13" i="2"/>
  <c r="D15" i="2"/>
  <c r="D17" i="2"/>
  <c r="D19" i="2"/>
  <c r="D21" i="2"/>
  <c r="D23" i="2"/>
  <c r="D25" i="2"/>
  <c r="D27" i="2"/>
  <c r="D29" i="2"/>
  <c r="D31" i="2"/>
  <c r="D33" i="2"/>
  <c r="D35" i="2"/>
  <c r="D37" i="2"/>
  <c r="D39" i="2"/>
  <c r="D41" i="2"/>
  <c r="D43" i="2"/>
  <c r="D45" i="2"/>
  <c r="D47" i="2"/>
  <c r="D49" i="2"/>
  <c r="D51" i="2"/>
  <c r="D53" i="2"/>
  <c r="D55" i="2"/>
  <c r="D57" i="2"/>
  <c r="D59" i="2"/>
  <c r="P82" i="3"/>
  <c r="P84" i="3"/>
  <c r="P80" i="3"/>
  <c r="D83" i="3"/>
  <c r="D85" i="3"/>
  <c r="D81" i="3"/>
  <c r="P69" i="3"/>
  <c r="P71" i="3"/>
  <c r="P67" i="3"/>
  <c r="D69" i="3"/>
  <c r="D71" i="3"/>
  <c r="D67" i="3"/>
  <c r="P8" i="3"/>
  <c r="P10" i="3"/>
  <c r="P12" i="3"/>
  <c r="P14" i="3"/>
  <c r="P16" i="3"/>
  <c r="P18" i="3"/>
  <c r="P20" i="3"/>
  <c r="P22" i="3"/>
  <c r="P24" i="3"/>
  <c r="P26" i="3"/>
  <c r="P28" i="3"/>
  <c r="P30" i="3"/>
  <c r="P32" i="3"/>
  <c r="P34" i="3"/>
  <c r="P36" i="3"/>
  <c r="P38" i="3"/>
  <c r="P40" i="3"/>
  <c r="P42" i="3"/>
  <c r="P44" i="3"/>
  <c r="P46" i="3"/>
  <c r="P48" i="3"/>
  <c r="P50" i="3"/>
  <c r="P52" i="3"/>
  <c r="P54" i="3"/>
  <c r="P56" i="3"/>
  <c r="P58" i="3"/>
  <c r="D8" i="3"/>
  <c r="D10" i="3"/>
  <c r="D12" i="3"/>
  <c r="D14" i="3"/>
  <c r="D16" i="3"/>
  <c r="D18" i="3"/>
  <c r="D20" i="3"/>
  <c r="D22" i="3"/>
  <c r="D24" i="3"/>
  <c r="D26" i="3"/>
  <c r="D28" i="3"/>
  <c r="D30" i="3"/>
  <c r="D32" i="3"/>
  <c r="D34" i="3"/>
  <c r="D36" i="3"/>
  <c r="D38" i="3"/>
  <c r="D40" i="3"/>
  <c r="D42" i="3"/>
  <c r="D44" i="3"/>
  <c r="D46" i="3"/>
  <c r="D48" i="3"/>
  <c r="D50" i="3"/>
  <c r="D52" i="3"/>
  <c r="D54" i="3"/>
  <c r="D56" i="3"/>
  <c r="D58" i="3"/>
  <c r="D6" i="3"/>
  <c r="Q81" i="2"/>
  <c r="Q83" i="2"/>
  <c r="Q85" i="2"/>
  <c r="D81" i="2"/>
  <c r="D83" i="2"/>
  <c r="D85" i="2"/>
  <c r="Q69" i="2"/>
  <c r="Q71" i="2"/>
  <c r="Q67" i="2"/>
  <c r="D68" i="2"/>
  <c r="D70" i="2"/>
  <c r="D72" i="2"/>
  <c r="D67" i="2"/>
  <c r="Q8" i="2"/>
  <c r="Q10" i="2"/>
  <c r="Q12" i="2"/>
  <c r="Q14" i="2"/>
  <c r="Q16" i="2"/>
  <c r="Q18" i="2"/>
  <c r="Q20" i="2"/>
  <c r="Q22" i="2"/>
  <c r="Q24" i="2"/>
  <c r="Q26" i="2"/>
  <c r="Q28" i="2"/>
  <c r="Q30" i="2"/>
  <c r="Q32" i="2"/>
  <c r="Q34" i="2"/>
  <c r="Q36" i="2"/>
  <c r="Q38" i="2"/>
  <c r="Q40" i="2"/>
  <c r="Q42" i="2"/>
  <c r="Q44" i="2"/>
  <c r="Q46" i="2"/>
  <c r="Q48" i="2"/>
  <c r="Q50" i="2"/>
  <c r="Q52" i="2"/>
  <c r="Q54" i="2"/>
  <c r="Q56" i="2"/>
  <c r="Q58" i="2"/>
  <c r="Q6" i="2"/>
  <c r="D8" i="2"/>
  <c r="D10" i="2"/>
  <c r="D12" i="2"/>
  <c r="D14" i="2"/>
  <c r="D16" i="2"/>
  <c r="D18" i="2"/>
  <c r="D20" i="2"/>
  <c r="D22" i="2"/>
  <c r="D24" i="2"/>
  <c r="D26" i="2"/>
  <c r="D28" i="2"/>
  <c r="D30" i="2"/>
  <c r="D32" i="2"/>
  <c r="D34" i="2"/>
  <c r="D36" i="2"/>
  <c r="D38" i="2"/>
  <c r="D40" i="2"/>
  <c r="D42" i="2"/>
  <c r="D44" i="2"/>
  <c r="D46" i="2"/>
  <c r="D48" i="2"/>
  <c r="D50" i="2"/>
  <c r="D52" i="2"/>
  <c r="D54" i="2"/>
  <c r="D56" i="2"/>
  <c r="D58" i="2"/>
  <c r="G8" i="11"/>
  <c r="G10" i="11"/>
  <c r="G12" i="11"/>
  <c r="G14" i="11"/>
  <c r="T14" i="11" s="1"/>
  <c r="G16" i="11"/>
  <c r="G18" i="11"/>
  <c r="G20" i="11"/>
  <c r="G22" i="11"/>
  <c r="T22" i="11" s="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F7" i="11"/>
  <c r="F9" i="11"/>
  <c r="F11" i="11"/>
  <c r="S11" i="11" s="1"/>
  <c r="AE11" i="11" s="1"/>
  <c r="F13" i="11"/>
  <c r="F15" i="11"/>
  <c r="F17" i="11"/>
  <c r="F19" i="11"/>
  <c r="F21" i="11"/>
  <c r="F23" i="11"/>
  <c r="F25" i="11"/>
  <c r="F27" i="11"/>
  <c r="F29" i="11"/>
  <c r="F31" i="11"/>
  <c r="F33" i="11"/>
  <c r="F35" i="11"/>
  <c r="F37" i="11"/>
  <c r="F39" i="11"/>
  <c r="F41" i="11"/>
  <c r="F43" i="11"/>
  <c r="F45" i="11"/>
  <c r="F47" i="11"/>
  <c r="F49" i="11"/>
  <c r="F51" i="11"/>
  <c r="F53" i="11"/>
  <c r="F55" i="11"/>
  <c r="F57" i="11"/>
  <c r="F59" i="11"/>
  <c r="D8" i="12"/>
  <c r="D10" i="12"/>
  <c r="D12" i="12"/>
  <c r="D14" i="12"/>
  <c r="D16" i="12"/>
  <c r="D18" i="12"/>
  <c r="D20" i="12"/>
  <c r="D22" i="12"/>
  <c r="D24" i="12"/>
  <c r="D26" i="12"/>
  <c r="D28" i="12"/>
  <c r="D30" i="12"/>
  <c r="D32" i="12"/>
  <c r="D34" i="12"/>
  <c r="D36" i="12"/>
  <c r="D38" i="12"/>
  <c r="D40" i="12"/>
  <c r="D42" i="12"/>
  <c r="D44" i="12"/>
  <c r="D6" i="12"/>
  <c r="D70" i="13"/>
  <c r="D68" i="13"/>
  <c r="D66" i="13"/>
  <c r="D8" i="13"/>
  <c r="D10" i="13"/>
  <c r="D12" i="13"/>
  <c r="D14" i="13"/>
  <c r="D16" i="13"/>
  <c r="D18" i="13"/>
  <c r="D20" i="13"/>
  <c r="D22" i="13"/>
  <c r="D24" i="13"/>
  <c r="D26" i="13"/>
  <c r="D28" i="13"/>
  <c r="D30" i="13"/>
  <c r="D32" i="13"/>
  <c r="D34" i="13"/>
  <c r="D36" i="13"/>
  <c r="D38" i="13"/>
  <c r="D40" i="13"/>
  <c r="D42" i="13"/>
  <c r="D44" i="13"/>
  <c r="D46" i="13"/>
  <c r="D48" i="13"/>
  <c r="D50" i="13"/>
  <c r="D52" i="13"/>
  <c r="D54" i="13"/>
  <c r="D56" i="13"/>
  <c r="D58" i="13"/>
  <c r="D6" i="13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F8" i="11"/>
  <c r="F10" i="11"/>
  <c r="F12" i="11"/>
  <c r="F14" i="11"/>
  <c r="S14" i="11" s="1"/>
  <c r="AE14" i="11" s="1"/>
  <c r="F16" i="11"/>
  <c r="F18" i="11"/>
  <c r="F20" i="11"/>
  <c r="F22" i="11"/>
  <c r="F24" i="11"/>
  <c r="F26" i="11"/>
  <c r="F28" i="11"/>
  <c r="F30" i="11"/>
  <c r="F32" i="11"/>
  <c r="F34" i="11"/>
  <c r="F36" i="11"/>
  <c r="F38" i="11"/>
  <c r="F40" i="11"/>
  <c r="F42" i="11"/>
  <c r="F44" i="11"/>
  <c r="F46" i="11"/>
  <c r="F48" i="11"/>
  <c r="F50" i="11"/>
  <c r="F52" i="11"/>
  <c r="F54" i="11"/>
  <c r="F56" i="11"/>
  <c r="F58" i="11"/>
  <c r="D7" i="12"/>
  <c r="D9" i="12"/>
  <c r="D11" i="12"/>
  <c r="D13" i="12"/>
  <c r="D15" i="12"/>
  <c r="D17" i="12"/>
  <c r="D19" i="12"/>
  <c r="D21" i="12"/>
  <c r="D23" i="12"/>
  <c r="D25" i="12"/>
  <c r="D27" i="12"/>
  <c r="D29" i="12"/>
  <c r="D31" i="12"/>
  <c r="D33" i="12"/>
  <c r="D35" i="12"/>
  <c r="D37" i="12"/>
  <c r="D39" i="12"/>
  <c r="D41" i="12"/>
  <c r="D43" i="12"/>
  <c r="D45" i="12"/>
  <c r="D71" i="13"/>
  <c r="D69" i="13"/>
  <c r="D67" i="13"/>
  <c r="D7" i="13"/>
  <c r="D9" i="13"/>
  <c r="D11" i="13"/>
  <c r="D13" i="13"/>
  <c r="D15" i="13"/>
  <c r="D17" i="13"/>
  <c r="D19" i="13"/>
  <c r="D21" i="13"/>
  <c r="D23" i="13"/>
  <c r="D25" i="13"/>
  <c r="D27" i="13"/>
  <c r="D29" i="13"/>
  <c r="D31" i="13"/>
  <c r="D33" i="13"/>
  <c r="D35" i="13"/>
  <c r="D37" i="13"/>
  <c r="D39" i="13"/>
  <c r="D41" i="13"/>
  <c r="D43" i="13"/>
  <c r="D45" i="13"/>
  <c r="D47" i="13"/>
  <c r="D49" i="13"/>
  <c r="D51" i="13"/>
  <c r="D53" i="13"/>
  <c r="D55" i="13"/>
  <c r="D57" i="13"/>
  <c r="D59" i="1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R98" i="3"/>
  <c r="F98" i="3"/>
  <c r="R97" i="3"/>
  <c r="F97" i="3"/>
  <c r="R96" i="3"/>
  <c r="F96" i="3"/>
  <c r="R95" i="3"/>
  <c r="F95" i="3"/>
  <c r="R94" i="3"/>
  <c r="F94" i="3"/>
  <c r="R93" i="3"/>
  <c r="P125" i="7"/>
  <c r="P127" i="7"/>
  <c r="P129" i="7"/>
  <c r="P131" i="7"/>
  <c r="D126" i="7"/>
  <c r="D128" i="7"/>
  <c r="H128" i="7" s="1"/>
  <c r="D130" i="7"/>
  <c r="H130" i="7" s="1"/>
  <c r="D124" i="7"/>
  <c r="H124" i="7" s="1"/>
  <c r="P111" i="7"/>
  <c r="P113" i="7"/>
  <c r="P115" i="7"/>
  <c r="P117" i="7"/>
  <c r="D111" i="7"/>
  <c r="D113" i="7"/>
  <c r="D115" i="7"/>
  <c r="D117" i="7"/>
  <c r="P98" i="7"/>
  <c r="P100" i="7"/>
  <c r="P102" i="7"/>
  <c r="P96" i="7"/>
  <c r="P126" i="7"/>
  <c r="P128" i="7"/>
  <c r="P130" i="7"/>
  <c r="P124" i="7"/>
  <c r="D125" i="7"/>
  <c r="H125" i="7" s="1"/>
  <c r="D127" i="7"/>
  <c r="H127" i="7" s="1"/>
  <c r="D129" i="7"/>
  <c r="H129" i="7" s="1"/>
  <c r="D131" i="7"/>
  <c r="H131" i="7" s="1"/>
  <c r="P112" i="7"/>
  <c r="P114" i="7"/>
  <c r="P116" i="7"/>
  <c r="P110" i="7"/>
  <c r="D112" i="7"/>
  <c r="D114" i="7"/>
  <c r="D116" i="7"/>
  <c r="D110" i="7"/>
  <c r="P97" i="7"/>
  <c r="P99" i="7"/>
  <c r="P101" i="7"/>
  <c r="P103" i="7"/>
  <c r="D97" i="7"/>
  <c r="D99" i="7"/>
  <c r="D101" i="7"/>
  <c r="D103" i="7"/>
  <c r="P84" i="7"/>
  <c r="P86" i="7"/>
  <c r="P88" i="7"/>
  <c r="P82" i="7"/>
  <c r="D83" i="7"/>
  <c r="D85" i="7"/>
  <c r="D87" i="7"/>
  <c r="D89" i="7"/>
  <c r="P69" i="7"/>
  <c r="P71" i="7"/>
  <c r="P73" i="7"/>
  <c r="P67" i="7"/>
  <c r="D69" i="7"/>
  <c r="D71" i="7"/>
  <c r="D73" i="7"/>
  <c r="D67" i="7"/>
  <c r="Z59" i="7"/>
  <c r="Z56" i="7"/>
  <c r="Z54" i="7"/>
  <c r="AD54" i="7" s="1"/>
  <c r="Z53" i="7"/>
  <c r="P54" i="7"/>
  <c r="P56" i="7"/>
  <c r="P58" i="7"/>
  <c r="P60" i="7"/>
  <c r="D55" i="7"/>
  <c r="D57" i="7"/>
  <c r="D59" i="7"/>
  <c r="D53" i="7"/>
  <c r="D39" i="7"/>
  <c r="P27" i="7"/>
  <c r="P29" i="7"/>
  <c r="P31" i="7"/>
  <c r="P25" i="7"/>
  <c r="T25" i="7" s="1"/>
  <c r="D25" i="7"/>
  <c r="P8" i="7"/>
  <c r="P12" i="7"/>
  <c r="P14" i="7"/>
  <c r="P16" i="7"/>
  <c r="D98" i="7"/>
  <c r="D100" i="7"/>
  <c r="D102" i="7"/>
  <c r="D96" i="7"/>
  <c r="P83" i="7"/>
  <c r="P85" i="7"/>
  <c r="P87" i="7"/>
  <c r="P89" i="7"/>
  <c r="D84" i="7"/>
  <c r="D86" i="7"/>
  <c r="D88" i="7"/>
  <c r="D82" i="7"/>
  <c r="P68" i="7"/>
  <c r="P70" i="7"/>
  <c r="P72" i="7"/>
  <c r="P74" i="7"/>
  <c r="D68" i="7"/>
  <c r="D70" i="7"/>
  <c r="D72" i="7"/>
  <c r="D74" i="7"/>
  <c r="Z60" i="7"/>
  <c r="Z58" i="7"/>
  <c r="Z57" i="7"/>
  <c r="Z55" i="7"/>
  <c r="P55" i="7"/>
  <c r="P57" i="7"/>
  <c r="P59" i="7"/>
  <c r="P53" i="7"/>
  <c r="D54" i="7"/>
  <c r="D56" i="7"/>
  <c r="D58" i="7"/>
  <c r="D60" i="7"/>
  <c r="P26" i="7"/>
  <c r="P28" i="7"/>
  <c r="P30" i="7"/>
  <c r="P32" i="7"/>
  <c r="P9" i="7"/>
  <c r="P13" i="7"/>
  <c r="P15" i="7"/>
  <c r="P7" i="7"/>
  <c r="D7" i="7"/>
  <c r="O53" i="7"/>
  <c r="C7" i="7"/>
  <c r="O96" i="7"/>
  <c r="C53" i="7"/>
  <c r="C39" i="7"/>
  <c r="C25" i="7"/>
  <c r="I220" i="3"/>
  <c r="I218" i="3"/>
  <c r="I216" i="3"/>
  <c r="I208" i="3"/>
  <c r="I206" i="3"/>
  <c r="I204" i="3"/>
  <c r="I202" i="3"/>
  <c r="I200" i="3"/>
  <c r="I198" i="3"/>
  <c r="I196" i="3"/>
  <c r="I194" i="3"/>
  <c r="I192" i="3"/>
  <c r="I190" i="3"/>
  <c r="I188" i="3"/>
  <c r="I186" i="3"/>
  <c r="I184" i="3"/>
  <c r="I182" i="3"/>
  <c r="I180" i="3"/>
  <c r="I178" i="3"/>
  <c r="I176" i="3"/>
  <c r="I174" i="3"/>
  <c r="I172" i="3"/>
  <c r="I170" i="3"/>
  <c r="I168" i="3"/>
  <c r="L168" i="3" s="1"/>
  <c r="AE240" i="3" s="1"/>
  <c r="I166" i="3"/>
  <c r="I164" i="3"/>
  <c r="I162" i="3"/>
  <c r="I160" i="3"/>
  <c r="I158" i="3"/>
  <c r="I156" i="3"/>
  <c r="L156" i="3" s="1"/>
  <c r="C81" i="3"/>
  <c r="H81" i="3" s="1"/>
  <c r="C80" i="3"/>
  <c r="H80" i="3" s="1"/>
  <c r="C72" i="3"/>
  <c r="H72" i="3" s="1"/>
  <c r="C71" i="3"/>
  <c r="H71" i="3" s="1"/>
  <c r="C70" i="3"/>
  <c r="H70" i="3" s="1"/>
  <c r="C69" i="3"/>
  <c r="C68" i="3"/>
  <c r="H68" i="3" s="1"/>
  <c r="C67" i="3"/>
  <c r="C59" i="3"/>
  <c r="C58" i="3"/>
  <c r="C57" i="3"/>
  <c r="H57" i="3" s="1"/>
  <c r="C56" i="3"/>
  <c r="H56" i="3" s="1"/>
  <c r="C55" i="3"/>
  <c r="C54" i="3"/>
  <c r="C53" i="3"/>
  <c r="H53" i="3" s="1"/>
  <c r="C52" i="3"/>
  <c r="H52" i="3" s="1"/>
  <c r="C51" i="3"/>
  <c r="C50" i="3"/>
  <c r="C49" i="3"/>
  <c r="H49" i="3" s="1"/>
  <c r="C48" i="3"/>
  <c r="H48" i="3" s="1"/>
  <c r="C47" i="3"/>
  <c r="C46" i="3"/>
  <c r="C45" i="3"/>
  <c r="H45" i="3" s="1"/>
  <c r="C44" i="3"/>
  <c r="H44" i="3" s="1"/>
  <c r="C43" i="3"/>
  <c r="C42" i="3"/>
  <c r="C41" i="3"/>
  <c r="H41" i="3" s="1"/>
  <c r="C40" i="3"/>
  <c r="H40" i="3" s="1"/>
  <c r="C39" i="3"/>
  <c r="C38" i="3"/>
  <c r="C37" i="3"/>
  <c r="H37" i="3" s="1"/>
  <c r="C36" i="3"/>
  <c r="H36" i="3" s="1"/>
  <c r="C35" i="3"/>
  <c r="C34" i="3"/>
  <c r="C33" i="3"/>
  <c r="H33" i="3" s="1"/>
  <c r="C32" i="3"/>
  <c r="H32" i="3" s="1"/>
  <c r="C31" i="3"/>
  <c r="C30" i="3"/>
  <c r="C29" i="3"/>
  <c r="H29" i="3" s="1"/>
  <c r="C28" i="3"/>
  <c r="H28" i="3" s="1"/>
  <c r="C27" i="3"/>
  <c r="C26" i="3"/>
  <c r="C25" i="3"/>
  <c r="H25" i="3" s="1"/>
  <c r="C24" i="3"/>
  <c r="H24" i="3" s="1"/>
  <c r="C23" i="3"/>
  <c r="C22" i="3"/>
  <c r="C21" i="3"/>
  <c r="H21" i="3" s="1"/>
  <c r="C20" i="3"/>
  <c r="H20" i="3" s="1"/>
  <c r="C19" i="3"/>
  <c r="C18" i="3"/>
  <c r="C17" i="3"/>
  <c r="H17" i="3" s="1"/>
  <c r="C15" i="3"/>
  <c r="H15" i="3" s="1"/>
  <c r="C14" i="3"/>
  <c r="H14" i="3" s="1"/>
  <c r="C13" i="3"/>
  <c r="C12" i="3"/>
  <c r="C11" i="3"/>
  <c r="H11" i="3" s="1"/>
  <c r="C10" i="3"/>
  <c r="H10" i="3" s="1"/>
  <c r="C9" i="3"/>
  <c r="C8" i="3"/>
  <c r="C7" i="3"/>
  <c r="H7" i="3" s="1"/>
  <c r="C6" i="3"/>
  <c r="P95" i="2"/>
  <c r="P97" i="2"/>
  <c r="P93" i="2"/>
  <c r="P67" i="2"/>
  <c r="C68" i="2"/>
  <c r="C70" i="2"/>
  <c r="C72" i="2"/>
  <c r="C67" i="2"/>
  <c r="C11" i="2"/>
  <c r="I219" i="3"/>
  <c r="I217" i="3"/>
  <c r="I215" i="3"/>
  <c r="I207" i="3"/>
  <c r="I205" i="3"/>
  <c r="I203" i="3"/>
  <c r="I201" i="3"/>
  <c r="I199" i="3"/>
  <c r="I197" i="3"/>
  <c r="I195" i="3"/>
  <c r="I193" i="3"/>
  <c r="I191" i="3"/>
  <c r="I189" i="3"/>
  <c r="I187" i="3"/>
  <c r="I185" i="3"/>
  <c r="I183" i="3"/>
  <c r="I181" i="3"/>
  <c r="I179" i="3"/>
  <c r="I177" i="3"/>
  <c r="I175" i="3"/>
  <c r="I173" i="3"/>
  <c r="I171" i="3"/>
  <c r="I169" i="3"/>
  <c r="I167" i="3"/>
  <c r="I165" i="3"/>
  <c r="I163" i="3"/>
  <c r="I161" i="3"/>
  <c r="I159" i="3"/>
  <c r="I157" i="3"/>
  <c r="L157" i="3" s="1"/>
  <c r="I155" i="3"/>
  <c r="L155" i="3" s="1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O98" i="3"/>
  <c r="C98" i="3"/>
  <c r="O97" i="3"/>
  <c r="C97" i="3"/>
  <c r="O96" i="3"/>
  <c r="T96" i="3" s="1"/>
  <c r="C96" i="3"/>
  <c r="H96" i="3" s="1"/>
  <c r="O95" i="3"/>
  <c r="T95" i="3" s="1"/>
  <c r="C95" i="3"/>
  <c r="O94" i="3"/>
  <c r="C94" i="3"/>
  <c r="O93" i="3"/>
  <c r="C93" i="3"/>
  <c r="O85" i="3"/>
  <c r="T85" i="3" s="1"/>
  <c r="C85" i="3"/>
  <c r="H85" i="3" s="1"/>
  <c r="O84" i="3"/>
  <c r="T84" i="3" s="1"/>
  <c r="C84" i="3"/>
  <c r="O83" i="3"/>
  <c r="T83" i="3" s="1"/>
  <c r="C83" i="3"/>
  <c r="O82" i="3"/>
  <c r="T82" i="3" s="1"/>
  <c r="C82" i="3"/>
  <c r="H82" i="3" s="1"/>
  <c r="O81" i="3"/>
  <c r="T81" i="3" s="1"/>
  <c r="O80" i="3"/>
  <c r="T80" i="3" s="1"/>
  <c r="O72" i="3"/>
  <c r="T72" i="3" s="1"/>
  <c r="O71" i="3"/>
  <c r="O70" i="3"/>
  <c r="T70" i="3" s="1"/>
  <c r="O69" i="3"/>
  <c r="T69" i="3" s="1"/>
  <c r="O68" i="3"/>
  <c r="T68" i="3" s="1"/>
  <c r="O67" i="3"/>
  <c r="T67" i="3" s="1"/>
  <c r="O59" i="3"/>
  <c r="T59" i="3" s="1"/>
  <c r="O58" i="3"/>
  <c r="O57" i="3"/>
  <c r="T57" i="3" s="1"/>
  <c r="O56" i="3"/>
  <c r="T56" i="3" s="1"/>
  <c r="O55" i="3"/>
  <c r="T55" i="3" s="1"/>
  <c r="O54" i="3"/>
  <c r="O53" i="3"/>
  <c r="T53" i="3" s="1"/>
  <c r="O52" i="3"/>
  <c r="T52" i="3" s="1"/>
  <c r="O51" i="3"/>
  <c r="T51" i="3" s="1"/>
  <c r="O50" i="3"/>
  <c r="O49" i="3"/>
  <c r="T49" i="3" s="1"/>
  <c r="O48" i="3"/>
  <c r="T48" i="3" s="1"/>
  <c r="O47" i="3"/>
  <c r="T47" i="3" s="1"/>
  <c r="O46" i="3"/>
  <c r="O45" i="3"/>
  <c r="T45" i="3" s="1"/>
  <c r="O44" i="3"/>
  <c r="T44" i="3" s="1"/>
  <c r="O43" i="3"/>
  <c r="T43" i="3" s="1"/>
  <c r="O42" i="3"/>
  <c r="O41" i="3"/>
  <c r="T41" i="3" s="1"/>
  <c r="O40" i="3"/>
  <c r="T40" i="3" s="1"/>
  <c r="O39" i="3"/>
  <c r="T39" i="3" s="1"/>
  <c r="O38" i="3"/>
  <c r="O37" i="3"/>
  <c r="T37" i="3" s="1"/>
  <c r="O36" i="3"/>
  <c r="T36" i="3" s="1"/>
  <c r="O35" i="3"/>
  <c r="T35" i="3" s="1"/>
  <c r="O34" i="3"/>
  <c r="O33" i="3"/>
  <c r="T33" i="3" s="1"/>
  <c r="O32" i="3"/>
  <c r="T32" i="3" s="1"/>
  <c r="O31" i="3"/>
  <c r="T31" i="3" s="1"/>
  <c r="O30" i="3"/>
  <c r="O29" i="3"/>
  <c r="T29" i="3" s="1"/>
  <c r="O28" i="3"/>
  <c r="T28" i="3" s="1"/>
  <c r="O27" i="3"/>
  <c r="T27" i="3" s="1"/>
  <c r="O26" i="3"/>
  <c r="O25" i="3"/>
  <c r="T25" i="3" s="1"/>
  <c r="O24" i="3"/>
  <c r="T24" i="3" s="1"/>
  <c r="O23" i="3"/>
  <c r="T23" i="3" s="1"/>
  <c r="O22" i="3"/>
  <c r="O21" i="3"/>
  <c r="T21" i="3" s="1"/>
  <c r="O20" i="3"/>
  <c r="T20" i="3" s="1"/>
  <c r="O19" i="3"/>
  <c r="T19" i="3" s="1"/>
  <c r="O18" i="3"/>
  <c r="O17" i="3"/>
  <c r="T17" i="3" s="1"/>
  <c r="O16" i="3"/>
  <c r="T16" i="3" s="1"/>
  <c r="O15" i="3"/>
  <c r="T15" i="3" s="1"/>
  <c r="O14" i="3"/>
  <c r="O13" i="3"/>
  <c r="T13" i="3" s="1"/>
  <c r="O12" i="3"/>
  <c r="T12" i="3" s="1"/>
  <c r="O11" i="3"/>
  <c r="T11" i="3" s="1"/>
  <c r="O10" i="3"/>
  <c r="O9" i="3"/>
  <c r="T9" i="3" s="1"/>
  <c r="O8" i="3"/>
  <c r="T8" i="3" s="1"/>
  <c r="O7" i="3"/>
  <c r="T7" i="3" s="1"/>
  <c r="O6" i="3"/>
  <c r="P94" i="2"/>
  <c r="P96" i="2"/>
  <c r="P98" i="2"/>
  <c r="C80" i="2"/>
  <c r="C69" i="2"/>
  <c r="C71" i="2"/>
  <c r="C10" i="2"/>
  <c r="C7" i="2"/>
  <c r="C81" i="2"/>
  <c r="D94" i="2"/>
  <c r="D144" i="2"/>
  <c r="D142" i="2"/>
  <c r="D140" i="2"/>
  <c r="D138" i="2"/>
  <c r="D136" i="2"/>
  <c r="D134" i="2"/>
  <c r="D132" i="2"/>
  <c r="D130" i="2"/>
  <c r="D128" i="2"/>
  <c r="D126" i="2"/>
  <c r="D124" i="2"/>
  <c r="D122" i="2"/>
  <c r="D120" i="2"/>
  <c r="D118" i="2"/>
  <c r="D116" i="2"/>
  <c r="D114" i="2"/>
  <c r="D112" i="2"/>
  <c r="D110" i="2"/>
  <c r="F77" i="1"/>
  <c r="I159" i="2"/>
  <c r="I167" i="2"/>
  <c r="I175" i="2"/>
  <c r="I183" i="2"/>
  <c r="I191" i="2"/>
  <c r="I199" i="2"/>
  <c r="I207" i="2"/>
  <c r="I146" i="10"/>
  <c r="I154" i="10"/>
  <c r="I162" i="10"/>
  <c r="I170" i="10"/>
  <c r="I178" i="10"/>
  <c r="I186" i="10"/>
  <c r="I194" i="10"/>
  <c r="I156" i="2"/>
  <c r="I158" i="2"/>
  <c r="I160" i="2"/>
  <c r="I162" i="2"/>
  <c r="I164" i="2"/>
  <c r="I166" i="2"/>
  <c r="I168" i="2"/>
  <c r="I170" i="2"/>
  <c r="I172" i="2"/>
  <c r="I174" i="2"/>
  <c r="I176" i="2"/>
  <c r="I178" i="2"/>
  <c r="I180" i="2"/>
  <c r="I182" i="2"/>
  <c r="I184" i="2"/>
  <c r="I186" i="2"/>
  <c r="I188" i="2"/>
  <c r="I190" i="2"/>
  <c r="I192" i="2"/>
  <c r="I194" i="2"/>
  <c r="I196" i="2"/>
  <c r="I198" i="2"/>
  <c r="I200" i="2"/>
  <c r="I202" i="2"/>
  <c r="I204" i="2"/>
  <c r="I206" i="2"/>
  <c r="I208" i="2"/>
  <c r="I215" i="2"/>
  <c r="I143" i="10"/>
  <c r="I145" i="10"/>
  <c r="I147" i="10"/>
  <c r="I149" i="10"/>
  <c r="I151" i="10"/>
  <c r="I153" i="10"/>
  <c r="I155" i="10"/>
  <c r="I157" i="10"/>
  <c r="I159" i="10"/>
  <c r="I161" i="10"/>
  <c r="I163" i="10"/>
  <c r="I165" i="10"/>
  <c r="I167" i="10"/>
  <c r="I169" i="10"/>
  <c r="I171" i="10"/>
  <c r="I173" i="10"/>
  <c r="I175" i="10"/>
  <c r="I177" i="10"/>
  <c r="I179" i="10"/>
  <c r="I181" i="10"/>
  <c r="I183" i="10"/>
  <c r="I185" i="10"/>
  <c r="I187" i="10"/>
  <c r="I189" i="10"/>
  <c r="I191" i="10"/>
  <c r="I193" i="10"/>
  <c r="I195" i="10"/>
  <c r="I202" i="10"/>
  <c r="I216" i="2"/>
  <c r="I218" i="2"/>
  <c r="I220" i="2"/>
  <c r="I204" i="10"/>
  <c r="I192" i="10"/>
  <c r="I188" i="10"/>
  <c r="I184" i="10"/>
  <c r="I180" i="10"/>
  <c r="I176" i="10"/>
  <c r="I172" i="10"/>
  <c r="I168" i="10"/>
  <c r="I164" i="10"/>
  <c r="I160" i="10"/>
  <c r="I156" i="10"/>
  <c r="I152" i="10"/>
  <c r="I148" i="10"/>
  <c r="I144" i="10"/>
  <c r="I155" i="2"/>
  <c r="I205" i="2"/>
  <c r="I201" i="2"/>
  <c r="I197" i="2"/>
  <c r="I193" i="2"/>
  <c r="I189" i="2"/>
  <c r="I185" i="2"/>
  <c r="I181" i="2"/>
  <c r="I177" i="2"/>
  <c r="I173" i="2"/>
  <c r="I169" i="2"/>
  <c r="I165" i="2"/>
  <c r="I161" i="2"/>
  <c r="I157" i="2"/>
  <c r="Z20" i="24" l="1"/>
  <c r="T20" i="24"/>
  <c r="W20" i="24"/>
  <c r="Z13" i="24"/>
  <c r="W13" i="24"/>
  <c r="T13" i="24"/>
  <c r="Z29" i="24"/>
  <c r="W29" i="24"/>
  <c r="T29" i="24"/>
  <c r="Z10" i="24"/>
  <c r="W10" i="24"/>
  <c r="T10" i="24"/>
  <c r="Z24" i="24"/>
  <c r="T24" i="24"/>
  <c r="W24" i="24"/>
  <c r="Z17" i="24"/>
  <c r="W17" i="24"/>
  <c r="T17" i="24"/>
  <c r="Z37" i="24"/>
  <c r="W37" i="24"/>
  <c r="T37" i="24"/>
  <c r="Z18" i="24"/>
  <c r="W18" i="24"/>
  <c r="T18" i="24"/>
  <c r="Z26" i="24"/>
  <c r="W26" i="24"/>
  <c r="T26" i="24"/>
  <c r="Z34" i="24"/>
  <c r="T34" i="24"/>
  <c r="W34" i="24"/>
  <c r="Z42" i="24"/>
  <c r="T42" i="24"/>
  <c r="W42" i="24"/>
  <c r="Z50" i="24"/>
  <c r="T50" i="24"/>
  <c r="W50" i="24"/>
  <c r="Z58" i="24"/>
  <c r="T58" i="24"/>
  <c r="W58" i="24"/>
  <c r="K48" i="25"/>
  <c r="I48" i="25"/>
  <c r="J48" i="25"/>
  <c r="Z15" i="24"/>
  <c r="W15" i="24"/>
  <c r="T15" i="24"/>
  <c r="Z23" i="24"/>
  <c r="W23" i="24"/>
  <c r="T23" i="24"/>
  <c r="Z31" i="24"/>
  <c r="W31" i="24"/>
  <c r="T31" i="24"/>
  <c r="Z39" i="24"/>
  <c r="W39" i="24"/>
  <c r="T39" i="24"/>
  <c r="Z47" i="24"/>
  <c r="W47" i="24"/>
  <c r="T47" i="24"/>
  <c r="Z55" i="24"/>
  <c r="W55" i="24"/>
  <c r="T55" i="24"/>
  <c r="Z32" i="24"/>
  <c r="T32" i="24"/>
  <c r="W32" i="24"/>
  <c r="Z40" i="24"/>
  <c r="T40" i="24"/>
  <c r="W40" i="24"/>
  <c r="Z48" i="24"/>
  <c r="T48" i="24"/>
  <c r="W48" i="24"/>
  <c r="Z56" i="24"/>
  <c r="T56" i="24"/>
  <c r="W56" i="24"/>
  <c r="K40" i="25"/>
  <c r="I40" i="25"/>
  <c r="J40" i="25"/>
  <c r="Z45" i="24"/>
  <c r="W45" i="24"/>
  <c r="T45" i="24"/>
  <c r="Z53" i="24"/>
  <c r="W53" i="24"/>
  <c r="T53" i="24"/>
  <c r="Z61" i="24"/>
  <c r="W61" i="24"/>
  <c r="T61" i="24"/>
  <c r="J37" i="25"/>
  <c r="K37" i="25"/>
  <c r="I37" i="25"/>
  <c r="K44" i="25"/>
  <c r="I44" i="25"/>
  <c r="J44" i="25"/>
  <c r="K60" i="25"/>
  <c r="I60" i="25"/>
  <c r="J60" i="25"/>
  <c r="J67" i="25"/>
  <c r="K67" i="25"/>
  <c r="I67" i="25"/>
  <c r="K36" i="25"/>
  <c r="I36" i="25"/>
  <c r="J36" i="25"/>
  <c r="K70" i="25"/>
  <c r="I70" i="25"/>
  <c r="J70" i="25"/>
  <c r="K42" i="25"/>
  <c r="I42" i="25"/>
  <c r="J42" i="25"/>
  <c r="K50" i="25"/>
  <c r="I50" i="25"/>
  <c r="J50" i="25"/>
  <c r="K62" i="25"/>
  <c r="I62" i="25"/>
  <c r="J62" i="25"/>
  <c r="K68" i="25"/>
  <c r="I68" i="25"/>
  <c r="J68" i="25"/>
  <c r="J39" i="25"/>
  <c r="K39" i="25"/>
  <c r="I39" i="25"/>
  <c r="J47" i="25"/>
  <c r="K47" i="25"/>
  <c r="I47" i="25"/>
  <c r="J59" i="25"/>
  <c r="K59" i="25"/>
  <c r="I59" i="25"/>
  <c r="J69" i="25"/>
  <c r="K69" i="25"/>
  <c r="I69" i="25"/>
  <c r="K7" i="26"/>
  <c r="I7" i="26"/>
  <c r="J7" i="26"/>
  <c r="K15" i="26"/>
  <c r="I15" i="26"/>
  <c r="J15" i="26"/>
  <c r="K23" i="26"/>
  <c r="I23" i="26"/>
  <c r="J23" i="26"/>
  <c r="K31" i="26"/>
  <c r="I31" i="26"/>
  <c r="J31" i="26"/>
  <c r="K39" i="26"/>
  <c r="I39" i="26"/>
  <c r="J39" i="26"/>
  <c r="K47" i="26"/>
  <c r="I47" i="26"/>
  <c r="J47" i="26"/>
  <c r="K55" i="26"/>
  <c r="J55" i="26"/>
  <c r="I55" i="26"/>
  <c r="K71" i="26"/>
  <c r="I71" i="26"/>
  <c r="J71" i="26"/>
  <c r="J12" i="26"/>
  <c r="K12" i="26"/>
  <c r="I12" i="26"/>
  <c r="J20" i="26"/>
  <c r="K20" i="26"/>
  <c r="I20" i="26"/>
  <c r="J28" i="26"/>
  <c r="K28" i="26"/>
  <c r="I28" i="26"/>
  <c r="J36" i="26"/>
  <c r="K36" i="26"/>
  <c r="I36" i="26"/>
  <c r="J44" i="26"/>
  <c r="K44" i="26"/>
  <c r="I44" i="26"/>
  <c r="J52" i="26"/>
  <c r="K52" i="26"/>
  <c r="I52" i="26"/>
  <c r="K13" i="26"/>
  <c r="I13" i="26"/>
  <c r="J13" i="26"/>
  <c r="K21" i="26"/>
  <c r="I21" i="26"/>
  <c r="J21" i="26"/>
  <c r="K29" i="26"/>
  <c r="I29" i="26"/>
  <c r="J29" i="26"/>
  <c r="K37" i="26"/>
  <c r="I37" i="26"/>
  <c r="J37" i="26"/>
  <c r="K45" i="26"/>
  <c r="I45" i="26"/>
  <c r="J45" i="26"/>
  <c r="K53" i="26"/>
  <c r="J53" i="26"/>
  <c r="I53" i="26"/>
  <c r="K67" i="26"/>
  <c r="I67" i="26"/>
  <c r="J67" i="26"/>
  <c r="K6" i="26"/>
  <c r="I6" i="26"/>
  <c r="J6" i="26"/>
  <c r="J14" i="26"/>
  <c r="K14" i="26"/>
  <c r="I14" i="26"/>
  <c r="J22" i="26"/>
  <c r="K22" i="26"/>
  <c r="I22" i="26"/>
  <c r="J30" i="26"/>
  <c r="K30" i="26"/>
  <c r="I30" i="26"/>
  <c r="J38" i="26"/>
  <c r="K38" i="26"/>
  <c r="I38" i="26"/>
  <c r="J46" i="26"/>
  <c r="K46" i="26"/>
  <c r="I46" i="26"/>
  <c r="J54" i="26"/>
  <c r="K54" i="26"/>
  <c r="I54" i="26"/>
  <c r="K57" i="26"/>
  <c r="J57" i="26"/>
  <c r="I57" i="26"/>
  <c r="K59" i="26"/>
  <c r="J59" i="26"/>
  <c r="I59" i="26"/>
  <c r="Z12" i="24"/>
  <c r="T12" i="24"/>
  <c r="W12" i="24"/>
  <c r="Z28" i="24"/>
  <c r="T28" i="24"/>
  <c r="W28" i="24"/>
  <c r="Z9" i="24"/>
  <c r="W9" i="24"/>
  <c r="T9" i="24"/>
  <c r="Z21" i="24"/>
  <c r="W21" i="24"/>
  <c r="T21" i="24"/>
  <c r="Z16" i="24"/>
  <c r="T16" i="24"/>
  <c r="W16" i="24"/>
  <c r="Z33" i="24"/>
  <c r="W33" i="24"/>
  <c r="T33" i="24"/>
  <c r="V8" i="24"/>
  <c r="Y8" i="24"/>
  <c r="S8" i="24"/>
  <c r="Z25" i="24"/>
  <c r="W25" i="24"/>
  <c r="T25" i="24"/>
  <c r="Z14" i="24"/>
  <c r="W14" i="24"/>
  <c r="T14" i="24"/>
  <c r="Z22" i="24"/>
  <c r="W22" i="24"/>
  <c r="T22" i="24"/>
  <c r="Z30" i="24"/>
  <c r="T30" i="24"/>
  <c r="W30" i="24"/>
  <c r="Z38" i="24"/>
  <c r="T38" i="24"/>
  <c r="W38" i="24"/>
  <c r="Z46" i="24"/>
  <c r="T46" i="24"/>
  <c r="W46" i="24"/>
  <c r="Z54" i="24"/>
  <c r="T54" i="24"/>
  <c r="W54" i="24"/>
  <c r="Z11" i="24"/>
  <c r="W11" i="24"/>
  <c r="T11" i="24"/>
  <c r="Z19" i="24"/>
  <c r="W19" i="24"/>
  <c r="T19" i="24"/>
  <c r="Z27" i="24"/>
  <c r="W27" i="24"/>
  <c r="T27" i="24"/>
  <c r="Z35" i="24"/>
  <c r="W35" i="24"/>
  <c r="T35" i="24"/>
  <c r="Z43" i="24"/>
  <c r="W43" i="24"/>
  <c r="T43" i="24"/>
  <c r="Z51" i="24"/>
  <c r="W51" i="24"/>
  <c r="T51" i="24"/>
  <c r="Z59" i="24"/>
  <c r="W59" i="24"/>
  <c r="T59" i="24"/>
  <c r="J45" i="25"/>
  <c r="K45" i="25"/>
  <c r="I45" i="25"/>
  <c r="Z36" i="24"/>
  <c r="T36" i="24"/>
  <c r="W36" i="24"/>
  <c r="Z44" i="24"/>
  <c r="T44" i="24"/>
  <c r="W44" i="24"/>
  <c r="Z52" i="24"/>
  <c r="T52" i="24"/>
  <c r="W52" i="24"/>
  <c r="Z60" i="24"/>
  <c r="T60" i="24"/>
  <c r="W60" i="24"/>
  <c r="Z41" i="24"/>
  <c r="W41" i="24"/>
  <c r="T41" i="24"/>
  <c r="Z49" i="24"/>
  <c r="W49" i="24"/>
  <c r="T49" i="24"/>
  <c r="Z57" i="24"/>
  <c r="W57" i="24"/>
  <c r="T57" i="24"/>
  <c r="J41" i="25"/>
  <c r="K41" i="25"/>
  <c r="I41" i="25"/>
  <c r="J49" i="25"/>
  <c r="K49" i="25"/>
  <c r="I49" i="25"/>
  <c r="J63" i="25"/>
  <c r="K63" i="25"/>
  <c r="I63" i="25"/>
  <c r="J71" i="25"/>
  <c r="K71" i="25"/>
  <c r="I71" i="25"/>
  <c r="J61" i="25"/>
  <c r="K61" i="25"/>
  <c r="I61" i="25"/>
  <c r="K38" i="25"/>
  <c r="I38" i="25"/>
  <c r="J38" i="25"/>
  <c r="K46" i="25"/>
  <c r="I46" i="25"/>
  <c r="J46" i="25"/>
  <c r="K58" i="25"/>
  <c r="I58" i="25"/>
  <c r="J58" i="25"/>
  <c r="K64" i="25"/>
  <c r="I64" i="25"/>
  <c r="J64" i="25"/>
  <c r="K72" i="25"/>
  <c r="I72" i="25"/>
  <c r="J72" i="25"/>
  <c r="J43" i="25"/>
  <c r="K43" i="25"/>
  <c r="I43" i="25"/>
  <c r="J51" i="25"/>
  <c r="K51" i="25"/>
  <c r="I51" i="25"/>
  <c r="J65" i="25"/>
  <c r="K65" i="25"/>
  <c r="I65" i="25"/>
  <c r="J73" i="25"/>
  <c r="K73" i="25"/>
  <c r="I73" i="25"/>
  <c r="K11" i="26"/>
  <c r="I11" i="26"/>
  <c r="J11" i="26"/>
  <c r="K19" i="26"/>
  <c r="I19" i="26"/>
  <c r="J19" i="26"/>
  <c r="K27" i="26"/>
  <c r="I27" i="26"/>
  <c r="J27" i="26"/>
  <c r="K35" i="26"/>
  <c r="I35" i="26"/>
  <c r="J35" i="26"/>
  <c r="K43" i="26"/>
  <c r="I43" i="26"/>
  <c r="J43" i="26"/>
  <c r="K51" i="26"/>
  <c r="J51" i="26"/>
  <c r="I51" i="26"/>
  <c r="J66" i="26"/>
  <c r="K66" i="26"/>
  <c r="I66" i="26"/>
  <c r="J8" i="26"/>
  <c r="K8" i="26"/>
  <c r="I8" i="26"/>
  <c r="J16" i="26"/>
  <c r="K16" i="26"/>
  <c r="I16" i="26"/>
  <c r="J24" i="26"/>
  <c r="K24" i="26"/>
  <c r="I24" i="26"/>
  <c r="J32" i="26"/>
  <c r="K32" i="26"/>
  <c r="I32" i="26"/>
  <c r="J40" i="26"/>
  <c r="K40" i="26"/>
  <c r="I40" i="26"/>
  <c r="J48" i="26"/>
  <c r="K48" i="26"/>
  <c r="I48" i="26"/>
  <c r="K9" i="26"/>
  <c r="I9" i="26"/>
  <c r="J9" i="26"/>
  <c r="K17" i="26"/>
  <c r="I17" i="26"/>
  <c r="J17" i="26"/>
  <c r="K25" i="26"/>
  <c r="I25" i="26"/>
  <c r="J25" i="26"/>
  <c r="K33" i="26"/>
  <c r="I33" i="26"/>
  <c r="J33" i="26"/>
  <c r="K41" i="26"/>
  <c r="I41" i="26"/>
  <c r="J41" i="26"/>
  <c r="K49" i="26"/>
  <c r="I49" i="26"/>
  <c r="J49" i="26"/>
  <c r="J58" i="26"/>
  <c r="K58" i="26"/>
  <c r="I58" i="26"/>
  <c r="J70" i="26"/>
  <c r="K70" i="26"/>
  <c r="I70" i="26"/>
  <c r="J10" i="26"/>
  <c r="K10" i="26"/>
  <c r="I10" i="26"/>
  <c r="J18" i="26"/>
  <c r="K18" i="26"/>
  <c r="I18" i="26"/>
  <c r="J26" i="26"/>
  <c r="K26" i="26"/>
  <c r="I26" i="26"/>
  <c r="J34" i="26"/>
  <c r="K34" i="26"/>
  <c r="I34" i="26"/>
  <c r="J42" i="26"/>
  <c r="K42" i="26"/>
  <c r="I42" i="26"/>
  <c r="J50" i="26"/>
  <c r="K50" i="26"/>
  <c r="I50" i="26"/>
  <c r="J56" i="26"/>
  <c r="K56" i="26"/>
  <c r="I56" i="26"/>
  <c r="J68" i="26"/>
  <c r="K68" i="26"/>
  <c r="I68" i="26"/>
  <c r="K69" i="26"/>
  <c r="I69" i="26"/>
  <c r="J69" i="26"/>
  <c r="K8" i="23"/>
  <c r="I8" i="23"/>
  <c r="G295" i="14"/>
  <c r="G264" i="14"/>
  <c r="G306" i="14"/>
  <c r="G308" i="14"/>
  <c r="T6" i="3"/>
  <c r="T10" i="3"/>
  <c r="T14" i="3"/>
  <c r="T18" i="3"/>
  <c r="T22" i="3"/>
  <c r="AC243" i="3" s="1"/>
  <c r="T26" i="3"/>
  <c r="T30" i="3"/>
  <c r="T34" i="3"/>
  <c r="T38" i="3"/>
  <c r="AC259" i="3" s="1"/>
  <c r="T42" i="3"/>
  <c r="T46" i="3"/>
  <c r="T50" i="3"/>
  <c r="T54" i="3"/>
  <c r="T58" i="3"/>
  <c r="T71" i="3"/>
  <c r="H83" i="3"/>
  <c r="H84" i="3"/>
  <c r="H93" i="3"/>
  <c r="H9" i="3"/>
  <c r="H13" i="3"/>
  <c r="H18" i="3"/>
  <c r="AB239" i="3" s="1"/>
  <c r="H22" i="3"/>
  <c r="H26" i="3"/>
  <c r="H30" i="3"/>
  <c r="H34" i="3"/>
  <c r="AB255" i="3" s="1"/>
  <c r="H38" i="3"/>
  <c r="H42" i="3"/>
  <c r="H46" i="3"/>
  <c r="H50" i="3"/>
  <c r="H54" i="3"/>
  <c r="H58" i="3"/>
  <c r="H67" i="3"/>
  <c r="H69" i="3"/>
  <c r="H126" i="7"/>
  <c r="AL52" i="7" s="1"/>
  <c r="G298" i="14"/>
  <c r="G269" i="14"/>
  <c r="G283" i="14"/>
  <c r="T111" i="3"/>
  <c r="H16" i="3"/>
  <c r="AB237" i="3" s="1"/>
  <c r="T93" i="3"/>
  <c r="T94" i="3"/>
  <c r="H6" i="3"/>
  <c r="H8" i="3"/>
  <c r="H12" i="3"/>
  <c r="AB233" i="3" s="1"/>
  <c r="H19" i="3"/>
  <c r="H23" i="3"/>
  <c r="H27" i="3"/>
  <c r="H31" i="3"/>
  <c r="AB252" i="3" s="1"/>
  <c r="H35" i="3"/>
  <c r="AB256" i="3" s="1"/>
  <c r="H39" i="3"/>
  <c r="AB260" i="3" s="1"/>
  <c r="H43" i="3"/>
  <c r="H47" i="3"/>
  <c r="H51" i="3"/>
  <c r="H55" i="3"/>
  <c r="H59" i="3"/>
  <c r="K59" i="3" s="1"/>
  <c r="H117" i="10"/>
  <c r="AE250" i="10" s="1"/>
  <c r="H86" i="10"/>
  <c r="AE219" i="10" s="1"/>
  <c r="H124" i="10"/>
  <c r="H97" i="10"/>
  <c r="AE230" i="10" s="1"/>
  <c r="H81" i="10"/>
  <c r="AE214" i="10" s="1"/>
  <c r="H108" i="10"/>
  <c r="AE241" i="10" s="1"/>
  <c r="H92" i="10"/>
  <c r="AE225" i="10" s="1"/>
  <c r="H113" i="10"/>
  <c r="AE246" i="10" s="1"/>
  <c r="K72" i="3"/>
  <c r="AB244" i="3"/>
  <c r="T105" i="3"/>
  <c r="D59" i="5" s="1"/>
  <c r="M157" i="2"/>
  <c r="AD227" i="3"/>
  <c r="H133" i="10"/>
  <c r="H112" i="10"/>
  <c r="AE245" i="10" s="1"/>
  <c r="H101" i="10"/>
  <c r="AE234" i="10" s="1"/>
  <c r="H85" i="10"/>
  <c r="AE218" i="10" s="1"/>
  <c r="H90" i="10"/>
  <c r="AE223" i="10" s="1"/>
  <c r="T114" i="3"/>
  <c r="D68" i="5" s="1"/>
  <c r="T122" i="3"/>
  <c r="D76" i="5" s="1"/>
  <c r="H128" i="10"/>
  <c r="H106" i="10"/>
  <c r="AE239" i="10" s="1"/>
  <c r="T109" i="3"/>
  <c r="D63" i="5" s="1"/>
  <c r="T106" i="3"/>
  <c r="D60" i="5" s="1"/>
  <c r="G266" i="14"/>
  <c r="G267" i="14"/>
  <c r="H96" i="10"/>
  <c r="AE229" i="10" s="1"/>
  <c r="AD271" i="3"/>
  <c r="AD273" i="3"/>
  <c r="T98" i="3"/>
  <c r="K6" i="3"/>
  <c r="D9" i="5"/>
  <c r="H9" i="5" s="1"/>
  <c r="D15" i="5"/>
  <c r="H15" i="5" s="1"/>
  <c r="P14" i="5"/>
  <c r="T14" i="5" s="1"/>
  <c r="D42" i="5"/>
  <c r="H42" i="5" s="1"/>
  <c r="C90" i="5" s="1"/>
  <c r="D18" i="5"/>
  <c r="H18" i="5" s="1"/>
  <c r="C71" i="5" s="1"/>
  <c r="P13" i="5"/>
  <c r="S13" i="5" s="1"/>
  <c r="D41" i="5"/>
  <c r="H41" i="5" s="1"/>
  <c r="C89" i="5" s="1"/>
  <c r="D48" i="5"/>
  <c r="H48" i="5" s="1"/>
  <c r="C96" i="5" s="1"/>
  <c r="D21" i="5"/>
  <c r="H21" i="5" s="1"/>
  <c r="C74" i="5" s="1"/>
  <c r="D20" i="5"/>
  <c r="H20" i="5" s="1"/>
  <c r="C73" i="5" s="1"/>
  <c r="P15" i="5"/>
  <c r="S15" i="5" s="1"/>
  <c r="H94" i="3"/>
  <c r="AD228" i="3" s="1"/>
  <c r="H132" i="10"/>
  <c r="AB240" i="3"/>
  <c r="AB264" i="3"/>
  <c r="H116" i="10"/>
  <c r="AE249" i="10" s="1"/>
  <c r="H94" i="10"/>
  <c r="AE227" i="10" s="1"/>
  <c r="H126" i="10"/>
  <c r="H110" i="10"/>
  <c r="AE243" i="10" s="1"/>
  <c r="H93" i="10"/>
  <c r="AE226" i="10" s="1"/>
  <c r="T116" i="3"/>
  <c r="D70" i="5" s="1"/>
  <c r="T110" i="3"/>
  <c r="D64" i="5" s="1"/>
  <c r="AD230" i="3"/>
  <c r="H100" i="10"/>
  <c r="AE233" i="10" s="1"/>
  <c r="G281" i="14"/>
  <c r="G282" i="14"/>
  <c r="AB248" i="3"/>
  <c r="H95" i="3"/>
  <c r="AD229" i="3" s="1"/>
  <c r="AD270" i="3"/>
  <c r="AD272" i="3"/>
  <c r="T97" i="3"/>
  <c r="AD274" i="3" s="1"/>
  <c r="H125" i="10"/>
  <c r="H109" i="10"/>
  <c r="AE242" i="10" s="1"/>
  <c r="H121" i="10"/>
  <c r="H105" i="10"/>
  <c r="AE238" i="10" s="1"/>
  <c r="H89" i="10"/>
  <c r="AE222" i="10" s="1"/>
  <c r="H120" i="10"/>
  <c r="T118" i="3"/>
  <c r="D72" i="5" s="1"/>
  <c r="G284" i="14"/>
  <c r="G297" i="14"/>
  <c r="G292" i="14"/>
  <c r="AB235" i="3"/>
  <c r="T107" i="3"/>
  <c r="D61" i="5" s="1"/>
  <c r="G305" i="14"/>
  <c r="G309" i="14"/>
  <c r="G268" i="14"/>
  <c r="P85" i="4"/>
  <c r="S85" i="4" s="1"/>
  <c r="T85" i="4" s="1"/>
  <c r="P93" i="4"/>
  <c r="S93" i="4" s="1"/>
  <c r="T93" i="4" s="1"/>
  <c r="AC168" i="4" s="1"/>
  <c r="P101" i="4"/>
  <c r="S101" i="4" s="1"/>
  <c r="T101" i="4" s="1"/>
  <c r="AC176" i="4" s="1"/>
  <c r="P109" i="4"/>
  <c r="S109" i="4" s="1"/>
  <c r="T109" i="4" s="1"/>
  <c r="AC184" i="4" s="1"/>
  <c r="P117" i="4"/>
  <c r="S117" i="4" s="1"/>
  <c r="T117" i="4" s="1"/>
  <c r="AC192" i="4" s="1"/>
  <c r="P125" i="4"/>
  <c r="S125" i="4" s="1"/>
  <c r="T125" i="4" s="1"/>
  <c r="P133" i="4"/>
  <c r="S133" i="4" s="1"/>
  <c r="T133" i="4" s="1"/>
  <c r="P71" i="4"/>
  <c r="P12" i="4"/>
  <c r="S12" i="4" s="1"/>
  <c r="T12" i="4" s="1"/>
  <c r="AA164" i="4" s="1"/>
  <c r="P20" i="4"/>
  <c r="S20" i="4" s="1"/>
  <c r="T20" i="4" s="1"/>
  <c r="AA172" i="4" s="1"/>
  <c r="P28" i="4"/>
  <c r="S28" i="4" s="1"/>
  <c r="T28" i="4" s="1"/>
  <c r="AA180" i="4" s="1"/>
  <c r="P36" i="4"/>
  <c r="S36" i="4" s="1"/>
  <c r="T36" i="4" s="1"/>
  <c r="AA188" i="4" s="1"/>
  <c r="P44" i="4"/>
  <c r="S44" i="4" s="1"/>
  <c r="T44" i="4" s="1"/>
  <c r="AA196" i="4" s="1"/>
  <c r="P52" i="4"/>
  <c r="S52" i="4" s="1"/>
  <c r="T52" i="4" s="1"/>
  <c r="P6" i="4"/>
  <c r="S6" i="4" s="1"/>
  <c r="T6" i="4" s="1"/>
  <c r="D85" i="4"/>
  <c r="G85" i="4" s="1"/>
  <c r="H85" i="4" s="1"/>
  <c r="AB160" i="4" s="1"/>
  <c r="D93" i="4"/>
  <c r="G93" i="4" s="1"/>
  <c r="H93" i="4" s="1"/>
  <c r="AB168" i="4" s="1"/>
  <c r="D101" i="4"/>
  <c r="G101" i="4" s="1"/>
  <c r="H101" i="4" s="1"/>
  <c r="AB176" i="4" s="1"/>
  <c r="D109" i="4"/>
  <c r="G109" i="4" s="1"/>
  <c r="H109" i="4" s="1"/>
  <c r="AB184" i="4" s="1"/>
  <c r="D117" i="4"/>
  <c r="G117" i="4" s="1"/>
  <c r="H117" i="4" s="1"/>
  <c r="AB192" i="4" s="1"/>
  <c r="D125" i="4"/>
  <c r="G125" i="4" s="1"/>
  <c r="H125" i="4" s="1"/>
  <c r="D133" i="4"/>
  <c r="G133" i="4" s="1"/>
  <c r="H133" i="4" s="1"/>
  <c r="P147" i="4"/>
  <c r="P88" i="4"/>
  <c r="S88" i="4" s="1"/>
  <c r="T88" i="4" s="1"/>
  <c r="AC163" i="4" s="1"/>
  <c r="P96" i="4"/>
  <c r="S96" i="4" s="1"/>
  <c r="T96" i="4" s="1"/>
  <c r="AC171" i="4" s="1"/>
  <c r="P104" i="4"/>
  <c r="S104" i="4" s="1"/>
  <c r="T104" i="4" s="1"/>
  <c r="AC179" i="4" s="1"/>
  <c r="P112" i="4"/>
  <c r="S112" i="4" s="1"/>
  <c r="T112" i="4" s="1"/>
  <c r="AC187" i="4" s="1"/>
  <c r="P120" i="4"/>
  <c r="S120" i="4" s="1"/>
  <c r="T120" i="4" s="1"/>
  <c r="AC195" i="4" s="1"/>
  <c r="P128" i="4"/>
  <c r="S128" i="4" s="1"/>
  <c r="T128" i="4" s="1"/>
  <c r="P136" i="4"/>
  <c r="S136" i="4" s="1"/>
  <c r="T136" i="4" s="1"/>
  <c r="P7" i="4"/>
  <c r="S7" i="4" s="1"/>
  <c r="T7" i="4" s="1"/>
  <c r="P15" i="4"/>
  <c r="S15" i="4" s="1"/>
  <c r="T15" i="4" s="1"/>
  <c r="AA167" i="4" s="1"/>
  <c r="P23" i="4"/>
  <c r="S23" i="4" s="1"/>
  <c r="T23" i="4" s="1"/>
  <c r="AA175" i="4" s="1"/>
  <c r="P31" i="4"/>
  <c r="S31" i="4" s="1"/>
  <c r="T31" i="4" s="1"/>
  <c r="AA183" i="4" s="1"/>
  <c r="P39" i="4"/>
  <c r="S39" i="4" s="1"/>
  <c r="T39" i="4" s="1"/>
  <c r="AA191" i="4" s="1"/>
  <c r="P47" i="4"/>
  <c r="S47" i="4" s="1"/>
  <c r="T47" i="4" s="1"/>
  <c r="P55" i="4"/>
  <c r="S55" i="4" s="1"/>
  <c r="T55" i="4" s="1"/>
  <c r="D147" i="4"/>
  <c r="D88" i="4"/>
  <c r="G88" i="4" s="1"/>
  <c r="H88" i="4" s="1"/>
  <c r="AB163" i="4" s="1"/>
  <c r="D96" i="4"/>
  <c r="G96" i="4" s="1"/>
  <c r="H96" i="4" s="1"/>
  <c r="AB171" i="4" s="1"/>
  <c r="D104" i="4"/>
  <c r="G104" i="4" s="1"/>
  <c r="H104" i="4" s="1"/>
  <c r="AB179" i="4" s="1"/>
  <c r="D112" i="4"/>
  <c r="G112" i="4" s="1"/>
  <c r="H112" i="4" s="1"/>
  <c r="AB187" i="4" s="1"/>
  <c r="D120" i="4"/>
  <c r="G120" i="4" s="1"/>
  <c r="H120" i="4" s="1"/>
  <c r="AB195" i="4" s="1"/>
  <c r="D128" i="4"/>
  <c r="G128" i="4" s="1"/>
  <c r="H128" i="4" s="1"/>
  <c r="D136" i="4"/>
  <c r="G136" i="4" s="1"/>
  <c r="H136" i="4" s="1"/>
  <c r="D8" i="4"/>
  <c r="G8" i="4" s="1"/>
  <c r="H8" i="4" s="1"/>
  <c r="Z160" i="4" s="1"/>
  <c r="D16" i="4"/>
  <c r="G16" i="4" s="1"/>
  <c r="H16" i="4" s="1"/>
  <c r="Z168" i="4" s="1"/>
  <c r="D24" i="4"/>
  <c r="G24" i="4" s="1"/>
  <c r="H24" i="4" s="1"/>
  <c r="Z176" i="4" s="1"/>
  <c r="D32" i="4"/>
  <c r="G32" i="4" s="1"/>
  <c r="H32" i="4" s="1"/>
  <c r="Z184" i="4" s="1"/>
  <c r="D40" i="4"/>
  <c r="G40" i="4" s="1"/>
  <c r="H40" i="4" s="1"/>
  <c r="Z192" i="4" s="1"/>
  <c r="D48" i="4"/>
  <c r="G48" i="4" s="1"/>
  <c r="H48" i="4" s="1"/>
  <c r="D56" i="4"/>
  <c r="G56" i="4" s="1"/>
  <c r="H56" i="4" s="1"/>
  <c r="D70" i="4"/>
  <c r="D11" i="4"/>
  <c r="G11" i="4" s="1"/>
  <c r="H11" i="4" s="1"/>
  <c r="Z163" i="4" s="1"/>
  <c r="D19" i="4"/>
  <c r="G19" i="4" s="1"/>
  <c r="H19" i="4" s="1"/>
  <c r="Z171" i="4" s="1"/>
  <c r="D27" i="4"/>
  <c r="G27" i="4" s="1"/>
  <c r="H27" i="4" s="1"/>
  <c r="Z179" i="4" s="1"/>
  <c r="D35" i="4"/>
  <c r="G35" i="4" s="1"/>
  <c r="H35" i="4" s="1"/>
  <c r="Z187" i="4" s="1"/>
  <c r="D43" i="4"/>
  <c r="G43" i="4" s="1"/>
  <c r="H43" i="4" s="1"/>
  <c r="Z195" i="4" s="1"/>
  <c r="P146" i="4"/>
  <c r="P87" i="4"/>
  <c r="S87" i="4" s="1"/>
  <c r="T87" i="4" s="1"/>
  <c r="P95" i="4"/>
  <c r="S95" i="4" s="1"/>
  <c r="T95" i="4" s="1"/>
  <c r="AC170" i="4" s="1"/>
  <c r="P103" i="4"/>
  <c r="S103" i="4" s="1"/>
  <c r="T103" i="4" s="1"/>
  <c r="AC178" i="4" s="1"/>
  <c r="P111" i="4"/>
  <c r="S111" i="4" s="1"/>
  <c r="T111" i="4" s="1"/>
  <c r="AC186" i="4" s="1"/>
  <c r="P119" i="4"/>
  <c r="S119" i="4" s="1"/>
  <c r="T119" i="4" s="1"/>
  <c r="AC194" i="4" s="1"/>
  <c r="P127" i="4"/>
  <c r="S127" i="4" s="1"/>
  <c r="T127" i="4" s="1"/>
  <c r="P135" i="4"/>
  <c r="S135" i="4" s="1"/>
  <c r="T135" i="4" s="1"/>
  <c r="P67" i="4"/>
  <c r="P14" i="4"/>
  <c r="S14" i="4" s="1"/>
  <c r="T14" i="4" s="1"/>
  <c r="AA166" i="4" s="1"/>
  <c r="P22" i="4"/>
  <c r="S22" i="4" s="1"/>
  <c r="T22" i="4" s="1"/>
  <c r="AA174" i="4" s="1"/>
  <c r="P30" i="4"/>
  <c r="S30" i="4" s="1"/>
  <c r="T30" i="4" s="1"/>
  <c r="AA182" i="4" s="1"/>
  <c r="P38" i="4"/>
  <c r="S38" i="4" s="1"/>
  <c r="T38" i="4" s="1"/>
  <c r="AA190" i="4" s="1"/>
  <c r="P46" i="4"/>
  <c r="S46" i="4" s="1"/>
  <c r="T46" i="4" s="1"/>
  <c r="P54" i="4"/>
  <c r="S54" i="4" s="1"/>
  <c r="T54" i="4" s="1"/>
  <c r="D146" i="4"/>
  <c r="D87" i="4"/>
  <c r="G87" i="4" s="1"/>
  <c r="H87" i="4" s="1"/>
  <c r="AB162" i="4" s="1"/>
  <c r="D95" i="4"/>
  <c r="G95" i="4" s="1"/>
  <c r="H95" i="4" s="1"/>
  <c r="AB170" i="4" s="1"/>
  <c r="D103" i="4"/>
  <c r="G103" i="4" s="1"/>
  <c r="H103" i="4" s="1"/>
  <c r="AB178" i="4" s="1"/>
  <c r="D111" i="4"/>
  <c r="G111" i="4" s="1"/>
  <c r="H111" i="4" s="1"/>
  <c r="AB186" i="4" s="1"/>
  <c r="D119" i="4"/>
  <c r="G119" i="4" s="1"/>
  <c r="H119" i="4" s="1"/>
  <c r="AB194" i="4" s="1"/>
  <c r="D127" i="4"/>
  <c r="G127" i="4" s="1"/>
  <c r="H127" i="4" s="1"/>
  <c r="D135" i="4"/>
  <c r="G135" i="4" s="1"/>
  <c r="H135" i="4" s="1"/>
  <c r="P149" i="4"/>
  <c r="P90" i="4"/>
  <c r="S90" i="4" s="1"/>
  <c r="T90" i="4" s="1"/>
  <c r="AC165" i="4" s="1"/>
  <c r="P98" i="4"/>
  <c r="S98" i="4" s="1"/>
  <c r="T98" i="4" s="1"/>
  <c r="AC173" i="4" s="1"/>
  <c r="P106" i="4"/>
  <c r="S106" i="4" s="1"/>
  <c r="T106" i="4" s="1"/>
  <c r="AC181" i="4" s="1"/>
  <c r="P114" i="4"/>
  <c r="S114" i="4" s="1"/>
  <c r="T114" i="4" s="1"/>
  <c r="AC189" i="4" s="1"/>
  <c r="P122" i="4"/>
  <c r="S122" i="4" s="1"/>
  <c r="T122" i="4" s="1"/>
  <c r="AC197" i="4" s="1"/>
  <c r="P130" i="4"/>
  <c r="S130" i="4" s="1"/>
  <c r="T130" i="4" s="1"/>
  <c r="P68" i="4"/>
  <c r="P9" i="4"/>
  <c r="S9" i="4" s="1"/>
  <c r="T9" i="4" s="1"/>
  <c r="P17" i="4"/>
  <c r="S17" i="4" s="1"/>
  <c r="T17" i="4" s="1"/>
  <c r="AA169" i="4" s="1"/>
  <c r="P25" i="4"/>
  <c r="S25" i="4" s="1"/>
  <c r="T25" i="4" s="1"/>
  <c r="AA177" i="4" s="1"/>
  <c r="P33" i="4"/>
  <c r="S33" i="4" s="1"/>
  <c r="T33" i="4" s="1"/>
  <c r="AA185" i="4" s="1"/>
  <c r="P41" i="4"/>
  <c r="S41" i="4" s="1"/>
  <c r="T41" i="4" s="1"/>
  <c r="AA193" i="4" s="1"/>
  <c r="P49" i="4"/>
  <c r="S49" i="4" s="1"/>
  <c r="T49" i="4" s="1"/>
  <c r="P57" i="4"/>
  <c r="S57" i="4" s="1"/>
  <c r="T57" i="4" s="1"/>
  <c r="D149" i="4"/>
  <c r="D90" i="4"/>
  <c r="G90" i="4" s="1"/>
  <c r="H90" i="4" s="1"/>
  <c r="AB165" i="4" s="1"/>
  <c r="D98" i="4"/>
  <c r="G98" i="4" s="1"/>
  <c r="H98" i="4" s="1"/>
  <c r="AB173" i="4" s="1"/>
  <c r="D106" i="4"/>
  <c r="G106" i="4" s="1"/>
  <c r="H106" i="4" s="1"/>
  <c r="AB181" i="4" s="1"/>
  <c r="D114" i="4"/>
  <c r="G114" i="4" s="1"/>
  <c r="H114" i="4" s="1"/>
  <c r="AB189" i="4" s="1"/>
  <c r="D122" i="4"/>
  <c r="G122" i="4" s="1"/>
  <c r="H122" i="4" s="1"/>
  <c r="AB197" i="4" s="1"/>
  <c r="D130" i="4"/>
  <c r="G130" i="4" s="1"/>
  <c r="H130" i="4" s="1"/>
  <c r="D69" i="4"/>
  <c r="D10" i="4"/>
  <c r="G10" i="4" s="1"/>
  <c r="H10" i="4" s="1"/>
  <c r="Z162" i="4" s="1"/>
  <c r="D18" i="4"/>
  <c r="G18" i="4" s="1"/>
  <c r="H18" i="4" s="1"/>
  <c r="Z170" i="4" s="1"/>
  <c r="D26" i="4"/>
  <c r="G26" i="4" s="1"/>
  <c r="H26" i="4" s="1"/>
  <c r="Z178" i="4" s="1"/>
  <c r="D34" i="4"/>
  <c r="G34" i="4" s="1"/>
  <c r="H34" i="4" s="1"/>
  <c r="Z186" i="4" s="1"/>
  <c r="D42" i="4"/>
  <c r="G42" i="4" s="1"/>
  <c r="H42" i="4" s="1"/>
  <c r="Z194" i="4" s="1"/>
  <c r="D50" i="4"/>
  <c r="G50" i="4" s="1"/>
  <c r="H50" i="4" s="1"/>
  <c r="D58" i="4"/>
  <c r="G58" i="4" s="1"/>
  <c r="H58" i="4" s="1"/>
  <c r="D72" i="4"/>
  <c r="D13" i="4"/>
  <c r="G13" i="4" s="1"/>
  <c r="H13" i="4" s="1"/>
  <c r="Z165" i="4" s="1"/>
  <c r="D21" i="4"/>
  <c r="G21" i="4" s="1"/>
  <c r="H21" i="4" s="1"/>
  <c r="Z173" i="4" s="1"/>
  <c r="D29" i="4"/>
  <c r="G29" i="4" s="1"/>
  <c r="H29" i="4" s="1"/>
  <c r="Z181" i="4" s="1"/>
  <c r="D37" i="4"/>
  <c r="G37" i="4" s="1"/>
  <c r="H37" i="4" s="1"/>
  <c r="Z189" i="4" s="1"/>
  <c r="D45" i="4"/>
  <c r="G45" i="4" s="1"/>
  <c r="H45" i="4" s="1"/>
  <c r="Z197" i="4" s="1"/>
  <c r="D53" i="4"/>
  <c r="G53" i="4" s="1"/>
  <c r="H53" i="4" s="1"/>
  <c r="D6" i="6"/>
  <c r="P148" i="4"/>
  <c r="P89" i="4"/>
  <c r="S89" i="4" s="1"/>
  <c r="T89" i="4" s="1"/>
  <c r="AC164" i="4" s="1"/>
  <c r="P97" i="4"/>
  <c r="S97" i="4" s="1"/>
  <c r="T97" i="4" s="1"/>
  <c r="AC172" i="4" s="1"/>
  <c r="P105" i="4"/>
  <c r="S105" i="4" s="1"/>
  <c r="T105" i="4" s="1"/>
  <c r="AC180" i="4" s="1"/>
  <c r="P113" i="4"/>
  <c r="S113" i="4" s="1"/>
  <c r="T113" i="4" s="1"/>
  <c r="AC188" i="4" s="1"/>
  <c r="P121" i="4"/>
  <c r="S121" i="4" s="1"/>
  <c r="T121" i="4" s="1"/>
  <c r="AC196" i="4" s="1"/>
  <c r="P129" i="4"/>
  <c r="S129" i="4" s="1"/>
  <c r="T129" i="4" s="1"/>
  <c r="P83" i="4"/>
  <c r="S83" i="4" s="1"/>
  <c r="T83" i="4" s="1"/>
  <c r="P8" i="4"/>
  <c r="S8" i="4" s="1"/>
  <c r="T8" i="4" s="1"/>
  <c r="P16" i="4"/>
  <c r="S16" i="4" s="1"/>
  <c r="T16" i="4" s="1"/>
  <c r="AA168" i="4" s="1"/>
  <c r="P24" i="4"/>
  <c r="S24" i="4" s="1"/>
  <c r="T24" i="4" s="1"/>
  <c r="AA176" i="4" s="1"/>
  <c r="P32" i="4"/>
  <c r="S32" i="4" s="1"/>
  <c r="T32" i="4" s="1"/>
  <c r="AA184" i="4" s="1"/>
  <c r="P40" i="4"/>
  <c r="S40" i="4" s="1"/>
  <c r="T40" i="4" s="1"/>
  <c r="AA192" i="4" s="1"/>
  <c r="P48" i="4"/>
  <c r="S48" i="4" s="1"/>
  <c r="T48" i="4" s="1"/>
  <c r="P56" i="4"/>
  <c r="S56" i="4" s="1"/>
  <c r="T56" i="4" s="1"/>
  <c r="D148" i="4"/>
  <c r="D89" i="4"/>
  <c r="G89" i="4" s="1"/>
  <c r="H89" i="4" s="1"/>
  <c r="AB164" i="4" s="1"/>
  <c r="D97" i="4"/>
  <c r="G97" i="4" s="1"/>
  <c r="H97" i="4" s="1"/>
  <c r="AB172" i="4" s="1"/>
  <c r="D105" i="4"/>
  <c r="G105" i="4" s="1"/>
  <c r="H105" i="4" s="1"/>
  <c r="AB180" i="4" s="1"/>
  <c r="D113" i="4"/>
  <c r="G113" i="4" s="1"/>
  <c r="H113" i="4" s="1"/>
  <c r="AB188" i="4" s="1"/>
  <c r="D121" i="4"/>
  <c r="G121" i="4" s="1"/>
  <c r="H121" i="4" s="1"/>
  <c r="AB196" i="4" s="1"/>
  <c r="D129" i="4"/>
  <c r="G129" i="4" s="1"/>
  <c r="H129" i="4" s="1"/>
  <c r="D83" i="4"/>
  <c r="G83" i="4" s="1"/>
  <c r="H83" i="4" s="1"/>
  <c r="AB158" i="4" s="1"/>
  <c r="P84" i="4"/>
  <c r="S84" i="4" s="1"/>
  <c r="T84" i="4" s="1"/>
  <c r="P92" i="4"/>
  <c r="S92" i="4" s="1"/>
  <c r="T92" i="4" s="1"/>
  <c r="AC167" i="4" s="1"/>
  <c r="P100" i="4"/>
  <c r="S100" i="4" s="1"/>
  <c r="T100" i="4" s="1"/>
  <c r="AC175" i="4" s="1"/>
  <c r="P108" i="4"/>
  <c r="S108" i="4" s="1"/>
  <c r="T108" i="4" s="1"/>
  <c r="AC183" i="4" s="1"/>
  <c r="P116" i="4"/>
  <c r="S116" i="4" s="1"/>
  <c r="T116" i="4" s="1"/>
  <c r="AC191" i="4" s="1"/>
  <c r="P124" i="4"/>
  <c r="S124" i="4" s="1"/>
  <c r="T124" i="4" s="1"/>
  <c r="P132" i="4"/>
  <c r="S132" i="4" s="1"/>
  <c r="T132" i="4" s="1"/>
  <c r="P70" i="4"/>
  <c r="P11" i="4"/>
  <c r="S11" i="4" s="1"/>
  <c r="T11" i="4" s="1"/>
  <c r="AA163" i="4" s="1"/>
  <c r="P19" i="4"/>
  <c r="S19" i="4" s="1"/>
  <c r="T19" i="4" s="1"/>
  <c r="AA171" i="4" s="1"/>
  <c r="P27" i="4"/>
  <c r="S27" i="4" s="1"/>
  <c r="T27" i="4" s="1"/>
  <c r="AA179" i="4" s="1"/>
  <c r="P35" i="4"/>
  <c r="S35" i="4" s="1"/>
  <c r="T35" i="4" s="1"/>
  <c r="AA187" i="4" s="1"/>
  <c r="P43" i="4"/>
  <c r="S43" i="4" s="1"/>
  <c r="T43" i="4" s="1"/>
  <c r="AA195" i="4" s="1"/>
  <c r="P51" i="4"/>
  <c r="S51" i="4" s="1"/>
  <c r="T51" i="4" s="1"/>
  <c r="P59" i="4"/>
  <c r="S59" i="4" s="1"/>
  <c r="T59" i="4" s="1"/>
  <c r="D84" i="4"/>
  <c r="G84" i="4" s="1"/>
  <c r="H84" i="4" s="1"/>
  <c r="AB159" i="4" s="1"/>
  <c r="D92" i="4"/>
  <c r="G92" i="4" s="1"/>
  <c r="H92" i="4" s="1"/>
  <c r="AB167" i="4" s="1"/>
  <c r="D100" i="4"/>
  <c r="G100" i="4" s="1"/>
  <c r="H100" i="4" s="1"/>
  <c r="AB175" i="4" s="1"/>
  <c r="D108" i="4"/>
  <c r="G108" i="4" s="1"/>
  <c r="H108" i="4" s="1"/>
  <c r="AB183" i="4" s="1"/>
  <c r="D116" i="4"/>
  <c r="G116" i="4" s="1"/>
  <c r="H116" i="4" s="1"/>
  <c r="AB191" i="4" s="1"/>
  <c r="D124" i="4"/>
  <c r="G124" i="4" s="1"/>
  <c r="H124" i="4" s="1"/>
  <c r="D132" i="4"/>
  <c r="G132" i="4" s="1"/>
  <c r="H132" i="4" s="1"/>
  <c r="D71" i="4"/>
  <c r="D12" i="4"/>
  <c r="G12" i="4" s="1"/>
  <c r="H12" i="4" s="1"/>
  <c r="Z164" i="4" s="1"/>
  <c r="D20" i="4"/>
  <c r="G20" i="4" s="1"/>
  <c r="H20" i="4" s="1"/>
  <c r="Z172" i="4" s="1"/>
  <c r="D28" i="4"/>
  <c r="G28" i="4" s="1"/>
  <c r="H28" i="4" s="1"/>
  <c r="Z180" i="4" s="1"/>
  <c r="D36" i="4"/>
  <c r="G36" i="4" s="1"/>
  <c r="H36" i="4" s="1"/>
  <c r="Z188" i="4" s="1"/>
  <c r="D44" i="4"/>
  <c r="G44" i="4" s="1"/>
  <c r="H44" i="4" s="1"/>
  <c r="Z196" i="4" s="1"/>
  <c r="D52" i="4"/>
  <c r="G52" i="4" s="1"/>
  <c r="H52" i="4" s="1"/>
  <c r="D6" i="4"/>
  <c r="G6" i="4" s="1"/>
  <c r="D7" i="4"/>
  <c r="G7" i="4" s="1"/>
  <c r="H7" i="4" s="1"/>
  <c r="Z159" i="4" s="1"/>
  <c r="D15" i="4"/>
  <c r="G15" i="4" s="1"/>
  <c r="H15" i="4" s="1"/>
  <c r="Z167" i="4" s="1"/>
  <c r="D23" i="4"/>
  <c r="G23" i="4" s="1"/>
  <c r="H23" i="4" s="1"/>
  <c r="Z175" i="4" s="1"/>
  <c r="D31" i="4"/>
  <c r="G31" i="4" s="1"/>
  <c r="H31" i="4" s="1"/>
  <c r="Z183" i="4" s="1"/>
  <c r="D39" i="4"/>
  <c r="G39" i="4" s="1"/>
  <c r="H39" i="4" s="1"/>
  <c r="Z191" i="4" s="1"/>
  <c r="D47" i="4"/>
  <c r="G47" i="4" s="1"/>
  <c r="H47" i="4" s="1"/>
  <c r="D55" i="4"/>
  <c r="G55" i="4" s="1"/>
  <c r="H55" i="4" s="1"/>
  <c r="D57" i="4"/>
  <c r="G57" i="4" s="1"/>
  <c r="H57" i="4" s="1"/>
  <c r="D51" i="4"/>
  <c r="G51" i="4" s="1"/>
  <c r="H51" i="4" s="1"/>
  <c r="P144" i="4"/>
  <c r="P91" i="4"/>
  <c r="S91" i="4" s="1"/>
  <c r="T91" i="4" s="1"/>
  <c r="AC166" i="4" s="1"/>
  <c r="P99" i="4"/>
  <c r="S99" i="4" s="1"/>
  <c r="T99" i="4" s="1"/>
  <c r="AC174" i="4" s="1"/>
  <c r="P107" i="4"/>
  <c r="S107" i="4" s="1"/>
  <c r="T107" i="4" s="1"/>
  <c r="AC182" i="4" s="1"/>
  <c r="P115" i="4"/>
  <c r="S115" i="4" s="1"/>
  <c r="T115" i="4" s="1"/>
  <c r="AC190" i="4" s="1"/>
  <c r="P123" i="4"/>
  <c r="S123" i="4" s="1"/>
  <c r="T123" i="4" s="1"/>
  <c r="P131" i="4"/>
  <c r="S131" i="4" s="1"/>
  <c r="T131" i="4" s="1"/>
  <c r="P69" i="4"/>
  <c r="P10" i="4"/>
  <c r="S10" i="4" s="1"/>
  <c r="T10" i="4" s="1"/>
  <c r="P18" i="4"/>
  <c r="S18" i="4" s="1"/>
  <c r="T18" i="4" s="1"/>
  <c r="AA170" i="4" s="1"/>
  <c r="P26" i="4"/>
  <c r="S26" i="4" s="1"/>
  <c r="T26" i="4" s="1"/>
  <c r="AA178" i="4" s="1"/>
  <c r="P34" i="4"/>
  <c r="S34" i="4" s="1"/>
  <c r="T34" i="4" s="1"/>
  <c r="AA186" i="4" s="1"/>
  <c r="P42" i="4"/>
  <c r="S42" i="4" s="1"/>
  <c r="T42" i="4" s="1"/>
  <c r="AA194" i="4" s="1"/>
  <c r="P50" i="4"/>
  <c r="S50" i="4" s="1"/>
  <c r="T50" i="4" s="1"/>
  <c r="P58" i="4"/>
  <c r="S58" i="4" s="1"/>
  <c r="T58" i="4" s="1"/>
  <c r="D144" i="4"/>
  <c r="D91" i="4"/>
  <c r="G91" i="4" s="1"/>
  <c r="H91" i="4" s="1"/>
  <c r="AB166" i="4" s="1"/>
  <c r="D99" i="4"/>
  <c r="G99" i="4" s="1"/>
  <c r="H99" i="4" s="1"/>
  <c r="AB174" i="4" s="1"/>
  <c r="D107" i="4"/>
  <c r="G107" i="4" s="1"/>
  <c r="H107" i="4" s="1"/>
  <c r="AB182" i="4" s="1"/>
  <c r="D115" i="4"/>
  <c r="G115" i="4" s="1"/>
  <c r="H115" i="4" s="1"/>
  <c r="AB190" i="4" s="1"/>
  <c r="D123" i="4"/>
  <c r="G123" i="4" s="1"/>
  <c r="H123" i="4" s="1"/>
  <c r="D131" i="4"/>
  <c r="G131" i="4" s="1"/>
  <c r="H131" i="4" s="1"/>
  <c r="P145" i="4"/>
  <c r="P86" i="4"/>
  <c r="S86" i="4" s="1"/>
  <c r="T86" i="4" s="1"/>
  <c r="P94" i="4"/>
  <c r="S94" i="4" s="1"/>
  <c r="T94" i="4" s="1"/>
  <c r="AC169" i="4" s="1"/>
  <c r="P102" i="4"/>
  <c r="S102" i="4" s="1"/>
  <c r="T102" i="4" s="1"/>
  <c r="AC177" i="4" s="1"/>
  <c r="P110" i="4"/>
  <c r="S110" i="4" s="1"/>
  <c r="T110" i="4" s="1"/>
  <c r="AC185" i="4" s="1"/>
  <c r="P118" i="4"/>
  <c r="S118" i="4" s="1"/>
  <c r="T118" i="4" s="1"/>
  <c r="AC193" i="4" s="1"/>
  <c r="P126" i="4"/>
  <c r="S126" i="4" s="1"/>
  <c r="T126" i="4" s="1"/>
  <c r="P134" i="4"/>
  <c r="S134" i="4" s="1"/>
  <c r="T134" i="4" s="1"/>
  <c r="P72" i="4"/>
  <c r="P13" i="4"/>
  <c r="S13" i="4" s="1"/>
  <c r="T13" i="4" s="1"/>
  <c r="AA165" i="4" s="1"/>
  <c r="P21" i="4"/>
  <c r="S21" i="4" s="1"/>
  <c r="T21" i="4" s="1"/>
  <c r="AA173" i="4" s="1"/>
  <c r="P29" i="4"/>
  <c r="S29" i="4" s="1"/>
  <c r="T29" i="4" s="1"/>
  <c r="AA181" i="4" s="1"/>
  <c r="P37" i="4"/>
  <c r="S37" i="4" s="1"/>
  <c r="T37" i="4" s="1"/>
  <c r="AA189" i="4" s="1"/>
  <c r="P45" i="4"/>
  <c r="S45" i="4" s="1"/>
  <c r="T45" i="4" s="1"/>
  <c r="AA197" i="4" s="1"/>
  <c r="P53" i="4"/>
  <c r="S53" i="4" s="1"/>
  <c r="T53" i="4" s="1"/>
  <c r="D145" i="4"/>
  <c r="D86" i="4"/>
  <c r="G86" i="4" s="1"/>
  <c r="H86" i="4" s="1"/>
  <c r="AB161" i="4" s="1"/>
  <c r="D94" i="4"/>
  <c r="G94" i="4" s="1"/>
  <c r="H94" i="4" s="1"/>
  <c r="AB169" i="4" s="1"/>
  <c r="D102" i="4"/>
  <c r="G102" i="4" s="1"/>
  <c r="H102" i="4" s="1"/>
  <c r="AB177" i="4" s="1"/>
  <c r="D110" i="4"/>
  <c r="G110" i="4" s="1"/>
  <c r="H110" i="4" s="1"/>
  <c r="AB185" i="4" s="1"/>
  <c r="D118" i="4"/>
  <c r="G118" i="4" s="1"/>
  <c r="H118" i="4" s="1"/>
  <c r="AB193" i="4" s="1"/>
  <c r="D126" i="4"/>
  <c r="G126" i="4" s="1"/>
  <c r="H126" i="4" s="1"/>
  <c r="D134" i="4"/>
  <c r="G134" i="4" s="1"/>
  <c r="H134" i="4" s="1"/>
  <c r="D67" i="4"/>
  <c r="D14" i="4"/>
  <c r="G14" i="4" s="1"/>
  <c r="H14" i="4" s="1"/>
  <c r="Z166" i="4" s="1"/>
  <c r="D22" i="4"/>
  <c r="G22" i="4" s="1"/>
  <c r="H22" i="4" s="1"/>
  <c r="Z174" i="4" s="1"/>
  <c r="D30" i="4"/>
  <c r="G30" i="4" s="1"/>
  <c r="H30" i="4" s="1"/>
  <c r="Z182" i="4" s="1"/>
  <c r="D38" i="4"/>
  <c r="G38" i="4" s="1"/>
  <c r="H38" i="4" s="1"/>
  <c r="Z190" i="4" s="1"/>
  <c r="D46" i="4"/>
  <c r="G46" i="4" s="1"/>
  <c r="H46" i="4" s="1"/>
  <c r="D54" i="4"/>
  <c r="G54" i="4" s="1"/>
  <c r="H54" i="4" s="1"/>
  <c r="D68" i="4"/>
  <c r="D9" i="4"/>
  <c r="G9" i="4" s="1"/>
  <c r="H9" i="4" s="1"/>
  <c r="Z161" i="4" s="1"/>
  <c r="D17" i="4"/>
  <c r="G17" i="4" s="1"/>
  <c r="H17" i="4" s="1"/>
  <c r="Z169" i="4" s="1"/>
  <c r="D25" i="4"/>
  <c r="G25" i="4" s="1"/>
  <c r="H25" i="4" s="1"/>
  <c r="Z177" i="4" s="1"/>
  <c r="D33" i="4"/>
  <c r="G33" i="4" s="1"/>
  <c r="H33" i="4" s="1"/>
  <c r="Z185" i="4" s="1"/>
  <c r="D41" i="4"/>
  <c r="G41" i="4" s="1"/>
  <c r="H41" i="4" s="1"/>
  <c r="Z193" i="4" s="1"/>
  <c r="D49" i="4"/>
  <c r="G49" i="4" s="1"/>
  <c r="H49" i="4" s="1"/>
  <c r="D59" i="4"/>
  <c r="G59" i="4" s="1"/>
  <c r="H59" i="4" s="1"/>
  <c r="D6" i="5"/>
  <c r="H6" i="5" s="1"/>
  <c r="C59" i="5" s="1"/>
  <c r="T108" i="3"/>
  <c r="D62" i="5" s="1"/>
  <c r="T124" i="3"/>
  <c r="D78" i="5" s="1"/>
  <c r="T120" i="3"/>
  <c r="D74" i="5" s="1"/>
  <c r="G307" i="14"/>
  <c r="T113" i="3"/>
  <c r="D67" i="5" s="1"/>
  <c r="T117" i="3"/>
  <c r="D71" i="5" s="1"/>
  <c r="T121" i="3"/>
  <c r="D75" i="5" s="1"/>
  <c r="T112" i="3"/>
  <c r="D66" i="5" s="1"/>
  <c r="D65" i="5"/>
  <c r="T115" i="3"/>
  <c r="D69" i="5" s="1"/>
  <c r="T119" i="3"/>
  <c r="D73" i="5" s="1"/>
  <c r="T123" i="3"/>
  <c r="D77" i="5" s="1"/>
  <c r="H100" i="3"/>
  <c r="AD234" i="3" s="1"/>
  <c r="H102" i="3"/>
  <c r="AD236" i="3" s="1"/>
  <c r="H104" i="3"/>
  <c r="AD238" i="3" s="1"/>
  <c r="H106" i="3"/>
  <c r="AD240" i="3" s="1"/>
  <c r="H108" i="3"/>
  <c r="AD242" i="3" s="1"/>
  <c r="H110" i="3"/>
  <c r="AD244" i="3" s="1"/>
  <c r="H112" i="3"/>
  <c r="AD246" i="3" s="1"/>
  <c r="H114" i="3"/>
  <c r="AD248" i="3" s="1"/>
  <c r="H116" i="3"/>
  <c r="AD250" i="3" s="1"/>
  <c r="H118" i="3"/>
  <c r="AD252" i="3" s="1"/>
  <c r="H120" i="3"/>
  <c r="AD254" i="3" s="1"/>
  <c r="H122" i="3"/>
  <c r="AD256" i="3" s="1"/>
  <c r="H124" i="3"/>
  <c r="AD258" i="3" s="1"/>
  <c r="H126" i="3"/>
  <c r="H128" i="3"/>
  <c r="AD262" i="3" s="1"/>
  <c r="H130" i="3"/>
  <c r="AD264" i="3" s="1"/>
  <c r="H132" i="3"/>
  <c r="AD266" i="3" s="1"/>
  <c r="H134" i="3"/>
  <c r="H136" i="3"/>
  <c r="H138" i="3"/>
  <c r="H140" i="3"/>
  <c r="H142" i="3"/>
  <c r="H144" i="3"/>
  <c r="H146" i="3"/>
  <c r="H97" i="3"/>
  <c r="AD231" i="3" s="1"/>
  <c r="H98" i="3"/>
  <c r="AD232" i="3" s="1"/>
  <c r="H99" i="3"/>
  <c r="AD233" i="3" s="1"/>
  <c r="H101" i="3"/>
  <c r="AD235" i="3" s="1"/>
  <c r="H103" i="3"/>
  <c r="AD237" i="3" s="1"/>
  <c r="H105" i="3"/>
  <c r="AD239" i="3" s="1"/>
  <c r="H107" i="3"/>
  <c r="AD241" i="3" s="1"/>
  <c r="H109" i="3"/>
  <c r="AD243" i="3" s="1"/>
  <c r="H111" i="3"/>
  <c r="AD245" i="3" s="1"/>
  <c r="H113" i="3"/>
  <c r="AD247" i="3" s="1"/>
  <c r="H115" i="3"/>
  <c r="AD249" i="3" s="1"/>
  <c r="H117" i="3"/>
  <c r="AD251" i="3" s="1"/>
  <c r="H119" i="3"/>
  <c r="AD253" i="3" s="1"/>
  <c r="H121" i="3"/>
  <c r="AD255" i="3" s="1"/>
  <c r="H123" i="3"/>
  <c r="AD257" i="3" s="1"/>
  <c r="H125" i="3"/>
  <c r="AD259" i="3" s="1"/>
  <c r="H127" i="3"/>
  <c r="AD261" i="3" s="1"/>
  <c r="H129" i="3"/>
  <c r="AD263" i="3" s="1"/>
  <c r="H131" i="3"/>
  <c r="AD265" i="3" s="1"/>
  <c r="H133" i="3"/>
  <c r="H135" i="3"/>
  <c r="H137" i="3"/>
  <c r="H139" i="3"/>
  <c r="H141" i="3"/>
  <c r="H143" i="3"/>
  <c r="H145" i="3"/>
  <c r="H265" i="14"/>
  <c r="AJ15" i="14" s="1"/>
  <c r="AB238" i="3"/>
  <c r="AB246" i="3"/>
  <c r="AB254" i="3"/>
  <c r="AB230" i="3"/>
  <c r="G280" i="14"/>
  <c r="G263" i="14"/>
  <c r="G277" i="14"/>
  <c r="G291" i="14"/>
  <c r="G311" i="14"/>
  <c r="G278" i="14"/>
  <c r="G19" i="5"/>
  <c r="C72" i="5"/>
  <c r="T6" i="5"/>
  <c r="S6" i="5"/>
  <c r="C94" i="5"/>
  <c r="G46" i="5"/>
  <c r="C75" i="5"/>
  <c r="G22" i="5"/>
  <c r="S17" i="5"/>
  <c r="T17" i="5"/>
  <c r="C93" i="5"/>
  <c r="G45" i="5"/>
  <c r="T8" i="5"/>
  <c r="S8" i="5"/>
  <c r="G29" i="5"/>
  <c r="G24" i="5"/>
  <c r="C77" i="5"/>
  <c r="G8" i="5"/>
  <c r="C61" i="5"/>
  <c r="C95" i="5"/>
  <c r="G47" i="5"/>
  <c r="AC227" i="3"/>
  <c r="G294" i="14"/>
  <c r="G312" i="14"/>
  <c r="S14" i="5"/>
  <c r="T13" i="5"/>
  <c r="G41" i="5"/>
  <c r="T15" i="5"/>
  <c r="C91" i="5"/>
  <c r="G43" i="5"/>
  <c r="G25" i="5"/>
  <c r="C78" i="5"/>
  <c r="G27" i="5"/>
  <c r="G11" i="5"/>
  <c r="C64" i="5"/>
  <c r="S10" i="5"/>
  <c r="T10" i="5"/>
  <c r="G30" i="5"/>
  <c r="G14" i="5"/>
  <c r="S9" i="5"/>
  <c r="T9" i="5"/>
  <c r="S16" i="5"/>
  <c r="T16" i="5"/>
  <c r="G44" i="5"/>
  <c r="C92" i="5"/>
  <c r="C66" i="5"/>
  <c r="G13" i="5"/>
  <c r="G16" i="5"/>
  <c r="C69" i="5"/>
  <c r="T11" i="5"/>
  <c r="S11" i="5"/>
  <c r="G39" i="5"/>
  <c r="C87" i="5"/>
  <c r="AC229" i="3"/>
  <c r="AC233" i="3"/>
  <c r="AC237" i="3"/>
  <c r="AC241" i="3"/>
  <c r="AC245" i="3"/>
  <c r="AC249" i="3"/>
  <c r="AC253" i="3"/>
  <c r="AC257" i="3"/>
  <c r="AC261" i="3"/>
  <c r="AC265" i="3"/>
  <c r="AC270" i="3"/>
  <c r="G296" i="14"/>
  <c r="G310" i="14"/>
  <c r="G279" i="14"/>
  <c r="G293" i="14"/>
  <c r="G17" i="5"/>
  <c r="G23" i="5"/>
  <c r="C76" i="5"/>
  <c r="G7" i="5"/>
  <c r="C86" i="5"/>
  <c r="G38" i="5"/>
  <c r="C79" i="5"/>
  <c r="G26" i="5"/>
  <c r="C63" i="5"/>
  <c r="G10" i="5"/>
  <c r="G49" i="5"/>
  <c r="C97" i="5"/>
  <c r="S12" i="5"/>
  <c r="T12" i="5"/>
  <c r="G40" i="5"/>
  <c r="C88" i="5"/>
  <c r="G28" i="5"/>
  <c r="G12" i="5"/>
  <c r="C65" i="5"/>
  <c r="S7" i="5"/>
  <c r="T7" i="5"/>
  <c r="AA54" i="11"/>
  <c r="U54" i="11"/>
  <c r="X54" i="11"/>
  <c r="U50" i="11"/>
  <c r="AE58" i="11" s="1"/>
  <c r="AA50" i="11"/>
  <c r="AG58" i="11" s="1"/>
  <c r="X50" i="11"/>
  <c r="AF58" i="11" s="1"/>
  <c r="U30" i="11"/>
  <c r="AA30" i="11"/>
  <c r="X30" i="11"/>
  <c r="X26" i="11"/>
  <c r="U26" i="11"/>
  <c r="AA26" i="11"/>
  <c r="X48" i="11"/>
  <c r="AF56" i="11" s="1"/>
  <c r="U48" i="11"/>
  <c r="AE56" i="11" s="1"/>
  <c r="AA48" i="11"/>
  <c r="AG56" i="11" s="1"/>
  <c r="AA32" i="11"/>
  <c r="X32" i="11"/>
  <c r="U32" i="11"/>
  <c r="AA16" i="11"/>
  <c r="U16" i="11"/>
  <c r="X16" i="11"/>
  <c r="U55" i="11"/>
  <c r="X55" i="11"/>
  <c r="AA55" i="11"/>
  <c r="AA39" i="11"/>
  <c r="AG47" i="11" s="1"/>
  <c r="U39" i="11"/>
  <c r="AE47" i="11" s="1"/>
  <c r="X39" i="11"/>
  <c r="AF47" i="11" s="1"/>
  <c r="X23" i="11"/>
  <c r="U23" i="11"/>
  <c r="AA23" i="11"/>
  <c r="U7" i="11"/>
  <c r="X7" i="11"/>
  <c r="AA7" i="11"/>
  <c r="U49" i="11"/>
  <c r="AE57" i="11" s="1"/>
  <c r="X49" i="11"/>
  <c r="AF57" i="11" s="1"/>
  <c r="AA49" i="11"/>
  <c r="AG57" i="11" s="1"/>
  <c r="U33" i="11"/>
  <c r="X33" i="11"/>
  <c r="AA33" i="11"/>
  <c r="AA17" i="11"/>
  <c r="U17" i="11"/>
  <c r="X17" i="11"/>
  <c r="S278" i="14"/>
  <c r="T278" i="14"/>
  <c r="T140" i="14"/>
  <c r="S140" i="14"/>
  <c r="S182" i="14"/>
  <c r="T182" i="14"/>
  <c r="S221" i="14"/>
  <c r="T221" i="14"/>
  <c r="AP44" i="14" s="1"/>
  <c r="S137" i="14"/>
  <c r="T137" i="14"/>
  <c r="H150" i="14"/>
  <c r="G150" i="14"/>
  <c r="H154" i="14"/>
  <c r="G154" i="14"/>
  <c r="G164" i="14"/>
  <c r="H164" i="14"/>
  <c r="H168" i="14"/>
  <c r="G168" i="14"/>
  <c r="S179" i="14"/>
  <c r="T179" i="14"/>
  <c r="G192" i="14"/>
  <c r="H192" i="14"/>
  <c r="H196" i="14"/>
  <c r="G196" i="14"/>
  <c r="G206" i="14"/>
  <c r="H206" i="14"/>
  <c r="S220" i="14"/>
  <c r="T220" i="14"/>
  <c r="S337" i="14"/>
  <c r="T337" i="14"/>
  <c r="S142" i="14"/>
  <c r="T142" i="14"/>
  <c r="T184" i="14"/>
  <c r="S184" i="14"/>
  <c r="S264" i="14"/>
  <c r="T264" i="14"/>
  <c r="G137" i="14"/>
  <c r="H137" i="14"/>
  <c r="AJ14" i="14" s="1"/>
  <c r="S150" i="14"/>
  <c r="T150" i="14"/>
  <c r="T154" i="14"/>
  <c r="S154" i="14"/>
  <c r="S164" i="14"/>
  <c r="T164" i="14"/>
  <c r="S168" i="14"/>
  <c r="T168" i="14"/>
  <c r="H179" i="14"/>
  <c r="G179" i="14"/>
  <c r="T192" i="14"/>
  <c r="S192" i="14"/>
  <c r="T196" i="14"/>
  <c r="S196" i="14"/>
  <c r="S206" i="14"/>
  <c r="T206" i="14"/>
  <c r="T222" i="14"/>
  <c r="S222" i="14"/>
  <c r="H210" i="14"/>
  <c r="G210" i="14"/>
  <c r="H220" i="14"/>
  <c r="G220" i="14"/>
  <c r="G224" i="14"/>
  <c r="H224" i="14"/>
  <c r="H234" i="14"/>
  <c r="G234" i="14"/>
  <c r="H238" i="14"/>
  <c r="G238" i="14"/>
  <c r="H248" i="14"/>
  <c r="G248" i="14"/>
  <c r="H252" i="14"/>
  <c r="G252" i="14"/>
  <c r="S265" i="14"/>
  <c r="T265" i="14"/>
  <c r="T279" i="14"/>
  <c r="AL45" i="14" s="1"/>
  <c r="S279" i="14"/>
  <c r="T293" i="14"/>
  <c r="AN45" i="14" s="1"/>
  <c r="S293" i="14"/>
  <c r="G322" i="14"/>
  <c r="H322" i="14"/>
  <c r="H326" i="14"/>
  <c r="G326" i="14"/>
  <c r="S338" i="14"/>
  <c r="T338" i="14"/>
  <c r="H352" i="14"/>
  <c r="G352" i="14"/>
  <c r="S376" i="14"/>
  <c r="T376" i="14"/>
  <c r="T266" i="14"/>
  <c r="S266" i="14"/>
  <c r="T280" i="14"/>
  <c r="S280" i="14"/>
  <c r="T294" i="14"/>
  <c r="S294" i="14"/>
  <c r="T307" i="14"/>
  <c r="S307" i="14"/>
  <c r="S321" i="14"/>
  <c r="T321" i="14"/>
  <c r="AJ30" i="14" s="1"/>
  <c r="T335" i="14"/>
  <c r="AR15" i="14" s="1"/>
  <c r="S335" i="14"/>
  <c r="H351" i="14"/>
  <c r="G351" i="14"/>
  <c r="T226" i="14"/>
  <c r="S226" i="14"/>
  <c r="S236" i="14"/>
  <c r="T236" i="14"/>
  <c r="S240" i="14"/>
  <c r="T240" i="14"/>
  <c r="T250" i="14"/>
  <c r="S250" i="14"/>
  <c r="T254" i="14"/>
  <c r="S254" i="14"/>
  <c r="S298" i="14"/>
  <c r="T298" i="14"/>
  <c r="T312" i="14"/>
  <c r="S312" i="14"/>
  <c r="S326" i="14"/>
  <c r="T326" i="14"/>
  <c r="S340" i="14"/>
  <c r="T340" i="14"/>
  <c r="T366" i="14"/>
  <c r="S366" i="14"/>
  <c r="S381" i="14"/>
  <c r="T381" i="14"/>
  <c r="T354" i="14"/>
  <c r="S354" i="14"/>
  <c r="S368" i="14"/>
  <c r="T368" i="14"/>
  <c r="T382" i="14"/>
  <c r="S382" i="14"/>
  <c r="S361" i="14"/>
  <c r="T361" i="14"/>
  <c r="T375" i="14"/>
  <c r="S375" i="14"/>
  <c r="H309" i="14"/>
  <c r="H267" i="14"/>
  <c r="H278" i="14"/>
  <c r="H297" i="14"/>
  <c r="H281" i="14"/>
  <c r="H310" i="14"/>
  <c r="S107" i="3"/>
  <c r="S115" i="3"/>
  <c r="S123" i="3"/>
  <c r="S112" i="3"/>
  <c r="S120" i="3"/>
  <c r="AA38" i="11"/>
  <c r="AG46" i="11" s="1"/>
  <c r="U38" i="11"/>
  <c r="AE46" i="11" s="1"/>
  <c r="X38" i="11"/>
  <c r="AF46" i="11" s="1"/>
  <c r="X34" i="11"/>
  <c r="AF42" i="11" s="1"/>
  <c r="U34" i="11"/>
  <c r="AE42" i="11" s="1"/>
  <c r="AA34" i="11"/>
  <c r="AG42" i="11" s="1"/>
  <c r="AA14" i="11"/>
  <c r="U14" i="11"/>
  <c r="X14" i="11"/>
  <c r="AA10" i="11"/>
  <c r="U10" i="11"/>
  <c r="X10" i="11"/>
  <c r="X44" i="11"/>
  <c r="AF52" i="11" s="1"/>
  <c r="AA44" i="11"/>
  <c r="AG52" i="11" s="1"/>
  <c r="U44" i="11"/>
  <c r="AE52" i="11" s="1"/>
  <c r="X28" i="11"/>
  <c r="AA28" i="11"/>
  <c r="U28" i="11"/>
  <c r="X12" i="11"/>
  <c r="U12" i="11"/>
  <c r="AA12" i="11"/>
  <c r="X51" i="11"/>
  <c r="AF59" i="11" s="1"/>
  <c r="U51" i="11"/>
  <c r="AE59" i="11" s="1"/>
  <c r="AA51" i="11"/>
  <c r="AG59" i="11" s="1"/>
  <c r="X35" i="11"/>
  <c r="AF43" i="11" s="1"/>
  <c r="AA35" i="11"/>
  <c r="AG43" i="11" s="1"/>
  <c r="U35" i="11"/>
  <c r="AE43" i="11" s="1"/>
  <c r="U19" i="11"/>
  <c r="X19" i="11"/>
  <c r="AA19" i="11"/>
  <c r="AA45" i="11"/>
  <c r="AG53" i="11" s="1"/>
  <c r="U45" i="11"/>
  <c r="AE53" i="11" s="1"/>
  <c r="X45" i="11"/>
  <c r="AF53" i="11" s="1"/>
  <c r="X29" i="11"/>
  <c r="U29" i="11"/>
  <c r="AA29" i="11"/>
  <c r="U13" i="11"/>
  <c r="AA13" i="11"/>
  <c r="X13" i="11"/>
  <c r="S292" i="14"/>
  <c r="T292" i="14"/>
  <c r="H142" i="14"/>
  <c r="G142" i="14"/>
  <c r="G184" i="14"/>
  <c r="H184" i="14"/>
  <c r="G340" i="14"/>
  <c r="H340" i="14"/>
  <c r="H139" i="14"/>
  <c r="G139" i="14"/>
  <c r="G151" i="14"/>
  <c r="H151" i="14"/>
  <c r="AL14" i="14" s="1"/>
  <c r="H155" i="14"/>
  <c r="G155" i="14"/>
  <c r="H165" i="14"/>
  <c r="AN14" i="14" s="1"/>
  <c r="G165" i="14"/>
  <c r="G169" i="14"/>
  <c r="H169" i="14"/>
  <c r="H181" i="14"/>
  <c r="G181" i="14"/>
  <c r="G193" i="14"/>
  <c r="H193" i="14"/>
  <c r="AN29" i="14" s="1"/>
  <c r="G197" i="14"/>
  <c r="H197" i="14"/>
  <c r="H207" i="14"/>
  <c r="AJ44" i="14" s="1"/>
  <c r="G207" i="14"/>
  <c r="S224" i="14"/>
  <c r="T224" i="14"/>
  <c r="G136" i="14"/>
  <c r="H136" i="14"/>
  <c r="H178" i="14"/>
  <c r="G178" i="14"/>
  <c r="T209" i="14"/>
  <c r="S209" i="14"/>
  <c r="S333" i="14"/>
  <c r="T333" i="14"/>
  <c r="S139" i="14"/>
  <c r="T139" i="14"/>
  <c r="S151" i="14"/>
  <c r="T151" i="14"/>
  <c r="AL44" i="14" s="1"/>
  <c r="S155" i="14"/>
  <c r="T155" i="14"/>
  <c r="T165" i="14"/>
  <c r="AN44" i="14" s="1"/>
  <c r="S165" i="14"/>
  <c r="S169" i="14"/>
  <c r="T169" i="14"/>
  <c r="S181" i="14"/>
  <c r="T181" i="14"/>
  <c r="S193" i="14"/>
  <c r="T193" i="14"/>
  <c r="AJ29" i="14" s="1"/>
  <c r="T197" i="14"/>
  <c r="S197" i="14"/>
  <c r="S207" i="14"/>
  <c r="T207" i="14"/>
  <c r="AR14" i="14" s="1"/>
  <c r="S268" i="14"/>
  <c r="T268" i="14"/>
  <c r="G211" i="14"/>
  <c r="H211" i="14"/>
  <c r="H221" i="14"/>
  <c r="AR29" i="14" s="1"/>
  <c r="G221" i="14"/>
  <c r="H225" i="14"/>
  <c r="G225" i="14"/>
  <c r="H235" i="14"/>
  <c r="AL29" i="14" s="1"/>
  <c r="G235" i="14"/>
  <c r="G239" i="14"/>
  <c r="H239" i="14"/>
  <c r="G249" i="14"/>
  <c r="H249" i="14"/>
  <c r="AL59" i="14" s="1"/>
  <c r="G253" i="14"/>
  <c r="H253" i="14"/>
  <c r="H319" i="14"/>
  <c r="G319" i="14"/>
  <c r="H323" i="14"/>
  <c r="G323" i="14"/>
  <c r="H333" i="14"/>
  <c r="G333" i="14"/>
  <c r="G347" i="14"/>
  <c r="H347" i="14"/>
  <c r="S362" i="14"/>
  <c r="T362" i="14"/>
  <c r="T377" i="14"/>
  <c r="S377" i="14"/>
  <c r="S295" i="14"/>
  <c r="T295" i="14"/>
  <c r="T309" i="14"/>
  <c r="S309" i="14"/>
  <c r="S323" i="14"/>
  <c r="T323" i="14"/>
  <c r="H338" i="14"/>
  <c r="G338" i="14"/>
  <c r="G365" i="14"/>
  <c r="H365" i="14"/>
  <c r="T233" i="14"/>
  <c r="S233" i="14"/>
  <c r="T237" i="14"/>
  <c r="S237" i="14"/>
  <c r="S247" i="14"/>
  <c r="T247" i="14"/>
  <c r="T251" i="14"/>
  <c r="S251" i="14"/>
  <c r="T263" i="14"/>
  <c r="S263" i="14"/>
  <c r="S277" i="14"/>
  <c r="T277" i="14"/>
  <c r="S291" i="14"/>
  <c r="T291" i="14"/>
  <c r="T306" i="14"/>
  <c r="S306" i="14"/>
  <c r="S320" i="14"/>
  <c r="T320" i="14"/>
  <c r="G335" i="14"/>
  <c r="H335" i="14"/>
  <c r="AJ45" i="14" s="1"/>
  <c r="T352" i="14"/>
  <c r="S352" i="14"/>
  <c r="S367" i="14"/>
  <c r="T367" i="14"/>
  <c r="G349" i="14"/>
  <c r="H349" i="14"/>
  <c r="AR30" i="14" s="1"/>
  <c r="H363" i="14"/>
  <c r="AL30" i="14" s="1"/>
  <c r="G363" i="14"/>
  <c r="H377" i="14"/>
  <c r="G377" i="14"/>
  <c r="G350" i="14"/>
  <c r="H350" i="14"/>
  <c r="H364" i="14"/>
  <c r="G364" i="14"/>
  <c r="G378" i="14"/>
  <c r="H378" i="14"/>
  <c r="H292" i="14"/>
  <c r="H270" i="14"/>
  <c r="H283" i="14"/>
  <c r="H291" i="14"/>
  <c r="H280" i="14"/>
  <c r="H311" i="14"/>
  <c r="H268" i="14"/>
  <c r="H277" i="14"/>
  <c r="H306" i="14"/>
  <c r="S109" i="3"/>
  <c r="S117" i="3"/>
  <c r="S106" i="3"/>
  <c r="S114" i="3"/>
  <c r="S122" i="3"/>
  <c r="J130" i="12"/>
  <c r="Q14" i="12" s="1"/>
  <c r="K130" i="12"/>
  <c r="R14" i="12" s="1"/>
  <c r="I130" i="12"/>
  <c r="P14" i="12" s="1"/>
  <c r="AA22" i="11"/>
  <c r="U22" i="11"/>
  <c r="X22" i="11"/>
  <c r="AA18" i="11"/>
  <c r="X18" i="11"/>
  <c r="U18" i="11"/>
  <c r="AA58" i="11"/>
  <c r="U58" i="11"/>
  <c r="X58" i="11"/>
  <c r="X56" i="11"/>
  <c r="U56" i="11"/>
  <c r="AA56" i="11"/>
  <c r="X40" i="11"/>
  <c r="AF48" i="11" s="1"/>
  <c r="AA40" i="11"/>
  <c r="AG48" i="11" s="1"/>
  <c r="U40" i="11"/>
  <c r="AE48" i="11" s="1"/>
  <c r="U24" i="11"/>
  <c r="AA24" i="11"/>
  <c r="X24" i="11"/>
  <c r="X8" i="11"/>
  <c r="U8" i="11"/>
  <c r="AA8" i="11"/>
  <c r="AA47" i="11"/>
  <c r="AG55" i="11" s="1"/>
  <c r="U47" i="11"/>
  <c r="AE55" i="11" s="1"/>
  <c r="X47" i="11"/>
  <c r="AF55" i="11" s="1"/>
  <c r="AA31" i="11"/>
  <c r="U31" i="11"/>
  <c r="X31" i="11"/>
  <c r="X15" i="11"/>
  <c r="U15" i="11"/>
  <c r="AA15" i="11"/>
  <c r="AA57" i="11"/>
  <c r="X57" i="11"/>
  <c r="U57" i="11"/>
  <c r="AA41" i="11"/>
  <c r="AG49" i="11" s="1"/>
  <c r="U41" i="11"/>
  <c r="AE49" i="11" s="1"/>
  <c r="X41" i="11"/>
  <c r="AF49" i="11" s="1"/>
  <c r="U25" i="11"/>
  <c r="X25" i="11"/>
  <c r="AA25" i="11"/>
  <c r="AA9" i="11"/>
  <c r="U9" i="11"/>
  <c r="X9" i="11"/>
  <c r="S136" i="14"/>
  <c r="T136" i="14"/>
  <c r="T178" i="14"/>
  <c r="S178" i="14"/>
  <c r="T211" i="14"/>
  <c r="S211" i="14"/>
  <c r="T282" i="14"/>
  <c r="S282" i="14"/>
  <c r="S347" i="14"/>
  <c r="T347" i="14"/>
  <c r="T141" i="14"/>
  <c r="S141" i="14"/>
  <c r="G152" i="14"/>
  <c r="H152" i="14"/>
  <c r="G156" i="14"/>
  <c r="H156" i="14"/>
  <c r="G166" i="14"/>
  <c r="H166" i="14"/>
  <c r="H170" i="14"/>
  <c r="G170" i="14"/>
  <c r="S183" i="14"/>
  <c r="T183" i="14"/>
  <c r="H194" i="14"/>
  <c r="G194" i="14"/>
  <c r="H198" i="14"/>
  <c r="G198" i="14"/>
  <c r="G208" i="14"/>
  <c r="H208" i="14"/>
  <c r="T138" i="14"/>
  <c r="S138" i="14"/>
  <c r="S180" i="14"/>
  <c r="T180" i="14"/>
  <c r="T219" i="14"/>
  <c r="S219" i="14"/>
  <c r="H375" i="14"/>
  <c r="G375" i="14"/>
  <c r="G141" i="14"/>
  <c r="H141" i="14"/>
  <c r="T152" i="14"/>
  <c r="S152" i="14"/>
  <c r="T156" i="14"/>
  <c r="S156" i="14"/>
  <c r="S166" i="14"/>
  <c r="T166" i="14"/>
  <c r="T170" i="14"/>
  <c r="S170" i="14"/>
  <c r="H183" i="14"/>
  <c r="G183" i="14"/>
  <c r="T194" i="14"/>
  <c r="S194" i="14"/>
  <c r="S198" i="14"/>
  <c r="T198" i="14"/>
  <c r="T208" i="14"/>
  <c r="S208" i="14"/>
  <c r="G361" i="14"/>
  <c r="H361" i="14"/>
  <c r="H212" i="14"/>
  <c r="G212" i="14"/>
  <c r="H222" i="14"/>
  <c r="G222" i="14"/>
  <c r="H226" i="14"/>
  <c r="G226" i="14"/>
  <c r="G236" i="14"/>
  <c r="H236" i="14"/>
  <c r="H240" i="14"/>
  <c r="G240" i="14"/>
  <c r="H250" i="14"/>
  <c r="G250" i="14"/>
  <c r="G254" i="14"/>
  <c r="H254" i="14"/>
  <c r="S269" i="14"/>
  <c r="T269" i="14"/>
  <c r="S283" i="14"/>
  <c r="T283" i="14"/>
  <c r="G320" i="14"/>
  <c r="H320" i="14"/>
  <c r="H324" i="14"/>
  <c r="G324" i="14"/>
  <c r="T334" i="14"/>
  <c r="S334" i="14"/>
  <c r="S348" i="14"/>
  <c r="T348" i="14"/>
  <c r="T363" i="14"/>
  <c r="S363" i="14"/>
  <c r="G380" i="14"/>
  <c r="H380" i="14"/>
  <c r="T270" i="14"/>
  <c r="S270" i="14"/>
  <c r="T284" i="14"/>
  <c r="S284" i="14"/>
  <c r="S297" i="14"/>
  <c r="T297" i="14"/>
  <c r="S311" i="14"/>
  <c r="T311" i="14"/>
  <c r="T325" i="14"/>
  <c r="S325" i="14"/>
  <c r="S339" i="14"/>
  <c r="T339" i="14"/>
  <c r="G379" i="14"/>
  <c r="H379" i="14"/>
  <c r="T234" i="14"/>
  <c r="S234" i="14"/>
  <c r="S238" i="14"/>
  <c r="T238" i="14"/>
  <c r="S248" i="14"/>
  <c r="T248" i="14"/>
  <c r="T252" i="14"/>
  <c r="S252" i="14"/>
  <c r="G265" i="14"/>
  <c r="T308" i="14"/>
  <c r="S308" i="14"/>
  <c r="S322" i="14"/>
  <c r="T322" i="14"/>
  <c r="S336" i="14"/>
  <c r="T336" i="14"/>
  <c r="S353" i="14"/>
  <c r="T353" i="14"/>
  <c r="H376" i="14"/>
  <c r="G376" i="14"/>
  <c r="T350" i="14"/>
  <c r="S350" i="14"/>
  <c r="S364" i="14"/>
  <c r="T364" i="14"/>
  <c r="S378" i="14"/>
  <c r="T378" i="14"/>
  <c r="T351" i="14"/>
  <c r="S351" i="14"/>
  <c r="S365" i="14"/>
  <c r="T365" i="14"/>
  <c r="S379" i="14"/>
  <c r="T379" i="14"/>
  <c r="H282" i="14"/>
  <c r="H296" i="14"/>
  <c r="H305" i="14"/>
  <c r="H284" i="14"/>
  <c r="H307" i="14"/>
  <c r="H264" i="14"/>
  <c r="H294" i="14"/>
  <c r="S111" i="3"/>
  <c r="S119" i="3"/>
  <c r="S108" i="3"/>
  <c r="S116" i="3"/>
  <c r="S124" i="3"/>
  <c r="AB234" i="3"/>
  <c r="AB247" i="3"/>
  <c r="AB263" i="3"/>
  <c r="X6" i="11"/>
  <c r="AA6" i="11"/>
  <c r="U6" i="11"/>
  <c r="U46" i="11"/>
  <c r="AE54" i="11" s="1"/>
  <c r="AA46" i="11"/>
  <c r="AG54" i="11" s="1"/>
  <c r="X46" i="11"/>
  <c r="AF54" i="11" s="1"/>
  <c r="U42" i="11"/>
  <c r="AE50" i="11" s="1"/>
  <c r="AA42" i="11"/>
  <c r="AG50" i="11" s="1"/>
  <c r="X42" i="11"/>
  <c r="AF50" i="11" s="1"/>
  <c r="U52" i="11"/>
  <c r="AA52" i="11"/>
  <c r="X52" i="11"/>
  <c r="U36" i="11"/>
  <c r="AE44" i="11" s="1"/>
  <c r="AA36" i="11"/>
  <c r="AG44" i="11" s="1"/>
  <c r="X36" i="11"/>
  <c r="AF44" i="11" s="1"/>
  <c r="X20" i="11"/>
  <c r="AA20" i="11"/>
  <c r="U20" i="11"/>
  <c r="X59" i="11"/>
  <c r="AA59" i="11"/>
  <c r="U59" i="11"/>
  <c r="U43" i="11"/>
  <c r="AE51" i="11" s="1"/>
  <c r="AA43" i="11"/>
  <c r="AG51" i="11" s="1"/>
  <c r="X43" i="11"/>
  <c r="AF51" i="11" s="1"/>
  <c r="AA27" i="11"/>
  <c r="X27" i="11"/>
  <c r="U27" i="11"/>
  <c r="AA11" i="11"/>
  <c r="X11" i="11"/>
  <c r="U11" i="11"/>
  <c r="AA53" i="11"/>
  <c r="X53" i="11"/>
  <c r="U53" i="11"/>
  <c r="AA37" i="11"/>
  <c r="AG45" i="11" s="1"/>
  <c r="U37" i="11"/>
  <c r="AE45" i="11" s="1"/>
  <c r="X37" i="11"/>
  <c r="AF45" i="11" s="1"/>
  <c r="X21" i="11"/>
  <c r="U21" i="11"/>
  <c r="AA21" i="11"/>
  <c r="H138" i="14"/>
  <c r="G138" i="14"/>
  <c r="H180" i="14"/>
  <c r="G180" i="14"/>
  <c r="G135" i="14"/>
  <c r="H135" i="14"/>
  <c r="H149" i="14"/>
  <c r="G149" i="14"/>
  <c r="H153" i="14"/>
  <c r="G153" i="14"/>
  <c r="G163" i="14"/>
  <c r="H163" i="14"/>
  <c r="G167" i="14"/>
  <c r="H167" i="14"/>
  <c r="G177" i="14"/>
  <c r="H177" i="14"/>
  <c r="H191" i="14"/>
  <c r="G191" i="14"/>
  <c r="G195" i="14"/>
  <c r="H195" i="14"/>
  <c r="H205" i="14"/>
  <c r="G205" i="14"/>
  <c r="T210" i="14"/>
  <c r="S210" i="14"/>
  <c r="G336" i="14"/>
  <c r="H336" i="14"/>
  <c r="H140" i="14"/>
  <c r="G140" i="14"/>
  <c r="G182" i="14"/>
  <c r="H182" i="14"/>
  <c r="S223" i="14"/>
  <c r="T223" i="14"/>
  <c r="S135" i="14"/>
  <c r="T135" i="14"/>
  <c r="T149" i="14"/>
  <c r="S149" i="14"/>
  <c r="S153" i="14"/>
  <c r="T153" i="14"/>
  <c r="S163" i="14"/>
  <c r="T163" i="14"/>
  <c r="S167" i="14"/>
  <c r="T167" i="14"/>
  <c r="T177" i="14"/>
  <c r="S177" i="14"/>
  <c r="S191" i="14"/>
  <c r="T191" i="14"/>
  <c r="T195" i="14"/>
  <c r="S195" i="14"/>
  <c r="S205" i="14"/>
  <c r="T205" i="14"/>
  <c r="T212" i="14"/>
  <c r="S212" i="14"/>
  <c r="G209" i="14"/>
  <c r="H209" i="14"/>
  <c r="H219" i="14"/>
  <c r="G219" i="14"/>
  <c r="H223" i="14"/>
  <c r="G223" i="14"/>
  <c r="H233" i="14"/>
  <c r="G233" i="14"/>
  <c r="H237" i="14"/>
  <c r="G237" i="14"/>
  <c r="G247" i="14"/>
  <c r="H247" i="14"/>
  <c r="H251" i="14"/>
  <c r="G251" i="14"/>
  <c r="H321" i="14"/>
  <c r="AN30" i="14" s="1"/>
  <c r="G321" i="14"/>
  <c r="G325" i="14"/>
  <c r="H325" i="14"/>
  <c r="G337" i="14"/>
  <c r="H337" i="14"/>
  <c r="S349" i="14"/>
  <c r="T349" i="14"/>
  <c r="H366" i="14"/>
  <c r="G366" i="14"/>
  <c r="T305" i="14"/>
  <c r="S305" i="14"/>
  <c r="S319" i="14"/>
  <c r="T319" i="14"/>
  <c r="H334" i="14"/>
  <c r="G334" i="14"/>
  <c r="G348" i="14"/>
  <c r="H348" i="14"/>
  <c r="S225" i="14"/>
  <c r="T225" i="14"/>
  <c r="S235" i="14"/>
  <c r="T235" i="14"/>
  <c r="AR44" i="14" s="1"/>
  <c r="S239" i="14"/>
  <c r="T239" i="14"/>
  <c r="S249" i="14"/>
  <c r="T249" i="14"/>
  <c r="AJ59" i="14" s="1"/>
  <c r="S253" i="14"/>
  <c r="T253" i="14"/>
  <c r="S267" i="14"/>
  <c r="T267" i="14"/>
  <c r="S281" i="14"/>
  <c r="T281" i="14"/>
  <c r="S296" i="14"/>
  <c r="T296" i="14"/>
  <c r="S310" i="14"/>
  <c r="T310" i="14"/>
  <c r="S324" i="14"/>
  <c r="T324" i="14"/>
  <c r="G339" i="14"/>
  <c r="H339" i="14"/>
  <c r="G362" i="14"/>
  <c r="H362" i="14"/>
  <c r="S380" i="14"/>
  <c r="T380" i="14"/>
  <c r="H353" i="14"/>
  <c r="G353" i="14"/>
  <c r="H367" i="14"/>
  <c r="G367" i="14"/>
  <c r="H381" i="14"/>
  <c r="G381" i="14"/>
  <c r="H354" i="14"/>
  <c r="G354" i="14"/>
  <c r="H368" i="14"/>
  <c r="G368" i="14"/>
  <c r="H382" i="14"/>
  <c r="G382" i="14"/>
  <c r="H279" i="14"/>
  <c r="AL15" i="14" s="1"/>
  <c r="H312" i="14"/>
  <c r="H295" i="14"/>
  <c r="H308" i="14"/>
  <c r="H266" i="14"/>
  <c r="H269" i="14"/>
  <c r="H293" i="14"/>
  <c r="AN15" i="14" s="1"/>
  <c r="H263" i="14"/>
  <c r="H298" i="14"/>
  <c r="S105" i="3"/>
  <c r="S113" i="3"/>
  <c r="S121" i="3"/>
  <c r="S110" i="3"/>
  <c r="S118" i="3"/>
  <c r="AC274" i="3"/>
  <c r="AB231" i="3"/>
  <c r="AB273" i="3"/>
  <c r="K67" i="3"/>
  <c r="K21" i="3"/>
  <c r="AB250" i="3"/>
  <c r="AB258" i="3"/>
  <c r="AB266" i="3"/>
  <c r="AD60" i="7"/>
  <c r="AD237" i="10"/>
  <c r="AC231" i="3"/>
  <c r="AC239" i="3"/>
  <c r="AC247" i="3"/>
  <c r="AC255" i="3"/>
  <c r="AC263" i="3"/>
  <c r="AB262" i="3"/>
  <c r="AB243" i="3"/>
  <c r="AB251" i="3"/>
  <c r="AB259" i="3"/>
  <c r="AB228" i="3"/>
  <c r="AB236" i="3"/>
  <c r="AB241" i="3"/>
  <c r="AB257" i="3"/>
  <c r="AB232" i="3"/>
  <c r="AB245" i="3"/>
  <c r="AB253" i="3"/>
  <c r="AB261" i="3"/>
  <c r="AB274" i="3"/>
  <c r="AC272" i="3"/>
  <c r="AB229" i="3"/>
  <c r="AB271" i="3"/>
  <c r="L165" i="3"/>
  <c r="AE237" i="3" s="1"/>
  <c r="K165" i="3"/>
  <c r="AD53" i="7"/>
  <c r="AD58" i="7"/>
  <c r="AC228" i="3"/>
  <c r="AC244" i="3"/>
  <c r="AC252" i="3"/>
  <c r="AC260" i="3"/>
  <c r="AD260" i="3"/>
  <c r="AC271" i="3"/>
  <c r="AD59" i="7"/>
  <c r="AC235" i="3"/>
  <c r="AC251" i="3"/>
  <c r="AD57" i="7"/>
  <c r="AC232" i="3"/>
  <c r="AC240" i="3"/>
  <c r="AC248" i="3"/>
  <c r="AC256" i="3"/>
  <c r="AC264" i="3"/>
  <c r="AC230" i="3"/>
  <c r="AC234" i="3"/>
  <c r="AC238" i="3"/>
  <c r="AC246" i="3"/>
  <c r="AC250" i="3"/>
  <c r="AC254" i="3"/>
  <c r="AC258" i="3"/>
  <c r="AC262" i="3"/>
  <c r="AC266" i="3"/>
  <c r="AC273" i="3"/>
  <c r="AD55" i="7"/>
  <c r="AP13" i="7" s="1"/>
  <c r="AD56" i="7"/>
  <c r="Q10" i="6"/>
  <c r="R10" i="6"/>
  <c r="X83" i="6" s="1"/>
  <c r="Q14" i="6"/>
  <c r="R14" i="6"/>
  <c r="X87" i="6" s="1"/>
  <c r="Q18" i="6"/>
  <c r="R18" i="6"/>
  <c r="X91" i="6" s="1"/>
  <c r="Q22" i="6"/>
  <c r="R22" i="6"/>
  <c r="X95" i="6" s="1"/>
  <c r="R27" i="6"/>
  <c r="X100" i="6" s="1"/>
  <c r="Q27" i="6"/>
  <c r="Q30" i="6"/>
  <c r="R30" i="6"/>
  <c r="X103" i="6" s="1"/>
  <c r="Q34" i="6"/>
  <c r="R34" i="6"/>
  <c r="X107" i="6" s="1"/>
  <c r="Q38" i="6"/>
  <c r="R38" i="6"/>
  <c r="X111" i="6" s="1"/>
  <c r="Q42" i="6"/>
  <c r="R42" i="6"/>
  <c r="X115" i="6" s="1"/>
  <c r="R47" i="6"/>
  <c r="Q47" i="6"/>
  <c r="R51" i="6"/>
  <c r="Q51" i="6"/>
  <c r="R55" i="6"/>
  <c r="Q55" i="6"/>
  <c r="R59" i="6"/>
  <c r="Q59" i="6"/>
  <c r="Q6" i="6"/>
  <c r="X79" i="6"/>
  <c r="Q8" i="6"/>
  <c r="R8" i="6"/>
  <c r="X81" i="6" s="1"/>
  <c r="R13" i="6"/>
  <c r="X86" i="6" s="1"/>
  <c r="Q13" i="6"/>
  <c r="R17" i="6"/>
  <c r="X90" i="6" s="1"/>
  <c r="Q17" i="6"/>
  <c r="R21" i="6"/>
  <c r="X94" i="6" s="1"/>
  <c r="Q21" i="6"/>
  <c r="Q25" i="6"/>
  <c r="R25" i="6"/>
  <c r="X98" i="6" s="1"/>
  <c r="R29" i="6"/>
  <c r="X102" i="6" s="1"/>
  <c r="Q29" i="6"/>
  <c r="R33" i="6"/>
  <c r="X106" i="6" s="1"/>
  <c r="Q33" i="6"/>
  <c r="Q36" i="6"/>
  <c r="R36" i="6"/>
  <c r="X109" i="6" s="1"/>
  <c r="R41" i="6"/>
  <c r="X114" i="6" s="1"/>
  <c r="Q41" i="6"/>
  <c r="R45" i="6"/>
  <c r="X118" i="6" s="1"/>
  <c r="Q45" i="6"/>
  <c r="Q49" i="6"/>
  <c r="R49" i="6"/>
  <c r="Q53" i="6"/>
  <c r="R53" i="6"/>
  <c r="Q57" i="6"/>
  <c r="R57" i="6"/>
  <c r="Q12" i="6"/>
  <c r="R12" i="6"/>
  <c r="X85" i="6" s="1"/>
  <c r="Q16" i="6"/>
  <c r="R16" i="6"/>
  <c r="X89" i="6" s="1"/>
  <c r="Q20" i="6"/>
  <c r="R20" i="6"/>
  <c r="X93" i="6" s="1"/>
  <c r="Q24" i="6"/>
  <c r="R24" i="6"/>
  <c r="X97" i="6" s="1"/>
  <c r="Q28" i="6"/>
  <c r="R28" i="6"/>
  <c r="X101" i="6" s="1"/>
  <c r="Q32" i="6"/>
  <c r="R32" i="6"/>
  <c r="X105" i="6" s="1"/>
  <c r="R37" i="6"/>
  <c r="X110" i="6" s="1"/>
  <c r="Q37" i="6"/>
  <c r="Q40" i="6"/>
  <c r="R40" i="6"/>
  <c r="X113" i="6" s="1"/>
  <c r="Q44" i="6"/>
  <c r="R44" i="6"/>
  <c r="X117" i="6" s="1"/>
  <c r="Q48" i="6"/>
  <c r="R48" i="6"/>
  <c r="Q52" i="6"/>
  <c r="R52" i="6"/>
  <c r="Q56" i="6"/>
  <c r="R56" i="6"/>
  <c r="R9" i="6"/>
  <c r="X82" i="6" s="1"/>
  <c r="Q9" i="6"/>
  <c r="R7" i="6"/>
  <c r="X80" i="6" s="1"/>
  <c r="Q7" i="6"/>
  <c r="R11" i="6"/>
  <c r="X84" i="6" s="1"/>
  <c r="Q11" i="6"/>
  <c r="R15" i="6"/>
  <c r="X88" i="6" s="1"/>
  <c r="Q15" i="6"/>
  <c r="R19" i="6"/>
  <c r="X92" i="6" s="1"/>
  <c r="Q19" i="6"/>
  <c r="R23" i="6"/>
  <c r="X96" i="6" s="1"/>
  <c r="Q23" i="6"/>
  <c r="Q26" i="6"/>
  <c r="R26" i="6"/>
  <c r="X99" i="6" s="1"/>
  <c r="R31" i="6"/>
  <c r="X104" i="6" s="1"/>
  <c r="Q31" i="6"/>
  <c r="R35" i="6"/>
  <c r="X108" i="6" s="1"/>
  <c r="Q35" i="6"/>
  <c r="R39" i="6"/>
  <c r="X112" i="6" s="1"/>
  <c r="Q39" i="6"/>
  <c r="R43" i="6"/>
  <c r="X116" i="6" s="1"/>
  <c r="Q43" i="6"/>
  <c r="Q46" i="6"/>
  <c r="R46" i="6"/>
  <c r="Q50" i="6"/>
  <c r="R50" i="6"/>
  <c r="Q54" i="6"/>
  <c r="R54" i="6"/>
  <c r="Q58" i="6"/>
  <c r="R58" i="6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32" i="1"/>
  <c r="F32" i="1" s="1"/>
  <c r="H6" i="4" l="1"/>
  <c r="Z158" i="4" s="1"/>
  <c r="G20" i="5"/>
  <c r="G15" i="5"/>
  <c r="K14" i="3"/>
  <c r="G21" i="5"/>
  <c r="G9" i="5"/>
  <c r="AB227" i="3"/>
  <c r="G18" i="5"/>
  <c r="G6" i="5"/>
  <c r="G48" i="5"/>
  <c r="G42" i="5"/>
  <c r="X28" i="3"/>
  <c r="H144" i="4"/>
  <c r="AB201" i="4" s="1"/>
  <c r="G144" i="4"/>
  <c r="T69" i="4"/>
  <c r="AA203" i="4" s="1"/>
  <c r="S69" i="4"/>
  <c r="H71" i="4"/>
  <c r="G71" i="4"/>
  <c r="H149" i="4"/>
  <c r="G149" i="4"/>
  <c r="S68" i="4"/>
  <c r="T68" i="4"/>
  <c r="AA202" i="4" s="1"/>
  <c r="G70" i="4"/>
  <c r="H70" i="4"/>
  <c r="H72" i="4"/>
  <c r="G72" i="4"/>
  <c r="H69" i="4"/>
  <c r="Z203" i="4" s="1"/>
  <c r="G69" i="4"/>
  <c r="T71" i="4"/>
  <c r="AA205" i="4" s="1"/>
  <c r="S71" i="4"/>
  <c r="S72" i="4"/>
  <c r="T72" i="4"/>
  <c r="T145" i="4"/>
  <c r="AC202" i="4" s="1"/>
  <c r="S145" i="4"/>
  <c r="T148" i="4"/>
  <c r="AC205" i="4" s="1"/>
  <c r="S148" i="4"/>
  <c r="G67" i="4"/>
  <c r="H67" i="4"/>
  <c r="Z201" i="4" s="1"/>
  <c r="H145" i="4"/>
  <c r="AB202" i="4" s="1"/>
  <c r="G145" i="4"/>
  <c r="G148" i="4"/>
  <c r="H148" i="4"/>
  <c r="T67" i="4"/>
  <c r="AA201" i="4" s="1"/>
  <c r="S67" i="4"/>
  <c r="T146" i="4"/>
  <c r="AC203" i="4" s="1"/>
  <c r="S146" i="4"/>
  <c r="S147" i="4"/>
  <c r="T147" i="4"/>
  <c r="AC204" i="4" s="1"/>
  <c r="H68" i="4"/>
  <c r="Z202" i="4" s="1"/>
  <c r="G68" i="4"/>
  <c r="S144" i="4"/>
  <c r="T144" i="4"/>
  <c r="AC201" i="4" s="1"/>
  <c r="T70" i="4"/>
  <c r="AA204" i="4" s="1"/>
  <c r="S70" i="4"/>
  <c r="S149" i="4"/>
  <c r="T149" i="4"/>
  <c r="G146" i="4"/>
  <c r="H146" i="4"/>
  <c r="AB203" i="4" s="1"/>
  <c r="H147" i="4"/>
  <c r="G147" i="4"/>
  <c r="J7" i="5"/>
  <c r="C60" i="5"/>
  <c r="J17" i="5"/>
  <c r="C70" i="5"/>
  <c r="J14" i="5"/>
  <c r="C67" i="5"/>
  <c r="J15" i="5"/>
  <c r="C68" i="5"/>
  <c r="J9" i="5"/>
  <c r="C62" i="5"/>
  <c r="AB242" i="3"/>
  <c r="K37" i="3"/>
  <c r="AB270" i="3"/>
  <c r="X21" i="3"/>
  <c r="AC242" i="3"/>
  <c r="K44" i="3"/>
  <c r="AB265" i="3"/>
  <c r="K28" i="3"/>
  <c r="AB249" i="3"/>
  <c r="K69" i="3"/>
  <c r="AB272" i="3"/>
  <c r="X15" i="3"/>
  <c r="AC236" i="3"/>
  <c r="H59" i="10"/>
  <c r="H58" i="10"/>
  <c r="H57" i="10"/>
  <c r="H22" i="10"/>
  <c r="H23" i="10"/>
  <c r="H24" i="10"/>
  <c r="K24" i="10" s="1"/>
  <c r="H25" i="10"/>
  <c r="H26" i="10"/>
  <c r="H27" i="10"/>
  <c r="H28" i="10"/>
  <c r="H29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21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7" i="10"/>
  <c r="H6" i="10"/>
  <c r="R85" i="10"/>
  <c r="T85" i="10" s="1"/>
  <c r="R84" i="10"/>
  <c r="T84" i="10" s="1"/>
  <c r="AE260" i="10" s="1"/>
  <c r="R83" i="10"/>
  <c r="T83" i="10" s="1"/>
  <c r="AE259" i="10" s="1"/>
  <c r="R82" i="10"/>
  <c r="T82" i="10" s="1"/>
  <c r="AE258" i="10" s="1"/>
  <c r="R81" i="10"/>
  <c r="T81" i="10" s="1"/>
  <c r="AE257" i="10" s="1"/>
  <c r="R80" i="10"/>
  <c r="T80" i="10" s="1"/>
  <c r="AE256" i="10" s="1"/>
  <c r="F80" i="10"/>
  <c r="H80" i="10" s="1"/>
  <c r="AE213" i="10" s="1"/>
  <c r="AD231" i="10" l="1"/>
  <c r="O98" i="7"/>
  <c r="O99" i="7"/>
  <c r="O100" i="7"/>
  <c r="O101" i="7"/>
  <c r="O102" i="7"/>
  <c r="O103" i="7"/>
  <c r="O97" i="7"/>
  <c r="E31" i="1" l="1"/>
  <c r="F31" i="1" s="1"/>
  <c r="E15" i="1"/>
  <c r="F15" i="1" s="1"/>
  <c r="D68" i="6"/>
  <c r="D69" i="6"/>
  <c r="D70" i="6"/>
  <c r="D71" i="6"/>
  <c r="D72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C97" i="2"/>
  <c r="F96" i="2"/>
  <c r="C93" i="2"/>
  <c r="C94" i="2"/>
  <c r="C95" i="2"/>
  <c r="C96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S94" i="2"/>
  <c r="S95" i="2"/>
  <c r="S96" i="2"/>
  <c r="S97" i="2"/>
  <c r="S98" i="2"/>
  <c r="S93" i="2"/>
  <c r="F93" i="2"/>
  <c r="F94" i="2"/>
  <c r="F95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P68" i="2"/>
  <c r="P69" i="2"/>
  <c r="P70" i="2"/>
  <c r="P71" i="2"/>
  <c r="P72" i="2"/>
  <c r="P81" i="2"/>
  <c r="P82" i="2"/>
  <c r="P83" i="2"/>
  <c r="P84" i="2"/>
  <c r="P85" i="2"/>
  <c r="P80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H93" i="2" l="1"/>
  <c r="S85" i="2"/>
  <c r="U85" i="2" s="1"/>
  <c r="S84" i="2"/>
  <c r="U84" i="2" s="1"/>
  <c r="S83" i="2"/>
  <c r="U83" i="2" s="1"/>
  <c r="S82" i="2"/>
  <c r="U82" i="2" s="1"/>
  <c r="S81" i="2"/>
  <c r="U81" i="2" s="1"/>
  <c r="S80" i="2"/>
  <c r="U80" i="2" s="1"/>
  <c r="S72" i="2"/>
  <c r="U72" i="2" s="1"/>
  <c r="S71" i="2"/>
  <c r="U71" i="2" s="1"/>
  <c r="S70" i="2"/>
  <c r="U70" i="2" s="1"/>
  <c r="S69" i="2"/>
  <c r="U69" i="2" s="1"/>
  <c r="S68" i="2"/>
  <c r="U68" i="2" s="1"/>
  <c r="S67" i="2"/>
  <c r="U67" i="2" s="1"/>
  <c r="S59" i="2"/>
  <c r="U59" i="2" s="1"/>
  <c r="S58" i="2"/>
  <c r="U58" i="2" s="1"/>
  <c r="S57" i="2"/>
  <c r="U57" i="2" s="1"/>
  <c r="S56" i="2"/>
  <c r="U56" i="2" s="1"/>
  <c r="S55" i="2"/>
  <c r="U55" i="2" s="1"/>
  <c r="S54" i="2"/>
  <c r="U54" i="2" s="1"/>
  <c r="S53" i="2"/>
  <c r="U53" i="2" s="1"/>
  <c r="S52" i="2"/>
  <c r="U52" i="2" s="1"/>
  <c r="S51" i="2"/>
  <c r="U51" i="2" s="1"/>
  <c r="S50" i="2"/>
  <c r="U50" i="2" s="1"/>
  <c r="S49" i="2"/>
  <c r="U49" i="2" s="1"/>
  <c r="S48" i="2"/>
  <c r="U48" i="2" s="1"/>
  <c r="S47" i="2"/>
  <c r="U47" i="2" s="1"/>
  <c r="S46" i="2"/>
  <c r="U46" i="2" s="1"/>
  <c r="S45" i="2"/>
  <c r="U45" i="2" s="1"/>
  <c r="S44" i="2"/>
  <c r="U44" i="2" s="1"/>
  <c r="S43" i="2"/>
  <c r="U43" i="2" s="1"/>
  <c r="S42" i="2"/>
  <c r="U42" i="2" s="1"/>
  <c r="S41" i="2"/>
  <c r="U41" i="2" s="1"/>
  <c r="S40" i="2"/>
  <c r="U40" i="2" s="1"/>
  <c r="S39" i="2"/>
  <c r="U39" i="2" s="1"/>
  <c r="S38" i="2"/>
  <c r="U38" i="2" s="1"/>
  <c r="S37" i="2"/>
  <c r="U37" i="2" s="1"/>
  <c r="S36" i="2"/>
  <c r="U36" i="2" s="1"/>
  <c r="S35" i="2"/>
  <c r="U35" i="2" s="1"/>
  <c r="S34" i="2"/>
  <c r="U34" i="2" s="1"/>
  <c r="S33" i="2"/>
  <c r="U33" i="2" s="1"/>
  <c r="S32" i="2"/>
  <c r="U32" i="2" s="1"/>
  <c r="S31" i="2"/>
  <c r="U31" i="2" s="1"/>
  <c r="S30" i="2"/>
  <c r="U30" i="2" s="1"/>
  <c r="S29" i="2"/>
  <c r="U29" i="2" s="1"/>
  <c r="S28" i="2"/>
  <c r="U28" i="2" s="1"/>
  <c r="S27" i="2"/>
  <c r="U27" i="2" s="1"/>
  <c r="S26" i="2"/>
  <c r="U26" i="2" s="1"/>
  <c r="S25" i="2"/>
  <c r="U25" i="2" s="1"/>
  <c r="S24" i="2"/>
  <c r="U24" i="2" s="1"/>
  <c r="S23" i="2"/>
  <c r="U23" i="2" s="1"/>
  <c r="S22" i="2"/>
  <c r="U22" i="2" s="1"/>
  <c r="S21" i="2"/>
  <c r="U21" i="2" s="1"/>
  <c r="S20" i="2"/>
  <c r="U20" i="2" s="1"/>
  <c r="S19" i="2"/>
  <c r="U19" i="2" s="1"/>
  <c r="S18" i="2"/>
  <c r="U18" i="2" s="1"/>
  <c r="S17" i="2"/>
  <c r="U17" i="2" s="1"/>
  <c r="S16" i="2"/>
  <c r="U16" i="2" s="1"/>
  <c r="S15" i="2"/>
  <c r="U15" i="2" s="1"/>
  <c r="S14" i="2"/>
  <c r="U14" i="2" s="1"/>
  <c r="S13" i="2"/>
  <c r="U13" i="2" s="1"/>
  <c r="S12" i="2"/>
  <c r="U12" i="2" s="1"/>
  <c r="S11" i="2"/>
  <c r="U11" i="2" s="1"/>
  <c r="S10" i="2"/>
  <c r="U10" i="2" s="1"/>
  <c r="S9" i="2"/>
  <c r="U9" i="2" s="1"/>
  <c r="S8" i="2"/>
  <c r="U8" i="2" s="1"/>
  <c r="S7" i="2"/>
  <c r="U7" i="2" s="1"/>
  <c r="S6" i="2"/>
  <c r="U6" i="2" s="1"/>
  <c r="R97" i="7"/>
  <c r="R98" i="7"/>
  <c r="R99" i="7"/>
  <c r="R100" i="7"/>
  <c r="R101" i="7"/>
  <c r="R102" i="7"/>
  <c r="R103" i="7"/>
  <c r="R96" i="7"/>
  <c r="R131" i="7"/>
  <c r="T131" i="7" s="1"/>
  <c r="R130" i="7"/>
  <c r="T130" i="7" s="1"/>
  <c r="R129" i="7"/>
  <c r="T129" i="7" s="1"/>
  <c r="R128" i="7"/>
  <c r="T128" i="7" s="1"/>
  <c r="R127" i="7"/>
  <c r="T127" i="7" s="1"/>
  <c r="R126" i="7"/>
  <c r="R125" i="7"/>
  <c r="T125" i="7" s="1"/>
  <c r="R124" i="7"/>
  <c r="T124" i="7" s="1"/>
  <c r="R117" i="7"/>
  <c r="T117" i="7" s="1"/>
  <c r="R116" i="7"/>
  <c r="T116" i="7" s="1"/>
  <c r="R115" i="7"/>
  <c r="T115" i="7" s="1"/>
  <c r="R114" i="7"/>
  <c r="T114" i="7" s="1"/>
  <c r="R113" i="7"/>
  <c r="T113" i="7" s="1"/>
  <c r="R112" i="7"/>
  <c r="R111" i="7"/>
  <c r="T111" i="7" s="1"/>
  <c r="R110" i="7"/>
  <c r="T110" i="7" s="1"/>
  <c r="R83" i="7"/>
  <c r="T83" i="7" s="1"/>
  <c r="R84" i="7"/>
  <c r="T84" i="7" s="1"/>
  <c r="R85" i="7"/>
  <c r="T85" i="7" s="1"/>
  <c r="R86" i="7"/>
  <c r="T86" i="7" s="1"/>
  <c r="R87" i="7"/>
  <c r="T87" i="7" s="1"/>
  <c r="R88" i="7"/>
  <c r="T88" i="7" s="1"/>
  <c r="R89" i="7"/>
  <c r="T89" i="7" s="1"/>
  <c r="R82" i="7"/>
  <c r="T82" i="7" s="1"/>
  <c r="F111" i="7"/>
  <c r="H111" i="7" s="1"/>
  <c r="F112" i="7"/>
  <c r="H112" i="7" s="1"/>
  <c r="F113" i="7"/>
  <c r="H113" i="7" s="1"/>
  <c r="F114" i="7"/>
  <c r="H114" i="7" s="1"/>
  <c r="F115" i="7"/>
  <c r="H115" i="7" s="1"/>
  <c r="F116" i="7"/>
  <c r="H116" i="7" s="1"/>
  <c r="F117" i="7"/>
  <c r="H117" i="7" s="1"/>
  <c r="F110" i="7"/>
  <c r="H110" i="7" s="1"/>
  <c r="F83" i="7"/>
  <c r="H83" i="7" s="1"/>
  <c r="F84" i="7"/>
  <c r="H84" i="7" s="1"/>
  <c r="F85" i="7"/>
  <c r="H85" i="7" s="1"/>
  <c r="F86" i="7"/>
  <c r="H86" i="7" s="1"/>
  <c r="F87" i="7"/>
  <c r="H87" i="7" s="1"/>
  <c r="F88" i="7"/>
  <c r="H88" i="7" s="1"/>
  <c r="F89" i="7"/>
  <c r="H89" i="7" s="1"/>
  <c r="F82" i="7"/>
  <c r="H82" i="7" s="1"/>
  <c r="F97" i="7"/>
  <c r="H97" i="7" s="1"/>
  <c r="F98" i="7"/>
  <c r="H98" i="7" s="1"/>
  <c r="F99" i="7"/>
  <c r="H99" i="7" s="1"/>
  <c r="F100" i="7"/>
  <c r="H100" i="7" s="1"/>
  <c r="F101" i="7"/>
  <c r="H101" i="7" s="1"/>
  <c r="F102" i="7"/>
  <c r="H102" i="7" s="1"/>
  <c r="F103" i="7"/>
  <c r="H103" i="7" s="1"/>
  <c r="F96" i="7"/>
  <c r="H96" i="7" s="1"/>
  <c r="F39" i="7"/>
  <c r="H39" i="7" s="1"/>
  <c r="F74" i="7"/>
  <c r="H74" i="7" s="1"/>
  <c r="F73" i="7"/>
  <c r="H73" i="7" s="1"/>
  <c r="F72" i="7"/>
  <c r="H72" i="7" s="1"/>
  <c r="F71" i="7"/>
  <c r="H71" i="7" s="1"/>
  <c r="F70" i="7"/>
  <c r="H70" i="7" s="1"/>
  <c r="F69" i="7"/>
  <c r="H69" i="7" s="1"/>
  <c r="F68" i="7"/>
  <c r="H68" i="7" s="1"/>
  <c r="F67" i="7"/>
  <c r="H67" i="7" s="1"/>
  <c r="R67" i="7"/>
  <c r="T67" i="7" s="1"/>
  <c r="R74" i="7"/>
  <c r="T74" i="7" s="1"/>
  <c r="R73" i="7"/>
  <c r="T73" i="7" s="1"/>
  <c r="R72" i="7"/>
  <c r="T72" i="7" s="1"/>
  <c r="R71" i="7"/>
  <c r="T71" i="7" s="1"/>
  <c r="R70" i="7"/>
  <c r="T70" i="7" s="1"/>
  <c r="R69" i="7"/>
  <c r="R68" i="7"/>
  <c r="T68" i="7" s="1"/>
  <c r="R54" i="7"/>
  <c r="R55" i="7"/>
  <c r="R56" i="7"/>
  <c r="R57" i="7"/>
  <c r="R58" i="7"/>
  <c r="R59" i="7"/>
  <c r="R60" i="7"/>
  <c r="R53" i="7"/>
  <c r="T53" i="7" s="1"/>
  <c r="O60" i="7"/>
  <c r="T60" i="7" s="1"/>
  <c r="O59" i="7"/>
  <c r="T59" i="7" s="1"/>
  <c r="O58" i="7"/>
  <c r="T58" i="7" s="1"/>
  <c r="O57" i="7"/>
  <c r="T57" i="7" s="1"/>
  <c r="O56" i="7"/>
  <c r="T56" i="7" s="1"/>
  <c r="O55" i="7"/>
  <c r="O54" i="7"/>
  <c r="T54" i="7" s="1"/>
  <c r="C54" i="7"/>
  <c r="H54" i="7" s="1"/>
  <c r="C55" i="7"/>
  <c r="C56" i="7"/>
  <c r="H56" i="7" s="1"/>
  <c r="C57" i="7"/>
  <c r="C58" i="7"/>
  <c r="H58" i="7" s="1"/>
  <c r="C59" i="7"/>
  <c r="C60" i="7"/>
  <c r="H60" i="7" s="1"/>
  <c r="F54" i="7"/>
  <c r="F55" i="7"/>
  <c r="F56" i="7"/>
  <c r="F57" i="7"/>
  <c r="F58" i="7"/>
  <c r="F59" i="7"/>
  <c r="F60" i="7"/>
  <c r="F53" i="7"/>
  <c r="H53" i="7" s="1"/>
  <c r="O40" i="7"/>
  <c r="O41" i="7"/>
  <c r="O42" i="7"/>
  <c r="O43" i="7"/>
  <c r="O44" i="7"/>
  <c r="O45" i="7"/>
  <c r="O46" i="7"/>
  <c r="P40" i="7"/>
  <c r="P41" i="7"/>
  <c r="P42" i="7"/>
  <c r="P43" i="7"/>
  <c r="P44" i="7"/>
  <c r="P45" i="7"/>
  <c r="P46" i="7"/>
  <c r="P39" i="7"/>
  <c r="O39" i="7"/>
  <c r="R46" i="7"/>
  <c r="R45" i="7"/>
  <c r="R44" i="7"/>
  <c r="R43" i="7"/>
  <c r="R42" i="7"/>
  <c r="R41" i="7"/>
  <c r="R40" i="7"/>
  <c r="R39" i="7"/>
  <c r="R26" i="7"/>
  <c r="T26" i="7" s="1"/>
  <c r="R27" i="7"/>
  <c r="T27" i="7" s="1"/>
  <c r="R28" i="7"/>
  <c r="T28" i="7" s="1"/>
  <c r="R29" i="7"/>
  <c r="T29" i="7" s="1"/>
  <c r="R30" i="7"/>
  <c r="T30" i="7" s="1"/>
  <c r="R31" i="7"/>
  <c r="T31" i="7" s="1"/>
  <c r="R32" i="7"/>
  <c r="T32" i="7" s="1"/>
  <c r="O8" i="7"/>
  <c r="T8" i="7" s="1"/>
  <c r="O9" i="7"/>
  <c r="O12" i="7"/>
  <c r="T12" i="7" s="1"/>
  <c r="O13" i="7"/>
  <c r="T13" i="7" s="1"/>
  <c r="O14" i="7"/>
  <c r="T14" i="7" s="1"/>
  <c r="O15" i="7"/>
  <c r="T15" i="7" s="1"/>
  <c r="O16" i="7"/>
  <c r="T16" i="7" s="1"/>
  <c r="O7" i="7"/>
  <c r="T7" i="7" s="1"/>
  <c r="C82" i="2"/>
  <c r="C83" i="2"/>
  <c r="C84" i="2"/>
  <c r="C85" i="2"/>
  <c r="F85" i="2"/>
  <c r="F84" i="2"/>
  <c r="F83" i="2"/>
  <c r="F82" i="2"/>
  <c r="F81" i="2"/>
  <c r="H81" i="2" s="1"/>
  <c r="F80" i="2"/>
  <c r="H80" i="2" s="1"/>
  <c r="D40" i="7"/>
  <c r="D41" i="7"/>
  <c r="D42" i="7"/>
  <c r="D43" i="7"/>
  <c r="D44" i="7"/>
  <c r="D45" i="7"/>
  <c r="D46" i="7"/>
  <c r="C40" i="7"/>
  <c r="C41" i="7"/>
  <c r="H41" i="7" s="1"/>
  <c r="C42" i="7"/>
  <c r="C43" i="7"/>
  <c r="H43" i="7" s="1"/>
  <c r="C44" i="7"/>
  <c r="C45" i="7"/>
  <c r="H45" i="7" s="1"/>
  <c r="C46" i="7"/>
  <c r="F46" i="7"/>
  <c r="F45" i="7"/>
  <c r="F44" i="7"/>
  <c r="F43" i="7"/>
  <c r="F42" i="7"/>
  <c r="F41" i="7"/>
  <c r="F40" i="7"/>
  <c r="D26" i="7"/>
  <c r="D27" i="7"/>
  <c r="D28" i="7"/>
  <c r="D29" i="7"/>
  <c r="D30" i="7"/>
  <c r="D31" i="7"/>
  <c r="D32" i="7"/>
  <c r="C26" i="7"/>
  <c r="H26" i="7" s="1"/>
  <c r="C27" i="7"/>
  <c r="C28" i="7"/>
  <c r="H28" i="7" s="1"/>
  <c r="C29" i="7"/>
  <c r="C30" i="7"/>
  <c r="H30" i="7" s="1"/>
  <c r="C31" i="7"/>
  <c r="C32" i="7"/>
  <c r="H32" i="7" s="1"/>
  <c r="F32" i="7"/>
  <c r="F31" i="7"/>
  <c r="F30" i="7"/>
  <c r="F29" i="7"/>
  <c r="F28" i="7"/>
  <c r="F27" i="7"/>
  <c r="F26" i="7"/>
  <c r="F25" i="7"/>
  <c r="H25" i="7" s="1"/>
  <c r="C8" i="7"/>
  <c r="C9" i="7"/>
  <c r="C12" i="7"/>
  <c r="C13" i="7"/>
  <c r="C14" i="7"/>
  <c r="C15" i="7"/>
  <c r="C16" i="7"/>
  <c r="D8" i="7"/>
  <c r="D9" i="7"/>
  <c r="D12" i="7"/>
  <c r="D13" i="7"/>
  <c r="D14" i="7"/>
  <c r="D15" i="7"/>
  <c r="D16" i="7"/>
  <c r="F7" i="7"/>
  <c r="H7" i="7" s="1"/>
  <c r="F8" i="7"/>
  <c r="F9" i="7"/>
  <c r="F12" i="7"/>
  <c r="F13" i="7"/>
  <c r="F14" i="7"/>
  <c r="F15" i="7"/>
  <c r="F16" i="7"/>
  <c r="F70" i="6"/>
  <c r="F69" i="6"/>
  <c r="F68" i="6"/>
  <c r="F67" i="6"/>
  <c r="F9" i="6"/>
  <c r="F6" i="6"/>
  <c r="H6" i="6" s="1"/>
  <c r="F7" i="6"/>
  <c r="F8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F72" i="6"/>
  <c r="F71" i="6"/>
  <c r="F67" i="2"/>
  <c r="H67" i="2" s="1"/>
  <c r="C56" i="2"/>
  <c r="C55" i="2"/>
  <c r="F6" i="2"/>
  <c r="H6" i="2" s="1"/>
  <c r="L6" i="2" s="1"/>
  <c r="H31" i="7" l="1"/>
  <c r="H29" i="7"/>
  <c r="H27" i="7"/>
  <c r="H46" i="7"/>
  <c r="H44" i="7"/>
  <c r="H42" i="7"/>
  <c r="H40" i="7"/>
  <c r="H59" i="7"/>
  <c r="H57" i="7"/>
  <c r="H55" i="7"/>
  <c r="T69" i="7"/>
  <c r="AJ26" i="7" s="1"/>
  <c r="T112" i="7"/>
  <c r="AR39" i="7" s="1"/>
  <c r="T126" i="7"/>
  <c r="AJ52" i="7" s="1"/>
  <c r="T39" i="7"/>
  <c r="H15" i="7"/>
  <c r="H13" i="7"/>
  <c r="H9" i="7"/>
  <c r="AJ13" i="7" s="1"/>
  <c r="T45" i="7"/>
  <c r="T43" i="7"/>
  <c r="T41" i="7"/>
  <c r="AN52" i="7"/>
  <c r="T55" i="7"/>
  <c r="H16" i="7"/>
  <c r="H14" i="7"/>
  <c r="H12" i="7"/>
  <c r="H8" i="7"/>
  <c r="AP26" i="7"/>
  <c r="T9" i="7"/>
  <c r="T46" i="7"/>
  <c r="T44" i="7"/>
  <c r="T42" i="7"/>
  <c r="T40" i="7"/>
  <c r="H85" i="2"/>
  <c r="AL13" i="7"/>
  <c r="H83" i="2"/>
  <c r="AN26" i="7"/>
  <c r="AJ39" i="7"/>
  <c r="AN13" i="7"/>
  <c r="H82" i="2"/>
  <c r="AN39" i="7"/>
  <c r="AR13" i="7"/>
  <c r="AL39" i="7"/>
  <c r="AR26" i="7"/>
  <c r="AL26" i="7"/>
  <c r="H84" i="2"/>
  <c r="F7" i="2"/>
  <c r="H7" i="2" s="1"/>
  <c r="F8" i="2"/>
  <c r="F9" i="2"/>
  <c r="F10" i="2"/>
  <c r="H10" i="2" s="1"/>
  <c r="F11" i="2"/>
  <c r="H11" i="2" s="1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H31" i="2" s="1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H50" i="2" s="1"/>
  <c r="F51" i="2"/>
  <c r="F52" i="2"/>
  <c r="F53" i="2"/>
  <c r="F54" i="2"/>
  <c r="F55" i="2"/>
  <c r="H55" i="2" s="1"/>
  <c r="F56" i="2"/>
  <c r="H56" i="2" s="1"/>
  <c r="F57" i="2"/>
  <c r="F58" i="2"/>
  <c r="F59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2" i="2"/>
  <c r="H32" i="2" s="1"/>
  <c r="C33" i="2"/>
  <c r="H33" i="2" s="1"/>
  <c r="C34" i="2"/>
  <c r="H34" i="2" s="1"/>
  <c r="C35" i="2"/>
  <c r="H35" i="2" s="1"/>
  <c r="C36" i="2"/>
  <c r="H36" i="2" s="1"/>
  <c r="C37" i="2"/>
  <c r="H37" i="2" s="1"/>
  <c r="C38" i="2"/>
  <c r="H38" i="2" s="1"/>
  <c r="C39" i="2"/>
  <c r="H39" i="2" s="1"/>
  <c r="C40" i="2"/>
  <c r="H40" i="2" s="1"/>
  <c r="C41" i="2"/>
  <c r="H41" i="2" s="1"/>
  <c r="C42" i="2"/>
  <c r="H42" i="2" s="1"/>
  <c r="C43" i="2"/>
  <c r="H43" i="2" s="1"/>
  <c r="C44" i="2"/>
  <c r="H44" i="2" s="1"/>
  <c r="C45" i="2"/>
  <c r="H45" i="2" s="1"/>
  <c r="C46" i="2"/>
  <c r="H46" i="2" s="1"/>
  <c r="C47" i="2"/>
  <c r="H47" i="2" s="1"/>
  <c r="C48" i="2"/>
  <c r="H48" i="2" s="1"/>
  <c r="C49" i="2"/>
  <c r="H49" i="2" s="1"/>
  <c r="C51" i="2"/>
  <c r="C52" i="2"/>
  <c r="C53" i="2"/>
  <c r="C54" i="2"/>
  <c r="C57" i="2"/>
  <c r="C58" i="2"/>
  <c r="C59" i="2"/>
  <c r="C8" i="2"/>
  <c r="C9" i="2"/>
  <c r="C12" i="2"/>
  <c r="C13" i="2"/>
  <c r="C14" i="2"/>
  <c r="F71" i="2"/>
  <c r="H71" i="2" s="1"/>
  <c r="F72" i="2"/>
  <c r="H72" i="2" s="1"/>
  <c r="F68" i="2"/>
  <c r="H68" i="2" s="1"/>
  <c r="F69" i="2"/>
  <c r="H69" i="2" s="1"/>
  <c r="F70" i="2"/>
  <c r="H70" i="2" s="1"/>
  <c r="E5" i="1"/>
  <c r="H59" i="2" l="1"/>
  <c r="H51" i="2"/>
  <c r="H9" i="2"/>
  <c r="H57" i="2"/>
  <c r="H27" i="2"/>
  <c r="H23" i="2"/>
  <c r="H19" i="2"/>
  <c r="L19" i="2" s="1"/>
  <c r="H15" i="2"/>
  <c r="H14" i="2"/>
  <c r="H54" i="2"/>
  <c r="H13" i="2"/>
  <c r="H53" i="2"/>
  <c r="H58" i="2"/>
  <c r="H30" i="2"/>
  <c r="H26" i="2"/>
  <c r="H18" i="2"/>
  <c r="H29" i="2"/>
  <c r="H25" i="2"/>
  <c r="H21" i="2"/>
  <c r="H17" i="2"/>
  <c r="H28" i="2"/>
  <c r="H20" i="2"/>
  <c r="H16" i="2"/>
  <c r="H12" i="2"/>
  <c r="H52" i="2"/>
  <c r="H8" i="2"/>
  <c r="H24" i="2"/>
  <c r="H22" i="2"/>
  <c r="G8" i="2"/>
  <c r="D256" i="1"/>
  <c r="E256" i="1" s="1"/>
  <c r="D255" i="1"/>
  <c r="E255" i="1" s="1"/>
  <c r="D254" i="1"/>
  <c r="D253" i="1"/>
  <c r="D252" i="1"/>
  <c r="E252" i="1" s="1"/>
  <c r="D251" i="1"/>
  <c r="E251" i="1" s="1"/>
  <c r="D250" i="1"/>
  <c r="E250" i="1" s="1"/>
  <c r="D249" i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30" i="1"/>
  <c r="F30" i="1" s="1"/>
  <c r="AA312" i="14" l="1"/>
  <c r="AA308" i="14"/>
  <c r="AA184" i="14"/>
  <c r="AA180" i="14"/>
  <c r="AA309" i="14"/>
  <c r="AA305" i="14"/>
  <c r="AA181" i="14"/>
  <c r="AA177" i="14"/>
  <c r="AA310" i="14"/>
  <c r="AA306" i="14"/>
  <c r="AA182" i="14"/>
  <c r="AA178" i="14"/>
  <c r="AA311" i="14"/>
  <c r="AA307" i="14"/>
  <c r="AA183" i="14"/>
  <c r="AA179" i="14"/>
  <c r="O72" i="6"/>
  <c r="O71" i="6"/>
  <c r="O70" i="6"/>
  <c r="O69" i="6"/>
  <c r="O68" i="6"/>
  <c r="O67" i="6"/>
  <c r="AA54" i="14"/>
  <c r="AA53" i="14"/>
  <c r="AA50" i="14"/>
  <c r="AA49" i="14"/>
  <c r="AA55" i="14"/>
  <c r="AA52" i="14"/>
  <c r="AA51" i="14"/>
  <c r="AA48" i="14"/>
  <c r="E254" i="1"/>
  <c r="Z7" i="11"/>
  <c r="Z9" i="11"/>
  <c r="Z11" i="11"/>
  <c r="Z13" i="11"/>
  <c r="Z15" i="11"/>
  <c r="Z17" i="11"/>
  <c r="Z19" i="11"/>
  <c r="Z21" i="11"/>
  <c r="Z23" i="11"/>
  <c r="Z25" i="11"/>
  <c r="Z27" i="11"/>
  <c r="Z29" i="11"/>
  <c r="Z31" i="11"/>
  <c r="Z33" i="11"/>
  <c r="Z35" i="11"/>
  <c r="Z37" i="11"/>
  <c r="Z39" i="11"/>
  <c r="Z41" i="11"/>
  <c r="Z43" i="11"/>
  <c r="Z45" i="11"/>
  <c r="Z47" i="11"/>
  <c r="Z49" i="11"/>
  <c r="Z51" i="11"/>
  <c r="Z53" i="11"/>
  <c r="Z55" i="11"/>
  <c r="Z57" i="11"/>
  <c r="Z59" i="11"/>
  <c r="E54" i="12"/>
  <c r="E56" i="12"/>
  <c r="E58" i="12"/>
  <c r="E60" i="12"/>
  <c r="E62" i="12"/>
  <c r="E64" i="12"/>
  <c r="E66" i="12"/>
  <c r="E68" i="12"/>
  <c r="E70" i="12"/>
  <c r="E72" i="12"/>
  <c r="E74" i="12"/>
  <c r="E76" i="12"/>
  <c r="E78" i="12"/>
  <c r="E80" i="12"/>
  <c r="E82" i="12"/>
  <c r="E84" i="12"/>
  <c r="E86" i="12"/>
  <c r="E88" i="12"/>
  <c r="E90" i="12"/>
  <c r="E92" i="12"/>
  <c r="E94" i="12"/>
  <c r="E96" i="12"/>
  <c r="E98" i="12"/>
  <c r="E100" i="12"/>
  <c r="E102" i="12"/>
  <c r="E105" i="12"/>
  <c r="E8" i="12"/>
  <c r="E10" i="12"/>
  <c r="E12" i="12"/>
  <c r="E14" i="12"/>
  <c r="E16" i="12"/>
  <c r="E18" i="12"/>
  <c r="E20" i="12"/>
  <c r="E22" i="12"/>
  <c r="E24" i="12"/>
  <c r="E26" i="12"/>
  <c r="E28" i="12"/>
  <c r="E30" i="12"/>
  <c r="E32" i="12"/>
  <c r="E34" i="12"/>
  <c r="E36" i="12"/>
  <c r="E38" i="12"/>
  <c r="E40" i="12"/>
  <c r="E42" i="12"/>
  <c r="E44" i="12"/>
  <c r="E67" i="13"/>
  <c r="E69" i="13"/>
  <c r="E71" i="13"/>
  <c r="H55" i="14"/>
  <c r="H53" i="14"/>
  <c r="H51" i="14"/>
  <c r="T6" i="14"/>
  <c r="Z8" i="11"/>
  <c r="Z10" i="11"/>
  <c r="Z12" i="11"/>
  <c r="Z14" i="11"/>
  <c r="Z16" i="11"/>
  <c r="Z18" i="11"/>
  <c r="Z20" i="11"/>
  <c r="Z22" i="11"/>
  <c r="Z24" i="11"/>
  <c r="Z26" i="11"/>
  <c r="Z28" i="11"/>
  <c r="Z30" i="11"/>
  <c r="Z32" i="11"/>
  <c r="Z34" i="11"/>
  <c r="Z36" i="11"/>
  <c r="Z38" i="11"/>
  <c r="Z40" i="11"/>
  <c r="Z42" i="11"/>
  <c r="Z44" i="11"/>
  <c r="Z46" i="11"/>
  <c r="Z48" i="11"/>
  <c r="Z50" i="11"/>
  <c r="Z52" i="11"/>
  <c r="Z54" i="11"/>
  <c r="Z56" i="11"/>
  <c r="Z58" i="11"/>
  <c r="E104" i="12"/>
  <c r="E53" i="12"/>
  <c r="E55" i="12"/>
  <c r="E57" i="12"/>
  <c r="E59" i="12"/>
  <c r="E61" i="12"/>
  <c r="E63" i="12"/>
  <c r="E65" i="12"/>
  <c r="E67" i="12"/>
  <c r="E69" i="12"/>
  <c r="E71" i="12"/>
  <c r="E73" i="12"/>
  <c r="E75" i="12"/>
  <c r="E77" i="12"/>
  <c r="E79" i="12"/>
  <c r="E81" i="12"/>
  <c r="E83" i="12"/>
  <c r="E85" i="12"/>
  <c r="E87" i="12"/>
  <c r="E89" i="12"/>
  <c r="E91" i="12"/>
  <c r="E93" i="12"/>
  <c r="E95" i="12"/>
  <c r="E97" i="12"/>
  <c r="E99" i="12"/>
  <c r="E101" i="12"/>
  <c r="E103" i="12"/>
  <c r="E52" i="12"/>
  <c r="E7" i="12"/>
  <c r="E9" i="12"/>
  <c r="E11" i="12"/>
  <c r="E13" i="12"/>
  <c r="E15" i="12"/>
  <c r="E17" i="12"/>
  <c r="E19" i="12"/>
  <c r="E21" i="12"/>
  <c r="E23" i="12"/>
  <c r="E25" i="12"/>
  <c r="E27" i="12"/>
  <c r="E29" i="12"/>
  <c r="E31" i="12"/>
  <c r="E33" i="12"/>
  <c r="E35" i="12"/>
  <c r="E37" i="12"/>
  <c r="E39" i="12"/>
  <c r="E41" i="12"/>
  <c r="E43" i="12"/>
  <c r="E45" i="12"/>
  <c r="E6" i="12"/>
  <c r="E68" i="13"/>
  <c r="E70" i="13"/>
  <c r="E66" i="13"/>
  <c r="H54" i="14"/>
  <c r="H52" i="14"/>
  <c r="H50" i="14"/>
  <c r="H49" i="14"/>
  <c r="E249" i="1"/>
  <c r="E72" i="6"/>
  <c r="E70" i="6"/>
  <c r="E68" i="6"/>
  <c r="E69" i="6"/>
  <c r="E71" i="6"/>
  <c r="E67" i="6"/>
  <c r="T103" i="7"/>
  <c r="T99" i="7"/>
  <c r="T101" i="7"/>
  <c r="T97" i="7"/>
  <c r="T100" i="7"/>
  <c r="T98" i="7"/>
  <c r="AP39" i="7" s="1"/>
  <c r="T102" i="7"/>
  <c r="E253" i="1"/>
  <c r="AC307" i="14" l="1"/>
  <c r="AD307" i="14"/>
  <c r="AP15" i="14" s="1"/>
  <c r="AD305" i="14"/>
  <c r="AC305" i="14"/>
  <c r="AD310" i="14"/>
  <c r="AC310" i="14"/>
  <c r="AC312" i="14"/>
  <c r="AD312" i="14"/>
  <c r="AC179" i="14"/>
  <c r="AD179" i="14"/>
  <c r="AP14" i="14" s="1"/>
  <c r="AD178" i="14"/>
  <c r="AC178" i="14"/>
  <c r="AC177" i="14"/>
  <c r="AD177" i="14"/>
  <c r="AD180" i="14"/>
  <c r="AC180" i="14"/>
  <c r="AD308" i="14"/>
  <c r="AC308" i="14"/>
  <c r="AD183" i="14"/>
  <c r="AC183" i="14"/>
  <c r="AD182" i="14"/>
  <c r="AC182" i="14"/>
  <c r="AC181" i="14"/>
  <c r="AD181" i="14"/>
  <c r="AD184" i="14"/>
  <c r="AC184" i="14"/>
  <c r="AC306" i="14"/>
  <c r="AD306" i="14"/>
  <c r="AC311" i="14"/>
  <c r="AD311" i="14"/>
  <c r="AD309" i="14"/>
  <c r="AC309" i="14"/>
  <c r="AG37" i="11"/>
  <c r="AG33" i="11"/>
  <c r="AG29" i="11"/>
  <c r="AG25" i="11"/>
  <c r="AG38" i="11"/>
  <c r="AG34" i="11"/>
  <c r="AG30" i="11"/>
  <c r="AG26" i="11"/>
  <c r="AG39" i="11"/>
  <c r="AG35" i="11"/>
  <c r="AG31" i="11"/>
  <c r="AG27" i="11"/>
  <c r="AG40" i="11"/>
  <c r="AG36" i="11"/>
  <c r="AG32" i="11"/>
  <c r="AG28" i="11"/>
  <c r="AG24" i="11"/>
  <c r="Q68" i="6"/>
  <c r="R68" i="6"/>
  <c r="R70" i="6"/>
  <c r="Q70" i="6"/>
  <c r="R72" i="6"/>
  <c r="Q72" i="6"/>
  <c r="Q67" i="6"/>
  <c r="R67" i="6"/>
  <c r="Q69" i="6"/>
  <c r="R69" i="6"/>
  <c r="R71" i="6"/>
  <c r="Q71" i="6"/>
  <c r="S31" i="7"/>
  <c r="S27" i="7"/>
  <c r="S26" i="7"/>
  <c r="S28" i="7"/>
  <c r="S25" i="7"/>
  <c r="S29" i="7"/>
  <c r="S30" i="7"/>
  <c r="S32" i="7"/>
  <c r="S7" i="7"/>
  <c r="S53" i="7"/>
  <c r="G6" i="14"/>
  <c r="H6" i="14"/>
  <c r="G34" i="14"/>
  <c r="H34" i="14"/>
  <c r="H90" i="14"/>
  <c r="G90" i="14"/>
  <c r="G95" i="14"/>
  <c r="H95" i="14"/>
  <c r="G91" i="14"/>
  <c r="H91" i="14"/>
  <c r="S118" i="14"/>
  <c r="T118" i="14"/>
  <c r="G118" i="14"/>
  <c r="H118" i="14"/>
  <c r="G122" i="14"/>
  <c r="H122" i="14"/>
  <c r="G105" i="14"/>
  <c r="H105" i="14"/>
  <c r="G107" i="14"/>
  <c r="H107" i="14"/>
  <c r="G109" i="14"/>
  <c r="H109" i="14"/>
  <c r="G111" i="14"/>
  <c r="H111" i="14"/>
  <c r="G81" i="14"/>
  <c r="H81" i="14"/>
  <c r="G83" i="14"/>
  <c r="H83" i="14"/>
  <c r="G94" i="14"/>
  <c r="H94" i="14"/>
  <c r="G62" i="14"/>
  <c r="H62" i="14"/>
  <c r="G121" i="14"/>
  <c r="H121" i="14"/>
  <c r="G125" i="14"/>
  <c r="H125" i="14"/>
  <c r="G76" i="14"/>
  <c r="H76" i="14"/>
  <c r="G78" i="14"/>
  <c r="H78" i="14"/>
  <c r="AJ43" i="14" s="1"/>
  <c r="T50" i="14"/>
  <c r="AN58" i="14" s="1"/>
  <c r="S50" i="14"/>
  <c r="T53" i="14"/>
  <c r="S53" i="14"/>
  <c r="AD48" i="14"/>
  <c r="AC48" i="14"/>
  <c r="AD52" i="14"/>
  <c r="AC52" i="14"/>
  <c r="T49" i="14"/>
  <c r="S49" i="14"/>
  <c r="T55" i="14"/>
  <c r="S55" i="14"/>
  <c r="AD50" i="14"/>
  <c r="AP13" i="14" s="1"/>
  <c r="AC50" i="14"/>
  <c r="AD54" i="14"/>
  <c r="AC54" i="14"/>
  <c r="H48" i="14"/>
  <c r="G48" i="14"/>
  <c r="G97" i="14"/>
  <c r="H97" i="14"/>
  <c r="G93" i="14"/>
  <c r="H93" i="14"/>
  <c r="G120" i="14"/>
  <c r="H120" i="14"/>
  <c r="AL58" i="14" s="1"/>
  <c r="G124" i="14"/>
  <c r="H124" i="14"/>
  <c r="G106" i="14"/>
  <c r="H106" i="14"/>
  <c r="AL28" i="14" s="1"/>
  <c r="G108" i="14"/>
  <c r="H108" i="14"/>
  <c r="G110" i="14"/>
  <c r="H110" i="14"/>
  <c r="G80" i="14"/>
  <c r="H80" i="14"/>
  <c r="G82" i="14"/>
  <c r="H82" i="14"/>
  <c r="K6" i="10"/>
  <c r="AD213" i="10" s="1"/>
  <c r="I6" i="10"/>
  <c r="J6" i="10"/>
  <c r="AC213" i="10" s="1"/>
  <c r="G96" i="14"/>
  <c r="H96" i="14"/>
  <c r="G92" i="14"/>
  <c r="H92" i="14"/>
  <c r="AR28" i="14" s="1"/>
  <c r="G119" i="14"/>
  <c r="H119" i="14"/>
  <c r="G123" i="14"/>
  <c r="H123" i="14"/>
  <c r="G104" i="14"/>
  <c r="H104" i="14"/>
  <c r="G77" i="14"/>
  <c r="H77" i="14"/>
  <c r="G79" i="14"/>
  <c r="H79" i="14"/>
  <c r="T48" i="14"/>
  <c r="S48" i="14"/>
  <c r="T52" i="14"/>
  <c r="S52" i="14"/>
  <c r="S54" i="14"/>
  <c r="T54" i="14"/>
  <c r="AD51" i="14"/>
  <c r="AC51" i="14"/>
  <c r="AD55" i="14"/>
  <c r="AC55" i="14"/>
  <c r="T51" i="14"/>
  <c r="S51" i="14"/>
  <c r="AC49" i="14"/>
  <c r="AD49" i="14"/>
  <c r="AC53" i="14"/>
  <c r="AD53" i="14"/>
  <c r="AC54" i="7"/>
  <c r="AC59" i="7"/>
  <c r="AC57" i="7"/>
  <c r="AC60" i="7"/>
  <c r="G7" i="3"/>
  <c r="G9" i="3"/>
  <c r="G11" i="3"/>
  <c r="G13" i="3"/>
  <c r="G15" i="3"/>
  <c r="G17" i="3"/>
  <c r="G19" i="3"/>
  <c r="G21" i="3"/>
  <c r="G23" i="3"/>
  <c r="G25" i="3"/>
  <c r="G27" i="3"/>
  <c r="G29" i="3"/>
  <c r="G31" i="3"/>
  <c r="G33" i="3"/>
  <c r="G35" i="3"/>
  <c r="G37" i="3"/>
  <c r="G39" i="3"/>
  <c r="G41" i="3"/>
  <c r="G43" i="3"/>
  <c r="G45" i="3"/>
  <c r="G47" i="3"/>
  <c r="G49" i="3"/>
  <c r="G51" i="3"/>
  <c r="G53" i="3"/>
  <c r="G55" i="3"/>
  <c r="G57" i="3"/>
  <c r="G59" i="3"/>
  <c r="G68" i="3"/>
  <c r="G70" i="3"/>
  <c r="G72" i="3"/>
  <c r="G81" i="3"/>
  <c r="G82" i="3"/>
  <c r="G83" i="3"/>
  <c r="G84" i="3"/>
  <c r="G85" i="3"/>
  <c r="G93" i="3"/>
  <c r="G94" i="3"/>
  <c r="G95" i="3"/>
  <c r="G96" i="3"/>
  <c r="G97" i="3"/>
  <c r="G98" i="3"/>
  <c r="G99" i="3"/>
  <c r="G101" i="3"/>
  <c r="G103" i="3"/>
  <c r="G105" i="3"/>
  <c r="G107" i="3"/>
  <c r="G109" i="3"/>
  <c r="G111" i="3"/>
  <c r="G113" i="3"/>
  <c r="G115" i="3"/>
  <c r="G117" i="3"/>
  <c r="G119" i="3"/>
  <c r="G121" i="3"/>
  <c r="G123" i="3"/>
  <c r="G125" i="3"/>
  <c r="G127" i="3"/>
  <c r="G129" i="3"/>
  <c r="G131" i="3"/>
  <c r="G133" i="3"/>
  <c r="G135" i="3"/>
  <c r="G137" i="3"/>
  <c r="G139" i="3"/>
  <c r="G141" i="3"/>
  <c r="G143" i="3"/>
  <c r="G145" i="3"/>
  <c r="K155" i="3"/>
  <c r="AE227" i="3"/>
  <c r="L159" i="3"/>
  <c r="AE231" i="3" s="1"/>
  <c r="K159" i="3"/>
  <c r="L163" i="3"/>
  <c r="AE235" i="3" s="1"/>
  <c r="K163" i="3"/>
  <c r="L167" i="3"/>
  <c r="AE239" i="3" s="1"/>
  <c r="K167" i="3"/>
  <c r="L171" i="3"/>
  <c r="AE243" i="3" s="1"/>
  <c r="K171" i="3"/>
  <c r="L175" i="3"/>
  <c r="AE247" i="3" s="1"/>
  <c r="K175" i="3"/>
  <c r="L179" i="3"/>
  <c r="AE251" i="3" s="1"/>
  <c r="K179" i="3"/>
  <c r="L183" i="3"/>
  <c r="AE255" i="3" s="1"/>
  <c r="K183" i="3"/>
  <c r="L187" i="3"/>
  <c r="AE259" i="3" s="1"/>
  <c r="K187" i="3"/>
  <c r="L191" i="3"/>
  <c r="AE263" i="3" s="1"/>
  <c r="K191" i="3"/>
  <c r="L195" i="3"/>
  <c r="K195" i="3"/>
  <c r="L199" i="3"/>
  <c r="K199" i="3"/>
  <c r="L203" i="3"/>
  <c r="K203" i="3"/>
  <c r="L207" i="3"/>
  <c r="K207" i="3"/>
  <c r="K217" i="3"/>
  <c r="L217" i="3"/>
  <c r="AE272" i="3" s="1"/>
  <c r="S6" i="3"/>
  <c r="S8" i="3"/>
  <c r="S10" i="3"/>
  <c r="S12" i="3"/>
  <c r="S14" i="3"/>
  <c r="S16" i="3"/>
  <c r="S18" i="3"/>
  <c r="S20" i="3"/>
  <c r="S22" i="3"/>
  <c r="S24" i="3"/>
  <c r="S26" i="3"/>
  <c r="S28" i="3"/>
  <c r="S30" i="3"/>
  <c r="S32" i="3"/>
  <c r="S34" i="3"/>
  <c r="S36" i="3"/>
  <c r="S38" i="3"/>
  <c r="S40" i="3"/>
  <c r="S42" i="3"/>
  <c r="S44" i="3"/>
  <c r="S46" i="3"/>
  <c r="S48" i="3"/>
  <c r="S50" i="3"/>
  <c r="S52" i="3"/>
  <c r="S54" i="3"/>
  <c r="S56" i="3"/>
  <c r="S58" i="3"/>
  <c r="S67" i="3"/>
  <c r="S69" i="3"/>
  <c r="S71" i="3"/>
  <c r="S80" i="3"/>
  <c r="L158" i="3"/>
  <c r="AE230" i="3" s="1"/>
  <c r="K158" i="3"/>
  <c r="L162" i="3"/>
  <c r="AE234" i="3" s="1"/>
  <c r="K162" i="3"/>
  <c r="L166" i="3"/>
  <c r="AE238" i="3" s="1"/>
  <c r="K166" i="3"/>
  <c r="L170" i="3"/>
  <c r="AE242" i="3" s="1"/>
  <c r="K170" i="3"/>
  <c r="L174" i="3"/>
  <c r="AE246" i="3" s="1"/>
  <c r="K174" i="3"/>
  <c r="L178" i="3"/>
  <c r="AE250" i="3" s="1"/>
  <c r="K178" i="3"/>
  <c r="L182" i="3"/>
  <c r="AE254" i="3" s="1"/>
  <c r="K182" i="3"/>
  <c r="L186" i="3"/>
  <c r="AE258" i="3" s="1"/>
  <c r="K186" i="3"/>
  <c r="L190" i="3"/>
  <c r="AE262" i="3" s="1"/>
  <c r="K190" i="3"/>
  <c r="L194" i="3"/>
  <c r="AE266" i="3" s="1"/>
  <c r="K194" i="3"/>
  <c r="L198" i="3"/>
  <c r="K198" i="3"/>
  <c r="L202" i="3"/>
  <c r="K202" i="3"/>
  <c r="L206" i="3"/>
  <c r="K206" i="3"/>
  <c r="L216" i="3"/>
  <c r="AE271" i="3" s="1"/>
  <c r="K216" i="3"/>
  <c r="L220" i="3"/>
  <c r="K220" i="3"/>
  <c r="K57" i="13"/>
  <c r="I57" i="13"/>
  <c r="J57" i="13"/>
  <c r="J53" i="13"/>
  <c r="K53" i="13"/>
  <c r="I53" i="13"/>
  <c r="K49" i="13"/>
  <c r="I49" i="13"/>
  <c r="J49" i="13"/>
  <c r="J45" i="13"/>
  <c r="O45" i="13" s="1"/>
  <c r="K45" i="13"/>
  <c r="P45" i="13" s="1"/>
  <c r="I45" i="13"/>
  <c r="N45" i="13" s="1"/>
  <c r="K41" i="13"/>
  <c r="P41" i="13" s="1"/>
  <c r="I41" i="13"/>
  <c r="N41" i="13" s="1"/>
  <c r="J41" i="13"/>
  <c r="O41" i="13" s="1"/>
  <c r="J37" i="13"/>
  <c r="O37" i="13" s="1"/>
  <c r="K37" i="13"/>
  <c r="P37" i="13" s="1"/>
  <c r="I37" i="13"/>
  <c r="N37" i="13" s="1"/>
  <c r="J33" i="13"/>
  <c r="O33" i="13" s="1"/>
  <c r="K33" i="13"/>
  <c r="P33" i="13" s="1"/>
  <c r="I33" i="13"/>
  <c r="N33" i="13" s="1"/>
  <c r="J29" i="13"/>
  <c r="O29" i="13" s="1"/>
  <c r="I29" i="13"/>
  <c r="N29" i="13" s="1"/>
  <c r="K29" i="13"/>
  <c r="P29" i="13" s="1"/>
  <c r="J25" i="13"/>
  <c r="O25" i="13" s="1"/>
  <c r="K25" i="13"/>
  <c r="P25" i="13" s="1"/>
  <c r="I25" i="13"/>
  <c r="N25" i="13" s="1"/>
  <c r="J21" i="13"/>
  <c r="O21" i="13" s="1"/>
  <c r="I21" i="13"/>
  <c r="N21" i="13" s="1"/>
  <c r="K21" i="13"/>
  <c r="P21" i="13" s="1"/>
  <c r="K17" i="13"/>
  <c r="P17" i="13" s="1"/>
  <c r="J17" i="13"/>
  <c r="O17" i="13" s="1"/>
  <c r="I17" i="13"/>
  <c r="N17" i="13" s="1"/>
  <c r="J13" i="13"/>
  <c r="O13" i="13" s="1"/>
  <c r="I13" i="13"/>
  <c r="N13" i="13" s="1"/>
  <c r="K13" i="13"/>
  <c r="P13" i="13" s="1"/>
  <c r="K9" i="13"/>
  <c r="P9" i="13" s="1"/>
  <c r="J9" i="13"/>
  <c r="O9" i="13" s="1"/>
  <c r="I9" i="13"/>
  <c r="N9" i="13" s="1"/>
  <c r="I6" i="13"/>
  <c r="N6" i="13" s="1"/>
  <c r="J6" i="13"/>
  <c r="O6" i="13" s="1"/>
  <c r="K6" i="13"/>
  <c r="P6" i="13" s="1"/>
  <c r="J56" i="13"/>
  <c r="I56" i="13"/>
  <c r="K56" i="13"/>
  <c r="J52" i="13"/>
  <c r="K52" i="13"/>
  <c r="I52" i="13"/>
  <c r="K48" i="13"/>
  <c r="J48" i="13"/>
  <c r="I48" i="13"/>
  <c r="J44" i="13"/>
  <c r="O44" i="13" s="1"/>
  <c r="K44" i="13"/>
  <c r="P44" i="13" s="1"/>
  <c r="I44" i="13"/>
  <c r="N44" i="13" s="1"/>
  <c r="K40" i="13"/>
  <c r="P40" i="13" s="1"/>
  <c r="J40" i="13"/>
  <c r="O40" i="13" s="1"/>
  <c r="I40" i="13"/>
  <c r="N40" i="13" s="1"/>
  <c r="J36" i="13"/>
  <c r="O36" i="13" s="1"/>
  <c r="K36" i="13"/>
  <c r="P36" i="13" s="1"/>
  <c r="I36" i="13"/>
  <c r="N36" i="13" s="1"/>
  <c r="J32" i="13"/>
  <c r="O32" i="13" s="1"/>
  <c r="K32" i="13"/>
  <c r="P32" i="13" s="1"/>
  <c r="I32" i="13"/>
  <c r="N32" i="13" s="1"/>
  <c r="K28" i="13"/>
  <c r="P28" i="13" s="1"/>
  <c r="I28" i="13"/>
  <c r="N28" i="13" s="1"/>
  <c r="J28" i="13"/>
  <c r="O28" i="13" s="1"/>
  <c r="J24" i="13"/>
  <c r="O24" i="13" s="1"/>
  <c r="I24" i="13"/>
  <c r="N24" i="13" s="1"/>
  <c r="K24" i="13"/>
  <c r="P24" i="13" s="1"/>
  <c r="J20" i="13"/>
  <c r="O20" i="13" s="1"/>
  <c r="I20" i="13"/>
  <c r="N20" i="13" s="1"/>
  <c r="K20" i="13"/>
  <c r="P20" i="13" s="1"/>
  <c r="J16" i="13"/>
  <c r="O16" i="13" s="1"/>
  <c r="K16" i="13"/>
  <c r="P16" i="13" s="1"/>
  <c r="I16" i="13"/>
  <c r="N16" i="13" s="1"/>
  <c r="I12" i="13"/>
  <c r="N12" i="13" s="1"/>
  <c r="K12" i="13"/>
  <c r="P12" i="13" s="1"/>
  <c r="J12" i="13"/>
  <c r="O12" i="13" s="1"/>
  <c r="J8" i="13"/>
  <c r="O8" i="13" s="1"/>
  <c r="I8" i="13"/>
  <c r="N8" i="13" s="1"/>
  <c r="K8" i="13"/>
  <c r="P8" i="13" s="1"/>
  <c r="AC53" i="7"/>
  <c r="AC56" i="7"/>
  <c r="AC55" i="7"/>
  <c r="AC58" i="7"/>
  <c r="G6" i="3"/>
  <c r="G8" i="3"/>
  <c r="G10" i="3"/>
  <c r="G12" i="3"/>
  <c r="G14" i="3"/>
  <c r="G16" i="3"/>
  <c r="G18" i="3"/>
  <c r="G20" i="3"/>
  <c r="G22" i="3"/>
  <c r="G24" i="3"/>
  <c r="G26" i="3"/>
  <c r="G28" i="3"/>
  <c r="G30" i="3"/>
  <c r="G32" i="3"/>
  <c r="G34" i="3"/>
  <c r="G36" i="3"/>
  <c r="G38" i="3"/>
  <c r="G40" i="3"/>
  <c r="G42" i="3"/>
  <c r="G44" i="3"/>
  <c r="G46" i="3"/>
  <c r="G48" i="3"/>
  <c r="G50" i="3"/>
  <c r="G52" i="3"/>
  <c r="G54" i="3"/>
  <c r="G56" i="3"/>
  <c r="G58" i="3"/>
  <c r="G67" i="3"/>
  <c r="G69" i="3"/>
  <c r="G71" i="3"/>
  <c r="G80" i="3"/>
  <c r="S81" i="3"/>
  <c r="S82" i="3"/>
  <c r="S83" i="3"/>
  <c r="S84" i="3"/>
  <c r="S85" i="3"/>
  <c r="S93" i="3"/>
  <c r="S94" i="3"/>
  <c r="S95" i="3"/>
  <c r="S96" i="3"/>
  <c r="S97" i="3"/>
  <c r="S98" i="3"/>
  <c r="G100" i="3"/>
  <c r="G102" i="3"/>
  <c r="G104" i="3"/>
  <c r="G106" i="3"/>
  <c r="G108" i="3"/>
  <c r="G110" i="3"/>
  <c r="G112" i="3"/>
  <c r="G114" i="3"/>
  <c r="G116" i="3"/>
  <c r="G118" i="3"/>
  <c r="G120" i="3"/>
  <c r="G122" i="3"/>
  <c r="G124" i="3"/>
  <c r="G126" i="3"/>
  <c r="G128" i="3"/>
  <c r="G130" i="3"/>
  <c r="G132" i="3"/>
  <c r="G134" i="3"/>
  <c r="G136" i="3"/>
  <c r="G138" i="3"/>
  <c r="G140" i="3"/>
  <c r="G142" i="3"/>
  <c r="G144" i="3"/>
  <c r="G146" i="3"/>
  <c r="K157" i="3"/>
  <c r="AE229" i="3"/>
  <c r="K161" i="3"/>
  <c r="L161" i="3"/>
  <c r="AE233" i="3" s="1"/>
  <c r="L169" i="3"/>
  <c r="AE241" i="3" s="1"/>
  <c r="K169" i="3"/>
  <c r="L173" i="3"/>
  <c r="AE245" i="3" s="1"/>
  <c r="K173" i="3"/>
  <c r="L177" i="3"/>
  <c r="AE249" i="3" s="1"/>
  <c r="K177" i="3"/>
  <c r="L181" i="3"/>
  <c r="AE253" i="3" s="1"/>
  <c r="K181" i="3"/>
  <c r="L185" i="3"/>
  <c r="AE257" i="3" s="1"/>
  <c r="K185" i="3"/>
  <c r="L189" i="3"/>
  <c r="AE261" i="3" s="1"/>
  <c r="K189" i="3"/>
  <c r="L193" i="3"/>
  <c r="AE265" i="3" s="1"/>
  <c r="K193" i="3"/>
  <c r="L197" i="3"/>
  <c r="K197" i="3"/>
  <c r="L201" i="3"/>
  <c r="K201" i="3"/>
  <c r="L205" i="3"/>
  <c r="K205" i="3"/>
  <c r="L215" i="3"/>
  <c r="AE270" i="3" s="1"/>
  <c r="K215" i="3"/>
  <c r="K219" i="3"/>
  <c r="L219" i="3"/>
  <c r="AE274" i="3" s="1"/>
  <c r="S7" i="3"/>
  <c r="S9" i="3"/>
  <c r="S11" i="3"/>
  <c r="S13" i="3"/>
  <c r="S15" i="3"/>
  <c r="S17" i="3"/>
  <c r="S19" i="3"/>
  <c r="S21" i="3"/>
  <c r="S23" i="3"/>
  <c r="S25" i="3"/>
  <c r="S27" i="3"/>
  <c r="S29" i="3"/>
  <c r="S31" i="3"/>
  <c r="S33" i="3"/>
  <c r="S35" i="3"/>
  <c r="S37" i="3"/>
  <c r="S39" i="3"/>
  <c r="S41" i="3"/>
  <c r="S43" i="3"/>
  <c r="S45" i="3"/>
  <c r="S47" i="3"/>
  <c r="S49" i="3"/>
  <c r="S51" i="3"/>
  <c r="S53" i="3"/>
  <c r="S55" i="3"/>
  <c r="S57" i="3"/>
  <c r="S59" i="3"/>
  <c r="S68" i="3"/>
  <c r="S70" i="3"/>
  <c r="S72" i="3"/>
  <c r="AE228" i="3"/>
  <c r="K156" i="3"/>
  <c r="L160" i="3"/>
  <c r="AE232" i="3" s="1"/>
  <c r="K160" i="3"/>
  <c r="L164" i="3"/>
  <c r="AE236" i="3" s="1"/>
  <c r="K164" i="3"/>
  <c r="K168" i="3"/>
  <c r="L172" i="3"/>
  <c r="AE244" i="3" s="1"/>
  <c r="K172" i="3"/>
  <c r="L176" i="3"/>
  <c r="AE248" i="3" s="1"/>
  <c r="K176" i="3"/>
  <c r="L180" i="3"/>
  <c r="AE252" i="3" s="1"/>
  <c r="K180" i="3"/>
  <c r="L184" i="3"/>
  <c r="AE256" i="3" s="1"/>
  <c r="K184" i="3"/>
  <c r="L188" i="3"/>
  <c r="AE260" i="3" s="1"/>
  <c r="K188" i="3"/>
  <c r="L192" i="3"/>
  <c r="AE264" i="3" s="1"/>
  <c r="K192" i="3"/>
  <c r="L196" i="3"/>
  <c r="K196" i="3"/>
  <c r="L200" i="3"/>
  <c r="K200" i="3"/>
  <c r="L204" i="3"/>
  <c r="K204" i="3"/>
  <c r="L208" i="3"/>
  <c r="K208" i="3"/>
  <c r="L218" i="3"/>
  <c r="AE273" i="3" s="1"/>
  <c r="K218" i="3"/>
  <c r="I59" i="13"/>
  <c r="J59" i="13"/>
  <c r="K59" i="13"/>
  <c r="I55" i="13"/>
  <c r="J55" i="13"/>
  <c r="K55" i="13"/>
  <c r="J51" i="13"/>
  <c r="I51" i="13"/>
  <c r="K51" i="13"/>
  <c r="I47" i="13"/>
  <c r="K47" i="13"/>
  <c r="J47" i="13"/>
  <c r="I43" i="13"/>
  <c r="N43" i="13" s="1"/>
  <c r="K43" i="13"/>
  <c r="P43" i="13" s="1"/>
  <c r="J43" i="13"/>
  <c r="O43" i="13" s="1"/>
  <c r="I39" i="13"/>
  <c r="N39" i="13" s="1"/>
  <c r="J39" i="13"/>
  <c r="O39" i="13" s="1"/>
  <c r="K39" i="13"/>
  <c r="P39" i="13" s="1"/>
  <c r="I35" i="13"/>
  <c r="N35" i="13" s="1"/>
  <c r="J35" i="13"/>
  <c r="O35" i="13" s="1"/>
  <c r="K35" i="13"/>
  <c r="P35" i="13" s="1"/>
  <c r="I31" i="13"/>
  <c r="N31" i="13" s="1"/>
  <c r="J31" i="13"/>
  <c r="O31" i="13" s="1"/>
  <c r="K31" i="13"/>
  <c r="P31" i="13" s="1"/>
  <c r="I27" i="13"/>
  <c r="N27" i="13" s="1"/>
  <c r="J27" i="13"/>
  <c r="O27" i="13" s="1"/>
  <c r="K27" i="13"/>
  <c r="P27" i="13" s="1"/>
  <c r="I23" i="13"/>
  <c r="N23" i="13" s="1"/>
  <c r="J23" i="13"/>
  <c r="O23" i="13" s="1"/>
  <c r="K23" i="13"/>
  <c r="P23" i="13" s="1"/>
  <c r="J19" i="13"/>
  <c r="O19" i="13" s="1"/>
  <c r="I19" i="13"/>
  <c r="N19" i="13" s="1"/>
  <c r="K19" i="13"/>
  <c r="P19" i="13" s="1"/>
  <c r="I15" i="13"/>
  <c r="N15" i="13" s="1"/>
  <c r="J15" i="13"/>
  <c r="O15" i="13" s="1"/>
  <c r="K15" i="13"/>
  <c r="P15" i="13" s="1"/>
  <c r="J11" i="13"/>
  <c r="O11" i="13" s="1"/>
  <c r="I11" i="13"/>
  <c r="N11" i="13" s="1"/>
  <c r="K11" i="13"/>
  <c r="P11" i="13" s="1"/>
  <c r="I7" i="13"/>
  <c r="N7" i="13" s="1"/>
  <c r="J7" i="13"/>
  <c r="O7" i="13" s="1"/>
  <c r="K7" i="13"/>
  <c r="P7" i="13" s="1"/>
  <c r="J58" i="13"/>
  <c r="K58" i="13"/>
  <c r="I58" i="13"/>
  <c r="J54" i="13"/>
  <c r="I54" i="13"/>
  <c r="K54" i="13"/>
  <c r="J50" i="13"/>
  <c r="K50" i="13"/>
  <c r="I50" i="13"/>
  <c r="J46" i="13"/>
  <c r="I46" i="13"/>
  <c r="K46" i="13"/>
  <c r="J42" i="13"/>
  <c r="O42" i="13" s="1"/>
  <c r="K42" i="13"/>
  <c r="P42" i="13" s="1"/>
  <c r="I42" i="13"/>
  <c r="N42" i="13" s="1"/>
  <c r="J38" i="13"/>
  <c r="O38" i="13" s="1"/>
  <c r="I38" i="13"/>
  <c r="N38" i="13" s="1"/>
  <c r="K38" i="13"/>
  <c r="P38" i="13" s="1"/>
  <c r="J34" i="13"/>
  <c r="O34" i="13" s="1"/>
  <c r="K34" i="13"/>
  <c r="P34" i="13" s="1"/>
  <c r="I34" i="13"/>
  <c r="N34" i="13" s="1"/>
  <c r="J30" i="13"/>
  <c r="O30" i="13" s="1"/>
  <c r="I30" i="13"/>
  <c r="N30" i="13" s="1"/>
  <c r="K30" i="13"/>
  <c r="P30" i="13" s="1"/>
  <c r="I26" i="13"/>
  <c r="N26" i="13" s="1"/>
  <c r="J26" i="13"/>
  <c r="O26" i="13" s="1"/>
  <c r="K26" i="13"/>
  <c r="P26" i="13" s="1"/>
  <c r="J22" i="13"/>
  <c r="O22" i="13" s="1"/>
  <c r="I22" i="13"/>
  <c r="N22" i="13" s="1"/>
  <c r="K22" i="13"/>
  <c r="P22" i="13" s="1"/>
  <c r="J18" i="13"/>
  <c r="O18" i="13" s="1"/>
  <c r="K18" i="13"/>
  <c r="P18" i="13" s="1"/>
  <c r="I18" i="13"/>
  <c r="N18" i="13" s="1"/>
  <c r="J14" i="13"/>
  <c r="O14" i="13" s="1"/>
  <c r="I14" i="13"/>
  <c r="N14" i="13" s="1"/>
  <c r="K14" i="13"/>
  <c r="P14" i="13" s="1"/>
  <c r="I10" i="13"/>
  <c r="N10" i="13" s="1"/>
  <c r="J10" i="13"/>
  <c r="O10" i="13" s="1"/>
  <c r="K10" i="13"/>
  <c r="P10" i="13" s="1"/>
  <c r="K6" i="12"/>
  <c r="J6" i="12"/>
  <c r="I6" i="12"/>
  <c r="G82" i="7"/>
  <c r="S82" i="7"/>
  <c r="G96" i="7"/>
  <c r="S96" i="7"/>
  <c r="T96" i="7"/>
  <c r="G110" i="7"/>
  <c r="G124" i="7"/>
  <c r="G6" i="2"/>
  <c r="K66" i="13"/>
  <c r="I66" i="13"/>
  <c r="J66" i="13"/>
  <c r="Y6" i="11"/>
  <c r="AG6" i="11" s="1"/>
  <c r="W6" i="11"/>
  <c r="V6" i="11"/>
  <c r="AF6" i="11" s="1"/>
  <c r="Z6" i="11"/>
  <c r="T6" i="11"/>
  <c r="S6" i="11"/>
  <c r="AE6" i="11" s="1"/>
  <c r="G13" i="7"/>
  <c r="S12" i="7"/>
  <c r="G29" i="7"/>
  <c r="S45" i="7"/>
  <c r="S55" i="7"/>
  <c r="S69" i="7"/>
  <c r="S84" i="7"/>
  <c r="G112" i="7"/>
  <c r="G126" i="7"/>
  <c r="G14" i="7"/>
  <c r="S13" i="7"/>
  <c r="G43" i="7"/>
  <c r="S43" i="7"/>
  <c r="G74" i="7"/>
  <c r="G86" i="7"/>
  <c r="G100" i="7"/>
  <c r="S100" i="7"/>
  <c r="S113" i="7"/>
  <c r="S128" i="7"/>
  <c r="G44" i="7"/>
  <c r="S40" i="7"/>
  <c r="G56" i="7"/>
  <c r="G68" i="7"/>
  <c r="S72" i="7"/>
  <c r="G87" i="7"/>
  <c r="S87" i="7"/>
  <c r="S99" i="7"/>
  <c r="S111" i="7"/>
  <c r="G125" i="7"/>
  <c r="S129" i="7"/>
  <c r="H53" i="6"/>
  <c r="G53" i="6"/>
  <c r="H37" i="6"/>
  <c r="W110" i="6" s="1"/>
  <c r="G37" i="6"/>
  <c r="H29" i="6"/>
  <c r="W102" i="6" s="1"/>
  <c r="G29" i="6"/>
  <c r="H13" i="6"/>
  <c r="W86" i="6" s="1"/>
  <c r="G13" i="6"/>
  <c r="G71" i="6"/>
  <c r="H71" i="6"/>
  <c r="G9" i="6"/>
  <c r="H9" i="6"/>
  <c r="W82" i="6" s="1"/>
  <c r="H51" i="6"/>
  <c r="G51" i="6"/>
  <c r="G43" i="6"/>
  <c r="H43" i="6"/>
  <c r="W116" i="6" s="1"/>
  <c r="G35" i="6"/>
  <c r="H35" i="6"/>
  <c r="W108" i="6" s="1"/>
  <c r="H27" i="6"/>
  <c r="W100" i="6" s="1"/>
  <c r="G27" i="6"/>
  <c r="G19" i="6"/>
  <c r="H19" i="6"/>
  <c r="W92" i="6" s="1"/>
  <c r="H58" i="6"/>
  <c r="G58" i="6"/>
  <c r="H10" i="6"/>
  <c r="W83" i="6" s="1"/>
  <c r="G10" i="6"/>
  <c r="H56" i="6"/>
  <c r="G56" i="6"/>
  <c r="H52" i="6"/>
  <c r="G52" i="6"/>
  <c r="H48" i="6"/>
  <c r="G48" i="6"/>
  <c r="H44" i="6"/>
  <c r="W117" i="6" s="1"/>
  <c r="G44" i="6"/>
  <c r="H40" i="6"/>
  <c r="W113" i="6" s="1"/>
  <c r="G40" i="6"/>
  <c r="H36" i="6"/>
  <c r="W109" i="6" s="1"/>
  <c r="G36" i="6"/>
  <c r="H32" i="6"/>
  <c r="W105" i="6" s="1"/>
  <c r="G32" i="6"/>
  <c r="H28" i="6"/>
  <c r="W101" i="6" s="1"/>
  <c r="G28" i="6"/>
  <c r="H24" i="6"/>
  <c r="W97" i="6" s="1"/>
  <c r="G24" i="6"/>
  <c r="H20" i="6"/>
  <c r="W93" i="6" s="1"/>
  <c r="G20" i="6"/>
  <c r="H16" i="6"/>
  <c r="W89" i="6" s="1"/>
  <c r="G16" i="6"/>
  <c r="H12" i="6"/>
  <c r="W85" i="6" s="1"/>
  <c r="G12" i="6"/>
  <c r="G68" i="6"/>
  <c r="H68" i="6"/>
  <c r="H72" i="6"/>
  <c r="G72" i="6"/>
  <c r="G9" i="2"/>
  <c r="G56" i="2"/>
  <c r="G51" i="2"/>
  <c r="G47" i="2"/>
  <c r="G43" i="2"/>
  <c r="G39" i="2"/>
  <c r="G35" i="2"/>
  <c r="G31" i="2"/>
  <c r="G27" i="2"/>
  <c r="G23" i="2"/>
  <c r="G19" i="2"/>
  <c r="G15" i="2"/>
  <c r="G58" i="2"/>
  <c r="T8" i="2"/>
  <c r="T12" i="2"/>
  <c r="T16" i="2"/>
  <c r="T20" i="2"/>
  <c r="T24" i="2"/>
  <c r="T28" i="2"/>
  <c r="T32" i="2"/>
  <c r="T36" i="2"/>
  <c r="T40" i="2"/>
  <c r="T44" i="2"/>
  <c r="T48" i="2"/>
  <c r="T52" i="2"/>
  <c r="T56" i="2"/>
  <c r="G53" i="2"/>
  <c r="G70" i="2"/>
  <c r="T68" i="2"/>
  <c r="T72" i="2"/>
  <c r="G83" i="2"/>
  <c r="T81" i="2"/>
  <c r="T85" i="2"/>
  <c r="T96" i="2"/>
  <c r="U96" i="2"/>
  <c r="H94" i="2"/>
  <c r="G94" i="2"/>
  <c r="G144" i="2"/>
  <c r="H144" i="2"/>
  <c r="H140" i="2"/>
  <c r="G140" i="2"/>
  <c r="H136" i="2"/>
  <c r="G136" i="2"/>
  <c r="H132" i="2"/>
  <c r="G132" i="2"/>
  <c r="H128" i="2"/>
  <c r="G128" i="2"/>
  <c r="H124" i="2"/>
  <c r="G124" i="2"/>
  <c r="H120" i="2"/>
  <c r="G120" i="2"/>
  <c r="G116" i="2"/>
  <c r="H116" i="2"/>
  <c r="G112" i="2"/>
  <c r="H112" i="2"/>
  <c r="H108" i="2"/>
  <c r="G108" i="2"/>
  <c r="H104" i="2"/>
  <c r="G104" i="2"/>
  <c r="H100" i="2"/>
  <c r="G100" i="2"/>
  <c r="H146" i="2"/>
  <c r="G146" i="2"/>
  <c r="M158" i="2"/>
  <c r="L158" i="2"/>
  <c r="L203" i="2"/>
  <c r="M203" i="2"/>
  <c r="M198" i="2"/>
  <c r="L198" i="2"/>
  <c r="M194" i="2"/>
  <c r="L194" i="2"/>
  <c r="M190" i="2"/>
  <c r="L190" i="2"/>
  <c r="M186" i="2"/>
  <c r="L186" i="2"/>
  <c r="L182" i="2"/>
  <c r="M182" i="2"/>
  <c r="M178" i="2"/>
  <c r="L178" i="2"/>
  <c r="L174" i="2"/>
  <c r="M174" i="2"/>
  <c r="M170" i="2"/>
  <c r="L170" i="2"/>
  <c r="L166" i="2"/>
  <c r="M166" i="2"/>
  <c r="L162" i="2"/>
  <c r="M162" i="2"/>
  <c r="L207" i="2"/>
  <c r="M207" i="2"/>
  <c r="M216" i="2"/>
  <c r="L216" i="2"/>
  <c r="L219" i="2"/>
  <c r="M219" i="2"/>
  <c r="G57" i="2"/>
  <c r="G52" i="2"/>
  <c r="G48" i="2"/>
  <c r="G44" i="2"/>
  <c r="G40" i="2"/>
  <c r="G36" i="2"/>
  <c r="G32" i="2"/>
  <c r="G28" i="2"/>
  <c r="G24" i="2"/>
  <c r="G20" i="2"/>
  <c r="G16" i="2"/>
  <c r="G12" i="2"/>
  <c r="T7" i="2"/>
  <c r="T11" i="2"/>
  <c r="T15" i="2"/>
  <c r="T19" i="2"/>
  <c r="T23" i="2"/>
  <c r="T27" i="2"/>
  <c r="T31" i="2"/>
  <c r="T35" i="2"/>
  <c r="T39" i="2"/>
  <c r="T43" i="2"/>
  <c r="T47" i="2"/>
  <c r="T51" i="2"/>
  <c r="T55" i="2"/>
  <c r="T59" i="2"/>
  <c r="G69" i="2"/>
  <c r="T67" i="2"/>
  <c r="T71" i="2"/>
  <c r="G82" i="2"/>
  <c r="T80" i="2"/>
  <c r="T84" i="2"/>
  <c r="T95" i="2"/>
  <c r="U95" i="2"/>
  <c r="G93" i="2"/>
  <c r="H97" i="2"/>
  <c r="G97" i="2"/>
  <c r="G141" i="2"/>
  <c r="H141" i="2"/>
  <c r="H137" i="2"/>
  <c r="G137" i="2"/>
  <c r="G133" i="2"/>
  <c r="H133" i="2"/>
  <c r="H129" i="2"/>
  <c r="G129" i="2"/>
  <c r="H125" i="2"/>
  <c r="G125" i="2"/>
  <c r="H121" i="2"/>
  <c r="G121" i="2"/>
  <c r="H117" i="2"/>
  <c r="G117" i="2"/>
  <c r="G113" i="2"/>
  <c r="H113" i="2"/>
  <c r="G109" i="2"/>
  <c r="H109" i="2"/>
  <c r="H105" i="2"/>
  <c r="G105" i="2"/>
  <c r="G101" i="2"/>
  <c r="H101" i="2"/>
  <c r="H145" i="2"/>
  <c r="G145" i="2"/>
  <c r="L157" i="2"/>
  <c r="M204" i="2"/>
  <c r="L204" i="2"/>
  <c r="L199" i="2"/>
  <c r="M199" i="2"/>
  <c r="L195" i="2"/>
  <c r="M195" i="2"/>
  <c r="L191" i="2"/>
  <c r="M191" i="2"/>
  <c r="L187" i="2"/>
  <c r="M187" i="2"/>
  <c r="L183" i="2"/>
  <c r="M183" i="2"/>
  <c r="L179" i="2"/>
  <c r="M179" i="2"/>
  <c r="L175" i="2"/>
  <c r="M175" i="2"/>
  <c r="L171" i="2"/>
  <c r="M171" i="2"/>
  <c r="L167" i="2"/>
  <c r="M167" i="2"/>
  <c r="L163" i="2"/>
  <c r="M163" i="2"/>
  <c r="L206" i="2"/>
  <c r="M206" i="2"/>
  <c r="M215" i="2"/>
  <c r="L215" i="2"/>
  <c r="L220" i="2"/>
  <c r="M220" i="2"/>
  <c r="G10" i="14"/>
  <c r="H10" i="14"/>
  <c r="G20" i="14"/>
  <c r="H20" i="14"/>
  <c r="G22" i="14"/>
  <c r="H22" i="14"/>
  <c r="AL13" i="14" s="1"/>
  <c r="G24" i="14"/>
  <c r="H24" i="14"/>
  <c r="G26" i="14"/>
  <c r="H26" i="14"/>
  <c r="T7" i="14"/>
  <c r="S7" i="14"/>
  <c r="T9" i="14"/>
  <c r="S9" i="14"/>
  <c r="S11" i="14"/>
  <c r="T11" i="14"/>
  <c r="T13" i="14"/>
  <c r="S13" i="14"/>
  <c r="G49" i="14"/>
  <c r="G52" i="14"/>
  <c r="G36" i="14"/>
  <c r="H36" i="14"/>
  <c r="AN13" i="14" s="1"/>
  <c r="S97" i="14"/>
  <c r="T97" i="14"/>
  <c r="S93" i="14"/>
  <c r="T93" i="14"/>
  <c r="T104" i="14"/>
  <c r="S104" i="14"/>
  <c r="S108" i="14"/>
  <c r="T108" i="14"/>
  <c r="T77" i="14"/>
  <c r="S77" i="14"/>
  <c r="T79" i="14"/>
  <c r="S79" i="14"/>
  <c r="T81" i="14"/>
  <c r="S81" i="14"/>
  <c r="S83" i="14"/>
  <c r="T83" i="14"/>
  <c r="S25" i="14"/>
  <c r="T25" i="14"/>
  <c r="T41" i="14"/>
  <c r="S41" i="14"/>
  <c r="T37" i="14"/>
  <c r="S37" i="14"/>
  <c r="S64" i="14"/>
  <c r="T64" i="14"/>
  <c r="AJ28" i="14" s="1"/>
  <c r="S68" i="14"/>
  <c r="T68" i="14"/>
  <c r="G65" i="14"/>
  <c r="H65" i="14"/>
  <c r="G67" i="14"/>
  <c r="H67" i="14"/>
  <c r="H69" i="14"/>
  <c r="G69" i="14"/>
  <c r="G25" i="7"/>
  <c r="G41" i="7"/>
  <c r="G59" i="7"/>
  <c r="G69" i="7"/>
  <c r="G84" i="7"/>
  <c r="G98" i="7"/>
  <c r="S102" i="7"/>
  <c r="S116" i="7"/>
  <c r="S126" i="7"/>
  <c r="G8" i="7"/>
  <c r="S16" i="7"/>
  <c r="G26" i="7"/>
  <c r="G32" i="7"/>
  <c r="G57" i="7"/>
  <c r="S57" i="7"/>
  <c r="S71" i="7"/>
  <c r="S86" i="7"/>
  <c r="G114" i="7"/>
  <c r="G128" i="7"/>
  <c r="G40" i="7"/>
  <c r="S42" i="7"/>
  <c r="G54" i="7"/>
  <c r="S54" i="7"/>
  <c r="S58" i="7"/>
  <c r="G73" i="7"/>
  <c r="S68" i="7"/>
  <c r="G83" i="7"/>
  <c r="S83" i="7"/>
  <c r="G97" i="7"/>
  <c r="G101" i="7"/>
  <c r="S97" i="7"/>
  <c r="G111" i="7"/>
  <c r="G115" i="7"/>
  <c r="S112" i="7"/>
  <c r="G129" i="7"/>
  <c r="S125" i="7"/>
  <c r="G11" i="6"/>
  <c r="H11" i="6"/>
  <c r="W84" i="6" s="1"/>
  <c r="H45" i="6"/>
  <c r="W118" i="6" s="1"/>
  <c r="G45" i="6"/>
  <c r="H21" i="6"/>
  <c r="W94" i="6" s="1"/>
  <c r="G21" i="6"/>
  <c r="G9" i="7"/>
  <c r="G15" i="7"/>
  <c r="S8" i="7"/>
  <c r="S14" i="7"/>
  <c r="G27" i="7"/>
  <c r="G30" i="7"/>
  <c r="G45" i="7"/>
  <c r="S41" i="7"/>
  <c r="G55" i="7"/>
  <c r="S59" i="7"/>
  <c r="G72" i="7"/>
  <c r="S73" i="7"/>
  <c r="G88" i="7"/>
  <c r="S88" i="7"/>
  <c r="G102" i="7"/>
  <c r="S98" i="7"/>
  <c r="G116" i="7"/>
  <c r="S117" i="7"/>
  <c r="G130" i="7"/>
  <c r="S130" i="7"/>
  <c r="G12" i="7"/>
  <c r="G16" i="7"/>
  <c r="S9" i="7"/>
  <c r="S15" i="7"/>
  <c r="G28" i="7"/>
  <c r="G39" i="7"/>
  <c r="S39" i="7"/>
  <c r="G53" i="7"/>
  <c r="G67" i="7"/>
  <c r="S67" i="7"/>
  <c r="S110" i="7"/>
  <c r="S124" i="7"/>
  <c r="G31" i="7"/>
  <c r="G42" i="7"/>
  <c r="G46" i="7"/>
  <c r="S44" i="7"/>
  <c r="S46" i="7"/>
  <c r="G58" i="7"/>
  <c r="G60" i="7"/>
  <c r="S56" i="7"/>
  <c r="S60" i="7"/>
  <c r="G70" i="7"/>
  <c r="G71" i="7"/>
  <c r="S70" i="7"/>
  <c r="S74" i="7"/>
  <c r="G85" i="7"/>
  <c r="G89" i="7"/>
  <c r="S85" i="7"/>
  <c r="S89" i="7"/>
  <c r="G99" i="7"/>
  <c r="G103" i="7"/>
  <c r="S101" i="7"/>
  <c r="S103" i="7"/>
  <c r="G113" i="7"/>
  <c r="G117" i="7"/>
  <c r="S114" i="7"/>
  <c r="S115" i="7"/>
  <c r="G127" i="7"/>
  <c r="G131" i="7"/>
  <c r="S127" i="7"/>
  <c r="S131" i="7"/>
  <c r="H57" i="6"/>
  <c r="G57" i="6"/>
  <c r="H49" i="6"/>
  <c r="G49" i="6"/>
  <c r="H41" i="6"/>
  <c r="W114" i="6" s="1"/>
  <c r="G41" i="6"/>
  <c r="H33" i="6"/>
  <c r="W106" i="6" s="1"/>
  <c r="G33" i="6"/>
  <c r="H25" i="6"/>
  <c r="W98" i="6" s="1"/>
  <c r="G25" i="6"/>
  <c r="H17" i="6"/>
  <c r="W90" i="6" s="1"/>
  <c r="G17" i="6"/>
  <c r="H67" i="6"/>
  <c r="G67" i="6"/>
  <c r="W79" i="6"/>
  <c r="G6" i="6"/>
  <c r="G55" i="6"/>
  <c r="H55" i="6"/>
  <c r="H47" i="6"/>
  <c r="G47" i="6"/>
  <c r="H39" i="6"/>
  <c r="W112" i="6" s="1"/>
  <c r="G39" i="6"/>
  <c r="G31" i="6"/>
  <c r="H31" i="6"/>
  <c r="W104" i="6" s="1"/>
  <c r="H23" i="6"/>
  <c r="W96" i="6" s="1"/>
  <c r="G23" i="6"/>
  <c r="H15" i="6"/>
  <c r="W88" i="6" s="1"/>
  <c r="G15" i="6"/>
  <c r="H69" i="6"/>
  <c r="G69" i="6"/>
  <c r="H7" i="6"/>
  <c r="W80" i="6" s="1"/>
  <c r="G7" i="6"/>
  <c r="G8" i="6"/>
  <c r="H8" i="6"/>
  <c r="W81" i="6" s="1"/>
  <c r="H54" i="6"/>
  <c r="G54" i="6"/>
  <c r="H50" i="6"/>
  <c r="G50" i="6"/>
  <c r="H46" i="6"/>
  <c r="G46" i="6"/>
  <c r="H42" i="6"/>
  <c r="W115" i="6" s="1"/>
  <c r="G42" i="6"/>
  <c r="H38" i="6"/>
  <c r="W111" i="6" s="1"/>
  <c r="G38" i="6"/>
  <c r="H34" i="6"/>
  <c r="W107" i="6" s="1"/>
  <c r="G34" i="6"/>
  <c r="H30" i="6"/>
  <c r="W103" i="6" s="1"/>
  <c r="G30" i="6"/>
  <c r="H26" i="6"/>
  <c r="W99" i="6" s="1"/>
  <c r="G26" i="6"/>
  <c r="H22" i="6"/>
  <c r="W95" i="6" s="1"/>
  <c r="G22" i="6"/>
  <c r="H18" i="6"/>
  <c r="W91" i="6" s="1"/>
  <c r="G18" i="6"/>
  <c r="H14" i="6"/>
  <c r="W87" i="6" s="1"/>
  <c r="G14" i="6"/>
  <c r="G59" i="6"/>
  <c r="H59" i="6"/>
  <c r="G70" i="6"/>
  <c r="H70" i="6"/>
  <c r="G7" i="2"/>
  <c r="G11" i="2"/>
  <c r="G54" i="2"/>
  <c r="G49" i="2"/>
  <c r="G45" i="2"/>
  <c r="G41" i="2"/>
  <c r="G37" i="2"/>
  <c r="G33" i="2"/>
  <c r="G29" i="2"/>
  <c r="G25" i="2"/>
  <c r="G21" i="2"/>
  <c r="G17" i="2"/>
  <c r="G13" i="2"/>
  <c r="T6" i="2"/>
  <c r="T10" i="2"/>
  <c r="T14" i="2"/>
  <c r="T18" i="2"/>
  <c r="T22" i="2"/>
  <c r="T26" i="2"/>
  <c r="T30" i="2"/>
  <c r="T34" i="2"/>
  <c r="T38" i="2"/>
  <c r="T42" i="2"/>
  <c r="T46" i="2"/>
  <c r="T50" i="2"/>
  <c r="T54" i="2"/>
  <c r="T58" i="2"/>
  <c r="G68" i="2"/>
  <c r="G72" i="2"/>
  <c r="T70" i="2"/>
  <c r="G81" i="2"/>
  <c r="G85" i="2"/>
  <c r="T83" i="2"/>
  <c r="U94" i="2"/>
  <c r="T94" i="2"/>
  <c r="T98" i="2"/>
  <c r="U98" i="2"/>
  <c r="G96" i="2"/>
  <c r="H96" i="2"/>
  <c r="H142" i="2"/>
  <c r="G142" i="2"/>
  <c r="H138" i="2"/>
  <c r="G138" i="2"/>
  <c r="G134" i="2"/>
  <c r="H134" i="2"/>
  <c r="H130" i="2"/>
  <c r="G130" i="2"/>
  <c r="G126" i="2"/>
  <c r="H126" i="2"/>
  <c r="H122" i="2"/>
  <c r="G122" i="2"/>
  <c r="H118" i="2"/>
  <c r="G118" i="2"/>
  <c r="H114" i="2"/>
  <c r="G114" i="2"/>
  <c r="H110" i="2"/>
  <c r="G110" i="2"/>
  <c r="H106" i="2"/>
  <c r="G106" i="2"/>
  <c r="G102" i="2"/>
  <c r="H102" i="2"/>
  <c r="H98" i="2"/>
  <c r="G98" i="2"/>
  <c r="M156" i="2"/>
  <c r="L156" i="2"/>
  <c r="M205" i="2"/>
  <c r="L205" i="2"/>
  <c r="M200" i="2"/>
  <c r="L200" i="2"/>
  <c r="M196" i="2"/>
  <c r="L196" i="2"/>
  <c r="M192" i="2"/>
  <c r="L192" i="2"/>
  <c r="M188" i="2"/>
  <c r="L188" i="2"/>
  <c r="M184" i="2"/>
  <c r="L184" i="2"/>
  <c r="M180" i="2"/>
  <c r="L180" i="2"/>
  <c r="M176" i="2"/>
  <c r="L176" i="2"/>
  <c r="M172" i="2"/>
  <c r="L172" i="2"/>
  <c r="M168" i="2"/>
  <c r="L168" i="2"/>
  <c r="M164" i="2"/>
  <c r="L164" i="2"/>
  <c r="M160" i="2"/>
  <c r="L160" i="2"/>
  <c r="M202" i="2"/>
  <c r="L202" i="2"/>
  <c r="M218" i="2"/>
  <c r="L218" i="2"/>
  <c r="G10" i="2"/>
  <c r="G55" i="2"/>
  <c r="G50" i="2"/>
  <c r="G46" i="2"/>
  <c r="G42" i="2"/>
  <c r="G38" i="2"/>
  <c r="G34" i="2"/>
  <c r="G30" i="2"/>
  <c r="G26" i="2"/>
  <c r="G22" i="2"/>
  <c r="G18" i="2"/>
  <c r="G14" i="2"/>
  <c r="G59" i="2"/>
  <c r="T9" i="2"/>
  <c r="T13" i="2"/>
  <c r="T17" i="2"/>
  <c r="T21" i="2"/>
  <c r="T25" i="2"/>
  <c r="T29" i="2"/>
  <c r="T33" i="2"/>
  <c r="T37" i="2"/>
  <c r="T41" i="2"/>
  <c r="T45" i="2"/>
  <c r="T49" i="2"/>
  <c r="T53" i="2"/>
  <c r="T57" i="2"/>
  <c r="G67" i="2"/>
  <c r="G71" i="2"/>
  <c r="T69" i="2"/>
  <c r="G80" i="2"/>
  <c r="G84" i="2"/>
  <c r="T82" i="2"/>
  <c r="U93" i="2"/>
  <c r="T93" i="2"/>
  <c r="T97" i="2"/>
  <c r="U97" i="2"/>
  <c r="H95" i="2"/>
  <c r="G95" i="2"/>
  <c r="G143" i="2"/>
  <c r="H143" i="2"/>
  <c r="H139" i="2"/>
  <c r="G139" i="2"/>
  <c r="G135" i="2"/>
  <c r="H135" i="2"/>
  <c r="H131" i="2"/>
  <c r="G131" i="2"/>
  <c r="H127" i="2"/>
  <c r="G127" i="2"/>
  <c r="G123" i="2"/>
  <c r="H123" i="2"/>
  <c r="H119" i="2"/>
  <c r="G119" i="2"/>
  <c r="G115" i="2"/>
  <c r="H115" i="2"/>
  <c r="H111" i="2"/>
  <c r="G111" i="2"/>
  <c r="G107" i="2"/>
  <c r="H107" i="2"/>
  <c r="G103" i="2"/>
  <c r="H103" i="2"/>
  <c r="G99" i="2"/>
  <c r="H99" i="2"/>
  <c r="M155" i="2"/>
  <c r="L155" i="2"/>
  <c r="L159" i="2"/>
  <c r="M159" i="2"/>
  <c r="L201" i="2"/>
  <c r="M201" i="2"/>
  <c r="M197" i="2"/>
  <c r="L197" i="2"/>
  <c r="L193" i="2"/>
  <c r="M193" i="2"/>
  <c r="L189" i="2"/>
  <c r="M189" i="2"/>
  <c r="M185" i="2"/>
  <c r="L185" i="2"/>
  <c r="M181" i="2"/>
  <c r="L181" i="2"/>
  <c r="L177" i="2"/>
  <c r="M177" i="2"/>
  <c r="M173" i="2"/>
  <c r="L173" i="2"/>
  <c r="L169" i="2"/>
  <c r="M169" i="2"/>
  <c r="L165" i="2"/>
  <c r="M165" i="2"/>
  <c r="M161" i="2"/>
  <c r="L161" i="2"/>
  <c r="L208" i="2"/>
  <c r="M208" i="2"/>
  <c r="L217" i="2"/>
  <c r="H12" i="14"/>
  <c r="G12" i="14"/>
  <c r="G8" i="14"/>
  <c r="H8" i="14"/>
  <c r="AJ13" i="14" s="1"/>
  <c r="H21" i="14"/>
  <c r="G21" i="14"/>
  <c r="H23" i="14"/>
  <c r="G23" i="14"/>
  <c r="G25" i="14"/>
  <c r="H25" i="14"/>
  <c r="H27" i="14"/>
  <c r="G27" i="14"/>
  <c r="T8" i="14"/>
  <c r="AP28" i="14" s="1"/>
  <c r="S8" i="14"/>
  <c r="S10" i="14"/>
  <c r="T10" i="14"/>
  <c r="T12" i="14"/>
  <c r="S12" i="14"/>
  <c r="G50" i="14"/>
  <c r="G54" i="14"/>
  <c r="H35" i="14"/>
  <c r="G35" i="14"/>
  <c r="G37" i="14"/>
  <c r="H37" i="14"/>
  <c r="S95" i="14"/>
  <c r="T95" i="14"/>
  <c r="S91" i="14"/>
  <c r="T91" i="14"/>
  <c r="S106" i="14"/>
  <c r="T106" i="14"/>
  <c r="AR43" i="14" s="1"/>
  <c r="S110" i="14"/>
  <c r="T110" i="14"/>
  <c r="T78" i="14"/>
  <c r="AR13" i="14" s="1"/>
  <c r="S78" i="14"/>
  <c r="T80" i="14"/>
  <c r="S80" i="14"/>
  <c r="T82" i="14"/>
  <c r="S82" i="14"/>
  <c r="S27" i="14"/>
  <c r="T27" i="14"/>
  <c r="S23" i="14"/>
  <c r="T23" i="14"/>
  <c r="S39" i="14"/>
  <c r="T39" i="14"/>
  <c r="S35" i="14"/>
  <c r="T35" i="14"/>
  <c r="S62" i="14"/>
  <c r="T62" i="14"/>
  <c r="S66" i="14"/>
  <c r="T66" i="14"/>
  <c r="S119" i="14"/>
  <c r="T119" i="14"/>
  <c r="T20" i="14"/>
  <c r="S20" i="14"/>
  <c r="K70" i="13"/>
  <c r="J70" i="13"/>
  <c r="I70" i="13"/>
  <c r="K43" i="12"/>
  <c r="J43" i="12"/>
  <c r="I43" i="12"/>
  <c r="K39" i="12"/>
  <c r="J39" i="12"/>
  <c r="I39" i="12"/>
  <c r="K35" i="12"/>
  <c r="J35" i="12"/>
  <c r="I35" i="12"/>
  <c r="K31" i="12"/>
  <c r="J31" i="12"/>
  <c r="I31" i="12"/>
  <c r="K27" i="12"/>
  <c r="R39" i="12" s="1"/>
  <c r="J27" i="12"/>
  <c r="Q39" i="12" s="1"/>
  <c r="I27" i="12"/>
  <c r="P39" i="12" s="1"/>
  <c r="J23" i="12"/>
  <c r="Q35" i="12" s="1"/>
  <c r="K23" i="12"/>
  <c r="R35" i="12" s="1"/>
  <c r="I23" i="12"/>
  <c r="P35" i="12" s="1"/>
  <c r="J19" i="12"/>
  <c r="K19" i="12"/>
  <c r="I19" i="12"/>
  <c r="J15" i="12"/>
  <c r="Q29" i="12" s="1"/>
  <c r="K15" i="12"/>
  <c r="R29" i="12" s="1"/>
  <c r="I15" i="12"/>
  <c r="P29" i="12" s="1"/>
  <c r="J11" i="12"/>
  <c r="K11" i="12"/>
  <c r="I11" i="12"/>
  <c r="J7" i="12"/>
  <c r="K7" i="12"/>
  <c r="I7" i="12"/>
  <c r="J103" i="12"/>
  <c r="I103" i="12"/>
  <c r="K103" i="12"/>
  <c r="J99" i="12"/>
  <c r="K99" i="12"/>
  <c r="I99" i="12"/>
  <c r="J95" i="12"/>
  <c r="K95" i="12"/>
  <c r="I95" i="12"/>
  <c r="J91" i="12"/>
  <c r="K91" i="12"/>
  <c r="I91" i="12"/>
  <c r="J87" i="12"/>
  <c r="K87" i="12"/>
  <c r="I87" i="12"/>
  <c r="J83" i="12"/>
  <c r="K83" i="12"/>
  <c r="I83" i="12"/>
  <c r="J79" i="12"/>
  <c r="K79" i="12"/>
  <c r="I79" i="12"/>
  <c r="J75" i="12"/>
  <c r="K75" i="12"/>
  <c r="I75" i="12"/>
  <c r="J71" i="12"/>
  <c r="K71" i="12"/>
  <c r="I71" i="12"/>
  <c r="J67" i="12"/>
  <c r="K67" i="12"/>
  <c r="I67" i="12"/>
  <c r="J63" i="12"/>
  <c r="K63" i="12"/>
  <c r="I63" i="12"/>
  <c r="J59" i="12"/>
  <c r="K59" i="12"/>
  <c r="I59" i="12"/>
  <c r="J55" i="12"/>
  <c r="K55" i="12"/>
  <c r="I55" i="12"/>
  <c r="J104" i="12"/>
  <c r="I104" i="12"/>
  <c r="K104" i="12"/>
  <c r="K164" i="12"/>
  <c r="J164" i="12"/>
  <c r="I164" i="12"/>
  <c r="K160" i="12"/>
  <c r="J160" i="12"/>
  <c r="I160" i="12"/>
  <c r="K156" i="12"/>
  <c r="J156" i="12"/>
  <c r="I156" i="12"/>
  <c r="K152" i="12"/>
  <c r="J152" i="12"/>
  <c r="I152" i="12"/>
  <c r="K148" i="12"/>
  <c r="J148" i="12"/>
  <c r="I148" i="12"/>
  <c r="K144" i="12"/>
  <c r="I144" i="12"/>
  <c r="J144" i="12"/>
  <c r="I140" i="12"/>
  <c r="K140" i="12"/>
  <c r="J140" i="12"/>
  <c r="I136" i="12"/>
  <c r="P19" i="12" s="1"/>
  <c r="K136" i="12"/>
  <c r="R19" i="12" s="1"/>
  <c r="J136" i="12"/>
  <c r="Q19" i="12" s="1"/>
  <c r="I132" i="12"/>
  <c r="K132" i="12"/>
  <c r="J132" i="12"/>
  <c r="I127" i="12"/>
  <c r="P11" i="12" s="1"/>
  <c r="K127" i="12"/>
  <c r="R11" i="12" s="1"/>
  <c r="J127" i="12"/>
  <c r="Q11" i="12" s="1"/>
  <c r="K123" i="12"/>
  <c r="R9" i="12" s="1"/>
  <c r="I123" i="12"/>
  <c r="P9" i="12" s="1"/>
  <c r="J123" i="12"/>
  <c r="Q9" i="12" s="1"/>
  <c r="K119" i="12"/>
  <c r="I119" i="12"/>
  <c r="J119" i="12"/>
  <c r="K115" i="12"/>
  <c r="I115" i="12"/>
  <c r="J115" i="12"/>
  <c r="V58" i="11"/>
  <c r="W58" i="11"/>
  <c r="S58" i="11"/>
  <c r="T58" i="11"/>
  <c r="Y58" i="11"/>
  <c r="Y54" i="11"/>
  <c r="W54" i="11"/>
  <c r="S54" i="11"/>
  <c r="T54" i="11"/>
  <c r="V54" i="11"/>
  <c r="V50" i="11"/>
  <c r="W50" i="11"/>
  <c r="S50" i="11"/>
  <c r="T50" i="11"/>
  <c r="Y50" i="11"/>
  <c r="Y46" i="11"/>
  <c r="W46" i="11"/>
  <c r="S46" i="11"/>
  <c r="T46" i="11"/>
  <c r="V46" i="11"/>
  <c r="V42" i="11"/>
  <c r="W42" i="11"/>
  <c r="S42" i="11"/>
  <c r="T42" i="11"/>
  <c r="Y42" i="11"/>
  <c r="Y38" i="11"/>
  <c r="W38" i="11"/>
  <c r="S38" i="11"/>
  <c r="T38" i="11"/>
  <c r="V38" i="11"/>
  <c r="V34" i="11"/>
  <c r="W34" i="11"/>
  <c r="S34" i="11"/>
  <c r="T34" i="11"/>
  <c r="Y34" i="11"/>
  <c r="S30" i="11"/>
  <c r="W30" i="11"/>
  <c r="T30" i="11"/>
  <c r="Y30" i="11"/>
  <c r="V30" i="11"/>
  <c r="S26" i="11"/>
  <c r="Y26" i="11"/>
  <c r="V26" i="11"/>
  <c r="W26" i="11"/>
  <c r="T26" i="11"/>
  <c r="S22" i="11"/>
  <c r="AE22" i="11" s="1"/>
  <c r="V22" i="11"/>
  <c r="AF22" i="11" s="1"/>
  <c r="W22" i="11"/>
  <c r="Y22" i="11"/>
  <c r="AG22" i="11" s="1"/>
  <c r="S18" i="11"/>
  <c r="AE18" i="11" s="1"/>
  <c r="V18" i="11"/>
  <c r="AF18" i="11" s="1"/>
  <c r="Y18" i="11"/>
  <c r="AG18" i="11" s="1"/>
  <c r="W18" i="11"/>
  <c r="T18" i="11"/>
  <c r="V14" i="11"/>
  <c r="AF14" i="11" s="1"/>
  <c r="W14" i="11"/>
  <c r="Y14" i="11"/>
  <c r="AG14" i="11" s="1"/>
  <c r="S10" i="11"/>
  <c r="AE10" i="11" s="1"/>
  <c r="V10" i="11"/>
  <c r="AF10" i="11" s="1"/>
  <c r="Y10" i="11"/>
  <c r="AG10" i="11" s="1"/>
  <c r="W10" i="11"/>
  <c r="T10" i="11"/>
  <c r="J56" i="10"/>
  <c r="I56" i="10"/>
  <c r="K56" i="10"/>
  <c r="J52" i="10"/>
  <c r="K52" i="10"/>
  <c r="I52" i="10"/>
  <c r="K48" i="10"/>
  <c r="I48" i="10"/>
  <c r="J48" i="10"/>
  <c r="J44" i="10"/>
  <c r="AC251" i="10" s="1"/>
  <c r="I44" i="10"/>
  <c r="K44" i="10"/>
  <c r="AD251" i="10" s="1"/>
  <c r="J40" i="10"/>
  <c r="AC247" i="10" s="1"/>
  <c r="K40" i="10"/>
  <c r="AD247" i="10" s="1"/>
  <c r="I40" i="10"/>
  <c r="J36" i="10"/>
  <c r="AC243" i="10" s="1"/>
  <c r="I36" i="10"/>
  <c r="K36" i="10"/>
  <c r="AD243" i="10" s="1"/>
  <c r="J32" i="10"/>
  <c r="AC239" i="10" s="1"/>
  <c r="K32" i="10"/>
  <c r="AD239" i="10" s="1"/>
  <c r="I32" i="10"/>
  <c r="J28" i="10"/>
  <c r="AC235" i="10" s="1"/>
  <c r="K28" i="10"/>
  <c r="AD235" i="10" s="1"/>
  <c r="I28" i="10"/>
  <c r="I24" i="10"/>
  <c r="J24" i="10"/>
  <c r="AC231" i="10" s="1"/>
  <c r="J20" i="10"/>
  <c r="AC227" i="10" s="1"/>
  <c r="K20" i="10"/>
  <c r="AD227" i="10" s="1"/>
  <c r="I20" i="10"/>
  <c r="K16" i="10"/>
  <c r="AD223" i="10" s="1"/>
  <c r="J16" i="10"/>
  <c r="AC223" i="10" s="1"/>
  <c r="I16" i="10"/>
  <c r="J12" i="10"/>
  <c r="AC219" i="10" s="1"/>
  <c r="I12" i="10"/>
  <c r="K12" i="10"/>
  <c r="AD219" i="10" s="1"/>
  <c r="K8" i="10"/>
  <c r="AD215" i="10" s="1"/>
  <c r="J8" i="10"/>
  <c r="AC215" i="10" s="1"/>
  <c r="I8" i="10"/>
  <c r="AB215" i="10" s="1"/>
  <c r="X8" i="10"/>
  <c r="Y8" i="10"/>
  <c r="W8" i="10"/>
  <c r="X12" i="10"/>
  <c r="Y12" i="10"/>
  <c r="Y16" i="10"/>
  <c r="X16" i="10"/>
  <c r="Y20" i="10"/>
  <c r="X20" i="10"/>
  <c r="Y24" i="10"/>
  <c r="X24" i="10"/>
  <c r="Y28" i="10"/>
  <c r="X28" i="10"/>
  <c r="Y32" i="10"/>
  <c r="X32" i="10"/>
  <c r="Y36" i="10"/>
  <c r="X36" i="10"/>
  <c r="Y40" i="10"/>
  <c r="X40" i="10"/>
  <c r="X44" i="10"/>
  <c r="Y44" i="10"/>
  <c r="Y48" i="10"/>
  <c r="X48" i="10"/>
  <c r="X52" i="10"/>
  <c r="Y52" i="10"/>
  <c r="X56" i="10"/>
  <c r="Y56" i="10"/>
  <c r="K67" i="10"/>
  <c r="AD256" i="10" s="1"/>
  <c r="J67" i="10"/>
  <c r="AC256" i="10" s="1"/>
  <c r="I67" i="10"/>
  <c r="AB256" i="10" s="1"/>
  <c r="I69" i="10"/>
  <c r="AB258" i="10" s="1"/>
  <c r="J69" i="10"/>
  <c r="AC258" i="10" s="1"/>
  <c r="K69" i="10"/>
  <c r="AD258" i="10" s="1"/>
  <c r="X69" i="10"/>
  <c r="W69" i="10"/>
  <c r="AF258" i="10" s="1"/>
  <c r="Y69" i="10"/>
  <c r="G80" i="10"/>
  <c r="G130" i="10"/>
  <c r="G126" i="10"/>
  <c r="G122" i="10"/>
  <c r="G118" i="10"/>
  <c r="G114" i="10"/>
  <c r="G110" i="10"/>
  <c r="G106" i="10"/>
  <c r="G102" i="10"/>
  <c r="G98" i="10"/>
  <c r="G94" i="10"/>
  <c r="G90" i="10"/>
  <c r="G86" i="10"/>
  <c r="G82" i="10"/>
  <c r="S84" i="10"/>
  <c r="G13" i="14"/>
  <c r="H13" i="14"/>
  <c r="H9" i="14"/>
  <c r="G9" i="14"/>
  <c r="S6" i="14"/>
  <c r="G53" i="14"/>
  <c r="G38" i="14"/>
  <c r="H38" i="14"/>
  <c r="G40" i="14"/>
  <c r="H40" i="14"/>
  <c r="S90" i="14"/>
  <c r="T90" i="14"/>
  <c r="T94" i="14"/>
  <c r="S94" i="14"/>
  <c r="T105" i="14"/>
  <c r="S105" i="14"/>
  <c r="S109" i="14"/>
  <c r="T109" i="14"/>
  <c r="S76" i="14"/>
  <c r="T76" i="14"/>
  <c r="T24" i="14"/>
  <c r="S24" i="14"/>
  <c r="S34" i="14"/>
  <c r="T34" i="14"/>
  <c r="S38" i="14"/>
  <c r="T38" i="14"/>
  <c r="S65" i="14"/>
  <c r="T65" i="14"/>
  <c r="S69" i="14"/>
  <c r="T69" i="14"/>
  <c r="G64" i="14"/>
  <c r="H64" i="14"/>
  <c r="AN28" i="14" s="1"/>
  <c r="S121" i="14"/>
  <c r="T121" i="14"/>
  <c r="S123" i="14"/>
  <c r="T123" i="14"/>
  <c r="S125" i="14"/>
  <c r="T125" i="14"/>
  <c r="S21" i="14"/>
  <c r="T21" i="14"/>
  <c r="K69" i="13"/>
  <c r="J69" i="13"/>
  <c r="I69" i="13"/>
  <c r="K42" i="12"/>
  <c r="J42" i="12"/>
  <c r="I42" i="12"/>
  <c r="K38" i="12"/>
  <c r="J38" i="12"/>
  <c r="I38" i="12"/>
  <c r="K34" i="12"/>
  <c r="J34" i="12"/>
  <c r="I34" i="12"/>
  <c r="K30" i="12"/>
  <c r="R42" i="12" s="1"/>
  <c r="J30" i="12"/>
  <c r="Q42" i="12" s="1"/>
  <c r="I30" i="12"/>
  <c r="P42" i="12" s="1"/>
  <c r="K26" i="12"/>
  <c r="R38" i="12" s="1"/>
  <c r="J26" i="12"/>
  <c r="Q38" i="12" s="1"/>
  <c r="I26" i="12"/>
  <c r="P38" i="12" s="1"/>
  <c r="K22" i="12"/>
  <c r="R34" i="12" s="1"/>
  <c r="J22" i="12"/>
  <c r="Q34" i="12" s="1"/>
  <c r="I22" i="12"/>
  <c r="P34" i="12" s="1"/>
  <c r="K18" i="12"/>
  <c r="J18" i="12"/>
  <c r="I18" i="12"/>
  <c r="K14" i="12"/>
  <c r="R28" i="12" s="1"/>
  <c r="J14" i="12"/>
  <c r="Q28" i="12" s="1"/>
  <c r="I14" i="12"/>
  <c r="P28" i="12" s="1"/>
  <c r="K10" i="12"/>
  <c r="J10" i="12"/>
  <c r="I10" i="12"/>
  <c r="I102" i="12"/>
  <c r="J102" i="12"/>
  <c r="K102" i="12"/>
  <c r="J98" i="12"/>
  <c r="K98" i="12"/>
  <c r="I98" i="12"/>
  <c r="K94" i="12"/>
  <c r="J94" i="12"/>
  <c r="I94" i="12"/>
  <c r="J90" i="12"/>
  <c r="K90" i="12"/>
  <c r="I90" i="12"/>
  <c r="K86" i="12"/>
  <c r="J86" i="12"/>
  <c r="I86" i="12"/>
  <c r="J82" i="12"/>
  <c r="K82" i="12"/>
  <c r="I82" i="12"/>
  <c r="J78" i="12"/>
  <c r="K78" i="12"/>
  <c r="I78" i="12"/>
  <c r="K74" i="12"/>
  <c r="J74" i="12"/>
  <c r="I74" i="12"/>
  <c r="J70" i="12"/>
  <c r="K70" i="12"/>
  <c r="I70" i="12"/>
  <c r="K66" i="12"/>
  <c r="J66" i="12"/>
  <c r="I66" i="12"/>
  <c r="J62" i="12"/>
  <c r="K62" i="12"/>
  <c r="I62" i="12"/>
  <c r="K58" i="12"/>
  <c r="J58" i="12"/>
  <c r="I58" i="12"/>
  <c r="J54" i="12"/>
  <c r="K54" i="12"/>
  <c r="I54" i="12"/>
  <c r="K165" i="12"/>
  <c r="J165" i="12"/>
  <c r="I165" i="12"/>
  <c r="K161" i="12"/>
  <c r="J161" i="12"/>
  <c r="I161" i="12"/>
  <c r="K157" i="12"/>
  <c r="J157" i="12"/>
  <c r="I157" i="12"/>
  <c r="K153" i="12"/>
  <c r="J153" i="12"/>
  <c r="I153" i="12"/>
  <c r="K149" i="12"/>
  <c r="J149" i="12"/>
  <c r="I149" i="12"/>
  <c r="K145" i="12"/>
  <c r="J145" i="12"/>
  <c r="I145" i="12"/>
  <c r="K141" i="12"/>
  <c r="J141" i="12"/>
  <c r="I141" i="12"/>
  <c r="K137" i="12"/>
  <c r="R20" i="12" s="1"/>
  <c r="J137" i="12"/>
  <c r="Q20" i="12" s="1"/>
  <c r="I137" i="12"/>
  <c r="P20" i="12" s="1"/>
  <c r="K133" i="12"/>
  <c r="R16" i="12" s="1"/>
  <c r="J133" i="12"/>
  <c r="Q16" i="12" s="1"/>
  <c r="I133" i="12"/>
  <c r="P16" i="12" s="1"/>
  <c r="K128" i="12"/>
  <c r="R12" i="12" s="1"/>
  <c r="J128" i="12"/>
  <c r="Q12" i="12" s="1"/>
  <c r="I128" i="12"/>
  <c r="P12" i="12" s="1"/>
  <c r="K124" i="12"/>
  <c r="R10" i="12" s="1"/>
  <c r="J124" i="12"/>
  <c r="Q10" i="12" s="1"/>
  <c r="I124" i="12"/>
  <c r="P10" i="12" s="1"/>
  <c r="K120" i="12"/>
  <c r="R6" i="12" s="1"/>
  <c r="J120" i="12"/>
  <c r="Q6" i="12" s="1"/>
  <c r="I120" i="12"/>
  <c r="P6" i="12" s="1"/>
  <c r="K116" i="12"/>
  <c r="J116" i="12"/>
  <c r="I116" i="12"/>
  <c r="S59" i="11"/>
  <c r="T59" i="11"/>
  <c r="Y59" i="11"/>
  <c r="V59" i="11"/>
  <c r="W59" i="11"/>
  <c r="S55" i="11"/>
  <c r="T55" i="11"/>
  <c r="Y55" i="11"/>
  <c r="V55" i="11"/>
  <c r="W55" i="11"/>
  <c r="S51" i="11"/>
  <c r="T51" i="11"/>
  <c r="Y51" i="11"/>
  <c r="V51" i="11"/>
  <c r="W51" i="11"/>
  <c r="S47" i="11"/>
  <c r="T47" i="11"/>
  <c r="Y47" i="11"/>
  <c r="V47" i="11"/>
  <c r="W47" i="11"/>
  <c r="S43" i="11"/>
  <c r="T43" i="11"/>
  <c r="Y43" i="11"/>
  <c r="V43" i="11"/>
  <c r="W43" i="11"/>
  <c r="S39" i="11"/>
  <c r="T39" i="11"/>
  <c r="Y39" i="11"/>
  <c r="V39" i="11"/>
  <c r="W39" i="11"/>
  <c r="S35" i="11"/>
  <c r="T35" i="11"/>
  <c r="Y35" i="11"/>
  <c r="V35" i="11"/>
  <c r="W35" i="11"/>
  <c r="S31" i="11"/>
  <c r="T31" i="11"/>
  <c r="Y31" i="11"/>
  <c r="V31" i="11"/>
  <c r="W31" i="11"/>
  <c r="S27" i="11"/>
  <c r="T27" i="11"/>
  <c r="Y27" i="11"/>
  <c r="V27" i="11"/>
  <c r="W27" i="11"/>
  <c r="S23" i="11"/>
  <c r="T23" i="11"/>
  <c r="Y23" i="11"/>
  <c r="V23" i="11"/>
  <c r="W23" i="11"/>
  <c r="S19" i="11"/>
  <c r="AE19" i="11" s="1"/>
  <c r="T19" i="11"/>
  <c r="Y19" i="11"/>
  <c r="AG19" i="11" s="1"/>
  <c r="V19" i="11"/>
  <c r="AF19" i="11" s="1"/>
  <c r="W19" i="11"/>
  <c r="S15" i="11"/>
  <c r="AE15" i="11" s="1"/>
  <c r="T15" i="11"/>
  <c r="Y15" i="11"/>
  <c r="AG15" i="11" s="1"/>
  <c r="V15" i="11"/>
  <c r="AF15" i="11" s="1"/>
  <c r="W15" i="11"/>
  <c r="T11" i="11"/>
  <c r="Y11" i="11"/>
  <c r="AG11" i="11" s="1"/>
  <c r="V11" i="11"/>
  <c r="AF11" i="11" s="1"/>
  <c r="W11" i="11"/>
  <c r="S7" i="11"/>
  <c r="AE7" i="11" s="1"/>
  <c r="T7" i="11"/>
  <c r="Y7" i="11"/>
  <c r="AG7" i="11" s="1"/>
  <c r="V7" i="11"/>
  <c r="AF7" i="11" s="1"/>
  <c r="W7" i="11"/>
  <c r="K57" i="10"/>
  <c r="I57" i="10"/>
  <c r="J57" i="10"/>
  <c r="K53" i="10"/>
  <c r="I53" i="10"/>
  <c r="J53" i="10"/>
  <c r="I49" i="10"/>
  <c r="K49" i="10"/>
  <c r="J49" i="10"/>
  <c r="I45" i="10"/>
  <c r="J45" i="10"/>
  <c r="AC252" i="10" s="1"/>
  <c r="K45" i="10"/>
  <c r="AD252" i="10" s="1"/>
  <c r="I41" i="10"/>
  <c r="J41" i="10"/>
  <c r="AC248" i="10" s="1"/>
  <c r="K41" i="10"/>
  <c r="AD248" i="10" s="1"/>
  <c r="I37" i="10"/>
  <c r="K37" i="10"/>
  <c r="AD244" i="10" s="1"/>
  <c r="J37" i="10"/>
  <c r="AC244" i="10" s="1"/>
  <c r="J33" i="10"/>
  <c r="AC240" i="10" s="1"/>
  <c r="I33" i="10"/>
  <c r="K33" i="10"/>
  <c r="AD240" i="10" s="1"/>
  <c r="K29" i="10"/>
  <c r="AD236" i="10" s="1"/>
  <c r="I29" i="10"/>
  <c r="J29" i="10"/>
  <c r="AC236" i="10" s="1"/>
  <c r="I25" i="10"/>
  <c r="J25" i="10"/>
  <c r="AC232" i="10" s="1"/>
  <c r="K25" i="10"/>
  <c r="AD232" i="10" s="1"/>
  <c r="I21" i="10"/>
  <c r="J21" i="10"/>
  <c r="AC228" i="10" s="1"/>
  <c r="K21" i="10"/>
  <c r="AD228" i="10" s="1"/>
  <c r="K17" i="10"/>
  <c r="AD224" i="10" s="1"/>
  <c r="J17" i="10"/>
  <c r="AC224" i="10" s="1"/>
  <c r="I17" i="10"/>
  <c r="J13" i="10"/>
  <c r="AC220" i="10" s="1"/>
  <c r="K13" i="10"/>
  <c r="AD220" i="10" s="1"/>
  <c r="I13" i="10"/>
  <c r="K9" i="10"/>
  <c r="AD216" i="10" s="1"/>
  <c r="I9" i="10"/>
  <c r="AB216" i="10" s="1"/>
  <c r="J9" i="10"/>
  <c r="AC216" i="10" s="1"/>
  <c r="X7" i="10"/>
  <c r="Y7" i="10"/>
  <c r="W7" i="10"/>
  <c r="X11" i="10"/>
  <c r="Y11" i="10"/>
  <c r="W11" i="10"/>
  <c r="X15" i="10"/>
  <c r="Y15" i="10"/>
  <c r="X19" i="10"/>
  <c r="Y19" i="10"/>
  <c r="X23" i="10"/>
  <c r="Y23" i="10"/>
  <c r="X27" i="10"/>
  <c r="Y27" i="10"/>
  <c r="X31" i="10"/>
  <c r="Y31" i="10"/>
  <c r="Y35" i="10"/>
  <c r="X35" i="10"/>
  <c r="X39" i="10"/>
  <c r="Y39" i="10"/>
  <c r="X43" i="10"/>
  <c r="Y43" i="10"/>
  <c r="Y47" i="10"/>
  <c r="X47" i="10"/>
  <c r="X51" i="10"/>
  <c r="Y51" i="10"/>
  <c r="X55" i="10"/>
  <c r="Y55" i="10"/>
  <c r="X59" i="10"/>
  <c r="Y59" i="10"/>
  <c r="W59" i="10"/>
  <c r="K70" i="10"/>
  <c r="AD259" i="10" s="1"/>
  <c r="I70" i="10"/>
  <c r="AB259" i="10" s="1"/>
  <c r="J70" i="10"/>
  <c r="AC259" i="10" s="1"/>
  <c r="W68" i="10"/>
  <c r="X68" i="10"/>
  <c r="Y68" i="10"/>
  <c r="X72" i="10"/>
  <c r="W72" i="10"/>
  <c r="Y72" i="10"/>
  <c r="G131" i="10"/>
  <c r="G127" i="10"/>
  <c r="G123" i="10"/>
  <c r="G119" i="10"/>
  <c r="G115" i="10"/>
  <c r="G111" i="10"/>
  <c r="G107" i="10"/>
  <c r="G103" i="10"/>
  <c r="G99" i="10"/>
  <c r="G95" i="10"/>
  <c r="G91" i="10"/>
  <c r="G87" i="10"/>
  <c r="G83" i="10"/>
  <c r="S83" i="10"/>
  <c r="S85" i="10"/>
  <c r="M203" i="10"/>
  <c r="L203" i="10"/>
  <c r="M206" i="10"/>
  <c r="L206" i="10"/>
  <c r="M193" i="10"/>
  <c r="L193" i="10"/>
  <c r="M189" i="10"/>
  <c r="L189" i="10"/>
  <c r="M185" i="10"/>
  <c r="L185" i="10"/>
  <c r="M181" i="10"/>
  <c r="L181" i="10"/>
  <c r="M177" i="10"/>
  <c r="L177" i="10"/>
  <c r="M173" i="10"/>
  <c r="L173" i="10"/>
  <c r="M169" i="10"/>
  <c r="L169" i="10"/>
  <c r="M165" i="10"/>
  <c r="L165" i="10"/>
  <c r="M161" i="10"/>
  <c r="L161" i="10"/>
  <c r="M157" i="10"/>
  <c r="L157" i="10"/>
  <c r="M153" i="10"/>
  <c r="L153" i="10"/>
  <c r="M149" i="10"/>
  <c r="L149" i="10"/>
  <c r="M145" i="10"/>
  <c r="L145" i="10"/>
  <c r="L202" i="10"/>
  <c r="M202" i="10"/>
  <c r="L207" i="10"/>
  <c r="M207" i="10"/>
  <c r="M194" i="10"/>
  <c r="L194" i="10"/>
  <c r="M190" i="10"/>
  <c r="L190" i="10"/>
  <c r="M186" i="10"/>
  <c r="L186" i="10"/>
  <c r="M182" i="10"/>
  <c r="L182" i="10"/>
  <c r="M178" i="10"/>
  <c r="L178" i="10"/>
  <c r="M174" i="10"/>
  <c r="L174" i="10"/>
  <c r="M170" i="10"/>
  <c r="L170" i="10"/>
  <c r="M166" i="10"/>
  <c r="L166" i="10"/>
  <c r="M162" i="10"/>
  <c r="L162" i="10"/>
  <c r="M158" i="10"/>
  <c r="L158" i="10"/>
  <c r="M154" i="10"/>
  <c r="L154" i="10"/>
  <c r="M150" i="10"/>
  <c r="L150" i="10"/>
  <c r="M146" i="10"/>
  <c r="L146" i="10"/>
  <c r="G66" i="14"/>
  <c r="H66" i="14"/>
  <c r="H68" i="14"/>
  <c r="G68" i="14"/>
  <c r="J68" i="13"/>
  <c r="K68" i="13"/>
  <c r="I68" i="13"/>
  <c r="J45" i="12"/>
  <c r="K45" i="12"/>
  <c r="I45" i="12"/>
  <c r="J41" i="12"/>
  <c r="K41" i="12"/>
  <c r="I41" i="12"/>
  <c r="J37" i="12"/>
  <c r="K37" i="12"/>
  <c r="I37" i="12"/>
  <c r="J33" i="12"/>
  <c r="K33" i="12"/>
  <c r="I33" i="12"/>
  <c r="J29" i="12"/>
  <c r="Q41" i="12" s="1"/>
  <c r="K29" i="12"/>
  <c r="R41" i="12" s="1"/>
  <c r="I29" i="12"/>
  <c r="P41" i="12" s="1"/>
  <c r="J25" i="12"/>
  <c r="Q37" i="12" s="1"/>
  <c r="K25" i="12"/>
  <c r="R37" i="12" s="1"/>
  <c r="I25" i="12"/>
  <c r="P37" i="12" s="1"/>
  <c r="J21" i="12"/>
  <c r="Q33" i="12" s="1"/>
  <c r="K21" i="12"/>
  <c r="R33" i="12" s="1"/>
  <c r="I21" i="12"/>
  <c r="P33" i="12" s="1"/>
  <c r="J17" i="12"/>
  <c r="Q31" i="12" s="1"/>
  <c r="K17" i="12"/>
  <c r="R31" i="12" s="1"/>
  <c r="I17" i="12"/>
  <c r="P31" i="12" s="1"/>
  <c r="J13" i="12"/>
  <c r="Q27" i="12" s="1"/>
  <c r="K13" i="12"/>
  <c r="R27" i="12" s="1"/>
  <c r="I13" i="12"/>
  <c r="P27" i="12" s="1"/>
  <c r="J9" i="12"/>
  <c r="K9" i="12"/>
  <c r="I9" i="12"/>
  <c r="I52" i="12"/>
  <c r="K52" i="12"/>
  <c r="J52" i="12"/>
  <c r="K101" i="12"/>
  <c r="J101" i="12"/>
  <c r="I101" i="12"/>
  <c r="J97" i="12"/>
  <c r="K97" i="12"/>
  <c r="I97" i="12"/>
  <c r="K93" i="12"/>
  <c r="J93" i="12"/>
  <c r="I93" i="12"/>
  <c r="J89" i="12"/>
  <c r="K89" i="12"/>
  <c r="I89" i="12"/>
  <c r="K85" i="12"/>
  <c r="J85" i="12"/>
  <c r="I85" i="12"/>
  <c r="J81" i="12"/>
  <c r="K81" i="12"/>
  <c r="I81" i="12"/>
  <c r="K77" i="12"/>
  <c r="J77" i="12"/>
  <c r="I77" i="12"/>
  <c r="J73" i="12"/>
  <c r="K73" i="12"/>
  <c r="I73" i="12"/>
  <c r="K69" i="12"/>
  <c r="J69" i="12"/>
  <c r="I69" i="12"/>
  <c r="J65" i="12"/>
  <c r="K65" i="12"/>
  <c r="I65" i="12"/>
  <c r="K61" i="12"/>
  <c r="J61" i="12"/>
  <c r="I61" i="12"/>
  <c r="J57" i="12"/>
  <c r="K57" i="12"/>
  <c r="I57" i="12"/>
  <c r="K53" i="12"/>
  <c r="J53" i="12"/>
  <c r="I53" i="12"/>
  <c r="K166" i="12"/>
  <c r="J166" i="12"/>
  <c r="I166" i="12"/>
  <c r="J162" i="12"/>
  <c r="K162" i="12"/>
  <c r="I162" i="12"/>
  <c r="K158" i="12"/>
  <c r="J158" i="12"/>
  <c r="I158" i="12"/>
  <c r="K154" i="12"/>
  <c r="J154" i="12"/>
  <c r="I154" i="12"/>
  <c r="K150" i="12"/>
  <c r="J150" i="12"/>
  <c r="I150" i="12"/>
  <c r="K146" i="12"/>
  <c r="J146" i="12"/>
  <c r="I146" i="12"/>
  <c r="J142" i="12"/>
  <c r="I142" i="12"/>
  <c r="K142" i="12"/>
  <c r="J138" i="12"/>
  <c r="Q21" i="12" s="1"/>
  <c r="I138" i="12"/>
  <c r="P21" i="12" s="1"/>
  <c r="K138" i="12"/>
  <c r="R21" i="12" s="1"/>
  <c r="K134" i="12"/>
  <c r="R17" i="12" s="1"/>
  <c r="J134" i="12"/>
  <c r="Q17" i="12" s="1"/>
  <c r="I134" i="12"/>
  <c r="P17" i="12" s="1"/>
  <c r="J129" i="12"/>
  <c r="Q13" i="12" s="1"/>
  <c r="I129" i="12"/>
  <c r="P13" i="12" s="1"/>
  <c r="K129" i="12"/>
  <c r="R13" i="12" s="1"/>
  <c r="K125" i="12"/>
  <c r="J125" i="12"/>
  <c r="I125" i="12"/>
  <c r="K121" i="12"/>
  <c r="R7" i="12" s="1"/>
  <c r="J121" i="12"/>
  <c r="Q7" i="12" s="1"/>
  <c r="I121" i="12"/>
  <c r="P7" i="12" s="1"/>
  <c r="K117" i="12"/>
  <c r="J117" i="12"/>
  <c r="I117" i="12"/>
  <c r="K113" i="12"/>
  <c r="J113" i="12"/>
  <c r="I113" i="12"/>
  <c r="Y56" i="11"/>
  <c r="S56" i="11"/>
  <c r="T56" i="11"/>
  <c r="V56" i="11"/>
  <c r="W56" i="11"/>
  <c r="S52" i="11"/>
  <c r="Y52" i="11"/>
  <c r="T52" i="11"/>
  <c r="V52" i="11"/>
  <c r="W52" i="11"/>
  <c r="Y48" i="11"/>
  <c r="T48" i="11"/>
  <c r="V48" i="11"/>
  <c r="S48" i="11"/>
  <c r="W48" i="11"/>
  <c r="S44" i="11"/>
  <c r="T44" i="11"/>
  <c r="Y44" i="11"/>
  <c r="V44" i="11"/>
  <c r="W44" i="11"/>
  <c r="Y40" i="11"/>
  <c r="S40" i="11"/>
  <c r="T40" i="11"/>
  <c r="V40" i="11"/>
  <c r="W40" i="11"/>
  <c r="S36" i="11"/>
  <c r="Y36" i="11"/>
  <c r="T36" i="11"/>
  <c r="V36" i="11"/>
  <c r="W36" i="11"/>
  <c r="T32" i="11"/>
  <c r="S32" i="11"/>
  <c r="V32" i="11"/>
  <c r="Y32" i="11"/>
  <c r="W32" i="11"/>
  <c r="T28" i="11"/>
  <c r="V28" i="11"/>
  <c r="Y28" i="11"/>
  <c r="S28" i="11"/>
  <c r="W28" i="11"/>
  <c r="T24" i="11"/>
  <c r="S24" i="11"/>
  <c r="Y24" i="11"/>
  <c r="V24" i="11"/>
  <c r="W24" i="11"/>
  <c r="Y20" i="11"/>
  <c r="AG20" i="11" s="1"/>
  <c r="T20" i="11"/>
  <c r="S20" i="11"/>
  <c r="AE20" i="11" s="1"/>
  <c r="V20" i="11"/>
  <c r="AF20" i="11" s="1"/>
  <c r="W20" i="11"/>
  <c r="T16" i="11"/>
  <c r="S16" i="11"/>
  <c r="AE16" i="11" s="1"/>
  <c r="Y16" i="11"/>
  <c r="AG16" i="11" s="1"/>
  <c r="V16" i="11"/>
  <c r="AF16" i="11" s="1"/>
  <c r="W16" i="11"/>
  <c r="Y12" i="11"/>
  <c r="AG12" i="11" s="1"/>
  <c r="T12" i="11"/>
  <c r="S12" i="11"/>
  <c r="AE12" i="11" s="1"/>
  <c r="V12" i="11"/>
  <c r="AF12" i="11" s="1"/>
  <c r="W12" i="11"/>
  <c r="T8" i="11"/>
  <c r="S8" i="11"/>
  <c r="AE8" i="11" s="1"/>
  <c r="Y8" i="11"/>
  <c r="AG8" i="11" s="1"/>
  <c r="V8" i="11"/>
  <c r="AF8" i="11" s="1"/>
  <c r="W8" i="11"/>
  <c r="J58" i="10"/>
  <c r="K58" i="10"/>
  <c r="I58" i="10"/>
  <c r="K54" i="10"/>
  <c r="J54" i="10"/>
  <c r="I54" i="10"/>
  <c r="J50" i="10"/>
  <c r="K50" i="10"/>
  <c r="I50" i="10"/>
  <c r="K46" i="10"/>
  <c r="J46" i="10"/>
  <c r="I46" i="10"/>
  <c r="K42" i="10"/>
  <c r="J42" i="10"/>
  <c r="AC249" i="10" s="1"/>
  <c r="I42" i="10"/>
  <c r="K38" i="10"/>
  <c r="AD245" i="10" s="1"/>
  <c r="J38" i="10"/>
  <c r="AC245" i="10" s="1"/>
  <c r="I38" i="10"/>
  <c r="J34" i="10"/>
  <c r="AC241" i="10" s="1"/>
  <c r="K34" i="10"/>
  <c r="AD241" i="10" s="1"/>
  <c r="I34" i="10"/>
  <c r="J30" i="10"/>
  <c r="AC237" i="10" s="1"/>
  <c r="I30" i="10"/>
  <c r="K26" i="10"/>
  <c r="AD233" i="10" s="1"/>
  <c r="J26" i="10"/>
  <c r="AC233" i="10" s="1"/>
  <c r="I26" i="10"/>
  <c r="K22" i="10"/>
  <c r="AD229" i="10" s="1"/>
  <c r="J22" i="10"/>
  <c r="AC229" i="10" s="1"/>
  <c r="I22" i="10"/>
  <c r="J18" i="10"/>
  <c r="AC225" i="10" s="1"/>
  <c r="K18" i="10"/>
  <c r="AD225" i="10" s="1"/>
  <c r="I18" i="10"/>
  <c r="J14" i="10"/>
  <c r="AC221" i="10" s="1"/>
  <c r="I14" i="10"/>
  <c r="K14" i="10"/>
  <c r="AD221" i="10" s="1"/>
  <c r="J10" i="10"/>
  <c r="AC217" i="10" s="1"/>
  <c r="K10" i="10"/>
  <c r="AD217" i="10" s="1"/>
  <c r="I10" i="10"/>
  <c r="AB217" i="10" s="1"/>
  <c r="Y6" i="10"/>
  <c r="X6" i="10"/>
  <c r="Y10" i="10"/>
  <c r="X10" i="10"/>
  <c r="W10" i="10"/>
  <c r="Y14" i="10"/>
  <c r="X14" i="10"/>
  <c r="Y18" i="10"/>
  <c r="X18" i="10"/>
  <c r="Y22" i="10"/>
  <c r="X22" i="10"/>
  <c r="X26" i="10"/>
  <c r="Y26" i="10"/>
  <c r="X30" i="10"/>
  <c r="Y30" i="10"/>
  <c r="X34" i="10"/>
  <c r="Y34" i="10"/>
  <c r="X38" i="10"/>
  <c r="Y38" i="10"/>
  <c r="X42" i="10"/>
  <c r="Y42" i="10"/>
  <c r="Y46" i="10"/>
  <c r="X46" i="10"/>
  <c r="X50" i="10"/>
  <c r="Y50" i="10"/>
  <c r="X54" i="10"/>
  <c r="Y54" i="10"/>
  <c r="X58" i="10"/>
  <c r="Y58" i="10"/>
  <c r="I71" i="10"/>
  <c r="AB260" i="10" s="1"/>
  <c r="J71" i="10"/>
  <c r="AC260" i="10" s="1"/>
  <c r="K71" i="10"/>
  <c r="AD260" i="10" s="1"/>
  <c r="Y67" i="10"/>
  <c r="X67" i="10"/>
  <c r="W67" i="10"/>
  <c r="X71" i="10"/>
  <c r="W71" i="10"/>
  <c r="Y71" i="10"/>
  <c r="G132" i="10"/>
  <c r="G128" i="10"/>
  <c r="G124" i="10"/>
  <c r="G120" i="10"/>
  <c r="G116" i="10"/>
  <c r="G112" i="10"/>
  <c r="G108" i="10"/>
  <c r="G104" i="10"/>
  <c r="G100" i="10"/>
  <c r="G96" i="10"/>
  <c r="G92" i="10"/>
  <c r="G88" i="10"/>
  <c r="G84" i="10"/>
  <c r="S82" i="10"/>
  <c r="S80" i="10"/>
  <c r="H11" i="14"/>
  <c r="G11" i="14"/>
  <c r="H7" i="14"/>
  <c r="G7" i="14"/>
  <c r="G51" i="14"/>
  <c r="G55" i="14"/>
  <c r="H39" i="14"/>
  <c r="G39" i="14"/>
  <c r="G41" i="14"/>
  <c r="H41" i="14"/>
  <c r="S96" i="14"/>
  <c r="T96" i="14"/>
  <c r="T92" i="14"/>
  <c r="AP43" i="14" s="1"/>
  <c r="S92" i="14"/>
  <c r="T107" i="14"/>
  <c r="S107" i="14"/>
  <c r="S111" i="14"/>
  <c r="T111" i="14"/>
  <c r="T26" i="14"/>
  <c r="S26" i="14"/>
  <c r="T22" i="14"/>
  <c r="AL43" i="14" s="1"/>
  <c r="S22" i="14"/>
  <c r="S40" i="14"/>
  <c r="T40" i="14"/>
  <c r="S36" i="14"/>
  <c r="T36" i="14"/>
  <c r="AN43" i="14" s="1"/>
  <c r="S63" i="14"/>
  <c r="T63" i="14"/>
  <c r="T67" i="14"/>
  <c r="S67" i="14"/>
  <c r="G63" i="14"/>
  <c r="H63" i="14"/>
  <c r="S120" i="14"/>
  <c r="T120" i="14"/>
  <c r="AJ58" i="14" s="1"/>
  <c r="S122" i="14"/>
  <c r="T122" i="14"/>
  <c r="S124" i="14"/>
  <c r="T124" i="14"/>
  <c r="K71" i="13"/>
  <c r="I71" i="13"/>
  <c r="J71" i="13"/>
  <c r="K67" i="13"/>
  <c r="J67" i="13"/>
  <c r="I67" i="13"/>
  <c r="J44" i="12"/>
  <c r="K44" i="12"/>
  <c r="I44" i="12"/>
  <c r="K40" i="12"/>
  <c r="J40" i="12"/>
  <c r="I40" i="12"/>
  <c r="J36" i="12"/>
  <c r="K36" i="12"/>
  <c r="I36" i="12"/>
  <c r="J32" i="12"/>
  <c r="K32" i="12"/>
  <c r="I32" i="12"/>
  <c r="J28" i="12"/>
  <c r="Q40" i="12" s="1"/>
  <c r="K28" i="12"/>
  <c r="R40" i="12" s="1"/>
  <c r="I28" i="12"/>
  <c r="P40" i="12" s="1"/>
  <c r="K24" i="12"/>
  <c r="R36" i="12" s="1"/>
  <c r="J24" i="12"/>
  <c r="Q36" i="12" s="1"/>
  <c r="I24" i="12"/>
  <c r="P36" i="12" s="1"/>
  <c r="K20" i="12"/>
  <c r="R32" i="12" s="1"/>
  <c r="J20" i="12"/>
  <c r="Q32" i="12" s="1"/>
  <c r="I20" i="12"/>
  <c r="P32" i="12" s="1"/>
  <c r="K16" i="12"/>
  <c r="R30" i="12" s="1"/>
  <c r="J16" i="12"/>
  <c r="Q30" i="12" s="1"/>
  <c r="I16" i="12"/>
  <c r="P30" i="12" s="1"/>
  <c r="K12" i="12"/>
  <c r="J12" i="12"/>
  <c r="I12" i="12"/>
  <c r="K8" i="12"/>
  <c r="J8" i="12"/>
  <c r="I8" i="12"/>
  <c r="J105" i="12"/>
  <c r="I105" i="12"/>
  <c r="K105" i="12"/>
  <c r="J100" i="12"/>
  <c r="K100" i="12"/>
  <c r="I100" i="12"/>
  <c r="K96" i="12"/>
  <c r="J96" i="12"/>
  <c r="I96" i="12"/>
  <c r="K92" i="12"/>
  <c r="J92" i="12"/>
  <c r="I92" i="12"/>
  <c r="K88" i="12"/>
  <c r="J88" i="12"/>
  <c r="I88" i="12"/>
  <c r="J84" i="12"/>
  <c r="K84" i="12"/>
  <c r="I84" i="12"/>
  <c r="K80" i="12"/>
  <c r="J80" i="12"/>
  <c r="I80" i="12"/>
  <c r="K76" i="12"/>
  <c r="J76" i="12"/>
  <c r="I76" i="12"/>
  <c r="K72" i="12"/>
  <c r="J72" i="12"/>
  <c r="I72" i="12"/>
  <c r="K68" i="12"/>
  <c r="J68" i="12"/>
  <c r="I68" i="12"/>
  <c r="K64" i="12"/>
  <c r="J64" i="12"/>
  <c r="I64" i="12"/>
  <c r="K60" i="12"/>
  <c r="J60" i="12"/>
  <c r="I60" i="12"/>
  <c r="K56" i="12"/>
  <c r="J56" i="12"/>
  <c r="I56" i="12"/>
  <c r="I112" i="12"/>
  <c r="J112" i="12"/>
  <c r="K112" i="12"/>
  <c r="K163" i="12"/>
  <c r="J163" i="12"/>
  <c r="I163" i="12"/>
  <c r="K159" i="12"/>
  <c r="J159" i="12"/>
  <c r="I159" i="12"/>
  <c r="J155" i="12"/>
  <c r="K155" i="12"/>
  <c r="I155" i="12"/>
  <c r="J151" i="12"/>
  <c r="K151" i="12"/>
  <c r="I151" i="12"/>
  <c r="J147" i="12"/>
  <c r="K147" i="12"/>
  <c r="I147" i="12"/>
  <c r="J143" i="12"/>
  <c r="K143" i="12"/>
  <c r="I143" i="12"/>
  <c r="K139" i="12"/>
  <c r="J139" i="12"/>
  <c r="I139" i="12"/>
  <c r="K135" i="12"/>
  <c r="R18" i="12" s="1"/>
  <c r="J135" i="12"/>
  <c r="Q18" i="12" s="1"/>
  <c r="I135" i="12"/>
  <c r="P18" i="12" s="1"/>
  <c r="K131" i="12"/>
  <c r="R15" i="12" s="1"/>
  <c r="J131" i="12"/>
  <c r="Q15" i="12" s="1"/>
  <c r="I131" i="12"/>
  <c r="P15" i="12" s="1"/>
  <c r="K126" i="12"/>
  <c r="J126" i="12"/>
  <c r="I126" i="12"/>
  <c r="J122" i="12"/>
  <c r="Q8" i="12" s="1"/>
  <c r="K122" i="12"/>
  <c r="R8" i="12" s="1"/>
  <c r="I122" i="12"/>
  <c r="P8" i="12" s="1"/>
  <c r="J118" i="12"/>
  <c r="K118" i="12"/>
  <c r="I118" i="12"/>
  <c r="J114" i="12"/>
  <c r="K114" i="12"/>
  <c r="I114" i="12"/>
  <c r="T57" i="11"/>
  <c r="Y57" i="11"/>
  <c r="V57" i="11"/>
  <c r="W57" i="11"/>
  <c r="S57" i="11"/>
  <c r="T53" i="11"/>
  <c r="Y53" i="11"/>
  <c r="V53" i="11"/>
  <c r="W53" i="11"/>
  <c r="S53" i="11"/>
  <c r="T49" i="11"/>
  <c r="Y49" i="11"/>
  <c r="V49" i="11"/>
  <c r="W49" i="11"/>
  <c r="S49" i="11"/>
  <c r="T45" i="11"/>
  <c r="Y45" i="11"/>
  <c r="V45" i="11"/>
  <c r="W45" i="11"/>
  <c r="S45" i="11"/>
  <c r="T41" i="11"/>
  <c r="Y41" i="11"/>
  <c r="V41" i="11"/>
  <c r="W41" i="11"/>
  <c r="S41" i="11"/>
  <c r="T37" i="11"/>
  <c r="Y37" i="11"/>
  <c r="V37" i="11"/>
  <c r="W37" i="11"/>
  <c r="S37" i="11"/>
  <c r="T33" i="11"/>
  <c r="Y33" i="11"/>
  <c r="V33" i="11"/>
  <c r="W33" i="11"/>
  <c r="S33" i="11"/>
  <c r="S29" i="11"/>
  <c r="T29" i="11"/>
  <c r="Y29" i="11"/>
  <c r="V29" i="11"/>
  <c r="W29" i="11"/>
  <c r="S25" i="11"/>
  <c r="T25" i="11"/>
  <c r="Y25" i="11"/>
  <c r="V25" i="11"/>
  <c r="W25" i="11"/>
  <c r="S21" i="11"/>
  <c r="AE21" i="11" s="1"/>
  <c r="T21" i="11"/>
  <c r="Y21" i="11"/>
  <c r="AG21" i="11" s="1"/>
  <c r="V21" i="11"/>
  <c r="AF21" i="11" s="1"/>
  <c r="W21" i="11"/>
  <c r="S17" i="11"/>
  <c r="AE17" i="11" s="1"/>
  <c r="T17" i="11"/>
  <c r="Y17" i="11"/>
  <c r="AG17" i="11" s="1"/>
  <c r="V17" i="11"/>
  <c r="AF17" i="11" s="1"/>
  <c r="W17" i="11"/>
  <c r="S13" i="11"/>
  <c r="AE13" i="11" s="1"/>
  <c r="T13" i="11"/>
  <c r="Y13" i="11"/>
  <c r="AG13" i="11" s="1"/>
  <c r="V13" i="11"/>
  <c r="AF13" i="11" s="1"/>
  <c r="W13" i="11"/>
  <c r="S9" i="11"/>
  <c r="AE9" i="11" s="1"/>
  <c r="T9" i="11"/>
  <c r="Y9" i="11"/>
  <c r="AG9" i="11" s="1"/>
  <c r="V9" i="11"/>
  <c r="AF9" i="11" s="1"/>
  <c r="W9" i="11"/>
  <c r="J59" i="10"/>
  <c r="K59" i="10"/>
  <c r="I59" i="10"/>
  <c r="J55" i="10"/>
  <c r="K55" i="10"/>
  <c r="I55" i="10"/>
  <c r="J51" i="10"/>
  <c r="K51" i="10"/>
  <c r="I51" i="10"/>
  <c r="J47" i="10"/>
  <c r="K47" i="10"/>
  <c r="I47" i="10"/>
  <c r="J43" i="10"/>
  <c r="AC250" i="10" s="1"/>
  <c r="K43" i="10"/>
  <c r="AD250" i="10" s="1"/>
  <c r="I43" i="10"/>
  <c r="J39" i="10"/>
  <c r="AC246" i="10" s="1"/>
  <c r="K39" i="10"/>
  <c r="AD246" i="10" s="1"/>
  <c r="I39" i="10"/>
  <c r="J35" i="10"/>
  <c r="AC242" i="10" s="1"/>
  <c r="K35" i="10"/>
  <c r="AD242" i="10" s="1"/>
  <c r="I35" i="10"/>
  <c r="J31" i="10"/>
  <c r="AC238" i="10" s="1"/>
  <c r="K31" i="10"/>
  <c r="AD238" i="10" s="1"/>
  <c r="I31" i="10"/>
  <c r="J27" i="10"/>
  <c r="AC234" i="10" s="1"/>
  <c r="K27" i="10"/>
  <c r="AD234" i="10" s="1"/>
  <c r="I27" i="10"/>
  <c r="J23" i="10"/>
  <c r="AC230" i="10" s="1"/>
  <c r="K23" i="10"/>
  <c r="AD230" i="10" s="1"/>
  <c r="I23" i="10"/>
  <c r="K19" i="10"/>
  <c r="AD226" i="10" s="1"/>
  <c r="J19" i="10"/>
  <c r="AC226" i="10" s="1"/>
  <c r="I19" i="10"/>
  <c r="K15" i="10"/>
  <c r="AD222" i="10" s="1"/>
  <c r="I15" i="10"/>
  <c r="J15" i="10"/>
  <c r="AC222" i="10" s="1"/>
  <c r="J11" i="10"/>
  <c r="AC218" i="10" s="1"/>
  <c r="I11" i="10"/>
  <c r="AB218" i="10" s="1"/>
  <c r="K11" i="10"/>
  <c r="AD218" i="10" s="1"/>
  <c r="I7" i="10"/>
  <c r="AB214" i="10" s="1"/>
  <c r="K7" i="10"/>
  <c r="AD214" i="10" s="1"/>
  <c r="J7" i="10"/>
  <c r="AC214" i="10" s="1"/>
  <c r="X9" i="10"/>
  <c r="Y9" i="10"/>
  <c r="W9" i="10"/>
  <c r="X13" i="10"/>
  <c r="Y13" i="10"/>
  <c r="X17" i="10"/>
  <c r="Y17" i="10"/>
  <c r="X21" i="10"/>
  <c r="Y21" i="10"/>
  <c r="X25" i="10"/>
  <c r="Y25" i="10"/>
  <c r="X29" i="10"/>
  <c r="Y29" i="10"/>
  <c r="X33" i="10"/>
  <c r="Y33" i="10"/>
  <c r="X37" i="10"/>
  <c r="Y37" i="10"/>
  <c r="X41" i="10"/>
  <c r="Y41" i="10"/>
  <c r="X45" i="10"/>
  <c r="Y45" i="10"/>
  <c r="X49" i="10"/>
  <c r="Y49" i="10"/>
  <c r="X53" i="10"/>
  <c r="Y53" i="10"/>
  <c r="X57" i="10"/>
  <c r="Y57" i="10"/>
  <c r="K72" i="10"/>
  <c r="I72" i="10"/>
  <c r="J72" i="10"/>
  <c r="K68" i="10"/>
  <c r="AD257" i="10" s="1"/>
  <c r="I68" i="10"/>
  <c r="AB257" i="10" s="1"/>
  <c r="J68" i="10"/>
  <c r="AC257" i="10" s="1"/>
  <c r="X70" i="10"/>
  <c r="W70" i="10"/>
  <c r="AF259" i="10" s="1"/>
  <c r="Y70" i="10"/>
  <c r="G133" i="10"/>
  <c r="G129" i="10"/>
  <c r="G125" i="10"/>
  <c r="G121" i="10"/>
  <c r="G117" i="10"/>
  <c r="G113" i="10"/>
  <c r="G109" i="10"/>
  <c r="G105" i="10"/>
  <c r="G101" i="10"/>
  <c r="G97" i="10"/>
  <c r="G93" i="10"/>
  <c r="G89" i="10"/>
  <c r="G85" i="10"/>
  <c r="G81" i="10"/>
  <c r="S81" i="10"/>
  <c r="L205" i="10"/>
  <c r="M205" i="10"/>
  <c r="M195" i="10"/>
  <c r="L195" i="10"/>
  <c r="M191" i="10"/>
  <c r="L191" i="10"/>
  <c r="M187" i="10"/>
  <c r="L187" i="10"/>
  <c r="M183" i="10"/>
  <c r="L183" i="10"/>
  <c r="M179" i="10"/>
  <c r="L179" i="10"/>
  <c r="M175" i="10"/>
  <c r="L175" i="10"/>
  <c r="M171" i="10"/>
  <c r="L171" i="10"/>
  <c r="M167" i="10"/>
  <c r="L167" i="10"/>
  <c r="M163" i="10"/>
  <c r="L163" i="10"/>
  <c r="M159" i="10"/>
  <c r="L159" i="10"/>
  <c r="M155" i="10"/>
  <c r="L155" i="10"/>
  <c r="M151" i="10"/>
  <c r="L151" i="10"/>
  <c r="M147" i="10"/>
  <c r="L147" i="10"/>
  <c r="M143" i="10"/>
  <c r="L143" i="10"/>
  <c r="M204" i="10"/>
  <c r="L204" i="10"/>
  <c r="L142" i="10"/>
  <c r="M192" i="10"/>
  <c r="L192" i="10"/>
  <c r="M188" i="10"/>
  <c r="L188" i="10"/>
  <c r="M184" i="10"/>
  <c r="L184" i="10"/>
  <c r="M180" i="10"/>
  <c r="L180" i="10"/>
  <c r="M176" i="10"/>
  <c r="L176" i="10"/>
  <c r="M172" i="10"/>
  <c r="L172" i="10"/>
  <c r="M168" i="10"/>
  <c r="L168" i="10"/>
  <c r="M164" i="10"/>
  <c r="L164" i="10"/>
  <c r="M160" i="10"/>
  <c r="L160" i="10"/>
  <c r="M156" i="10"/>
  <c r="L156" i="10"/>
  <c r="M152" i="10"/>
  <c r="L152" i="10"/>
  <c r="M148" i="10"/>
  <c r="L148" i="10"/>
  <c r="M144" i="10"/>
  <c r="L144" i="10"/>
  <c r="G7" i="7"/>
  <c r="AF256" i="10" l="1"/>
  <c r="AF216" i="10"/>
  <c r="AF260" i="10"/>
  <c r="Q10" i="13"/>
  <c r="AE26" i="11"/>
  <c r="AF30" i="11"/>
  <c r="AF34" i="11"/>
  <c r="AE38" i="11"/>
  <c r="AF25" i="11"/>
  <c r="AE25" i="11"/>
  <c r="AF33" i="11"/>
  <c r="AE33" i="11"/>
  <c r="AE24" i="11"/>
  <c r="AF28" i="11"/>
  <c r="AE32" i="11"/>
  <c r="AF36" i="11"/>
  <c r="AE40" i="11"/>
  <c r="AF27" i="11"/>
  <c r="AE31" i="11"/>
  <c r="AE35" i="11"/>
  <c r="AF35" i="11"/>
  <c r="AF26" i="11"/>
  <c r="AE30" i="11"/>
  <c r="AE34" i="11"/>
  <c r="AF38" i="11"/>
  <c r="AF29" i="11"/>
  <c r="AE29" i="11"/>
  <c r="AF37" i="11"/>
  <c r="AE37" i="11"/>
  <c r="AF24" i="11"/>
  <c r="AE28" i="11"/>
  <c r="AF32" i="11"/>
  <c r="AE36" i="11"/>
  <c r="AF40" i="11"/>
  <c r="AE27" i="11"/>
  <c r="AF31" i="11"/>
  <c r="AE39" i="11"/>
  <c r="AF39" i="11"/>
  <c r="AF215" i="10"/>
  <c r="Q9" i="13"/>
  <c r="AB222" i="10"/>
  <c r="AH44" i="11"/>
  <c r="AB226" i="10"/>
  <c r="AB234" i="10"/>
  <c r="AB242" i="10"/>
  <c r="AB250" i="10"/>
  <c r="AB221" i="10"/>
  <c r="AH43" i="11"/>
  <c r="AB225" i="10"/>
  <c r="AB233" i="10"/>
  <c r="AB245" i="10"/>
  <c r="AB220" i="10"/>
  <c r="AH42" i="11"/>
  <c r="AB228" i="10"/>
  <c r="AB240" i="10"/>
  <c r="AB244" i="10"/>
  <c r="AB252" i="10"/>
  <c r="AB219" i="10"/>
  <c r="AB223" i="10"/>
  <c r="AH45" i="11"/>
  <c r="AB235" i="10"/>
  <c r="AF257" i="10"/>
  <c r="AB230" i="10"/>
  <c r="AB238" i="10"/>
  <c r="AB246" i="10"/>
  <c r="AB229" i="10"/>
  <c r="AB237" i="10"/>
  <c r="AB241" i="10"/>
  <c r="AB249" i="10"/>
  <c r="AB224" i="10"/>
  <c r="AH46" i="11"/>
  <c r="AB232" i="10"/>
  <c r="AB236" i="10"/>
  <c r="AB248" i="10"/>
  <c r="Q8" i="13"/>
  <c r="AB227" i="10"/>
  <c r="AB231" i="10"/>
  <c r="AB239" i="10"/>
  <c r="AB243" i="10"/>
  <c r="AB247" i="10"/>
  <c r="AB251" i="10"/>
  <c r="AB213" i="10"/>
  <c r="AD249" i="10"/>
  <c r="AF217" i="10" l="1"/>
  <c r="AH34" i="11"/>
  <c r="AH47" i="11"/>
  <c r="AH38" i="11"/>
  <c r="AH57" i="11"/>
  <c r="AH51" i="11"/>
  <c r="AH39" i="11"/>
  <c r="AH52" i="11"/>
  <c r="AH58" i="11"/>
  <c r="AH35" i="11"/>
  <c r="AH48" i="11"/>
  <c r="AH54" i="11"/>
  <c r="AH36" i="11"/>
  <c r="AH55" i="11"/>
  <c r="AH49" i="11"/>
  <c r="AH37" i="11"/>
  <c r="AH50" i="11"/>
  <c r="AH56" i="11"/>
  <c r="AH40" i="11"/>
  <c r="AH59" i="11"/>
  <c r="AH53" i="11"/>
  <c r="AH28" i="11"/>
  <c r="AH33" i="11"/>
  <c r="AH22" i="11"/>
  <c r="AH16" i="11"/>
  <c r="AH10" i="11"/>
  <c r="AH32" i="11"/>
  <c r="AH21" i="11"/>
  <c r="AH15" i="11"/>
  <c r="AH9" i="11"/>
  <c r="AH27" i="11"/>
  <c r="AH17" i="11"/>
  <c r="AH11" i="11"/>
  <c r="AH24" i="11"/>
  <c r="AH29" i="11"/>
  <c r="AH18" i="11"/>
  <c r="AH12" i="11"/>
  <c r="AH6" i="11"/>
  <c r="AH30" i="11"/>
  <c r="AH19" i="11"/>
  <c r="AH13" i="11"/>
  <c r="AH7" i="11"/>
  <c r="AH25" i="11"/>
  <c r="AH26" i="11"/>
  <c r="AH31" i="11"/>
  <c r="AH20" i="11"/>
  <c r="AH14" i="11"/>
  <c r="AH8" i="11"/>
  <c r="AF251" i="10"/>
  <c r="Q44" i="13"/>
  <c r="AF247" i="10"/>
  <c r="Q40" i="13"/>
  <c r="AF243" i="10"/>
  <c r="Q36" i="13"/>
  <c r="AF239" i="10"/>
  <c r="Q32" i="13"/>
  <c r="AF227" i="10"/>
  <c r="Q20" i="13"/>
  <c r="Q41" i="13"/>
  <c r="AF248" i="10"/>
  <c r="Q29" i="13"/>
  <c r="AF236" i="10"/>
  <c r="Q25" i="13"/>
  <c r="AF232" i="10"/>
  <c r="Q17" i="13"/>
  <c r="S31" i="12"/>
  <c r="AF224" i="10"/>
  <c r="AF249" i="10"/>
  <c r="Q42" i="13"/>
  <c r="AF237" i="10"/>
  <c r="Q30" i="13"/>
  <c r="AF229" i="10"/>
  <c r="Q22" i="13"/>
  <c r="Q39" i="13"/>
  <c r="AF246" i="10"/>
  <c r="Q31" i="13"/>
  <c r="AF238" i="10"/>
  <c r="Q23" i="13"/>
  <c r="AF230" i="10"/>
  <c r="AF235" i="10"/>
  <c r="Q28" i="13"/>
  <c r="AF223" i="10"/>
  <c r="Q16" i="13"/>
  <c r="S30" i="12"/>
  <c r="AF219" i="10"/>
  <c r="Q12" i="13"/>
  <c r="Q45" i="13"/>
  <c r="AF252" i="10"/>
  <c r="Q37" i="13"/>
  <c r="AF244" i="10"/>
  <c r="Q21" i="13"/>
  <c r="AF228" i="10"/>
  <c r="Q13" i="13"/>
  <c r="AF220" i="10"/>
  <c r="AF245" i="10"/>
  <c r="Q38" i="13"/>
  <c r="AF233" i="10"/>
  <c r="Q26" i="13"/>
  <c r="AF225" i="10"/>
  <c r="Q18" i="13"/>
  <c r="AF221" i="10"/>
  <c r="Q14" i="13"/>
  <c r="S28" i="12"/>
  <c r="Q43" i="13"/>
  <c r="AF250" i="10"/>
  <c r="Q35" i="13"/>
  <c r="AF242" i="10"/>
  <c r="Q19" i="13"/>
  <c r="AF226" i="10"/>
  <c r="Q15" i="13"/>
  <c r="S29" i="12"/>
  <c r="AF222" i="10"/>
  <c r="Q11" i="13"/>
  <c r="AF218" i="10"/>
  <c r="AF231" i="10"/>
  <c r="Q24" i="13"/>
  <c r="AF241" i="10"/>
  <c r="Q34" i="13"/>
  <c r="AF214" i="10"/>
  <c r="Q33" i="13"/>
  <c r="AF240" i="10"/>
  <c r="Q27" i="13"/>
  <c r="AF234" i="10"/>
  <c r="P128" i="15"/>
  <c r="P132" i="15"/>
  <c r="P136" i="15"/>
  <c r="P140" i="15"/>
  <c r="P144" i="15"/>
  <c r="P152" i="15"/>
  <c r="P157" i="15"/>
  <c r="P162" i="15"/>
  <c r="P168" i="15"/>
  <c r="P172" i="15"/>
  <c r="P176" i="15"/>
  <c r="P180" i="15"/>
  <c r="P184" i="15"/>
  <c r="P188" i="15"/>
  <c r="P192" i="15"/>
  <c r="P196" i="15"/>
  <c r="P200" i="15"/>
  <c r="P204" i="15"/>
  <c r="P208" i="15"/>
  <c r="P212" i="15"/>
  <c r="P216" i="15"/>
  <c r="P220" i="15"/>
  <c r="P129" i="15"/>
  <c r="P133" i="15"/>
  <c r="P137" i="15"/>
  <c r="P145" i="15"/>
  <c r="P149" i="15"/>
  <c r="P154" i="15"/>
  <c r="P159" i="15"/>
  <c r="P169" i="15"/>
  <c r="P177" i="15"/>
  <c r="P181" i="15"/>
  <c r="P185" i="15"/>
  <c r="P189" i="15"/>
  <c r="P197" i="15"/>
  <c r="P201" i="15"/>
  <c r="P205" i="15"/>
  <c r="P158" i="15"/>
  <c r="P215" i="15"/>
  <c r="P219" i="15"/>
  <c r="P130" i="15"/>
  <c r="P138" i="15"/>
  <c r="P142" i="15"/>
  <c r="P146" i="15"/>
  <c r="P150" i="15"/>
  <c r="P155" i="15"/>
  <c r="P160" i="15"/>
  <c r="P170" i="15"/>
  <c r="P174" i="15"/>
  <c r="P182" i="15"/>
  <c r="P186" i="15"/>
  <c r="P190" i="15"/>
  <c r="P194" i="15"/>
  <c r="P198" i="15"/>
  <c r="P202" i="15"/>
  <c r="P206" i="15"/>
  <c r="P210" i="15"/>
  <c r="P222" i="15"/>
  <c r="P127" i="15"/>
  <c r="P131" i="15"/>
  <c r="P139" i="15"/>
  <c r="P143" i="15"/>
  <c r="P151" i="15"/>
  <c r="P156" i="15"/>
  <c r="P161" i="15"/>
  <c r="P171" i="15"/>
  <c r="P179" i="15"/>
  <c r="P183" i="15"/>
  <c r="P187" i="15"/>
  <c r="P191" i="15"/>
  <c r="P195" i="15"/>
  <c r="P199" i="15"/>
  <c r="P203" i="15"/>
  <c r="P209" i="15"/>
  <c r="P221" i="15"/>
  <c r="P226" i="15"/>
  <c r="P224" i="15"/>
  <c r="P225" i="15"/>
  <c r="P227" i="15"/>
  <c r="P153" i="15"/>
  <c r="P211" i="15"/>
  <c r="P164" i="15"/>
  <c r="P163" i="15"/>
  <c r="P148" i="15"/>
  <c r="P193" i="15"/>
  <c r="P147" i="15"/>
  <c r="P134" i="15"/>
  <c r="P167" i="15"/>
  <c r="P178" i="15"/>
  <c r="P166" i="15"/>
  <c r="R72" i="23" l="1"/>
  <c r="R70" i="23"/>
  <c r="R68" i="23"/>
  <c r="D72" i="23"/>
  <c r="D70" i="23"/>
  <c r="D68" i="23"/>
  <c r="R59" i="23"/>
  <c r="R9" i="23"/>
  <c r="R11" i="23"/>
  <c r="R13" i="23"/>
  <c r="R15" i="23"/>
  <c r="R17" i="23"/>
  <c r="R19" i="23"/>
  <c r="R21" i="23"/>
  <c r="R23" i="23"/>
  <c r="R25" i="23"/>
  <c r="R27" i="23"/>
  <c r="R29" i="23"/>
  <c r="R31" i="23"/>
  <c r="R33" i="23"/>
  <c r="R35" i="23"/>
  <c r="R37" i="23"/>
  <c r="R39" i="23"/>
  <c r="R41" i="23"/>
  <c r="R43" i="23"/>
  <c r="R45" i="23"/>
  <c r="R47" i="23"/>
  <c r="R49" i="23"/>
  <c r="R51" i="23"/>
  <c r="R53" i="23"/>
  <c r="R55" i="23"/>
  <c r="R57" i="23"/>
  <c r="R7" i="23"/>
  <c r="D59" i="23"/>
  <c r="D9" i="23"/>
  <c r="D11" i="23"/>
  <c r="D13" i="23"/>
  <c r="D15" i="23"/>
  <c r="D17" i="23"/>
  <c r="D19" i="23"/>
  <c r="D21" i="23"/>
  <c r="D23" i="23"/>
  <c r="D25" i="23"/>
  <c r="D27" i="23"/>
  <c r="D29" i="23"/>
  <c r="D31" i="23"/>
  <c r="D33" i="23"/>
  <c r="D35" i="23"/>
  <c r="D37" i="23"/>
  <c r="D39" i="23"/>
  <c r="D41" i="23"/>
  <c r="D43" i="23"/>
  <c r="D45" i="23"/>
  <c r="D47" i="23"/>
  <c r="D49" i="23"/>
  <c r="D51" i="23"/>
  <c r="D53" i="23"/>
  <c r="D55" i="23"/>
  <c r="D57" i="23"/>
  <c r="R69" i="23"/>
  <c r="R71" i="23"/>
  <c r="R67" i="23"/>
  <c r="D69" i="23"/>
  <c r="D71" i="23"/>
  <c r="D67" i="23"/>
  <c r="R8" i="23"/>
  <c r="R10" i="23"/>
  <c r="R12" i="23"/>
  <c r="R14" i="23"/>
  <c r="R16" i="23"/>
  <c r="R18" i="23"/>
  <c r="R20" i="23"/>
  <c r="R22" i="23"/>
  <c r="R24" i="23"/>
  <c r="R26" i="23"/>
  <c r="R28" i="23"/>
  <c r="R30" i="23"/>
  <c r="R32" i="23"/>
  <c r="R34" i="23"/>
  <c r="R36" i="23"/>
  <c r="R38" i="23"/>
  <c r="R40" i="23"/>
  <c r="R42" i="23"/>
  <c r="R44" i="23"/>
  <c r="R48" i="23"/>
  <c r="R52" i="23"/>
  <c r="R56" i="23"/>
  <c r="R6" i="23"/>
  <c r="D10" i="23"/>
  <c r="D14" i="23"/>
  <c r="D18" i="23"/>
  <c r="D22" i="23"/>
  <c r="D26" i="23"/>
  <c r="D30" i="23"/>
  <c r="D34" i="23"/>
  <c r="D38" i="23"/>
  <c r="D42" i="23"/>
  <c r="D46" i="23"/>
  <c r="D50" i="23"/>
  <c r="D54" i="23"/>
  <c r="D58" i="23"/>
  <c r="R46" i="23"/>
  <c r="R50" i="23"/>
  <c r="R54" i="23"/>
  <c r="R58" i="23"/>
  <c r="D12" i="23"/>
  <c r="D16" i="23"/>
  <c r="D20" i="23"/>
  <c r="D24" i="23"/>
  <c r="D28" i="23"/>
  <c r="D32" i="23"/>
  <c r="D36" i="23"/>
  <c r="D40" i="23"/>
  <c r="D44" i="23"/>
  <c r="D48" i="23"/>
  <c r="D52" i="23"/>
  <c r="D56" i="23"/>
  <c r="D6" i="23"/>
  <c r="P126" i="15"/>
  <c r="P125" i="15"/>
  <c r="J161" i="17"/>
  <c r="D10" i="33"/>
  <c r="F310" i="27"/>
  <c r="G39" i="26"/>
  <c r="G23" i="23"/>
  <c r="M47" i="24"/>
  <c r="O47" i="24"/>
  <c r="N68" i="33"/>
  <c r="G21" i="25"/>
  <c r="U29" i="23"/>
  <c r="G34" i="23"/>
  <c r="G36" i="25"/>
  <c r="U39" i="23"/>
  <c r="F326" i="27"/>
  <c r="O13" i="24"/>
  <c r="G19" i="26"/>
  <c r="N20" i="24"/>
  <c r="U57" i="23"/>
  <c r="G12" i="23"/>
  <c r="N25" i="24"/>
  <c r="U15" i="23"/>
  <c r="F354" i="27"/>
  <c r="O8" i="24"/>
  <c r="M33" i="24"/>
  <c r="G41" i="26"/>
  <c r="G50" i="26"/>
  <c r="G63" i="25"/>
  <c r="U14" i="23"/>
  <c r="G22" i="26"/>
  <c r="U68" i="23"/>
  <c r="G37" i="23"/>
  <c r="U36" i="23"/>
  <c r="F309" i="27"/>
  <c r="O36" i="24"/>
  <c r="G35" i="26"/>
  <c r="N36" i="24"/>
  <c r="G19" i="23"/>
  <c r="G28" i="23"/>
  <c r="M35" i="24"/>
  <c r="F263" i="27"/>
  <c r="AB309" i="27"/>
  <c r="O55" i="24"/>
  <c r="G22" i="25"/>
  <c r="M31" i="24"/>
  <c r="M46" i="24"/>
  <c r="G52" i="23"/>
  <c r="G10" i="23"/>
  <c r="M55" i="24"/>
  <c r="N10" i="24"/>
  <c r="U32" i="23"/>
  <c r="N57" i="24"/>
  <c r="G12" i="25"/>
  <c r="G9" i="23"/>
  <c r="N50" i="24"/>
  <c r="G57" i="23"/>
  <c r="N17" i="24"/>
  <c r="G22" i="23"/>
  <c r="F283" i="27"/>
  <c r="F321" i="27"/>
  <c r="F337" i="27"/>
  <c r="O28" i="24"/>
  <c r="O30" i="24"/>
  <c r="G51" i="25"/>
  <c r="N55" i="24"/>
  <c r="G32" i="26"/>
  <c r="G28" i="25"/>
  <c r="U17" i="23"/>
  <c r="G18" i="25"/>
  <c r="U26" i="23"/>
  <c r="N18" i="24"/>
  <c r="G58" i="26"/>
  <c r="U71" i="23"/>
  <c r="G8" i="23"/>
  <c r="J8" i="23" s="1"/>
  <c r="G23" i="25"/>
  <c r="U8" i="23"/>
  <c r="G67" i="26"/>
  <c r="N61" i="24"/>
  <c r="U7" i="23"/>
  <c r="G49" i="23"/>
  <c r="G71" i="23"/>
  <c r="M59" i="24"/>
  <c r="AB311" i="27"/>
  <c r="F324" i="27"/>
  <c r="F352" i="27"/>
  <c r="O54" i="24"/>
  <c r="G69" i="26"/>
  <c r="M25" i="24"/>
  <c r="G56" i="26"/>
  <c r="G25" i="26"/>
  <c r="U41" i="23"/>
  <c r="G34" i="26"/>
  <c r="U50" i="23"/>
  <c r="M52" i="24"/>
  <c r="G13" i="26"/>
  <c r="U31" i="23"/>
  <c r="G21" i="26"/>
  <c r="F350" i="27"/>
  <c r="F339" i="27"/>
  <c r="O44" i="24"/>
  <c r="O23" i="24"/>
  <c r="G27" i="26"/>
  <c r="G69" i="25"/>
  <c r="N28" i="24"/>
  <c r="N21" i="24"/>
  <c r="G11" i="23"/>
  <c r="N30" i="24"/>
  <c r="G20" i="23"/>
  <c r="U67" i="23"/>
  <c r="G45" i="26"/>
  <c r="G25" i="23"/>
  <c r="M27" i="24"/>
  <c r="G50" i="25"/>
  <c r="M51" i="24"/>
  <c r="G38" i="23"/>
  <c r="P218" i="15"/>
  <c r="P141" i="15"/>
  <c r="K6" i="23" l="1"/>
  <c r="I6" i="23"/>
  <c r="K52" i="23"/>
  <c r="I52" i="23"/>
  <c r="J52" i="23"/>
  <c r="K44" i="23"/>
  <c r="I44" i="23"/>
  <c r="K36" i="23"/>
  <c r="I36" i="23"/>
  <c r="K28" i="23"/>
  <c r="J28" i="23"/>
  <c r="I28" i="23"/>
  <c r="K20" i="23"/>
  <c r="J20" i="23"/>
  <c r="I20" i="23"/>
  <c r="K12" i="23"/>
  <c r="J12" i="23"/>
  <c r="I12" i="23"/>
  <c r="W54" i="23"/>
  <c r="Y54" i="23"/>
  <c r="W46" i="23"/>
  <c r="Y46" i="23"/>
  <c r="I54" i="23"/>
  <c r="K54" i="23"/>
  <c r="I46" i="23"/>
  <c r="K46" i="23"/>
  <c r="K38" i="23"/>
  <c r="J38" i="23"/>
  <c r="I38" i="23"/>
  <c r="K30" i="23"/>
  <c r="I30" i="23"/>
  <c r="K22" i="23"/>
  <c r="J22" i="23"/>
  <c r="I22" i="23"/>
  <c r="K14" i="23"/>
  <c r="I14" i="23"/>
  <c r="W6" i="23"/>
  <c r="Y6" i="23"/>
  <c r="Y52" i="23"/>
  <c r="W52" i="23"/>
  <c r="Y44" i="23"/>
  <c r="W44" i="23"/>
  <c r="W40" i="23"/>
  <c r="Y40" i="23"/>
  <c r="X36" i="23"/>
  <c r="Y36" i="23"/>
  <c r="W36" i="23"/>
  <c r="X32" i="23"/>
  <c r="Y32" i="23"/>
  <c r="W32" i="23"/>
  <c r="Y28" i="23"/>
  <c r="W28" i="23"/>
  <c r="W24" i="23"/>
  <c r="Y24" i="23"/>
  <c r="Y20" i="23"/>
  <c r="W20" i="23"/>
  <c r="Y16" i="23"/>
  <c r="W16" i="23"/>
  <c r="Y12" i="23"/>
  <c r="W12" i="23"/>
  <c r="X8" i="23"/>
  <c r="Y8" i="23"/>
  <c r="W8" i="23"/>
  <c r="I71" i="23"/>
  <c r="J71" i="23"/>
  <c r="K71" i="23"/>
  <c r="X67" i="23"/>
  <c r="W67" i="23"/>
  <c r="Y67" i="23"/>
  <c r="W69" i="23"/>
  <c r="Y69" i="23"/>
  <c r="K55" i="23"/>
  <c r="I55" i="23"/>
  <c r="K51" i="23"/>
  <c r="I51" i="23"/>
  <c r="K47" i="23"/>
  <c r="I47" i="23"/>
  <c r="K43" i="23"/>
  <c r="I43" i="23"/>
  <c r="K39" i="23"/>
  <c r="I39" i="23"/>
  <c r="K35" i="23"/>
  <c r="I35" i="23"/>
  <c r="K31" i="23"/>
  <c r="I31" i="23"/>
  <c r="I27" i="23"/>
  <c r="K27" i="23"/>
  <c r="K23" i="23"/>
  <c r="I23" i="23"/>
  <c r="J23" i="23"/>
  <c r="J19" i="23"/>
  <c r="K19" i="23"/>
  <c r="I19" i="23"/>
  <c r="K15" i="23"/>
  <c r="I15" i="23"/>
  <c r="J11" i="23"/>
  <c r="I11" i="23"/>
  <c r="K11" i="23"/>
  <c r="K59" i="23"/>
  <c r="I59" i="23"/>
  <c r="W57" i="23"/>
  <c r="Y57" i="23"/>
  <c r="X57" i="23"/>
  <c r="Y53" i="23"/>
  <c r="W53" i="23"/>
  <c r="W49" i="23"/>
  <c r="Y49" i="23"/>
  <c r="Y45" i="23"/>
  <c r="W45" i="23"/>
  <c r="W41" i="23"/>
  <c r="Y41" i="23"/>
  <c r="X41" i="23"/>
  <c r="Y37" i="23"/>
  <c r="W37" i="23"/>
  <c r="W33" i="23"/>
  <c r="Y33" i="23"/>
  <c r="W29" i="23"/>
  <c r="Y29" i="23"/>
  <c r="X29" i="23"/>
  <c r="Y25" i="23"/>
  <c r="W25" i="23"/>
  <c r="W21" i="23"/>
  <c r="Y21" i="23"/>
  <c r="Y17" i="23"/>
  <c r="X17" i="23"/>
  <c r="W17" i="23"/>
  <c r="W13" i="23"/>
  <c r="Y13" i="23"/>
  <c r="Y9" i="23"/>
  <c r="W9" i="23"/>
  <c r="I68" i="23"/>
  <c r="K68" i="23"/>
  <c r="I72" i="23"/>
  <c r="K72" i="23"/>
  <c r="W70" i="23"/>
  <c r="Y70" i="23"/>
  <c r="I56" i="23"/>
  <c r="K56" i="23"/>
  <c r="I48" i="23"/>
  <c r="K48" i="23"/>
  <c r="I40" i="23"/>
  <c r="K40" i="23"/>
  <c r="I32" i="23"/>
  <c r="K32" i="23"/>
  <c r="I24" i="23"/>
  <c r="K24" i="23"/>
  <c r="I16" i="23"/>
  <c r="K16" i="23"/>
  <c r="Y58" i="23"/>
  <c r="W58" i="23"/>
  <c r="Y50" i="23"/>
  <c r="X50" i="23"/>
  <c r="W50" i="23"/>
  <c r="I58" i="23"/>
  <c r="K58" i="23"/>
  <c r="K50" i="23"/>
  <c r="I50" i="23"/>
  <c r="I42" i="23"/>
  <c r="K42" i="23"/>
  <c r="J34" i="23"/>
  <c r="I34" i="23"/>
  <c r="K34" i="23"/>
  <c r="I26" i="23"/>
  <c r="K26" i="23"/>
  <c r="I18" i="23"/>
  <c r="K18" i="23"/>
  <c r="J10" i="23"/>
  <c r="I10" i="23"/>
  <c r="K10" i="23"/>
  <c r="W56" i="23"/>
  <c r="Y56" i="23"/>
  <c r="W48" i="23"/>
  <c r="Y48" i="23"/>
  <c r="Y42" i="23"/>
  <c r="W42" i="23"/>
  <c r="W38" i="23"/>
  <c r="Y38" i="23"/>
  <c r="Y34" i="23"/>
  <c r="W34" i="23"/>
  <c r="W30" i="23"/>
  <c r="Y30" i="23"/>
  <c r="Y26" i="23"/>
  <c r="W26" i="23"/>
  <c r="X26" i="23"/>
  <c r="W22" i="23"/>
  <c r="Y22" i="23"/>
  <c r="Y18" i="23"/>
  <c r="W18" i="23"/>
  <c r="Y14" i="23"/>
  <c r="W14" i="23"/>
  <c r="X14" i="23"/>
  <c r="W10" i="23"/>
  <c r="Y10" i="23"/>
  <c r="K67" i="23"/>
  <c r="I67" i="23"/>
  <c r="K69" i="23"/>
  <c r="I69" i="23"/>
  <c r="Y71" i="23"/>
  <c r="X71" i="23"/>
  <c r="W71" i="23"/>
  <c r="K57" i="23"/>
  <c r="J57" i="23"/>
  <c r="I57" i="23"/>
  <c r="I53" i="23"/>
  <c r="K53" i="23"/>
  <c r="K49" i="23"/>
  <c r="J49" i="23"/>
  <c r="I49" i="23"/>
  <c r="I45" i="23"/>
  <c r="K45" i="23"/>
  <c r="K41" i="23"/>
  <c r="I41" i="23"/>
  <c r="I37" i="23"/>
  <c r="K37" i="23"/>
  <c r="J37" i="23"/>
  <c r="K33" i="23"/>
  <c r="I33" i="23"/>
  <c r="I29" i="23"/>
  <c r="K29" i="23"/>
  <c r="K25" i="23"/>
  <c r="J25" i="23"/>
  <c r="I25" i="23"/>
  <c r="I21" i="23"/>
  <c r="K21" i="23"/>
  <c r="K17" i="23"/>
  <c r="I17" i="23"/>
  <c r="I13" i="23"/>
  <c r="K13" i="23"/>
  <c r="K9" i="23"/>
  <c r="J9" i="23"/>
  <c r="I9" i="23"/>
  <c r="W7" i="23"/>
  <c r="X7" i="23"/>
  <c r="Y7" i="23"/>
  <c r="W55" i="23"/>
  <c r="Y55" i="23"/>
  <c r="Y51" i="23"/>
  <c r="W51" i="23"/>
  <c r="W47" i="23"/>
  <c r="Y47" i="23"/>
  <c r="Y43" i="23"/>
  <c r="W43" i="23"/>
  <c r="W39" i="23"/>
  <c r="Y39" i="23"/>
  <c r="X39" i="23"/>
  <c r="Y35" i="23"/>
  <c r="W35" i="23"/>
  <c r="W31" i="23"/>
  <c r="X31" i="23"/>
  <c r="Y31" i="23"/>
  <c r="W27" i="23"/>
  <c r="Y27" i="23"/>
  <c r="Y23" i="23"/>
  <c r="W23" i="23"/>
  <c r="Y19" i="23"/>
  <c r="W19" i="23"/>
  <c r="W15" i="23"/>
  <c r="X15" i="23"/>
  <c r="Y15" i="23"/>
  <c r="Y11" i="23"/>
  <c r="W11" i="23"/>
  <c r="Y59" i="23"/>
  <c r="W59" i="23"/>
  <c r="K70" i="23"/>
  <c r="I70" i="23"/>
  <c r="Y68" i="23"/>
  <c r="X68" i="23"/>
  <c r="W68" i="23"/>
  <c r="W72" i="23"/>
  <c r="Y72" i="23"/>
  <c r="D16" i="33"/>
  <c r="J207" i="17"/>
  <c r="J220" i="17"/>
  <c r="J158" i="17"/>
  <c r="D55" i="20"/>
  <c r="D44" i="31"/>
  <c r="D42" i="31"/>
  <c r="N48" i="24"/>
  <c r="O27" i="24"/>
  <c r="G40" i="25"/>
  <c r="N45" i="24"/>
  <c r="N54" i="24"/>
  <c r="U56" i="23"/>
  <c r="X56" i="23" s="1"/>
  <c r="G46" i="26"/>
  <c r="F366" i="27"/>
  <c r="G27" i="25"/>
  <c r="M32" i="24"/>
  <c r="G92" i="33"/>
  <c r="O49" i="24"/>
  <c r="M13" i="24"/>
  <c r="G71" i="26"/>
  <c r="G10" i="26"/>
  <c r="M12" i="24"/>
  <c r="G65" i="25"/>
  <c r="M11" i="24"/>
  <c r="N58" i="24"/>
  <c r="G30" i="23"/>
  <c r="J30" i="23" s="1"/>
  <c r="F269" i="27"/>
  <c r="F361" i="27"/>
  <c r="F336" i="27"/>
  <c r="O20" i="24"/>
  <c r="O61" i="24"/>
  <c r="G68" i="25"/>
  <c r="N31" i="24"/>
  <c r="G8" i="26"/>
  <c r="M30" i="24"/>
  <c r="M9" i="24"/>
  <c r="G49" i="25"/>
  <c r="G69" i="23"/>
  <c r="J69" i="23" s="1"/>
  <c r="G42" i="25"/>
  <c r="G53" i="26"/>
  <c r="G13" i="23"/>
  <c r="J13" i="23" s="1"/>
  <c r="U12" i="23"/>
  <c r="X12" i="23" s="1"/>
  <c r="F279" i="27"/>
  <c r="F333" i="27"/>
  <c r="F311" i="27"/>
  <c r="O53" i="24"/>
  <c r="G66" i="25"/>
  <c r="N23" i="24"/>
  <c r="G6" i="25"/>
  <c r="M22" i="24"/>
  <c r="M53" i="24"/>
  <c r="G7" i="23"/>
  <c r="J7" i="23" s="1"/>
  <c r="M8" i="24"/>
  <c r="G16" i="25"/>
  <c r="G26" i="26"/>
  <c r="M50" i="24"/>
  <c r="U46" i="23"/>
  <c r="X46" i="23" s="1"/>
  <c r="G56" i="23"/>
  <c r="J56" i="23" s="1"/>
  <c r="M44" i="24"/>
  <c r="G50" i="23"/>
  <c r="J50" i="23" s="1"/>
  <c r="G11" i="25"/>
  <c r="U27" i="23"/>
  <c r="X27" i="23" s="1"/>
  <c r="U59" i="23"/>
  <c r="X59" i="23" s="1"/>
  <c r="M36" i="24"/>
  <c r="G46" i="23"/>
  <c r="J46" i="23" s="1"/>
  <c r="F280" i="27"/>
  <c r="F322" i="27"/>
  <c r="F363" i="27"/>
  <c r="O22" i="24"/>
  <c r="G43" i="25"/>
  <c r="N47" i="24"/>
  <c r="G24" i="26"/>
  <c r="G73" i="25"/>
  <c r="U9" i="23"/>
  <c r="X9" i="23" s="1"/>
  <c r="G38" i="25"/>
  <c r="U18" i="23"/>
  <c r="X18" i="23" s="1"/>
  <c r="G38" i="26"/>
  <c r="U23" i="23"/>
  <c r="X23" i="23" s="1"/>
  <c r="G45" i="23"/>
  <c r="J45" i="23" s="1"/>
  <c r="U44" i="23"/>
  <c r="X44" i="23" s="1"/>
  <c r="F281" i="27"/>
  <c r="F335" i="27"/>
  <c r="O12" i="24"/>
  <c r="O46" i="24"/>
  <c r="G9" i="25"/>
  <c r="M17" i="24"/>
  <c r="G48" i="26"/>
  <c r="G9" i="26"/>
  <c r="U33" i="23"/>
  <c r="X33" i="23" s="1"/>
  <c r="G18" i="26"/>
  <c r="M20" i="24"/>
  <c r="U19" i="23"/>
  <c r="X19" i="23" s="1"/>
  <c r="G42" i="23"/>
  <c r="J42" i="23" s="1"/>
  <c r="U69" i="23"/>
  <c r="X69" i="23" s="1"/>
  <c r="U51" i="23"/>
  <c r="X51" i="23" s="1"/>
  <c r="G54" i="23"/>
  <c r="J54" i="23" s="1"/>
  <c r="G66" i="26"/>
  <c r="U10" i="23"/>
  <c r="X10" i="23" s="1"/>
  <c r="G70" i="25"/>
  <c r="G72" i="23"/>
  <c r="J72" i="23" s="1"/>
  <c r="M38" i="24"/>
  <c r="G16" i="26"/>
  <c r="N39" i="24"/>
  <c r="G59" i="25"/>
  <c r="O14" i="24"/>
  <c r="AB306" i="27"/>
  <c r="F319" i="27"/>
  <c r="F277" i="27"/>
  <c r="M48" i="24"/>
  <c r="U35" i="23"/>
  <c r="X35" i="23" s="1"/>
  <c r="G58" i="23"/>
  <c r="J58" i="23" s="1"/>
  <c r="G6" i="23"/>
  <c r="J6" i="23" s="1"/>
  <c r="M54" i="24"/>
  <c r="G51" i="23"/>
  <c r="J51" i="23" s="1"/>
  <c r="M45" i="24"/>
  <c r="M14" i="24"/>
  <c r="G14" i="25"/>
  <c r="N15" i="24"/>
  <c r="N8" i="24"/>
  <c r="O45" i="24"/>
  <c r="AB305" i="27"/>
  <c r="F320" i="27"/>
  <c r="F278" i="27"/>
  <c r="G14" i="23"/>
  <c r="J14" i="23" s="1"/>
  <c r="N26" i="24"/>
  <c r="G37" i="26"/>
  <c r="U72" i="23"/>
  <c r="X72" i="23" s="1"/>
  <c r="G33" i="23"/>
  <c r="J33" i="23" s="1"/>
  <c r="G18" i="23"/>
  <c r="J18" i="23" s="1"/>
  <c r="N34" i="24"/>
  <c r="G40" i="23"/>
  <c r="J40" i="23" s="1"/>
  <c r="U30" i="23"/>
  <c r="X30" i="23" s="1"/>
  <c r="M24" i="24"/>
  <c r="G8" i="25"/>
  <c r="G36" i="23"/>
  <c r="J36" i="23" s="1"/>
  <c r="M16" i="24"/>
  <c r="G27" i="23"/>
  <c r="J27" i="23" s="1"/>
  <c r="N53" i="24"/>
  <c r="N44" i="24"/>
  <c r="G44" i="25"/>
  <c r="G43" i="26"/>
  <c r="O39" i="24"/>
  <c r="O21" i="24"/>
  <c r="F347" i="27"/>
  <c r="F325" i="27"/>
  <c r="AB307" i="27"/>
  <c r="F267" i="27"/>
  <c r="N42" i="24"/>
  <c r="G70" i="23"/>
  <c r="J70" i="23" s="1"/>
  <c r="G26" i="23"/>
  <c r="J26" i="23" s="1"/>
  <c r="G44" i="23"/>
  <c r="J44" i="23" s="1"/>
  <c r="U28" i="23"/>
  <c r="X28" i="23" s="1"/>
  <c r="G29" i="23"/>
  <c r="J29" i="23" s="1"/>
  <c r="M43" i="24"/>
  <c r="U6" i="23"/>
  <c r="X6" i="23" s="1"/>
  <c r="G20" i="25"/>
  <c r="G17" i="23"/>
  <c r="J17" i="23" s="1"/>
  <c r="M28" i="24"/>
  <c r="U42" i="23"/>
  <c r="X42" i="23" s="1"/>
  <c r="G43" i="23"/>
  <c r="J43" i="23" s="1"/>
  <c r="N60" i="24"/>
  <c r="G7" i="26"/>
  <c r="O37" i="24"/>
  <c r="F305" i="27"/>
  <c r="G30" i="26"/>
  <c r="U48" i="23"/>
  <c r="X48" i="23" s="1"/>
  <c r="N46" i="24"/>
  <c r="N37" i="24"/>
  <c r="G60" i="25"/>
  <c r="O31" i="24"/>
  <c r="F338" i="27"/>
  <c r="G41" i="23"/>
  <c r="J41" i="23" s="1"/>
  <c r="G14" i="26"/>
  <c r="M19" i="24"/>
  <c r="U40" i="23"/>
  <c r="X40" i="23" s="1"/>
  <c r="G24" i="23"/>
  <c r="J24" i="23" s="1"/>
  <c r="N38" i="24"/>
  <c r="U58" i="23"/>
  <c r="X58" i="23" s="1"/>
  <c r="U49" i="23"/>
  <c r="X49" i="23" s="1"/>
  <c r="N12" i="24"/>
  <c r="G11" i="26"/>
  <c r="O60" i="24"/>
  <c r="F323" i="27"/>
  <c r="G62" i="25"/>
  <c r="U16" i="23"/>
  <c r="X16" i="23" s="1"/>
  <c r="N14" i="24"/>
  <c r="G57" i="26"/>
  <c r="M41" i="24"/>
  <c r="O15" i="24"/>
  <c r="F340" i="27"/>
  <c r="F284" i="27"/>
  <c r="U20" i="23"/>
  <c r="X20" i="23" s="1"/>
  <c r="U11" i="23"/>
  <c r="X11" i="23" s="1"/>
  <c r="U38" i="23"/>
  <c r="X38" i="23" s="1"/>
  <c r="G44" i="26"/>
  <c r="R279" i="27"/>
  <c r="M15" i="24"/>
  <c r="F265" i="27"/>
  <c r="G32" i="23"/>
  <c r="J32" i="23" s="1"/>
  <c r="N40" i="24"/>
  <c r="N67" i="33"/>
  <c r="G15" i="23"/>
  <c r="J15" i="23" s="1"/>
  <c r="R325" i="27"/>
  <c r="G31" i="23"/>
  <c r="J31" i="23" s="1"/>
  <c r="G47" i="26"/>
  <c r="O50" i="24"/>
  <c r="J166" i="17"/>
  <c r="J203" i="17"/>
  <c r="J169" i="17"/>
  <c r="J163" i="17"/>
  <c r="D58" i="20"/>
  <c r="D34" i="20"/>
  <c r="G34" i="20" s="1"/>
  <c r="F268" i="27"/>
  <c r="O59" i="33"/>
  <c r="N9" i="24"/>
  <c r="G48" i="25"/>
  <c r="O35" i="24"/>
  <c r="R281" i="27"/>
  <c r="G10" i="33"/>
  <c r="O56" i="24"/>
  <c r="O71" i="33"/>
  <c r="M71" i="33"/>
  <c r="R295" i="27"/>
  <c r="R323" i="27"/>
  <c r="O16" i="24"/>
  <c r="O42" i="24"/>
  <c r="G71" i="25"/>
  <c r="G15" i="26"/>
  <c r="N27" i="24"/>
  <c r="M37" i="24"/>
  <c r="G70" i="26"/>
  <c r="N16" i="24"/>
  <c r="M26" i="24"/>
  <c r="G49" i="26"/>
  <c r="M57" i="24"/>
  <c r="U53" i="23"/>
  <c r="X53" i="23" s="1"/>
  <c r="G61" i="25"/>
  <c r="G96" i="33"/>
  <c r="O62" i="33"/>
  <c r="G16" i="33"/>
  <c r="M69" i="33"/>
  <c r="M64" i="33"/>
  <c r="R283" i="27"/>
  <c r="AB308" i="27"/>
  <c r="F353" i="27"/>
  <c r="O26" i="24"/>
  <c r="O59" i="24"/>
  <c r="G59" i="26"/>
  <c r="N19" i="24"/>
  <c r="M29" i="24"/>
  <c r="G10" i="25"/>
  <c r="G6" i="26"/>
  <c r="M18" i="24"/>
  <c r="G33" i="26"/>
  <c r="M49" i="24"/>
  <c r="U45" i="23"/>
  <c r="X45" i="23" s="1"/>
  <c r="G55" i="23"/>
  <c r="J55" i="23" s="1"/>
  <c r="G42" i="26"/>
  <c r="M58" i="24"/>
  <c r="U54" i="23"/>
  <c r="X54" i="23" s="1"/>
  <c r="G41" i="25"/>
  <c r="M60" i="24"/>
  <c r="G53" i="23"/>
  <c r="J53" i="23" s="1"/>
  <c r="G29" i="26"/>
  <c r="U43" i="23"/>
  <c r="X43" i="23" s="1"/>
  <c r="U55" i="23"/>
  <c r="X55" i="23" s="1"/>
  <c r="M56" i="24"/>
  <c r="N33" i="24"/>
  <c r="F282" i="27"/>
  <c r="F348" i="27"/>
  <c r="O52" i="24"/>
  <c r="O38" i="24"/>
  <c r="G25" i="25"/>
  <c r="M61" i="24"/>
  <c r="G40" i="26"/>
  <c r="G13" i="25"/>
  <c r="U25" i="23"/>
  <c r="X25" i="23" s="1"/>
  <c r="G68" i="26"/>
  <c r="U34" i="23"/>
  <c r="X34" i="23" s="1"/>
  <c r="G13" i="33"/>
  <c r="N73" i="33"/>
  <c r="G19" i="33"/>
  <c r="G17" i="33"/>
  <c r="G89" i="33"/>
  <c r="R293" i="27"/>
  <c r="F362" i="27"/>
  <c r="O58" i="24"/>
  <c r="G67" i="25"/>
  <c r="G23" i="26"/>
  <c r="N35" i="24"/>
  <c r="G72" i="25"/>
  <c r="G12" i="26"/>
  <c r="N24" i="24"/>
  <c r="M34" i="24"/>
  <c r="N13" i="24"/>
  <c r="U70" i="23"/>
  <c r="X70" i="23" s="1"/>
  <c r="G59" i="23"/>
  <c r="J59" i="23" s="1"/>
  <c r="G37" i="25"/>
  <c r="N22" i="24"/>
  <c r="G67" i="23"/>
  <c r="J67" i="23" s="1"/>
  <c r="G16" i="23"/>
  <c r="J16" i="23" s="1"/>
  <c r="G17" i="25"/>
  <c r="G21" i="23"/>
  <c r="J21" i="23" s="1"/>
  <c r="N41" i="24"/>
  <c r="N49" i="24"/>
  <c r="U24" i="23"/>
  <c r="X24" i="23" s="1"/>
  <c r="G48" i="23"/>
  <c r="J48" i="23" s="1"/>
  <c r="M40" i="24"/>
  <c r="G39" i="23"/>
  <c r="J39" i="23" s="1"/>
  <c r="M23" i="24"/>
  <c r="N56" i="24"/>
  <c r="G24" i="25"/>
  <c r="G55" i="26"/>
  <c r="O43" i="24"/>
  <c r="F365" i="27"/>
  <c r="N66" i="33"/>
  <c r="N70" i="33"/>
  <c r="M66" i="33"/>
  <c r="G35" i="23"/>
  <c r="J35" i="23" s="1"/>
  <c r="N52" i="24"/>
  <c r="G51" i="26"/>
  <c r="O29" i="24"/>
  <c r="F334" i="27"/>
  <c r="U52" i="23"/>
  <c r="X52" i="23" s="1"/>
  <c r="G58" i="25"/>
  <c r="U47" i="23"/>
  <c r="X47" i="23" s="1"/>
  <c r="G54" i="26"/>
  <c r="U22" i="23"/>
  <c r="X22" i="23" s="1"/>
  <c r="G46" i="25"/>
  <c r="U13" i="23"/>
  <c r="X13" i="23" s="1"/>
  <c r="G45" i="25"/>
  <c r="G28" i="26"/>
  <c r="N51" i="24"/>
  <c r="G47" i="25"/>
  <c r="O32" i="24"/>
  <c r="F308" i="27"/>
  <c r="G94" i="33"/>
  <c r="G93" i="33"/>
  <c r="N74" i="33"/>
  <c r="U21" i="23"/>
  <c r="X21" i="23" s="1"/>
  <c r="G19" i="25"/>
  <c r="G36" i="26"/>
  <c r="N59" i="24"/>
  <c r="G26" i="25"/>
  <c r="O33" i="24"/>
  <c r="R298" i="27"/>
  <c r="M62" i="33"/>
  <c r="R292" i="27"/>
  <c r="G64" i="25"/>
  <c r="R324" i="27"/>
  <c r="N60" i="33"/>
  <c r="O68" i="33"/>
  <c r="D48" i="31"/>
  <c r="F349" i="27"/>
  <c r="G91" i="33"/>
  <c r="P12" i="27"/>
  <c r="J193" i="17"/>
  <c r="D39" i="31"/>
  <c r="D43" i="31"/>
  <c r="D47" i="31"/>
  <c r="F264" i="27"/>
  <c r="O66" i="33"/>
  <c r="G90" i="33"/>
  <c r="N64" i="33"/>
  <c r="O41" i="24"/>
  <c r="F307" i="27"/>
  <c r="R297" i="27"/>
  <c r="R278" i="27"/>
  <c r="G84" i="33"/>
  <c r="O73" i="33"/>
  <c r="G85" i="33"/>
  <c r="N29" i="24"/>
  <c r="G95" i="33"/>
  <c r="N58" i="33"/>
  <c r="G21" i="33"/>
  <c r="N71" i="33"/>
  <c r="G7" i="33"/>
  <c r="O18" i="24"/>
  <c r="O17" i="24"/>
  <c r="O24" i="24"/>
  <c r="F364" i="27"/>
  <c r="R320" i="27"/>
  <c r="R296" i="27"/>
  <c r="R282" i="27"/>
  <c r="F266" i="27"/>
  <c r="N61" i="33"/>
  <c r="N59" i="33"/>
  <c r="G98" i="33"/>
  <c r="N62" i="33"/>
  <c r="M59" i="33"/>
  <c r="O63" i="33"/>
  <c r="G68" i="23"/>
  <c r="J68" i="23" s="1"/>
  <c r="N32" i="24"/>
  <c r="G31" i="26"/>
  <c r="N69" i="33"/>
  <c r="J185" i="17"/>
  <c r="J192" i="17"/>
  <c r="J189" i="17"/>
  <c r="L189" i="17" s="1"/>
  <c r="J200" i="17"/>
  <c r="J191" i="17"/>
  <c r="L191" i="17" s="1"/>
  <c r="J156" i="17"/>
  <c r="J182" i="17"/>
  <c r="O19" i="24"/>
  <c r="O25" i="24"/>
  <c r="G86" i="33"/>
  <c r="R291" i="27"/>
  <c r="D30" i="20"/>
  <c r="R340" i="27"/>
  <c r="R321" i="27"/>
  <c r="F297" i="27"/>
  <c r="F293" i="27"/>
  <c r="R339" i="27"/>
  <c r="R335" i="27"/>
  <c r="F292" i="27"/>
  <c r="F294" i="27"/>
  <c r="R334" i="27"/>
  <c r="R336" i="27"/>
  <c r="R322" i="27"/>
  <c r="F291" i="27"/>
  <c r="F295" i="27"/>
  <c r="R333" i="27"/>
  <c r="R337" i="27"/>
  <c r="R319" i="27"/>
  <c r="F296" i="27"/>
  <c r="F298" i="27"/>
  <c r="R338" i="27"/>
  <c r="D8" i="20"/>
  <c r="D39" i="20"/>
  <c r="D27" i="20"/>
  <c r="J183" i="17"/>
  <c r="J195" i="17"/>
  <c r="J180" i="17"/>
  <c r="J219" i="17"/>
  <c r="J198" i="17"/>
  <c r="J155" i="17"/>
  <c r="J157" i="17"/>
  <c r="J167" i="17"/>
  <c r="J190" i="17"/>
  <c r="L190" i="17" s="1"/>
  <c r="J164" i="17"/>
  <c r="J165" i="17"/>
  <c r="L165" i="17" s="1"/>
  <c r="J171" i="17"/>
  <c r="J216" i="17"/>
  <c r="J204" i="17"/>
  <c r="D50" i="26"/>
  <c r="D11" i="26"/>
  <c r="J177" i="17"/>
  <c r="P10" i="27"/>
  <c r="J199" i="17"/>
  <c r="J168" i="17"/>
  <c r="J217" i="17"/>
  <c r="J201" i="17"/>
  <c r="J196" i="17"/>
  <c r="J174" i="17"/>
  <c r="J175" i="17"/>
  <c r="J181" i="17"/>
  <c r="J160" i="17"/>
  <c r="J162" i="17"/>
  <c r="J187" i="17"/>
  <c r="J172" i="17"/>
  <c r="J173" i="17"/>
  <c r="J202" i="17"/>
  <c r="J197" i="17"/>
  <c r="J205" i="17"/>
  <c r="J184" i="17"/>
  <c r="J194" i="17"/>
  <c r="J218" i="17"/>
  <c r="J178" i="17"/>
  <c r="J159" i="17"/>
  <c r="J176" i="17"/>
  <c r="J186" i="17"/>
  <c r="J188" i="17"/>
  <c r="J206" i="17"/>
  <c r="J179" i="17"/>
  <c r="J208" i="17"/>
  <c r="J170" i="17"/>
  <c r="J215" i="17"/>
  <c r="N72" i="33"/>
  <c r="G14" i="24"/>
  <c r="G58" i="24"/>
  <c r="M68" i="33"/>
  <c r="R326" i="27"/>
  <c r="O70" i="33"/>
  <c r="D48" i="36"/>
  <c r="H72" i="33"/>
  <c r="D33" i="26"/>
  <c r="P138" i="27"/>
  <c r="D46" i="25"/>
  <c r="D13" i="20"/>
  <c r="D9" i="20"/>
  <c r="D7" i="20"/>
  <c r="D21" i="20"/>
  <c r="D17" i="20"/>
  <c r="D49" i="20"/>
  <c r="D17" i="33"/>
  <c r="D99" i="33"/>
  <c r="D13" i="25"/>
  <c r="D69" i="26"/>
  <c r="D43" i="26"/>
  <c r="F36" i="24"/>
  <c r="G26" i="24"/>
  <c r="P53" i="27"/>
  <c r="P306" i="27"/>
  <c r="P309" i="27"/>
  <c r="D86" i="33"/>
  <c r="D95" i="33"/>
  <c r="G37" i="24"/>
  <c r="F30" i="24"/>
  <c r="D87" i="33"/>
  <c r="F8" i="24"/>
  <c r="G41" i="24"/>
  <c r="F12" i="24"/>
  <c r="F58" i="24"/>
  <c r="G57" i="24"/>
  <c r="G16" i="24"/>
  <c r="D45" i="26"/>
  <c r="F73" i="33"/>
  <c r="P266" i="27"/>
  <c r="F25" i="24"/>
  <c r="F71" i="33"/>
  <c r="G97" i="33"/>
  <c r="G18" i="33"/>
  <c r="M70" i="33"/>
  <c r="O61" i="33"/>
  <c r="G87" i="33"/>
  <c r="N65" i="33"/>
  <c r="M73" i="33"/>
  <c r="G88" i="33"/>
  <c r="M58" i="33"/>
  <c r="G6" i="33"/>
  <c r="M75" i="33"/>
  <c r="G47" i="23"/>
  <c r="J47" i="23" s="1"/>
  <c r="U37" i="23"/>
  <c r="X37" i="23" s="1"/>
  <c r="M39" i="24"/>
  <c r="M42" i="24"/>
  <c r="G20" i="26"/>
  <c r="N43" i="24"/>
  <c r="G39" i="25"/>
  <c r="O48" i="24"/>
  <c r="O75" i="33"/>
  <c r="G14" i="33"/>
  <c r="F368" i="27"/>
  <c r="R294" i="27"/>
  <c r="O65" i="33"/>
  <c r="P268" i="27"/>
  <c r="P312" i="27"/>
  <c r="P182" i="27"/>
  <c r="P139" i="27"/>
  <c r="P49" i="27"/>
  <c r="D43" i="36"/>
  <c r="D28" i="25"/>
  <c r="D91" i="33"/>
  <c r="D92" i="33"/>
  <c r="D88" i="33"/>
  <c r="G55" i="24"/>
  <c r="D42" i="26"/>
  <c r="D14" i="25"/>
  <c r="D56" i="26"/>
  <c r="G52" i="24"/>
  <c r="D62" i="25"/>
  <c r="F33" i="24"/>
  <c r="D63" i="25"/>
  <c r="G45" i="24"/>
  <c r="D71" i="25"/>
  <c r="D27" i="26"/>
  <c r="F26" i="24"/>
  <c r="F40" i="24"/>
  <c r="D21" i="26"/>
  <c r="D36" i="26"/>
  <c r="G74" i="33"/>
  <c r="F64" i="33"/>
  <c r="P305" i="27"/>
  <c r="P140" i="27"/>
  <c r="P184" i="27"/>
  <c r="P270" i="27"/>
  <c r="P11" i="27"/>
  <c r="P7" i="27"/>
  <c r="P178" i="27"/>
  <c r="P177" i="27"/>
  <c r="P9" i="27"/>
  <c r="P181" i="27"/>
  <c r="P51" i="27"/>
  <c r="P179" i="27"/>
  <c r="P135" i="27"/>
  <c r="P6" i="27"/>
  <c r="P263" i="27"/>
  <c r="P55" i="27"/>
  <c r="P269" i="27"/>
  <c r="P8" i="27"/>
  <c r="P142" i="27"/>
  <c r="P54" i="27"/>
  <c r="P13" i="27"/>
  <c r="P137" i="27"/>
  <c r="P308" i="27"/>
  <c r="P50" i="27"/>
  <c r="F62" i="33"/>
  <c r="F67" i="33"/>
  <c r="F58" i="33"/>
  <c r="F65" i="33"/>
  <c r="D48" i="26"/>
  <c r="D68" i="26"/>
  <c r="G59" i="33"/>
  <c r="F63" i="33"/>
  <c r="G69" i="33"/>
  <c r="G71" i="33"/>
  <c r="F61" i="33"/>
  <c r="F69" i="33"/>
  <c r="D41" i="31"/>
  <c r="D28" i="26"/>
  <c r="D8" i="26"/>
  <c r="D59" i="26"/>
  <c r="D38" i="26"/>
  <c r="D14" i="26"/>
  <c r="D20" i="26"/>
  <c r="D31" i="26"/>
  <c r="D53" i="26"/>
  <c r="D71" i="26"/>
  <c r="D18" i="26"/>
  <c r="G10" i="24"/>
  <c r="F11" i="24"/>
  <c r="F35" i="24"/>
  <c r="F51" i="24"/>
  <c r="F16" i="24"/>
  <c r="D39" i="26"/>
  <c r="D67" i="26"/>
  <c r="D15" i="26"/>
  <c r="D26" i="26"/>
  <c r="D10" i="26"/>
  <c r="D41" i="26"/>
  <c r="F13" i="24"/>
  <c r="F32" i="24"/>
  <c r="F48" i="24"/>
  <c r="D10" i="25"/>
  <c r="D43" i="25"/>
  <c r="G21" i="24"/>
  <c r="G27" i="24"/>
  <c r="G51" i="24"/>
  <c r="D27" i="25"/>
  <c r="F10" i="24"/>
  <c r="F15" i="24"/>
  <c r="F39" i="24"/>
  <c r="F55" i="24"/>
  <c r="F28" i="24"/>
  <c r="F44" i="24"/>
  <c r="F60" i="24"/>
  <c r="D12" i="25"/>
  <c r="D59" i="25"/>
  <c r="D9" i="26"/>
  <c r="F18" i="24"/>
  <c r="F24" i="24"/>
  <c r="D65" i="25"/>
  <c r="G35" i="24"/>
  <c r="D38" i="25"/>
  <c r="F17" i="24"/>
  <c r="D23" i="25"/>
  <c r="D42" i="25"/>
  <c r="G13" i="24"/>
  <c r="G34" i="24"/>
  <c r="G50" i="24"/>
  <c r="G15" i="24"/>
  <c r="D45" i="25"/>
  <c r="F45" i="24"/>
  <c r="F61" i="24"/>
  <c r="G53" i="24"/>
  <c r="D16" i="25"/>
  <c r="D70" i="26"/>
  <c r="D47" i="26"/>
  <c r="G32" i="24"/>
  <c r="G56" i="24"/>
  <c r="F46" i="24"/>
  <c r="D6" i="25"/>
  <c r="D58" i="25"/>
  <c r="G8" i="24"/>
  <c r="F34" i="24"/>
  <c r="G25" i="24"/>
  <c r="G22" i="24"/>
  <c r="G54" i="24"/>
  <c r="G11" i="24"/>
  <c r="D15" i="25"/>
  <c r="F41" i="24"/>
  <c r="F59" i="33"/>
  <c r="F74" i="33"/>
  <c r="D19" i="26"/>
  <c r="G75" i="33"/>
  <c r="F66" i="33"/>
  <c r="G66" i="33"/>
  <c r="D35" i="26"/>
  <c r="D34" i="26"/>
  <c r="D25" i="26"/>
  <c r="D13" i="26"/>
  <c r="D54" i="26"/>
  <c r="D32" i="26"/>
  <c r="F27" i="24"/>
  <c r="F59" i="24"/>
  <c r="D66" i="25"/>
  <c r="D6" i="26"/>
  <c r="D22" i="26"/>
  <c r="F29" i="24"/>
  <c r="F56" i="24"/>
  <c r="G9" i="24"/>
  <c r="G43" i="24"/>
  <c r="D22" i="25"/>
  <c r="F31" i="24"/>
  <c r="F20" i="24"/>
  <c r="F52" i="24"/>
  <c r="D70" i="25"/>
  <c r="D30" i="26"/>
  <c r="D41" i="25"/>
  <c r="D37" i="25"/>
  <c r="F23" i="24"/>
  <c r="D73" i="25"/>
  <c r="G42" i="24"/>
  <c r="G23" i="24"/>
  <c r="F53" i="24"/>
  <c r="G61" i="24"/>
  <c r="D51" i="26"/>
  <c r="G48" i="24"/>
  <c r="F54" i="24"/>
  <c r="D7" i="26"/>
  <c r="G33" i="24"/>
  <c r="G46" i="24"/>
  <c r="G19" i="24"/>
  <c r="F49" i="24"/>
  <c r="G49" i="24"/>
  <c r="D7" i="25"/>
  <c r="D8" i="25"/>
  <c r="D66" i="26"/>
  <c r="F21" i="24"/>
  <c r="D19" i="25"/>
  <c r="G44" i="24"/>
  <c r="G60" i="24"/>
  <c r="F50" i="24"/>
  <c r="D26" i="25"/>
  <c r="D29" i="26"/>
  <c r="G12" i="24"/>
  <c r="F22" i="24"/>
  <c r="D18" i="25"/>
  <c r="G30" i="24"/>
  <c r="D67" i="25"/>
  <c r="F14" i="24"/>
  <c r="D17" i="25"/>
  <c r="D51" i="25"/>
  <c r="G28" i="24"/>
  <c r="G24" i="24"/>
  <c r="G18" i="24"/>
  <c r="G47" i="24"/>
  <c r="D9" i="25"/>
  <c r="D16" i="26"/>
  <c r="D83" i="33"/>
  <c r="D9" i="33"/>
  <c r="D22" i="33"/>
  <c r="D18" i="33"/>
  <c r="D89" i="33"/>
  <c r="D15" i="33"/>
  <c r="D98" i="33"/>
  <c r="D19" i="33"/>
  <c r="D14" i="33"/>
  <c r="D37" i="26"/>
  <c r="D60" i="25"/>
  <c r="D20" i="25"/>
  <c r="D47" i="25"/>
  <c r="D49" i="25"/>
  <c r="G40" i="24"/>
  <c r="D11" i="33"/>
  <c r="D84" i="33"/>
  <c r="D96" i="33"/>
  <c r="D97" i="33"/>
  <c r="D94" i="33"/>
  <c r="D12" i="33"/>
  <c r="G38" i="24"/>
  <c r="D8" i="33"/>
  <c r="D61" i="25"/>
  <c r="G39" i="24"/>
  <c r="D48" i="25"/>
  <c r="D50" i="25"/>
  <c r="D45" i="36"/>
  <c r="D47" i="36"/>
  <c r="I47" i="36" s="1"/>
  <c r="D22" i="20"/>
  <c r="D39" i="36"/>
  <c r="I39" i="36" s="1"/>
  <c r="D38" i="36"/>
  <c r="I38" i="36" s="1"/>
  <c r="D40" i="31"/>
  <c r="D14" i="20"/>
  <c r="D52" i="20"/>
  <c r="D28" i="20"/>
  <c r="D50" i="20"/>
  <c r="D48" i="20"/>
  <c r="D56" i="20"/>
  <c r="D26" i="20"/>
  <c r="D33" i="20"/>
  <c r="D11" i="20"/>
  <c r="D43" i="20"/>
  <c r="D20" i="20"/>
  <c r="D37" i="20"/>
  <c r="D24" i="20"/>
  <c r="D54" i="20"/>
  <c r="D53" i="20"/>
  <c r="D15" i="20"/>
  <c r="D31" i="20"/>
  <c r="D32" i="20"/>
  <c r="D42" i="20"/>
  <c r="D25" i="20"/>
  <c r="D57" i="20"/>
  <c r="D19" i="20"/>
  <c r="D36" i="20"/>
  <c r="D29" i="20"/>
  <c r="D46" i="20"/>
  <c r="D40" i="20"/>
  <c r="D40" i="36"/>
  <c r="I40" i="36" s="1"/>
  <c r="D49" i="36"/>
  <c r="D35" i="36"/>
  <c r="I35" i="36" s="1"/>
  <c r="D51" i="36"/>
  <c r="I51" i="36" s="1"/>
  <c r="N63" i="33"/>
  <c r="M63" i="33"/>
  <c r="M61" i="33"/>
  <c r="N75" i="33"/>
  <c r="G8" i="33"/>
  <c r="R280" i="27"/>
  <c r="AB312" i="27"/>
  <c r="O40" i="24"/>
  <c r="O34" i="24"/>
  <c r="G99" i="33"/>
  <c r="M67" i="33"/>
  <c r="O74" i="33"/>
  <c r="D46" i="36"/>
  <c r="D44" i="36"/>
  <c r="I44" i="36" s="1"/>
  <c r="D40" i="25"/>
  <c r="P267" i="27"/>
  <c r="P311" i="27"/>
  <c r="P183" i="27"/>
  <c r="P136" i="27"/>
  <c r="P141" i="27"/>
  <c r="P52" i="27"/>
  <c r="P310" i="27"/>
  <c r="P264" i="27"/>
  <c r="P265" i="27"/>
  <c r="P48" i="27"/>
  <c r="P307" i="27"/>
  <c r="P180" i="27"/>
  <c r="D41" i="36"/>
  <c r="D6" i="20"/>
  <c r="D50" i="36"/>
  <c r="I50" i="36" s="1"/>
  <c r="D45" i="20"/>
  <c r="D35" i="20"/>
  <c r="D41" i="20"/>
  <c r="D10" i="20"/>
  <c r="D23" i="20"/>
  <c r="D51" i="20"/>
  <c r="D47" i="20"/>
  <c r="D59" i="20"/>
  <c r="D18" i="20"/>
  <c r="D16" i="20"/>
  <c r="D44" i="20"/>
  <c r="D12" i="20"/>
  <c r="D38" i="20"/>
  <c r="G38" i="20" s="1"/>
  <c r="D13" i="33"/>
  <c r="D21" i="33"/>
  <c r="D7" i="33"/>
  <c r="D42" i="36"/>
  <c r="I42" i="36" s="1"/>
  <c r="D39" i="25"/>
  <c r="D36" i="36"/>
  <c r="I36" i="36" s="1"/>
  <c r="D90" i="33"/>
  <c r="D6" i="33"/>
  <c r="D37" i="36"/>
  <c r="I37" i="36" s="1"/>
  <c r="D93" i="33"/>
  <c r="D20" i="33"/>
  <c r="D85" i="33"/>
  <c r="D25" i="25"/>
  <c r="G31" i="24"/>
  <c r="G29" i="24"/>
  <c r="D36" i="25"/>
  <c r="D69" i="25"/>
  <c r="D72" i="25"/>
  <c r="D44" i="26"/>
  <c r="D64" i="25"/>
  <c r="F42" i="24"/>
  <c r="G36" i="24"/>
  <c r="D58" i="26"/>
  <c r="D44" i="25"/>
  <c r="F57" i="24"/>
  <c r="D11" i="25"/>
  <c r="G20" i="24"/>
  <c r="F38" i="24"/>
  <c r="D68" i="25"/>
  <c r="F37" i="24"/>
  <c r="G17" i="24"/>
  <c r="F9" i="24"/>
  <c r="F19" i="24"/>
  <c r="D21" i="25"/>
  <c r="F47" i="24"/>
  <c r="G59" i="24"/>
  <c r="D24" i="25"/>
  <c r="D12" i="26"/>
  <c r="D40" i="26"/>
  <c r="F43" i="24"/>
  <c r="D57" i="26"/>
  <c r="D46" i="26"/>
  <c r="D52" i="26"/>
  <c r="G58" i="33"/>
  <c r="D49" i="26"/>
  <c r="F75" i="33"/>
  <c r="D334" i="27"/>
  <c r="Q93" i="17"/>
  <c r="U93" i="17" s="1"/>
  <c r="M65" i="33"/>
  <c r="F68" i="33"/>
  <c r="D24" i="26"/>
  <c r="E396" i="21"/>
  <c r="S93" i="17"/>
  <c r="E397" i="21"/>
  <c r="E395" i="21"/>
  <c r="D6" i="17"/>
  <c r="H6" i="17" s="1"/>
  <c r="D105" i="17"/>
  <c r="D396" i="21"/>
  <c r="D395" i="21"/>
  <c r="D397" i="21"/>
  <c r="G65" i="33"/>
  <c r="F60" i="33"/>
  <c r="G68" i="33"/>
  <c r="G60" i="33"/>
  <c r="F70" i="33"/>
  <c r="G61" i="33"/>
  <c r="D17" i="26"/>
  <c r="D23" i="26"/>
  <c r="D55" i="26"/>
  <c r="G70" i="33"/>
  <c r="G62" i="33"/>
  <c r="G63" i="33"/>
  <c r="F72" i="33"/>
  <c r="G72" i="33"/>
  <c r="G64" i="33"/>
  <c r="G67" i="33"/>
  <c r="G73" i="33"/>
  <c r="D113" i="23"/>
  <c r="D39" i="18"/>
  <c r="G39" i="18" s="1"/>
  <c r="G15" i="33"/>
  <c r="D132" i="17"/>
  <c r="Q120" i="17"/>
  <c r="D94" i="17"/>
  <c r="D45" i="31"/>
  <c r="Z307" i="27"/>
  <c r="Z312" i="27"/>
  <c r="D277" i="27"/>
  <c r="P63" i="27"/>
  <c r="D296" i="27"/>
  <c r="D8" i="27"/>
  <c r="D83" i="27"/>
  <c r="D326" i="27"/>
  <c r="S107" i="17"/>
  <c r="S119" i="17"/>
  <c r="S116" i="17"/>
  <c r="F128" i="23"/>
  <c r="F112" i="23"/>
  <c r="F96" i="23"/>
  <c r="F83" i="23"/>
  <c r="F101" i="23"/>
  <c r="F95" i="23"/>
  <c r="F89" i="23"/>
  <c r="R84" i="23"/>
  <c r="F134" i="17"/>
  <c r="S113" i="17"/>
  <c r="S124" i="17"/>
  <c r="S108" i="17"/>
  <c r="F120" i="23"/>
  <c r="F104" i="23"/>
  <c r="F88" i="23"/>
  <c r="F133" i="23"/>
  <c r="F127" i="23"/>
  <c r="F121" i="23"/>
  <c r="F115" i="23"/>
  <c r="F142" i="17"/>
  <c r="F118" i="17"/>
  <c r="F102" i="17"/>
  <c r="F141" i="17"/>
  <c r="F135" i="17"/>
  <c r="F137" i="17"/>
  <c r="F131" i="17"/>
  <c r="S109" i="17"/>
  <c r="F126" i="23"/>
  <c r="F94" i="23"/>
  <c r="F93" i="23"/>
  <c r="R83" i="23"/>
  <c r="F132" i="17"/>
  <c r="F100" i="17"/>
  <c r="F127" i="17"/>
  <c r="F123" i="17"/>
  <c r="S126" i="17"/>
  <c r="F122" i="23"/>
  <c r="F90" i="23"/>
  <c r="R81" i="23"/>
  <c r="F123" i="23"/>
  <c r="F128" i="17"/>
  <c r="S97" i="17"/>
  <c r="F111" i="17"/>
  <c r="F107" i="17"/>
  <c r="S106" i="17"/>
  <c r="S120" i="17"/>
  <c r="F132" i="23"/>
  <c r="F116" i="23"/>
  <c r="F100" i="23"/>
  <c r="F85" i="23"/>
  <c r="F117" i="23"/>
  <c r="F111" i="23"/>
  <c r="F105" i="23"/>
  <c r="F99" i="23"/>
  <c r="F138" i="17"/>
  <c r="F122" i="17"/>
  <c r="F106" i="17"/>
  <c r="S94" i="17"/>
  <c r="F96" i="17"/>
  <c r="F93" i="17"/>
  <c r="F94" i="17"/>
  <c r="S125" i="17"/>
  <c r="S114" i="17"/>
  <c r="F102" i="23"/>
  <c r="F125" i="23"/>
  <c r="F113" i="23"/>
  <c r="F140" i="17"/>
  <c r="F108" i="17"/>
  <c r="F101" i="17"/>
  <c r="F98" i="17"/>
  <c r="S123" i="17"/>
  <c r="F130" i="23"/>
  <c r="F98" i="23"/>
  <c r="F109" i="23"/>
  <c r="F97" i="23"/>
  <c r="F136" i="17"/>
  <c r="F104" i="17"/>
  <c r="F143" i="17"/>
  <c r="F139" i="17"/>
  <c r="F126" i="17"/>
  <c r="F110" i="17"/>
  <c r="S96" i="17"/>
  <c r="F109" i="17"/>
  <c r="F103" i="17"/>
  <c r="F105" i="17"/>
  <c r="F99" i="17"/>
  <c r="S122" i="17"/>
  <c r="F110" i="23"/>
  <c r="F82" i="23"/>
  <c r="F87" i="23"/>
  <c r="R80" i="23"/>
  <c r="F116" i="17"/>
  <c r="F133" i="17"/>
  <c r="F129" i="17"/>
  <c r="S117" i="17"/>
  <c r="S110" i="17"/>
  <c r="F106" i="23"/>
  <c r="F80" i="23"/>
  <c r="F129" i="23"/>
  <c r="F144" i="17"/>
  <c r="F112" i="17"/>
  <c r="F117" i="17"/>
  <c r="F113" i="17"/>
  <c r="S121" i="17"/>
  <c r="S111" i="17"/>
  <c r="S112" i="17"/>
  <c r="F124" i="23"/>
  <c r="F108" i="23"/>
  <c r="F92" i="23"/>
  <c r="F81" i="23"/>
  <c r="R85" i="23"/>
  <c r="R82" i="23"/>
  <c r="F131" i="23"/>
  <c r="F146" i="17"/>
  <c r="F130" i="17"/>
  <c r="F114" i="17"/>
  <c r="S98" i="17"/>
  <c r="F125" i="17"/>
  <c r="F119" i="17"/>
  <c r="F121" i="17"/>
  <c r="F115" i="17"/>
  <c r="S115" i="17"/>
  <c r="F118" i="23"/>
  <c r="F86" i="23"/>
  <c r="F119" i="23"/>
  <c r="F107" i="23"/>
  <c r="F124" i="17"/>
  <c r="S95" i="17"/>
  <c r="F97" i="17"/>
  <c r="F95" i="17"/>
  <c r="S118" i="17"/>
  <c r="F114" i="23"/>
  <c r="F84" i="23"/>
  <c r="F103" i="23"/>
  <c r="F91" i="23"/>
  <c r="F120" i="17"/>
  <c r="F145" i="17"/>
  <c r="G17" i="26"/>
  <c r="M10" i="24"/>
  <c r="G52" i="26"/>
  <c r="G15" i="25"/>
  <c r="M21" i="24"/>
  <c r="N11" i="24"/>
  <c r="G7" i="25"/>
  <c r="O51" i="24"/>
  <c r="O10" i="24"/>
  <c r="AB310" i="27"/>
  <c r="F312" i="27"/>
  <c r="R277" i="27"/>
  <c r="G22" i="33"/>
  <c r="O72" i="33"/>
  <c r="G11" i="33"/>
  <c r="G20" i="33"/>
  <c r="O60" i="33"/>
  <c r="O11" i="24"/>
  <c r="O57" i="24"/>
  <c r="O9" i="24"/>
  <c r="F367" i="27"/>
  <c r="F306" i="27"/>
  <c r="F351" i="27"/>
  <c r="R284" i="27"/>
  <c r="F270" i="27"/>
  <c r="O58" i="33"/>
  <c r="M72" i="33"/>
  <c r="G9" i="33"/>
  <c r="O64" i="33"/>
  <c r="O67" i="33"/>
  <c r="G83" i="33"/>
  <c r="M60" i="33"/>
  <c r="G12" i="33"/>
  <c r="M74" i="33"/>
  <c r="O69" i="33"/>
  <c r="D58" i="18"/>
  <c r="G58" i="18" s="1"/>
  <c r="H58" i="18" s="1"/>
  <c r="D120" i="23"/>
  <c r="H120" i="23" s="1"/>
  <c r="D17" i="19"/>
  <c r="H17" i="19" s="1"/>
  <c r="P71" i="18"/>
  <c r="T71" i="18" s="1"/>
  <c r="Q115" i="17"/>
  <c r="U115" i="17" s="1"/>
  <c r="Q122" i="17"/>
  <c r="U122" i="17" s="1"/>
  <c r="D8" i="21"/>
  <c r="P8" i="19"/>
  <c r="T8" i="19" s="1"/>
  <c r="D25" i="19"/>
  <c r="H25" i="19" s="1"/>
  <c r="P84" i="23"/>
  <c r="T84" i="23" s="1"/>
  <c r="D10" i="21"/>
  <c r="P32" i="18"/>
  <c r="S32" i="18" s="1"/>
  <c r="D131" i="17"/>
  <c r="H131" i="17" s="1"/>
  <c r="D108" i="18"/>
  <c r="G108" i="18" s="1"/>
  <c r="P94" i="18"/>
  <c r="S94" i="18" s="1"/>
  <c r="T94" i="18" s="1"/>
  <c r="D105" i="18"/>
  <c r="G105" i="18" s="1"/>
  <c r="P83" i="18"/>
  <c r="S83" i="18" s="1"/>
  <c r="T83" i="18" s="1"/>
  <c r="P7" i="18"/>
  <c r="S7" i="18" s="1"/>
  <c r="T7" i="18" s="1"/>
  <c r="P88" i="18"/>
  <c r="S88" i="18" s="1"/>
  <c r="D134" i="18"/>
  <c r="G134" i="18" s="1"/>
  <c r="H134" i="18" s="1"/>
  <c r="D307" i="27"/>
  <c r="D268" i="27"/>
  <c r="D13" i="27"/>
  <c r="P77" i="27"/>
  <c r="D54" i="27"/>
  <c r="D35" i="27"/>
  <c r="D97" i="27"/>
  <c r="D142" i="27"/>
  <c r="D179" i="27"/>
  <c r="D125" i="27"/>
  <c r="D195" i="27"/>
  <c r="D233" i="27"/>
  <c r="P249" i="27"/>
  <c r="P296" i="27"/>
  <c r="P235" i="27"/>
  <c r="P78" i="27"/>
  <c r="D11" i="27"/>
  <c r="P69" i="27"/>
  <c r="D95" i="27"/>
  <c r="P124" i="27"/>
  <c r="D163" i="27"/>
  <c r="D111" i="27"/>
  <c r="D219" i="27"/>
  <c r="D237" i="27"/>
  <c r="P251" i="27"/>
  <c r="D347" i="27"/>
  <c r="D36" i="27"/>
  <c r="P41" i="27"/>
  <c r="D39" i="27"/>
  <c r="Z183" i="27"/>
  <c r="P221" i="27"/>
  <c r="P319" i="27"/>
  <c r="D49" i="27"/>
  <c r="D22" i="27"/>
  <c r="D79" i="27"/>
  <c r="D107" i="27"/>
  <c r="P169" i="27"/>
  <c r="P121" i="27"/>
  <c r="D156" i="27"/>
  <c r="D205" i="27"/>
  <c r="D211" i="27"/>
  <c r="P295" i="27"/>
  <c r="P321" i="27"/>
  <c r="D92" i="27"/>
  <c r="P35" i="27"/>
  <c r="D24" i="27"/>
  <c r="D91" i="27"/>
  <c r="D135" i="27"/>
  <c r="P166" i="27"/>
  <c r="D191" i="27"/>
  <c r="D209" i="27"/>
  <c r="D364" i="27"/>
  <c r="P22" i="27"/>
  <c r="P97" i="27"/>
  <c r="D165" i="27"/>
  <c r="D181" i="27"/>
  <c r="D252" i="27"/>
  <c r="D337" i="27"/>
  <c r="D68" i="27"/>
  <c r="P24" i="27"/>
  <c r="P79" i="27"/>
  <c r="P107" i="27"/>
  <c r="D178" i="27"/>
  <c r="D151" i="27"/>
  <c r="D119" i="27"/>
  <c r="D164" i="27"/>
  <c r="P205" i="27"/>
  <c r="P211" i="27"/>
  <c r="P298" i="27"/>
  <c r="P337" i="27"/>
  <c r="D353" i="27"/>
  <c r="P68" i="27"/>
  <c r="D34" i="27"/>
  <c r="D104" i="27"/>
  <c r="P165" i="27"/>
  <c r="Z179" i="27"/>
  <c r="D121" i="27"/>
  <c r="D196" i="27"/>
  <c r="D224" i="27"/>
  <c r="P240" i="27"/>
  <c r="D354" i="27"/>
  <c r="D352" i="27"/>
  <c r="D340" i="27"/>
  <c r="D69" i="27"/>
  <c r="D41" i="27"/>
  <c r="P96" i="27"/>
  <c r="P122" i="27"/>
  <c r="D155" i="27"/>
  <c r="Z184" i="27"/>
  <c r="P194" i="27"/>
  <c r="P222" i="27"/>
  <c r="D249" i="27"/>
  <c r="P320" i="27"/>
  <c r="D76" i="27"/>
  <c r="D21" i="27"/>
  <c r="P95" i="27"/>
  <c r="P170" i="27"/>
  <c r="P225" i="27"/>
  <c r="D240" i="27"/>
  <c r="P333" i="27"/>
  <c r="D350" i="27"/>
  <c r="P76" i="27"/>
  <c r="P36" i="27"/>
  <c r="D80" i="27"/>
  <c r="D108" i="27"/>
  <c r="D138" i="27"/>
  <c r="P156" i="27"/>
  <c r="D212" i="27"/>
  <c r="P277" i="27"/>
  <c r="D297" i="27"/>
  <c r="D67" i="27"/>
  <c r="Z53" i="27"/>
  <c r="P82" i="27"/>
  <c r="D38" i="27"/>
  <c r="D110" i="27"/>
  <c r="P150" i="27"/>
  <c r="P210" i="27"/>
  <c r="P322" i="27"/>
  <c r="P280" i="27"/>
  <c r="P335" i="27"/>
  <c r="P62" i="27"/>
  <c r="D27" i="27"/>
  <c r="D94" i="27"/>
  <c r="P151" i="27"/>
  <c r="D153" i="27"/>
  <c r="D180" i="27"/>
  <c r="D192" i="27"/>
  <c r="D220" i="27"/>
  <c r="P291" i="27"/>
  <c r="D361" i="27"/>
  <c r="D65" i="27"/>
  <c r="D37" i="27"/>
  <c r="P90" i="27"/>
  <c r="D124" i="27"/>
  <c r="P164" i="27"/>
  <c r="Z181" i="27"/>
  <c r="P212" i="27"/>
  <c r="D239" i="27"/>
  <c r="P297" i="27"/>
  <c r="P338" i="27"/>
  <c r="P26" i="27"/>
  <c r="P91" i="27"/>
  <c r="D55" i="27"/>
  <c r="P123" i="27"/>
  <c r="D150" i="27"/>
  <c r="P197" i="27"/>
  <c r="P283" i="27"/>
  <c r="D309" i="27"/>
  <c r="D6" i="27"/>
  <c r="P66" i="27"/>
  <c r="Z48" i="27"/>
  <c r="D96" i="27"/>
  <c r="Z182" i="27"/>
  <c r="P125" i="27"/>
  <c r="D166" i="27"/>
  <c r="D208" i="27"/>
  <c r="D236" i="27"/>
  <c r="P252" i="27"/>
  <c r="P292" i="27"/>
  <c r="S12" i="27"/>
  <c r="D77" i="27"/>
  <c r="Z51" i="27"/>
  <c r="P94" i="27"/>
  <c r="P167" i="27"/>
  <c r="P119" i="27"/>
  <c r="D154" i="27"/>
  <c r="P206" i="27"/>
  <c r="P234" i="27"/>
  <c r="D253" i="27"/>
  <c r="P326" i="27"/>
  <c r="Z306" i="27"/>
  <c r="D349" i="27"/>
  <c r="D368" i="27"/>
  <c r="D295" i="27"/>
  <c r="D283" i="27"/>
  <c r="D282" i="27"/>
  <c r="D266" i="27"/>
  <c r="D267" i="27"/>
  <c r="D308" i="27"/>
  <c r="D281" i="27"/>
  <c r="D265" i="27"/>
  <c r="D312" i="27"/>
  <c r="D335" i="27"/>
  <c r="D298" i="27"/>
  <c r="D284" i="27"/>
  <c r="D320" i="27"/>
  <c r="D292" i="27"/>
  <c r="D305" i="27"/>
  <c r="D280" i="27"/>
  <c r="D321" i="27"/>
  <c r="D279" i="27"/>
  <c r="D333" i="27"/>
  <c r="D269" i="27"/>
  <c r="D293" i="27"/>
  <c r="Q94" i="17"/>
  <c r="U94" i="17" s="1"/>
  <c r="P123" i="21"/>
  <c r="P135" i="18"/>
  <c r="S135" i="18" s="1"/>
  <c r="T135" i="18" s="1"/>
  <c r="P53" i="18"/>
  <c r="S53" i="18" s="1"/>
  <c r="T53" i="18" s="1"/>
  <c r="D113" i="18"/>
  <c r="G113" i="18" s="1"/>
  <c r="P58" i="18"/>
  <c r="S58" i="18" s="1"/>
  <c r="T58" i="18" s="1"/>
  <c r="D114" i="18"/>
  <c r="G114" i="18" s="1"/>
  <c r="D121" i="17"/>
  <c r="H121" i="17" s="1"/>
  <c r="D107" i="18"/>
  <c r="G107" i="18" s="1"/>
  <c r="D35" i="18"/>
  <c r="G35" i="18" s="1"/>
  <c r="P121" i="18"/>
  <c r="S121" i="18" s="1"/>
  <c r="P133" i="18"/>
  <c r="S133" i="18" s="1"/>
  <c r="T133" i="18" s="1"/>
  <c r="D33" i="18"/>
  <c r="G33" i="18" s="1"/>
  <c r="D32" i="18"/>
  <c r="G32" i="18" s="1"/>
  <c r="P110" i="18"/>
  <c r="S110" i="18" s="1"/>
  <c r="D15" i="18"/>
  <c r="G15" i="18" s="1"/>
  <c r="D104" i="23"/>
  <c r="H104" i="23" s="1"/>
  <c r="D88" i="23"/>
  <c r="H88" i="23" s="1"/>
  <c r="D105" i="23"/>
  <c r="H105" i="23" s="1"/>
  <c r="D70" i="20"/>
  <c r="D94" i="23"/>
  <c r="H94" i="23" s="1"/>
  <c r="D93" i="17"/>
  <c r="H93" i="17" s="1"/>
  <c r="D116" i="23"/>
  <c r="H116" i="23" s="1"/>
  <c r="D85" i="23"/>
  <c r="H85" i="23" s="1"/>
  <c r="D114" i="23"/>
  <c r="H114" i="23" s="1"/>
  <c r="D84" i="23"/>
  <c r="H84" i="23" s="1"/>
  <c r="D91" i="23"/>
  <c r="H91" i="23" s="1"/>
  <c r="P81" i="23"/>
  <c r="T81" i="23" s="1"/>
  <c r="D119" i="23"/>
  <c r="H119" i="23" s="1"/>
  <c r="D103" i="23"/>
  <c r="H103" i="23" s="1"/>
  <c r="D87" i="23"/>
  <c r="H87" i="23" s="1"/>
  <c r="D133" i="23"/>
  <c r="H133" i="23" s="1"/>
  <c r="D103" i="17"/>
  <c r="H103" i="17" s="1"/>
  <c r="D109" i="17"/>
  <c r="H109" i="17" s="1"/>
  <c r="D124" i="17"/>
  <c r="H124" i="17" s="1"/>
  <c r="D115" i="17"/>
  <c r="H115" i="17" s="1"/>
  <c r="D145" i="17"/>
  <c r="H145" i="17" s="1"/>
  <c r="D128" i="23"/>
  <c r="H128" i="23" s="1"/>
  <c r="D97" i="23"/>
  <c r="H97" i="23" s="1"/>
  <c r="D118" i="23"/>
  <c r="H118" i="23" s="1"/>
  <c r="D86" i="23"/>
  <c r="H86" i="23" s="1"/>
  <c r="D68" i="20"/>
  <c r="D92" i="23"/>
  <c r="H92" i="23" s="1"/>
  <c r="D120" i="17"/>
  <c r="H120" i="17" s="1"/>
  <c r="D90" i="23"/>
  <c r="H90" i="23" s="1"/>
  <c r="D123" i="23"/>
  <c r="H123" i="23" s="1"/>
  <c r="D99" i="23"/>
  <c r="H99" i="23" s="1"/>
  <c r="D123" i="17"/>
  <c r="H123" i="17" s="1"/>
  <c r="D71" i="20"/>
  <c r="D137" i="17"/>
  <c r="H137" i="17" s="1"/>
  <c r="D114" i="17"/>
  <c r="H114" i="17" s="1"/>
  <c r="D124" i="23"/>
  <c r="H124" i="23" s="1"/>
  <c r="D109" i="23"/>
  <c r="H109" i="23" s="1"/>
  <c r="D93" i="23"/>
  <c r="H93" i="23" s="1"/>
  <c r="D112" i="17"/>
  <c r="H112" i="17" s="1"/>
  <c r="D72" i="20"/>
  <c r="Q126" i="17"/>
  <c r="U126" i="17" s="1"/>
  <c r="Q116" i="17"/>
  <c r="U116" i="17" s="1"/>
  <c r="D131" i="23"/>
  <c r="H131" i="23" s="1"/>
  <c r="D67" i="20"/>
  <c r="P82" i="23"/>
  <c r="T82" i="23" s="1"/>
  <c r="Q114" i="17"/>
  <c r="U114" i="17" s="1"/>
  <c r="Q112" i="17"/>
  <c r="U112" i="17" s="1"/>
  <c r="Q111" i="17"/>
  <c r="U111" i="17" s="1"/>
  <c r="Q97" i="17"/>
  <c r="U97" i="17" s="1"/>
  <c r="D143" i="17"/>
  <c r="H143" i="17" s="1"/>
  <c r="D97" i="17"/>
  <c r="H97" i="17" s="1"/>
  <c r="Q108" i="17"/>
  <c r="U108" i="17" s="1"/>
  <c r="Q109" i="17"/>
  <c r="U109" i="17" s="1"/>
  <c r="Q119" i="17"/>
  <c r="U119" i="17" s="1"/>
  <c r="Q95" i="17"/>
  <c r="U95" i="17" s="1"/>
  <c r="D111" i="17"/>
  <c r="H111" i="17" s="1"/>
  <c r="D116" i="17"/>
  <c r="H116" i="17" s="1"/>
  <c r="D110" i="17"/>
  <c r="H110" i="17" s="1"/>
  <c r="D146" i="17"/>
  <c r="H146" i="17" s="1"/>
  <c r="D100" i="17"/>
  <c r="H100" i="17" s="1"/>
  <c r="P107" i="18"/>
  <c r="S107" i="18" s="1"/>
  <c r="P106" i="18"/>
  <c r="S106" i="18" s="1"/>
  <c r="P132" i="18"/>
  <c r="S132" i="18" s="1"/>
  <c r="T132" i="18" s="1"/>
  <c r="P129" i="18"/>
  <c r="S129" i="18" s="1"/>
  <c r="T129" i="18" s="1"/>
  <c r="P120" i="18"/>
  <c r="S120" i="18" s="1"/>
  <c r="D9" i="18"/>
  <c r="G9" i="18" s="1"/>
  <c r="D8" i="18"/>
  <c r="G8" i="18" s="1"/>
  <c r="D23" i="18"/>
  <c r="G23" i="18" s="1"/>
  <c r="P10" i="18"/>
  <c r="S10" i="18" s="1"/>
  <c r="T10" i="18" s="1"/>
  <c r="P8" i="18"/>
  <c r="S8" i="18" s="1"/>
  <c r="T8" i="18" s="1"/>
  <c r="D26" i="19"/>
  <c r="H26" i="19" s="1"/>
  <c r="D57" i="18"/>
  <c r="G57" i="18" s="1"/>
  <c r="H57" i="18" s="1"/>
  <c r="P14" i="19"/>
  <c r="T14" i="19" s="1"/>
  <c r="P23" i="19"/>
  <c r="T23" i="19" s="1"/>
  <c r="P16" i="19"/>
  <c r="T16" i="19" s="1"/>
  <c r="D119" i="18"/>
  <c r="G119" i="18" s="1"/>
  <c r="D87" i="18"/>
  <c r="G87" i="18" s="1"/>
  <c r="H87" i="18" s="1"/>
  <c r="P27" i="18"/>
  <c r="S27" i="18" s="1"/>
  <c r="D33" i="19"/>
  <c r="H33" i="19" s="1"/>
  <c r="D129" i="18"/>
  <c r="G129" i="18" s="1"/>
  <c r="H129" i="18" s="1"/>
  <c r="P38" i="18"/>
  <c r="S38" i="18" s="1"/>
  <c r="P22" i="18"/>
  <c r="S22" i="18" s="1"/>
  <c r="D39" i="19"/>
  <c r="H39" i="19" s="1"/>
  <c r="D101" i="18"/>
  <c r="G101" i="18" s="1"/>
  <c r="P41" i="18"/>
  <c r="S41" i="18" s="1"/>
  <c r="P9" i="18"/>
  <c r="S9" i="18" s="1"/>
  <c r="T9" i="18" s="1"/>
  <c r="P67" i="18"/>
  <c r="T67" i="18" s="1"/>
  <c r="D43" i="19"/>
  <c r="H43" i="19" s="1"/>
  <c r="D46" i="18"/>
  <c r="G46" i="18" s="1"/>
  <c r="H46" i="18" s="1"/>
  <c r="D7" i="19"/>
  <c r="H7" i="19" s="1"/>
  <c r="D125" i="18"/>
  <c r="G125" i="18" s="1"/>
  <c r="H125" i="18" s="1"/>
  <c r="P49" i="18"/>
  <c r="S49" i="18" s="1"/>
  <c r="T49" i="18" s="1"/>
  <c r="D132" i="18"/>
  <c r="G132" i="18" s="1"/>
  <c r="H132" i="18" s="1"/>
  <c r="D127" i="18"/>
  <c r="G127" i="18" s="1"/>
  <c r="H127" i="18" s="1"/>
  <c r="P55" i="18"/>
  <c r="S55" i="18" s="1"/>
  <c r="T55" i="18" s="1"/>
  <c r="P6" i="19"/>
  <c r="T6" i="19" s="1"/>
  <c r="P9" i="19"/>
  <c r="T9" i="19" s="1"/>
  <c r="D95" i="18"/>
  <c r="G95" i="18" s="1"/>
  <c r="P92" i="18"/>
  <c r="S92" i="18" s="1"/>
  <c r="P35" i="18"/>
  <c r="S35" i="18" s="1"/>
  <c r="D118" i="18"/>
  <c r="G118" i="18" s="1"/>
  <c r="D102" i="18"/>
  <c r="G102" i="18" s="1"/>
  <c r="D86" i="18"/>
  <c r="G86" i="18" s="1"/>
  <c r="H86" i="18" s="1"/>
  <c r="P46" i="18"/>
  <c r="S46" i="18" s="1"/>
  <c r="T46" i="18" s="1"/>
  <c r="D11" i="19"/>
  <c r="H11" i="19" s="1"/>
  <c r="D109" i="18"/>
  <c r="G109" i="18" s="1"/>
  <c r="D52" i="18"/>
  <c r="G52" i="18" s="1"/>
  <c r="H52" i="18" s="1"/>
  <c r="P57" i="18"/>
  <c r="S57" i="18" s="1"/>
  <c r="T57" i="18" s="1"/>
  <c r="P17" i="18"/>
  <c r="S17" i="18" s="1"/>
  <c r="D112" i="18"/>
  <c r="G112" i="18" s="1"/>
  <c r="D96" i="18"/>
  <c r="G96" i="18" s="1"/>
  <c r="D55" i="18"/>
  <c r="G55" i="18" s="1"/>
  <c r="H55" i="18" s="1"/>
  <c r="P93" i="18"/>
  <c r="S93" i="18" s="1"/>
  <c r="P36" i="18"/>
  <c r="S36" i="18" s="1"/>
  <c r="P20" i="18"/>
  <c r="S20" i="18" s="1"/>
  <c r="L206" i="17"/>
  <c r="P13" i="19"/>
  <c r="T13" i="19" s="1"/>
  <c r="D130" i="18"/>
  <c r="G130" i="18" s="1"/>
  <c r="H130" i="18" s="1"/>
  <c r="D53" i="18"/>
  <c r="G53" i="18" s="1"/>
  <c r="H53" i="18" s="1"/>
  <c r="AE234" i="17"/>
  <c r="P54" i="18"/>
  <c r="S54" i="18" s="1"/>
  <c r="T54" i="18" s="1"/>
  <c r="P15" i="19"/>
  <c r="T15" i="19" s="1"/>
  <c r="P20" i="19"/>
  <c r="T20" i="19" s="1"/>
  <c r="D146" i="18"/>
  <c r="H146" i="18" s="1"/>
  <c r="D70" i="18"/>
  <c r="H70" i="18" s="1"/>
  <c r="P21" i="19"/>
  <c r="T21" i="19" s="1"/>
  <c r="P68" i="18"/>
  <c r="T68" i="18" s="1"/>
  <c r="D67" i="18"/>
  <c r="H67" i="18" s="1"/>
  <c r="D69" i="18"/>
  <c r="H69" i="18" s="1"/>
  <c r="P147" i="18"/>
  <c r="D35" i="19"/>
  <c r="H35" i="19" s="1"/>
  <c r="P69" i="18"/>
  <c r="T69" i="18" s="1"/>
  <c r="P72" i="18"/>
  <c r="T72" i="18" s="1"/>
  <c r="D18" i="19"/>
  <c r="H18" i="19" s="1"/>
  <c r="D19" i="19"/>
  <c r="H19" i="19" s="1"/>
  <c r="D71" i="36"/>
  <c r="I71" i="36" s="1"/>
  <c r="D73" i="36"/>
  <c r="I73" i="36" s="1"/>
  <c r="D71" i="18"/>
  <c r="H71" i="18" s="1"/>
  <c r="D68" i="18"/>
  <c r="H68" i="18" s="1"/>
  <c r="D63" i="36"/>
  <c r="I63" i="36" s="1"/>
  <c r="D65" i="36"/>
  <c r="I65" i="36" s="1"/>
  <c r="D58" i="36"/>
  <c r="I58" i="36" s="1"/>
  <c r="D60" i="36"/>
  <c r="I60" i="36" s="1"/>
  <c r="D67" i="36"/>
  <c r="I67" i="36" s="1"/>
  <c r="D69" i="36"/>
  <c r="I69" i="36" s="1"/>
  <c r="D129" i="23"/>
  <c r="H129" i="23" s="1"/>
  <c r="D107" i="17"/>
  <c r="H107" i="17" s="1"/>
  <c r="D21" i="19"/>
  <c r="H21" i="19" s="1"/>
  <c r="D12" i="19"/>
  <c r="H12" i="19" s="1"/>
  <c r="D134" i="17"/>
  <c r="H134" i="17" s="1"/>
  <c r="D135" i="17"/>
  <c r="H135" i="17" s="1"/>
  <c r="D133" i="17"/>
  <c r="H133" i="17" s="1"/>
  <c r="D128" i="17"/>
  <c r="H128" i="17" s="1"/>
  <c r="P70" i="18"/>
  <c r="T70" i="18" s="1"/>
  <c r="Q110" i="17"/>
  <c r="U110" i="17" s="1"/>
  <c r="P48" i="18"/>
  <c r="S48" i="18" s="1"/>
  <c r="T48" i="18" s="1"/>
  <c r="D124" i="18"/>
  <c r="G124" i="18" s="1"/>
  <c r="H124" i="18" s="1"/>
  <c r="P81" i="21"/>
  <c r="P13" i="18"/>
  <c r="S13" i="18" s="1"/>
  <c r="T13" i="18" s="1"/>
  <c r="D89" i="18"/>
  <c r="G89" i="18" s="1"/>
  <c r="H89" i="18" s="1"/>
  <c r="P34" i="18"/>
  <c r="S34" i="18" s="1"/>
  <c r="D90" i="18"/>
  <c r="G90" i="18" s="1"/>
  <c r="H90" i="18" s="1"/>
  <c r="D122" i="18"/>
  <c r="G122" i="18" s="1"/>
  <c r="P23" i="18"/>
  <c r="S23" i="18" s="1"/>
  <c r="D99" i="18"/>
  <c r="G99" i="18" s="1"/>
  <c r="D44" i="19"/>
  <c r="H44" i="19" s="1"/>
  <c r="D126" i="17"/>
  <c r="H126" i="17" s="1"/>
  <c r="P40" i="18"/>
  <c r="S40" i="18" s="1"/>
  <c r="D84" i="18"/>
  <c r="G84" i="18" s="1"/>
  <c r="H84" i="18" s="1"/>
  <c r="D116" i="18"/>
  <c r="G116" i="18" s="1"/>
  <c r="P37" i="18"/>
  <c r="S37" i="18" s="1"/>
  <c r="D97" i="18"/>
  <c r="G97" i="18" s="1"/>
  <c r="D122" i="17"/>
  <c r="H122" i="17" s="1"/>
  <c r="P42" i="18"/>
  <c r="S42" i="18" s="1"/>
  <c r="D98" i="18"/>
  <c r="G98" i="18" s="1"/>
  <c r="P15" i="18"/>
  <c r="S15" i="18" s="1"/>
  <c r="T15" i="18" s="1"/>
  <c r="P96" i="18"/>
  <c r="S96" i="18" s="1"/>
  <c r="T96" i="18" s="1"/>
  <c r="P78" i="21"/>
  <c r="P38" i="21"/>
  <c r="P9" i="21"/>
  <c r="P108" i="21"/>
  <c r="D9" i="21"/>
  <c r="P49" i="21"/>
  <c r="P64" i="21"/>
  <c r="D39" i="21"/>
  <c r="D13" i="21"/>
  <c r="P110" i="21"/>
  <c r="D106" i="21"/>
  <c r="P34" i="21"/>
  <c r="D112" i="21"/>
  <c r="D125" i="21"/>
  <c r="D107" i="21"/>
  <c r="D50" i="21"/>
  <c r="P20" i="21"/>
  <c r="D6" i="21"/>
  <c r="P54" i="21"/>
  <c r="P122" i="21"/>
  <c r="P25" i="21"/>
  <c r="D78" i="21"/>
  <c r="P24" i="21"/>
  <c r="D95" i="21"/>
  <c r="D26" i="21"/>
  <c r="D91" i="21"/>
  <c r="P68" i="21"/>
  <c r="P83" i="21"/>
  <c r="P23" i="21"/>
  <c r="D11" i="21"/>
  <c r="D124" i="21"/>
  <c r="D69" i="21"/>
  <c r="D98" i="21"/>
  <c r="P27" i="21"/>
  <c r="P79" i="21"/>
  <c r="D65" i="21"/>
  <c r="D123" i="21"/>
  <c r="D126" i="21"/>
  <c r="D119" i="21"/>
  <c r="P12" i="21"/>
  <c r="D96" i="21"/>
  <c r="D54" i="21"/>
  <c r="D79" i="21"/>
  <c r="Z53" i="21"/>
  <c r="P22" i="21"/>
  <c r="P94" i="21"/>
  <c r="D62" i="21"/>
  <c r="D110" i="21"/>
  <c r="D24" i="21"/>
  <c r="P82" i="21"/>
  <c r="D77" i="21"/>
  <c r="P10" i="21"/>
  <c r="P21" i="21"/>
  <c r="D80" i="21"/>
  <c r="D20" i="21"/>
  <c r="P109" i="21"/>
  <c r="P124" i="21"/>
  <c r="P53" i="21"/>
  <c r="P13" i="21"/>
  <c r="D41" i="21"/>
  <c r="D52" i="21"/>
  <c r="P67" i="21"/>
  <c r="D48" i="21"/>
  <c r="P7" i="21"/>
  <c r="P93" i="21"/>
  <c r="P37" i="21"/>
  <c r="AR45" i="21"/>
  <c r="AR15" i="21"/>
  <c r="AJ30" i="21"/>
  <c r="AP45" i="21"/>
  <c r="AP30" i="21"/>
  <c r="D23" i="21"/>
  <c r="AN46" i="21"/>
  <c r="AR16" i="21"/>
  <c r="P124" i="18"/>
  <c r="S124" i="18" s="1"/>
  <c r="T124" i="18" s="1"/>
  <c r="D45" i="18"/>
  <c r="G45" i="18" s="1"/>
  <c r="D13" i="18"/>
  <c r="G13" i="18" s="1"/>
  <c r="D44" i="18"/>
  <c r="G44" i="18" s="1"/>
  <c r="D12" i="18"/>
  <c r="G12" i="18" s="1"/>
  <c r="H12" i="18" s="1"/>
  <c r="P125" i="18"/>
  <c r="S125" i="18" s="1"/>
  <c r="T125" i="18" s="1"/>
  <c r="D34" i="18"/>
  <c r="G34" i="18" s="1"/>
  <c r="P112" i="18"/>
  <c r="S112" i="18" s="1"/>
  <c r="D17" i="18"/>
  <c r="G17" i="18" s="1"/>
  <c r="D16" i="18"/>
  <c r="G16" i="18" s="1"/>
  <c r="P126" i="18"/>
  <c r="S126" i="18" s="1"/>
  <c r="T126" i="18" s="1"/>
  <c r="D27" i="17"/>
  <c r="H27" i="17" s="1"/>
  <c r="D32" i="17"/>
  <c r="H32" i="17" s="1"/>
  <c r="D39" i="17"/>
  <c r="H39" i="17" s="1"/>
  <c r="D58" i="17"/>
  <c r="H58" i="17" s="1"/>
  <c r="D57" i="17"/>
  <c r="H57" i="17" s="1"/>
  <c r="D12" i="17"/>
  <c r="H12" i="17" s="1"/>
  <c r="D85" i="17"/>
  <c r="H85" i="17" s="1"/>
  <c r="D20" i="17"/>
  <c r="H20" i="17" s="1"/>
  <c r="D17" i="17"/>
  <c r="H17" i="17" s="1"/>
  <c r="D33" i="17"/>
  <c r="H33" i="17" s="1"/>
  <c r="Q51" i="17"/>
  <c r="U51" i="17" s="1"/>
  <c r="D14" i="17"/>
  <c r="H14" i="17" s="1"/>
  <c r="D22" i="17"/>
  <c r="H22" i="17" s="1"/>
  <c r="D30" i="17"/>
  <c r="H30" i="17" s="1"/>
  <c r="D38" i="17"/>
  <c r="H38" i="17" s="1"/>
  <c r="D84" i="17"/>
  <c r="H84" i="17" s="1"/>
  <c r="D80" i="17"/>
  <c r="H80" i="17" s="1"/>
  <c r="D44" i="17"/>
  <c r="H44" i="17" s="1"/>
  <c r="D36" i="17"/>
  <c r="H36" i="17" s="1"/>
  <c r="D48" i="17"/>
  <c r="H48" i="17" s="1"/>
  <c r="D25" i="17"/>
  <c r="H25" i="17" s="1"/>
  <c r="D41" i="17"/>
  <c r="H41" i="17" s="1"/>
  <c r="D49" i="17"/>
  <c r="H49" i="17" s="1"/>
  <c r="D18" i="17"/>
  <c r="H18" i="17" s="1"/>
  <c r="D81" i="17"/>
  <c r="H81" i="17" s="1"/>
  <c r="D7" i="17"/>
  <c r="H7" i="17" s="1"/>
  <c r="Q59" i="17"/>
  <c r="U59" i="17" s="1"/>
  <c r="Q85" i="17"/>
  <c r="U85" i="17" s="1"/>
  <c r="Q82" i="17"/>
  <c r="U82" i="17" s="1"/>
  <c r="D15" i="17"/>
  <c r="H15" i="17" s="1"/>
  <c r="D31" i="17"/>
  <c r="H31" i="17" s="1"/>
  <c r="Q46" i="17"/>
  <c r="U46" i="17" s="1"/>
  <c r="D34" i="17"/>
  <c r="H34" i="17" s="1"/>
  <c r="D23" i="17"/>
  <c r="H23" i="17" s="1"/>
  <c r="Q47" i="17"/>
  <c r="U47" i="17" s="1"/>
  <c r="Q56" i="17"/>
  <c r="U56" i="17" s="1"/>
  <c r="Q71" i="17"/>
  <c r="U71" i="17" s="1"/>
  <c r="D9" i="17"/>
  <c r="H9" i="17" s="1"/>
  <c r="Q57" i="17"/>
  <c r="U57" i="17" s="1"/>
  <c r="Q83" i="17"/>
  <c r="U83" i="17" s="1"/>
  <c r="D16" i="17"/>
  <c r="H16" i="17" s="1"/>
  <c r="D56" i="17"/>
  <c r="H56" i="17" s="1"/>
  <c r="D71" i="17"/>
  <c r="H71" i="17" s="1"/>
  <c r="Q58" i="17"/>
  <c r="U58" i="17" s="1"/>
  <c r="Q84" i="17"/>
  <c r="U84" i="17" s="1"/>
  <c r="D72" i="17"/>
  <c r="H72" i="17" s="1"/>
  <c r="D13" i="17"/>
  <c r="H13" i="17" s="1"/>
  <c r="D29" i="17"/>
  <c r="H29" i="17" s="1"/>
  <c r="D45" i="17"/>
  <c r="H45" i="17" s="1"/>
  <c r="Q52" i="17"/>
  <c r="U52" i="17" s="1"/>
  <c r="Q53" i="17"/>
  <c r="U53" i="17" s="1"/>
  <c r="Q72" i="17"/>
  <c r="U72" i="17" s="1"/>
  <c r="D24" i="17"/>
  <c r="H24" i="17" s="1"/>
  <c r="D40" i="17"/>
  <c r="H40" i="17" s="1"/>
  <c r="Q54" i="17"/>
  <c r="U54" i="17" s="1"/>
  <c r="Q80" i="17"/>
  <c r="U80" i="17" s="1"/>
  <c r="D26" i="17"/>
  <c r="H26" i="17" s="1"/>
  <c r="D42" i="17"/>
  <c r="H42" i="17" s="1"/>
  <c r="D54" i="17"/>
  <c r="H54" i="17" s="1"/>
  <c r="D43" i="17"/>
  <c r="H43" i="17" s="1"/>
  <c r="D55" i="17"/>
  <c r="H55" i="17" s="1"/>
  <c r="D68" i="17"/>
  <c r="H68" i="17" s="1"/>
  <c r="D83" i="17"/>
  <c r="H83" i="17" s="1"/>
  <c r="Q55" i="17"/>
  <c r="U55" i="17" s="1"/>
  <c r="Q70" i="17"/>
  <c r="U70" i="17" s="1"/>
  <c r="Q81" i="17"/>
  <c r="U81" i="17" s="1"/>
  <c r="D46" i="17"/>
  <c r="H46" i="17" s="1"/>
  <c r="D69" i="17"/>
  <c r="H69" i="17" s="1"/>
  <c r="Q48" i="17"/>
  <c r="U48" i="17" s="1"/>
  <c r="Q67" i="17"/>
  <c r="U67" i="17" s="1"/>
  <c r="D47" i="17"/>
  <c r="H47" i="17" s="1"/>
  <c r="D70" i="17"/>
  <c r="H70" i="17" s="1"/>
  <c r="Q49" i="17"/>
  <c r="U49" i="17" s="1"/>
  <c r="Q68" i="17"/>
  <c r="U68" i="17" s="1"/>
  <c r="D10" i="17"/>
  <c r="H10" i="17" s="1"/>
  <c r="Q50" i="17"/>
  <c r="U50" i="17" s="1"/>
  <c r="Q69" i="17"/>
  <c r="U69" i="17" s="1"/>
  <c r="D51" i="17"/>
  <c r="H51" i="17" s="1"/>
  <c r="D82" i="17"/>
  <c r="H82" i="17" s="1"/>
  <c r="D53" i="17"/>
  <c r="H53" i="17" s="1"/>
  <c r="D50" i="17"/>
  <c r="H50" i="17" s="1"/>
  <c r="Q8" i="17"/>
  <c r="U8" i="17" s="1"/>
  <c r="D19" i="17"/>
  <c r="H19" i="17" s="1"/>
  <c r="D67" i="17"/>
  <c r="H67" i="17" s="1"/>
  <c r="D37" i="17"/>
  <c r="H37" i="17" s="1"/>
  <c r="D35" i="17"/>
  <c r="H35" i="17" s="1"/>
  <c r="Q38" i="17"/>
  <c r="U38" i="17" s="1"/>
  <c r="Q30" i="17"/>
  <c r="U30" i="17" s="1"/>
  <c r="Q22" i="17"/>
  <c r="U22" i="17" s="1"/>
  <c r="Q14" i="17"/>
  <c r="U14" i="17" s="1"/>
  <c r="Q11" i="17"/>
  <c r="U11" i="17" s="1"/>
  <c r="Q7" i="17"/>
  <c r="U7" i="17" s="1"/>
  <c r="Q6" i="17"/>
  <c r="U6" i="17" s="1"/>
  <c r="Q45" i="17"/>
  <c r="U45" i="17" s="1"/>
  <c r="Q37" i="17"/>
  <c r="U37" i="17" s="1"/>
  <c r="Q29" i="17"/>
  <c r="U29" i="17" s="1"/>
  <c r="Q21" i="17"/>
  <c r="U21" i="17" s="1"/>
  <c r="Q13" i="17"/>
  <c r="U13" i="17" s="1"/>
  <c r="Q44" i="17"/>
  <c r="U44" i="17" s="1"/>
  <c r="Q36" i="17"/>
  <c r="U36" i="17" s="1"/>
  <c r="Q28" i="17"/>
  <c r="U28" i="17" s="1"/>
  <c r="Q20" i="17"/>
  <c r="U20" i="17" s="1"/>
  <c r="Q43" i="17"/>
  <c r="U43" i="17" s="1"/>
  <c r="Q35" i="17"/>
  <c r="U35" i="17" s="1"/>
  <c r="Q27" i="17"/>
  <c r="U27" i="17" s="1"/>
  <c r="Q19" i="17"/>
  <c r="U19" i="17" s="1"/>
  <c r="D52" i="17"/>
  <c r="H52" i="17" s="1"/>
  <c r="D28" i="17"/>
  <c r="H28" i="17" s="1"/>
  <c r="D21" i="17"/>
  <c r="H21" i="17" s="1"/>
  <c r="D11" i="17"/>
  <c r="H11" i="17" s="1"/>
  <c r="D59" i="17"/>
  <c r="H59" i="17" s="1"/>
  <c r="Q42" i="17"/>
  <c r="U42" i="17" s="1"/>
  <c r="Q34" i="17"/>
  <c r="U34" i="17" s="1"/>
  <c r="Q26" i="17"/>
  <c r="U26" i="17" s="1"/>
  <c r="Q18" i="17"/>
  <c r="U18" i="17" s="1"/>
  <c r="Q10" i="17"/>
  <c r="U10" i="17" s="1"/>
  <c r="Q9" i="17"/>
  <c r="U9" i="17" s="1"/>
  <c r="Q41" i="17"/>
  <c r="U41" i="17" s="1"/>
  <c r="Q33" i="17"/>
  <c r="U33" i="17" s="1"/>
  <c r="Q25" i="17"/>
  <c r="U25" i="17" s="1"/>
  <c r="Q17" i="17"/>
  <c r="U17" i="17" s="1"/>
  <c r="Q12" i="17"/>
  <c r="U12" i="17" s="1"/>
  <c r="Q40" i="17"/>
  <c r="U40" i="17" s="1"/>
  <c r="Q32" i="17"/>
  <c r="U32" i="17" s="1"/>
  <c r="Q24" i="17"/>
  <c r="U24" i="17" s="1"/>
  <c r="Q16" i="17"/>
  <c r="U16" i="17" s="1"/>
  <c r="Q39" i="17"/>
  <c r="U39" i="17" s="1"/>
  <c r="Q31" i="17"/>
  <c r="U31" i="17" s="1"/>
  <c r="Q23" i="17"/>
  <c r="U23" i="17" s="1"/>
  <c r="Q15" i="17"/>
  <c r="U15" i="17" s="1"/>
  <c r="D22" i="18"/>
  <c r="G22" i="18" s="1"/>
  <c r="P116" i="18"/>
  <c r="S116" i="18" s="1"/>
  <c r="D37" i="18"/>
  <c r="G37" i="18" s="1"/>
  <c r="P123" i="18"/>
  <c r="S123" i="18" s="1"/>
  <c r="T123" i="18" s="1"/>
  <c r="P122" i="18"/>
  <c r="S122" i="18" s="1"/>
  <c r="D11" i="18"/>
  <c r="G11" i="18" s="1"/>
  <c r="H11" i="18" s="1"/>
  <c r="D10" i="18"/>
  <c r="G10" i="18" s="1"/>
  <c r="H10" i="18" s="1"/>
  <c r="D25" i="18"/>
  <c r="G25" i="18" s="1"/>
  <c r="D24" i="18"/>
  <c r="G24" i="18" s="1"/>
  <c r="H40" i="24"/>
  <c r="H44" i="24"/>
  <c r="H14" i="24"/>
  <c r="H8" i="24"/>
  <c r="H39" i="24"/>
  <c r="H37" i="24"/>
  <c r="H50" i="24"/>
  <c r="H51" i="24"/>
  <c r="H53" i="24"/>
  <c r="H20" i="24"/>
  <c r="H57" i="24"/>
  <c r="H34" i="24"/>
  <c r="H27" i="24"/>
  <c r="H41" i="24"/>
  <c r="H24" i="24"/>
  <c r="H22" i="24"/>
  <c r="H15" i="24"/>
  <c r="H47" i="24"/>
  <c r="H19" i="24"/>
  <c r="H16" i="24"/>
  <c r="H48" i="24"/>
  <c r="H12" i="24"/>
  <c r="H60" i="24"/>
  <c r="H10" i="24"/>
  <c r="H42" i="24"/>
  <c r="H21" i="24"/>
  <c r="H13" i="24"/>
  <c r="H63" i="33"/>
  <c r="H74" i="33"/>
  <c r="H73" i="33"/>
  <c r="H64" i="33"/>
  <c r="H66" i="33"/>
  <c r="H25" i="24"/>
  <c r="H75" i="33"/>
  <c r="H59" i="33"/>
  <c r="H68" i="33"/>
  <c r="H58" i="33"/>
  <c r="H69" i="33"/>
  <c r="P101" i="18"/>
  <c r="S101" i="18" s="1"/>
  <c r="T101" i="18" s="1"/>
  <c r="P112" i="21"/>
  <c r="D147" i="18"/>
  <c r="H147" i="18" s="1"/>
  <c r="D72" i="18"/>
  <c r="H72" i="18" s="1"/>
  <c r="P97" i="21"/>
  <c r="D23" i="19"/>
  <c r="H23" i="19" s="1"/>
  <c r="P8" i="21"/>
  <c r="P22" i="19"/>
  <c r="T22" i="19" s="1"/>
  <c r="P16" i="18"/>
  <c r="S16" i="18" s="1"/>
  <c r="T16" i="18" s="1"/>
  <c r="P97" i="18"/>
  <c r="S97" i="18" s="1"/>
  <c r="T97" i="18" s="1"/>
  <c r="D92" i="18"/>
  <c r="G92" i="18" s="1"/>
  <c r="H92" i="18" s="1"/>
  <c r="P29" i="18"/>
  <c r="S29" i="18" s="1"/>
  <c r="D56" i="18"/>
  <c r="G56" i="18" s="1"/>
  <c r="H56" i="18" s="1"/>
  <c r="P18" i="18"/>
  <c r="S18" i="18" s="1"/>
  <c r="D133" i="18"/>
  <c r="G133" i="18" s="1"/>
  <c r="H133" i="18" s="1"/>
  <c r="P39" i="18"/>
  <c r="S39" i="18" s="1"/>
  <c r="P126" i="21"/>
  <c r="P38" i="27"/>
  <c r="D118" i="27"/>
  <c r="P152" i="27"/>
  <c r="Z177" i="27"/>
  <c r="D221" i="27"/>
  <c r="D235" i="27"/>
  <c r="P247" i="27"/>
  <c r="P253" i="27"/>
  <c r="D339" i="27"/>
  <c r="Z50" i="27"/>
  <c r="P293" i="27"/>
  <c r="Z52" i="27"/>
  <c r="P37" i="27"/>
  <c r="D81" i="27"/>
  <c r="D109" i="27"/>
  <c r="D182" i="27"/>
  <c r="D170" i="27"/>
  <c r="D225" i="27"/>
  <c r="P239" i="27"/>
  <c r="P282" i="27"/>
  <c r="D78" i="27"/>
  <c r="P83" i="27"/>
  <c r="D120" i="27"/>
  <c r="P195" i="27"/>
  <c r="D238" i="27"/>
  <c r="D10" i="27"/>
  <c r="P67" i="27"/>
  <c r="D26" i="27"/>
  <c r="D93" i="27"/>
  <c r="P110" i="27"/>
  <c r="D149" i="27"/>
  <c r="Z180" i="27"/>
  <c r="D193" i="27"/>
  <c r="D207" i="27"/>
  <c r="D223" i="27"/>
  <c r="D362" i="27"/>
  <c r="D64" i="27"/>
  <c r="P64" i="27"/>
  <c r="P279" i="27"/>
  <c r="P65" i="27"/>
  <c r="D50" i="27"/>
  <c r="D105" i="27"/>
  <c r="P155" i="27"/>
  <c r="D197" i="27"/>
  <c r="P281" i="27"/>
  <c r="D310" i="27"/>
  <c r="D62" i="27"/>
  <c r="P40" i="27"/>
  <c r="P149" i="27"/>
  <c r="P168" i="27"/>
  <c r="P233" i="27"/>
  <c r="D51" i="27"/>
  <c r="P93" i="27"/>
  <c r="P118" i="27"/>
  <c r="D140" i="27"/>
  <c r="D137" i="27"/>
  <c r="P193" i="27"/>
  <c r="P207" i="27"/>
  <c r="P223" i="27"/>
  <c r="D248" i="27"/>
  <c r="P325" i="27"/>
  <c r="P284" i="27"/>
  <c r="P39" i="27"/>
  <c r="D23" i="27"/>
  <c r="D82" i="27"/>
  <c r="D122" i="27"/>
  <c r="D177" i="27"/>
  <c r="D210" i="27"/>
  <c r="P254" i="27"/>
  <c r="D363" i="27"/>
  <c r="P23" i="27"/>
  <c r="P80" i="27"/>
  <c r="P108" i="27"/>
  <c r="Z178" i="27"/>
  <c r="D136" i="27"/>
  <c r="D168" i="27"/>
  <c r="P208" i="27"/>
  <c r="P236" i="27"/>
  <c r="D263" i="27"/>
  <c r="P334" i="27"/>
  <c r="P21" i="27"/>
  <c r="P81" i="27"/>
  <c r="P109" i="27"/>
  <c r="P154" i="27"/>
  <c r="P219" i="27"/>
  <c r="P237" i="27"/>
  <c r="D254" i="27"/>
  <c r="D20" i="27"/>
  <c r="D25" i="27"/>
  <c r="D106" i="27"/>
  <c r="P120" i="27"/>
  <c r="D139" i="27"/>
  <c r="D198" i="27"/>
  <c r="D226" i="27"/>
  <c r="P248" i="27"/>
  <c r="D366" i="27"/>
  <c r="D40" i="27"/>
  <c r="Z49" i="27"/>
  <c r="P104" i="27"/>
  <c r="D169" i="27"/>
  <c r="D123" i="27"/>
  <c r="P196" i="27"/>
  <c r="P224" i="27"/>
  <c r="D291" i="27"/>
  <c r="P336" i="27"/>
  <c r="D12" i="27"/>
  <c r="D7" i="27"/>
  <c r="Z54" i="27"/>
  <c r="P27" i="27"/>
  <c r="P111" i="27"/>
  <c r="D152" i="27"/>
  <c r="D206" i="27"/>
  <c r="D234" i="27"/>
  <c r="P250" i="27"/>
  <c r="P278" i="27"/>
  <c r="P20" i="27"/>
  <c r="P34" i="27"/>
  <c r="P106" i="27"/>
  <c r="P153" i="27"/>
  <c r="D183" i="27"/>
  <c r="D141" i="27"/>
  <c r="P198" i="27"/>
  <c r="P226" i="27"/>
  <c r="D251" i="27"/>
  <c r="P324" i="27"/>
  <c r="D66" i="27"/>
  <c r="D53" i="27"/>
  <c r="P105" i="27"/>
  <c r="P163" i="27"/>
  <c r="D184" i="27"/>
  <c r="P191" i="27"/>
  <c r="P209" i="27"/>
  <c r="D250" i="27"/>
  <c r="P323" i="27"/>
  <c r="D351" i="27"/>
  <c r="D52" i="27"/>
  <c r="D9" i="27"/>
  <c r="D90" i="27"/>
  <c r="D48" i="27"/>
  <c r="D167" i="27"/>
  <c r="D194" i="27"/>
  <c r="D222" i="27"/>
  <c r="P238" i="27"/>
  <c r="D348" i="27"/>
  <c r="D338" i="27"/>
  <c r="D63" i="27"/>
  <c r="P25" i="27"/>
  <c r="P92" i="27"/>
  <c r="Z55" i="27"/>
  <c r="P192" i="27"/>
  <c r="P220" i="27"/>
  <c r="D247" i="27"/>
  <c r="D365" i="27"/>
  <c r="D367" i="27"/>
  <c r="D278" i="27"/>
  <c r="Z310" i="27"/>
  <c r="P294" i="27"/>
  <c r="P340" i="27"/>
  <c r="Z311" i="27"/>
  <c r="D311" i="27"/>
  <c r="Z305" i="27"/>
  <c r="D270" i="27"/>
  <c r="D336" i="27"/>
  <c r="D264" i="27"/>
  <c r="Z308" i="27"/>
  <c r="D323" i="27"/>
  <c r="D306" i="27"/>
  <c r="D294" i="27"/>
  <c r="Z309" i="27"/>
  <c r="D322" i="27"/>
  <c r="D325" i="27"/>
  <c r="P339" i="27"/>
  <c r="D319" i="27"/>
  <c r="D324" i="27"/>
  <c r="D34" i="19"/>
  <c r="H34" i="19" s="1"/>
  <c r="P36" i="21"/>
  <c r="P56" i="18"/>
  <c r="S56" i="18" s="1"/>
  <c r="T56" i="18" s="1"/>
  <c r="D6" i="19"/>
  <c r="H6" i="19" s="1"/>
  <c r="D48" i="18"/>
  <c r="G48" i="18" s="1"/>
  <c r="H48" i="18" s="1"/>
  <c r="P106" i="21"/>
  <c r="D49" i="18"/>
  <c r="G49" i="18" s="1"/>
  <c r="H49" i="18" s="1"/>
  <c r="P47" i="18"/>
  <c r="S47" i="18" s="1"/>
  <c r="T47" i="18" s="1"/>
  <c r="D91" i="18"/>
  <c r="G91" i="18" s="1"/>
  <c r="H91" i="18" s="1"/>
  <c r="D14" i="18"/>
  <c r="G14" i="18" s="1"/>
  <c r="P127" i="18"/>
  <c r="S127" i="18" s="1"/>
  <c r="T127" i="18" s="1"/>
  <c r="P105" i="18"/>
  <c r="S105" i="18" s="1"/>
  <c r="D18" i="18"/>
  <c r="G18" i="18" s="1"/>
  <c r="P119" i="18"/>
  <c r="S119" i="18" s="1"/>
  <c r="P134" i="18"/>
  <c r="S134" i="18" s="1"/>
  <c r="T134" i="18" s="1"/>
  <c r="P128" i="18"/>
  <c r="S128" i="18" s="1"/>
  <c r="T128" i="18" s="1"/>
  <c r="D112" i="23"/>
  <c r="H112" i="23" s="1"/>
  <c r="D96" i="23"/>
  <c r="H96" i="23" s="1"/>
  <c r="D83" i="23"/>
  <c r="H83" i="23" s="1"/>
  <c r="D89" i="23"/>
  <c r="H89" i="23" s="1"/>
  <c r="D110" i="23"/>
  <c r="H110" i="23" s="1"/>
  <c r="D82" i="23"/>
  <c r="H82" i="23" s="1"/>
  <c r="D132" i="23"/>
  <c r="H132" i="23" s="1"/>
  <c r="D100" i="23"/>
  <c r="H100" i="23" s="1"/>
  <c r="D125" i="23"/>
  <c r="H125" i="23" s="1"/>
  <c r="D122" i="23"/>
  <c r="H122" i="23" s="1"/>
  <c r="D98" i="23"/>
  <c r="H98" i="23" s="1"/>
  <c r="D107" i="23"/>
  <c r="H107" i="23" s="1"/>
  <c r="D126" i="23"/>
  <c r="H126" i="23" s="1"/>
  <c r="D111" i="23"/>
  <c r="H111" i="23" s="1"/>
  <c r="D95" i="23"/>
  <c r="H95" i="23" s="1"/>
  <c r="D106" i="17"/>
  <c r="H106" i="17" s="1"/>
  <c r="Q96" i="17"/>
  <c r="U96" i="17" s="1"/>
  <c r="D125" i="17"/>
  <c r="H125" i="17" s="1"/>
  <c r="D108" i="17"/>
  <c r="H108" i="17" s="1"/>
  <c r="D139" i="17"/>
  <c r="H139" i="17" s="1"/>
  <c r="D121" i="23"/>
  <c r="H121" i="23" s="1"/>
  <c r="P83" i="23"/>
  <c r="T83" i="23" s="1"/>
  <c r="D102" i="23"/>
  <c r="H102" i="23" s="1"/>
  <c r="D127" i="23"/>
  <c r="H127" i="23" s="1"/>
  <c r="D108" i="23"/>
  <c r="H108" i="23" s="1"/>
  <c r="D81" i="23"/>
  <c r="H81" i="23" s="1"/>
  <c r="D141" i="17"/>
  <c r="H141" i="17" s="1"/>
  <c r="D106" i="23"/>
  <c r="H106" i="23" s="1"/>
  <c r="D80" i="23"/>
  <c r="H80" i="23" s="1"/>
  <c r="D115" i="23"/>
  <c r="H115" i="23" s="1"/>
  <c r="D95" i="17"/>
  <c r="H95" i="17" s="1"/>
  <c r="P80" i="23"/>
  <c r="T80" i="23" s="1"/>
  <c r="G55" i="20"/>
  <c r="D138" i="17"/>
  <c r="H138" i="17" s="1"/>
  <c r="Q98" i="17"/>
  <c r="U98" i="17" s="1"/>
  <c r="D117" i="23"/>
  <c r="H117" i="23" s="1"/>
  <c r="D101" i="23"/>
  <c r="H101" i="23" s="1"/>
  <c r="P85" i="23"/>
  <c r="T85" i="23" s="1"/>
  <c r="D130" i="23"/>
  <c r="H130" i="23" s="1"/>
  <c r="D118" i="17"/>
  <c r="H118" i="17" s="1"/>
  <c r="Q123" i="17"/>
  <c r="U123" i="17" s="1"/>
  <c r="Q107" i="17"/>
  <c r="U107" i="17" s="1"/>
  <c r="D142" i="17"/>
  <c r="H142" i="17" s="1"/>
  <c r="D69" i="20"/>
  <c r="Q124" i="17"/>
  <c r="U124" i="17" s="1"/>
  <c r="Q117" i="17"/>
  <c r="U117" i="17" s="1"/>
  <c r="Q106" i="17"/>
  <c r="U106" i="17" s="1"/>
  <c r="D129" i="17"/>
  <c r="H129" i="17" s="1"/>
  <c r="D117" i="17"/>
  <c r="H117" i="17" s="1"/>
  <c r="D127" i="17"/>
  <c r="H127" i="17" s="1"/>
  <c r="Q125" i="17"/>
  <c r="U125" i="17" s="1"/>
  <c r="Q118" i="17"/>
  <c r="U118" i="17" s="1"/>
  <c r="D98" i="17"/>
  <c r="H98" i="17" s="1"/>
  <c r="D144" i="17"/>
  <c r="H144" i="17" s="1"/>
  <c r="D140" i="17"/>
  <c r="H140" i="17" s="1"/>
  <c r="D102" i="17"/>
  <c r="H102" i="17" s="1"/>
  <c r="D136" i="17"/>
  <c r="H136" i="17" s="1"/>
  <c r="D20" i="18"/>
  <c r="G20" i="18" s="1"/>
  <c r="D27" i="18"/>
  <c r="G27" i="18" s="1"/>
  <c r="P113" i="18"/>
  <c r="S113" i="18" s="1"/>
  <c r="D26" i="18"/>
  <c r="G26" i="18" s="1"/>
  <c r="D41" i="18"/>
  <c r="G41" i="18" s="1"/>
  <c r="D40" i="18"/>
  <c r="G40" i="18" s="1"/>
  <c r="P102" i="18"/>
  <c r="S102" i="18" s="1"/>
  <c r="P117" i="18"/>
  <c r="S117" i="18" s="1"/>
  <c r="D51" i="18"/>
  <c r="G51" i="18" s="1"/>
  <c r="H51" i="18" s="1"/>
  <c r="D36" i="19"/>
  <c r="H36" i="19" s="1"/>
  <c r="D50" i="18"/>
  <c r="G50" i="18" s="1"/>
  <c r="H50" i="18" s="1"/>
  <c r="P50" i="18"/>
  <c r="S50" i="18" s="1"/>
  <c r="T50" i="18" s="1"/>
  <c r="D59" i="18"/>
  <c r="G59" i="18" s="1"/>
  <c r="H59" i="18" s="1"/>
  <c r="D24" i="19"/>
  <c r="H24" i="19" s="1"/>
  <c r="D9" i="19"/>
  <c r="H9" i="19" s="1"/>
  <c r="D103" i="18"/>
  <c r="G103" i="18" s="1"/>
  <c r="P43" i="18"/>
  <c r="S43" i="18" s="1"/>
  <c r="P11" i="18"/>
  <c r="S11" i="18" s="1"/>
  <c r="D144" i="18"/>
  <c r="H144" i="18" s="1"/>
  <c r="P87" i="18"/>
  <c r="S87" i="18" s="1"/>
  <c r="T87" i="18" s="1"/>
  <c r="P30" i="18"/>
  <c r="S30" i="18" s="1"/>
  <c r="P14" i="18"/>
  <c r="S14" i="18" s="1"/>
  <c r="T14" i="18" s="1"/>
  <c r="D117" i="18"/>
  <c r="G117" i="18" s="1"/>
  <c r="D85" i="18"/>
  <c r="G85" i="18" s="1"/>
  <c r="H85" i="18" s="1"/>
  <c r="P90" i="18"/>
  <c r="S90" i="18" s="1"/>
  <c r="P25" i="18"/>
  <c r="S25" i="18" s="1"/>
  <c r="P52" i="18"/>
  <c r="S52" i="18" s="1"/>
  <c r="T52" i="18" s="1"/>
  <c r="P10" i="19"/>
  <c r="T10" i="19" s="1"/>
  <c r="D16" i="19"/>
  <c r="H16" i="19" s="1"/>
  <c r="P51" i="18"/>
  <c r="S51" i="18" s="1"/>
  <c r="T51" i="18" s="1"/>
  <c r="P6" i="18"/>
  <c r="S6" i="18" s="1"/>
  <c r="T6" i="18" s="1"/>
  <c r="P11" i="19"/>
  <c r="T11" i="19" s="1"/>
  <c r="D128" i="18"/>
  <c r="G128" i="18" s="1"/>
  <c r="H128" i="18" s="1"/>
  <c r="L207" i="17"/>
  <c r="P86" i="18"/>
  <c r="S86" i="18" s="1"/>
  <c r="T86" i="18" s="1"/>
  <c r="D22" i="19"/>
  <c r="H22" i="19" s="1"/>
  <c r="D135" i="18"/>
  <c r="G135" i="18" s="1"/>
  <c r="H135" i="18" s="1"/>
  <c r="D149" i="18"/>
  <c r="D111" i="18"/>
  <c r="G111" i="18" s="1"/>
  <c r="D54" i="18"/>
  <c r="G54" i="18" s="1"/>
  <c r="H54" i="18" s="1"/>
  <c r="P145" i="18"/>
  <c r="P59" i="18"/>
  <c r="S59" i="18" s="1"/>
  <c r="T59" i="18" s="1"/>
  <c r="P19" i="18"/>
  <c r="S19" i="18" s="1"/>
  <c r="D8" i="19"/>
  <c r="H8" i="19" s="1"/>
  <c r="D110" i="18"/>
  <c r="G110" i="18" s="1"/>
  <c r="D94" i="18"/>
  <c r="G94" i="18" s="1"/>
  <c r="P95" i="18"/>
  <c r="S95" i="18" s="1"/>
  <c r="T95" i="18" s="1"/>
  <c r="L169" i="17"/>
  <c r="P19" i="19"/>
  <c r="T19" i="19" s="1"/>
  <c r="D136" i="18"/>
  <c r="G136" i="18" s="1"/>
  <c r="H136" i="18" s="1"/>
  <c r="D93" i="18"/>
  <c r="G93" i="18" s="1"/>
  <c r="H93" i="18" s="1"/>
  <c r="P98" i="18"/>
  <c r="S98" i="18" s="1"/>
  <c r="T98" i="18" s="1"/>
  <c r="P33" i="18"/>
  <c r="S33" i="18" s="1"/>
  <c r="L158" i="17"/>
  <c r="D120" i="18"/>
  <c r="G120" i="18" s="1"/>
  <c r="D104" i="18"/>
  <c r="G104" i="18" s="1"/>
  <c r="D88" i="18"/>
  <c r="G88" i="18" s="1"/>
  <c r="H88" i="18" s="1"/>
  <c r="P44" i="18"/>
  <c r="S44" i="18" s="1"/>
  <c r="P28" i="18"/>
  <c r="S28" i="18" s="1"/>
  <c r="P12" i="18"/>
  <c r="S12" i="18" s="1"/>
  <c r="P17" i="19"/>
  <c r="T17" i="19" s="1"/>
  <c r="P84" i="18"/>
  <c r="S84" i="18" s="1"/>
  <c r="T84" i="18" s="1"/>
  <c r="P136" i="18"/>
  <c r="S136" i="18" s="1"/>
  <c r="T136" i="18" s="1"/>
  <c r="P149" i="18"/>
  <c r="T149" i="18" s="1"/>
  <c r="D47" i="18"/>
  <c r="G47" i="18" s="1"/>
  <c r="H47" i="18" s="1"/>
  <c r="P18" i="19"/>
  <c r="T18" i="19" s="1"/>
  <c r="P7" i="19"/>
  <c r="T7" i="19" s="1"/>
  <c r="D20" i="19"/>
  <c r="H20" i="19" s="1"/>
  <c r="D131" i="18"/>
  <c r="G131" i="18" s="1"/>
  <c r="H131" i="18" s="1"/>
  <c r="P85" i="18"/>
  <c r="S85" i="18" s="1"/>
  <c r="T85" i="18" s="1"/>
  <c r="L193" i="17"/>
  <c r="AE232" i="17"/>
  <c r="L161" i="17"/>
  <c r="P12" i="19"/>
  <c r="T12" i="19" s="1"/>
  <c r="D42" i="19"/>
  <c r="H42" i="19" s="1"/>
  <c r="D38" i="19"/>
  <c r="H38" i="19" s="1"/>
  <c r="D40" i="19"/>
  <c r="H40" i="19" s="1"/>
  <c r="P148" i="18"/>
  <c r="T148" i="18" s="1"/>
  <c r="D145" i="18"/>
  <c r="H145" i="18" s="1"/>
  <c r="P144" i="18"/>
  <c r="D41" i="19"/>
  <c r="H41" i="19" s="1"/>
  <c r="D10" i="19"/>
  <c r="H10" i="19" s="1"/>
  <c r="D70" i="36"/>
  <c r="I70" i="36" s="1"/>
  <c r="D72" i="36"/>
  <c r="I72" i="36" s="1"/>
  <c r="D14" i="19"/>
  <c r="H14" i="19" s="1"/>
  <c r="D15" i="19"/>
  <c r="H15" i="19" s="1"/>
  <c r="D62" i="36"/>
  <c r="I62" i="36" s="1"/>
  <c r="D64" i="36"/>
  <c r="I64" i="36" s="1"/>
  <c r="D74" i="36"/>
  <c r="I74" i="36" s="1"/>
  <c r="D59" i="36"/>
  <c r="I59" i="36" s="1"/>
  <c r="D66" i="36"/>
  <c r="I66" i="36" s="1"/>
  <c r="D68" i="36"/>
  <c r="I68" i="36" s="1"/>
  <c r="D61" i="36"/>
  <c r="I61" i="36" s="1"/>
  <c r="H42" i="36"/>
  <c r="J159" i="23"/>
  <c r="J179" i="23"/>
  <c r="J206" i="23"/>
  <c r="J189" i="23"/>
  <c r="J166" i="23"/>
  <c r="J168" i="23"/>
  <c r="J157" i="23"/>
  <c r="J204" i="23"/>
  <c r="J171" i="23"/>
  <c r="J172" i="23"/>
  <c r="J177" i="23"/>
  <c r="J186" i="23"/>
  <c r="J191" i="23"/>
  <c r="J167" i="23"/>
  <c r="J144" i="23"/>
  <c r="J203" i="23"/>
  <c r="J158" i="23"/>
  <c r="J155" i="23"/>
  <c r="J184" i="23"/>
  <c r="J173" i="23"/>
  <c r="J150" i="23"/>
  <c r="J151" i="23"/>
  <c r="J156" i="23"/>
  <c r="J161" i="23"/>
  <c r="J170" i="23"/>
  <c r="J147" i="23"/>
  <c r="J192" i="23"/>
  <c r="J181" i="23"/>
  <c r="J142" i="23"/>
  <c r="J180" i="23"/>
  <c r="J169" i="23"/>
  <c r="J194" i="23"/>
  <c r="J175" i="23"/>
  <c r="J195" i="23"/>
  <c r="J145" i="23"/>
  <c r="J154" i="23"/>
  <c r="J187" i="23"/>
  <c r="J176" i="23"/>
  <c r="J165" i="23"/>
  <c r="J190" i="23"/>
  <c r="J143" i="23"/>
  <c r="J183" i="23"/>
  <c r="J205" i="23"/>
  <c r="J152" i="23"/>
  <c r="J182" i="23"/>
  <c r="J188" i="23"/>
  <c r="J193" i="23"/>
  <c r="J160" i="23"/>
  <c r="J149" i="23"/>
  <c r="J174" i="23"/>
  <c r="J163" i="23"/>
  <c r="J148" i="23"/>
  <c r="J207" i="23"/>
  <c r="J162" i="23"/>
  <c r="J164" i="23"/>
  <c r="J153" i="23"/>
  <c r="J178" i="23"/>
  <c r="P84" i="21"/>
  <c r="J202" i="23"/>
  <c r="J185" i="23"/>
  <c r="J146" i="23"/>
  <c r="D13" i="19"/>
  <c r="H13" i="19" s="1"/>
  <c r="D130" i="17"/>
  <c r="H130" i="17" s="1"/>
  <c r="D104" i="17"/>
  <c r="H104" i="17" s="1"/>
  <c r="D119" i="17"/>
  <c r="H119" i="17" s="1"/>
  <c r="D101" i="17"/>
  <c r="H101" i="17" s="1"/>
  <c r="P146" i="18"/>
  <c r="D113" i="17"/>
  <c r="H113" i="17" s="1"/>
  <c r="D148" i="18"/>
  <c r="Q113" i="17"/>
  <c r="U113" i="17" s="1"/>
  <c r="P11" i="21"/>
  <c r="P63" i="21"/>
  <c r="D99" i="17"/>
  <c r="H99" i="17" s="1"/>
  <c r="D37" i="19"/>
  <c r="H37" i="19" s="1"/>
  <c r="P45" i="18"/>
  <c r="S45" i="18" s="1"/>
  <c r="D121" i="18"/>
  <c r="G121" i="18" s="1"/>
  <c r="P99" i="18"/>
  <c r="S99" i="18" s="1"/>
  <c r="T99" i="18" s="1"/>
  <c r="D106" i="18"/>
  <c r="G106" i="18" s="1"/>
  <c r="P111" i="21"/>
  <c r="D83" i="18"/>
  <c r="G83" i="18" s="1"/>
  <c r="H83" i="18" s="1"/>
  <c r="D115" i="18"/>
  <c r="G115" i="18" s="1"/>
  <c r="Q121" i="17"/>
  <c r="U121" i="17" s="1"/>
  <c r="P24" i="18"/>
  <c r="S24" i="18" s="1"/>
  <c r="P89" i="18"/>
  <c r="S89" i="18" s="1"/>
  <c r="D100" i="18"/>
  <c r="G100" i="18" s="1"/>
  <c r="P21" i="18"/>
  <c r="S21" i="18" s="1"/>
  <c r="D96" i="17"/>
  <c r="H96" i="17" s="1"/>
  <c r="Z51" i="21"/>
  <c r="P26" i="18"/>
  <c r="S26" i="18" s="1"/>
  <c r="P91" i="18"/>
  <c r="S91" i="18" s="1"/>
  <c r="P125" i="21"/>
  <c r="P31" i="18"/>
  <c r="S31" i="18" s="1"/>
  <c r="D123" i="18"/>
  <c r="G123" i="18" s="1"/>
  <c r="H123" i="18" s="1"/>
  <c r="P66" i="21"/>
  <c r="P69" i="21"/>
  <c r="D21" i="21"/>
  <c r="D53" i="21"/>
  <c r="D92" i="21"/>
  <c r="P107" i="21"/>
  <c r="D93" i="21"/>
  <c r="D67" i="21"/>
  <c r="D25" i="21"/>
  <c r="P55" i="21"/>
  <c r="Z50" i="21"/>
  <c r="D63" i="21"/>
  <c r="D34" i="21"/>
  <c r="D51" i="21"/>
  <c r="Z52" i="21"/>
  <c r="D109" i="21"/>
  <c r="P95" i="21"/>
  <c r="P96" i="21"/>
  <c r="P50" i="21"/>
  <c r="P65" i="21"/>
  <c r="D120" i="21"/>
  <c r="D68" i="21"/>
  <c r="Z48" i="21"/>
  <c r="D64" i="21"/>
  <c r="D84" i="21"/>
  <c r="D38" i="21"/>
  <c r="P51" i="21"/>
  <c r="P92" i="21"/>
  <c r="P120" i="21"/>
  <c r="P35" i="21"/>
  <c r="P80" i="21"/>
  <c r="D105" i="21"/>
  <c r="D36" i="21"/>
  <c r="P121" i="21"/>
  <c r="D121" i="21"/>
  <c r="D81" i="21"/>
  <c r="D94" i="21"/>
  <c r="D111" i="21"/>
  <c r="Z54" i="21"/>
  <c r="P105" i="21"/>
  <c r="D37" i="21"/>
  <c r="D108" i="21"/>
  <c r="P41" i="21"/>
  <c r="D22" i="21"/>
  <c r="P6" i="21"/>
  <c r="D97" i="21"/>
  <c r="D40" i="21"/>
  <c r="D35" i="21"/>
  <c r="D122" i="21"/>
  <c r="D7" i="21"/>
  <c r="D12" i="21"/>
  <c r="D83" i="21"/>
  <c r="P62" i="21"/>
  <c r="D66" i="21"/>
  <c r="D27" i="21"/>
  <c r="P26" i="21"/>
  <c r="P98" i="21"/>
  <c r="P40" i="21"/>
  <c r="P119" i="21"/>
  <c r="D82" i="21"/>
  <c r="P77" i="21"/>
  <c r="P48" i="21"/>
  <c r="P91" i="21"/>
  <c r="D55" i="21"/>
  <c r="P52" i="21"/>
  <c r="D49" i="21"/>
  <c r="P39" i="21"/>
  <c r="AP31" i="21"/>
  <c r="AP15" i="21"/>
  <c r="AJ61" i="21"/>
  <c r="AP16" i="21"/>
  <c r="AN45" i="21"/>
  <c r="AR46" i="21"/>
  <c r="AJ31" i="21"/>
  <c r="AJ15" i="21"/>
  <c r="AL46" i="21"/>
  <c r="AJ60" i="21"/>
  <c r="AN15" i="21"/>
  <c r="Z55" i="21"/>
  <c r="Z49" i="21"/>
  <c r="D30" i="18"/>
  <c r="G30" i="18" s="1"/>
  <c r="P108" i="18"/>
  <c r="S108" i="18" s="1"/>
  <c r="D29" i="18"/>
  <c r="G29" i="18" s="1"/>
  <c r="P115" i="18"/>
  <c r="S115" i="18" s="1"/>
  <c r="D28" i="18"/>
  <c r="G28" i="18" s="1"/>
  <c r="P114" i="18"/>
  <c r="S114" i="18" s="1"/>
  <c r="D19" i="18"/>
  <c r="G19" i="18" s="1"/>
  <c r="P130" i="18"/>
  <c r="S130" i="18" s="1"/>
  <c r="T130" i="18" s="1"/>
  <c r="P131" i="18"/>
  <c r="S131" i="18" s="1"/>
  <c r="T131" i="18" s="1"/>
  <c r="P103" i="18"/>
  <c r="S103" i="18" s="1"/>
  <c r="T103" i="18" s="1"/>
  <c r="D31" i="18"/>
  <c r="G31" i="18" s="1"/>
  <c r="P109" i="18"/>
  <c r="S109" i="18" s="1"/>
  <c r="D38" i="18"/>
  <c r="G38" i="18" s="1"/>
  <c r="D6" i="18"/>
  <c r="G6" i="18" s="1"/>
  <c r="H6" i="18" s="1"/>
  <c r="P100" i="18"/>
  <c r="S100" i="18" s="1"/>
  <c r="T100" i="18" s="1"/>
  <c r="D21" i="18"/>
  <c r="G21" i="18" s="1"/>
  <c r="D36" i="18"/>
  <c r="G36" i="18" s="1"/>
  <c r="D43" i="18"/>
  <c r="G43" i="18" s="1"/>
  <c r="D42" i="18"/>
  <c r="G42" i="18" s="1"/>
  <c r="P104" i="18"/>
  <c r="S104" i="18" s="1"/>
  <c r="P111" i="18"/>
  <c r="S111" i="18" s="1"/>
  <c r="P118" i="18"/>
  <c r="S118" i="18" s="1"/>
  <c r="D7" i="18"/>
  <c r="G7" i="18" s="1"/>
  <c r="H46" i="24"/>
  <c r="H49" i="24"/>
  <c r="H30" i="24"/>
  <c r="H23" i="24"/>
  <c r="H36" i="24"/>
  <c r="H38" i="24"/>
  <c r="H55" i="24"/>
  <c r="H52" i="24"/>
  <c r="H18" i="24"/>
  <c r="H11" i="24"/>
  <c r="H43" i="24"/>
  <c r="H59" i="24"/>
  <c r="H56" i="24"/>
  <c r="H61" i="24"/>
  <c r="H54" i="24"/>
  <c r="H31" i="24"/>
  <c r="H58" i="24"/>
  <c r="H35" i="24"/>
  <c r="H32" i="24"/>
  <c r="H45" i="24"/>
  <c r="H28" i="24"/>
  <c r="H33" i="24"/>
  <c r="H26" i="24"/>
  <c r="H17" i="24"/>
  <c r="H71" i="33"/>
  <c r="H60" i="33"/>
  <c r="H65" i="33"/>
  <c r="H70" i="33"/>
  <c r="H9" i="24"/>
  <c r="H29" i="24"/>
  <c r="H67" i="33"/>
  <c r="H62" i="33"/>
  <c r="H61" i="33"/>
  <c r="D126" i="18"/>
  <c r="G126" i="18" s="1"/>
  <c r="H126" i="18" s="1"/>
  <c r="U61" i="33" l="1"/>
  <c r="AA61" i="33"/>
  <c r="X61" i="33"/>
  <c r="AA62" i="33"/>
  <c r="U62" i="33"/>
  <c r="X62" i="33"/>
  <c r="AA70" i="33"/>
  <c r="U70" i="33"/>
  <c r="X70" i="33"/>
  <c r="X60" i="33"/>
  <c r="U60" i="33"/>
  <c r="AA60" i="33"/>
  <c r="U69" i="33"/>
  <c r="AA69" i="33"/>
  <c r="X69" i="33"/>
  <c r="AA68" i="33"/>
  <c r="U68" i="33"/>
  <c r="X68" i="33"/>
  <c r="X75" i="33"/>
  <c r="AA75" i="33"/>
  <c r="U75" i="33"/>
  <c r="AA66" i="33"/>
  <c r="U66" i="33"/>
  <c r="X66" i="33"/>
  <c r="AA73" i="33"/>
  <c r="X73" i="33"/>
  <c r="U73" i="33"/>
  <c r="AA63" i="33"/>
  <c r="X63" i="33"/>
  <c r="U63" i="33"/>
  <c r="W67" i="33"/>
  <c r="Z67" i="33"/>
  <c r="T67" i="33"/>
  <c r="W72" i="33"/>
  <c r="Z72" i="33"/>
  <c r="T72" i="33"/>
  <c r="Z63" i="33"/>
  <c r="T63" i="33"/>
  <c r="W63" i="33"/>
  <c r="W70" i="33"/>
  <c r="T70" i="33"/>
  <c r="Z70" i="33"/>
  <c r="Z61" i="33"/>
  <c r="T61" i="33"/>
  <c r="W61" i="33"/>
  <c r="Z60" i="33"/>
  <c r="T60" i="33"/>
  <c r="W60" i="33"/>
  <c r="V60" i="33"/>
  <c r="Y60" i="33"/>
  <c r="S60" i="33"/>
  <c r="V68" i="33"/>
  <c r="Y68" i="33"/>
  <c r="S68" i="33"/>
  <c r="V75" i="33"/>
  <c r="Y75" i="33"/>
  <c r="S75" i="33"/>
  <c r="Z58" i="33"/>
  <c r="W58" i="33"/>
  <c r="T58" i="33"/>
  <c r="K85" i="33"/>
  <c r="I85" i="33"/>
  <c r="J85" i="33"/>
  <c r="K93" i="33"/>
  <c r="I93" i="33"/>
  <c r="J93" i="33"/>
  <c r="J94" i="33"/>
  <c r="K94" i="33"/>
  <c r="I94" i="33"/>
  <c r="J96" i="33"/>
  <c r="I96" i="33"/>
  <c r="K96" i="33"/>
  <c r="Z66" i="33"/>
  <c r="T66" i="33"/>
  <c r="W66" i="33"/>
  <c r="Z75" i="33"/>
  <c r="T75" i="33"/>
  <c r="W75" i="33"/>
  <c r="Y74" i="33"/>
  <c r="S74" i="33"/>
  <c r="V74" i="33"/>
  <c r="S61" i="33"/>
  <c r="Y61" i="33"/>
  <c r="V61" i="33"/>
  <c r="W69" i="33"/>
  <c r="Z69" i="33"/>
  <c r="T69" i="33"/>
  <c r="Z59" i="33"/>
  <c r="T59" i="33"/>
  <c r="W59" i="33"/>
  <c r="Y58" i="33"/>
  <c r="S58" i="33"/>
  <c r="V58" i="33"/>
  <c r="V62" i="33"/>
  <c r="Y62" i="33"/>
  <c r="S62" i="33"/>
  <c r="Z74" i="33"/>
  <c r="W74" i="33"/>
  <c r="T74" i="33"/>
  <c r="K88" i="33"/>
  <c r="I88" i="33"/>
  <c r="J88" i="33"/>
  <c r="J91" i="33"/>
  <c r="K91" i="33"/>
  <c r="I91" i="33"/>
  <c r="Y71" i="33"/>
  <c r="V71" i="33"/>
  <c r="S71" i="33"/>
  <c r="K95" i="33"/>
  <c r="I95" i="33"/>
  <c r="J95" i="33"/>
  <c r="J99" i="33"/>
  <c r="I99" i="33"/>
  <c r="K99" i="33"/>
  <c r="X67" i="33"/>
  <c r="U67" i="33"/>
  <c r="AA67" i="33"/>
  <c r="AA65" i="33"/>
  <c r="X65" i="33"/>
  <c r="U65" i="33"/>
  <c r="U71" i="33"/>
  <c r="AA71" i="33"/>
  <c r="X71" i="33"/>
  <c r="AA58" i="33"/>
  <c r="U58" i="33"/>
  <c r="X58" i="33"/>
  <c r="X59" i="33"/>
  <c r="U59" i="33"/>
  <c r="AA59" i="33"/>
  <c r="AA64" i="33"/>
  <c r="U64" i="33"/>
  <c r="X64" i="33"/>
  <c r="X74" i="33"/>
  <c r="AA74" i="33"/>
  <c r="U74" i="33"/>
  <c r="W73" i="33"/>
  <c r="Z73" i="33"/>
  <c r="T73" i="33"/>
  <c r="W64" i="33"/>
  <c r="Z64" i="33"/>
  <c r="T64" i="33"/>
  <c r="Y72" i="33"/>
  <c r="S72" i="33"/>
  <c r="V72" i="33"/>
  <c r="W62" i="33"/>
  <c r="T62" i="33"/>
  <c r="Z62" i="33"/>
  <c r="Y70" i="33"/>
  <c r="S70" i="33"/>
  <c r="V70" i="33"/>
  <c r="Z68" i="33"/>
  <c r="T68" i="33"/>
  <c r="W68" i="33"/>
  <c r="W65" i="33"/>
  <c r="Z65" i="33"/>
  <c r="T65" i="33"/>
  <c r="J90" i="33"/>
  <c r="K90" i="33"/>
  <c r="I90" i="33"/>
  <c r="J97" i="33"/>
  <c r="K97" i="33"/>
  <c r="I97" i="33"/>
  <c r="K84" i="33"/>
  <c r="I84" i="33"/>
  <c r="J84" i="33"/>
  <c r="K98" i="33"/>
  <c r="I98" i="33"/>
  <c r="J98" i="33"/>
  <c r="J89" i="33"/>
  <c r="K89" i="33"/>
  <c r="I89" i="33"/>
  <c r="K83" i="33"/>
  <c r="J83" i="33"/>
  <c r="I83" i="33"/>
  <c r="V66" i="33"/>
  <c r="Y66" i="33"/>
  <c r="S66" i="33"/>
  <c r="S59" i="33"/>
  <c r="Y59" i="33"/>
  <c r="V59" i="33"/>
  <c r="S69" i="33"/>
  <c r="V69" i="33"/>
  <c r="Y69" i="33"/>
  <c r="W71" i="33"/>
  <c r="T71" i="33"/>
  <c r="Z71" i="33"/>
  <c r="Y63" i="33"/>
  <c r="V63" i="33"/>
  <c r="S63" i="33"/>
  <c r="V65" i="33"/>
  <c r="Y65" i="33"/>
  <c r="S65" i="33"/>
  <c r="S67" i="33"/>
  <c r="Y67" i="33"/>
  <c r="V67" i="33"/>
  <c r="V64" i="33"/>
  <c r="Y64" i="33"/>
  <c r="S64" i="33"/>
  <c r="J92" i="33"/>
  <c r="K92" i="33"/>
  <c r="I92" i="33"/>
  <c r="V73" i="33"/>
  <c r="Y73" i="33"/>
  <c r="S73" i="33"/>
  <c r="K87" i="33"/>
  <c r="I87" i="33"/>
  <c r="J87" i="33"/>
  <c r="K86" i="33"/>
  <c r="I86" i="33"/>
  <c r="J86" i="33"/>
  <c r="X72" i="33"/>
  <c r="AA72" i="33"/>
  <c r="U72" i="33"/>
  <c r="J21" i="25"/>
  <c r="K21" i="25"/>
  <c r="I21" i="25"/>
  <c r="J11" i="25"/>
  <c r="K11" i="25"/>
  <c r="I11" i="25"/>
  <c r="K20" i="25"/>
  <c r="I20" i="25"/>
  <c r="J20" i="25"/>
  <c r="K8" i="25"/>
  <c r="I8" i="25"/>
  <c r="J8" i="25"/>
  <c r="K22" i="25"/>
  <c r="I22" i="25"/>
  <c r="J22" i="25"/>
  <c r="K12" i="25"/>
  <c r="I12" i="25"/>
  <c r="J12" i="25"/>
  <c r="K27" i="25"/>
  <c r="I27" i="25"/>
  <c r="J27" i="25"/>
  <c r="K24" i="25"/>
  <c r="I24" i="25"/>
  <c r="J24" i="25"/>
  <c r="J25" i="25"/>
  <c r="K25" i="25"/>
  <c r="I25" i="25"/>
  <c r="J9" i="25"/>
  <c r="K9" i="25"/>
  <c r="I9" i="25"/>
  <c r="J17" i="25"/>
  <c r="K17" i="25"/>
  <c r="I17" i="25"/>
  <c r="J18" i="25"/>
  <c r="K18" i="25"/>
  <c r="I18" i="25"/>
  <c r="K26" i="25"/>
  <c r="I26" i="25"/>
  <c r="J26" i="25"/>
  <c r="K19" i="25"/>
  <c r="I19" i="25"/>
  <c r="J19" i="25"/>
  <c r="J7" i="25"/>
  <c r="K7" i="25"/>
  <c r="I7" i="25"/>
  <c r="K15" i="25"/>
  <c r="I15" i="25"/>
  <c r="J15" i="25"/>
  <c r="J6" i="25"/>
  <c r="I6" i="25"/>
  <c r="K6" i="25"/>
  <c r="J16" i="25"/>
  <c r="K16" i="25"/>
  <c r="I16" i="25"/>
  <c r="K23" i="25"/>
  <c r="I23" i="25"/>
  <c r="J23" i="25"/>
  <c r="J10" i="25"/>
  <c r="K10" i="25"/>
  <c r="I10" i="25"/>
  <c r="J14" i="25"/>
  <c r="K14" i="25"/>
  <c r="I14" i="25"/>
  <c r="J28" i="25"/>
  <c r="K28" i="25"/>
  <c r="I28" i="25"/>
  <c r="K13" i="25"/>
  <c r="I13" i="25"/>
  <c r="J13" i="25"/>
  <c r="H113" i="23"/>
  <c r="H7" i="18"/>
  <c r="X158" i="18" s="1"/>
  <c r="T111" i="18"/>
  <c r="AA185" i="18" s="1"/>
  <c r="H42" i="18"/>
  <c r="X193" i="18" s="1"/>
  <c r="H36" i="18"/>
  <c r="X187" i="18" s="1"/>
  <c r="H38" i="18"/>
  <c r="X189" i="18" s="1"/>
  <c r="H31" i="18"/>
  <c r="X182" i="18" s="1"/>
  <c r="H19" i="18"/>
  <c r="X170" i="18" s="1"/>
  <c r="H28" i="18"/>
  <c r="X179" i="18" s="1"/>
  <c r="H29" i="18"/>
  <c r="X180" i="18" s="1"/>
  <c r="H30" i="18"/>
  <c r="X181" i="18" s="1"/>
  <c r="T31" i="18"/>
  <c r="Y182" i="18" s="1"/>
  <c r="T91" i="18"/>
  <c r="AA165" i="18" s="1"/>
  <c r="T21" i="18"/>
  <c r="Y172" i="18" s="1"/>
  <c r="T89" i="18"/>
  <c r="AA163" i="18" s="1"/>
  <c r="H106" i="18"/>
  <c r="Z180" i="18" s="1"/>
  <c r="H121" i="18"/>
  <c r="Z195" i="18" s="1"/>
  <c r="T12" i="18"/>
  <c r="Y163" i="18" s="1"/>
  <c r="T44" i="18"/>
  <c r="Y195" i="18" s="1"/>
  <c r="H104" i="18"/>
  <c r="Z178" i="18" s="1"/>
  <c r="H94" i="18"/>
  <c r="Z168" i="18" s="1"/>
  <c r="T25" i="18"/>
  <c r="Y176" i="18" s="1"/>
  <c r="T11" i="18"/>
  <c r="Y162" i="18" s="1"/>
  <c r="H103" i="18"/>
  <c r="Z177" i="18" s="1"/>
  <c r="T117" i="18"/>
  <c r="AA191" i="18" s="1"/>
  <c r="H40" i="18"/>
  <c r="X191" i="18" s="1"/>
  <c r="H26" i="18"/>
  <c r="X177" i="18" s="1"/>
  <c r="H27" i="18"/>
  <c r="X178" i="18" s="1"/>
  <c r="H18" i="18"/>
  <c r="X169" i="18" s="1"/>
  <c r="T39" i="18"/>
  <c r="Y190" i="18" s="1"/>
  <c r="T18" i="18"/>
  <c r="Y169" i="18" s="1"/>
  <c r="T29" i="18"/>
  <c r="Y180" i="18" s="1"/>
  <c r="H24" i="18"/>
  <c r="X175" i="18" s="1"/>
  <c r="T122" i="18"/>
  <c r="AA196" i="18" s="1"/>
  <c r="H37" i="18"/>
  <c r="X188" i="18" s="1"/>
  <c r="H22" i="18"/>
  <c r="X173" i="18" s="1"/>
  <c r="H16" i="18"/>
  <c r="X167" i="18" s="1"/>
  <c r="T112" i="18"/>
  <c r="AA186" i="18" s="1"/>
  <c r="H44" i="18"/>
  <c r="X195" i="18" s="1"/>
  <c r="H45" i="18"/>
  <c r="X196" i="18" s="1"/>
  <c r="H98" i="18"/>
  <c r="Z172" i="18" s="1"/>
  <c r="T37" i="18"/>
  <c r="Y188" i="18" s="1"/>
  <c r="H99" i="18"/>
  <c r="Z173" i="18" s="1"/>
  <c r="H122" i="18"/>
  <c r="Z196" i="18" s="1"/>
  <c r="T34" i="18"/>
  <c r="Y185" i="18" s="1"/>
  <c r="T20" i="18"/>
  <c r="Y171" i="18" s="1"/>
  <c r="T93" i="18"/>
  <c r="AA167" i="18" s="1"/>
  <c r="H96" i="18"/>
  <c r="Z170" i="18" s="1"/>
  <c r="T17" i="18"/>
  <c r="Y168" i="18" s="1"/>
  <c r="H118" i="18"/>
  <c r="Z192" i="18" s="1"/>
  <c r="T92" i="18"/>
  <c r="AA166" i="18" s="1"/>
  <c r="T41" i="18"/>
  <c r="Y192" i="18" s="1"/>
  <c r="T38" i="18"/>
  <c r="Y189" i="18" s="1"/>
  <c r="H8" i="18"/>
  <c r="X159" i="18" s="1"/>
  <c r="T120" i="18"/>
  <c r="AA194" i="18" s="1"/>
  <c r="T107" i="18"/>
  <c r="AA181" i="18" s="1"/>
  <c r="T110" i="18"/>
  <c r="AA184" i="18" s="1"/>
  <c r="H33" i="18"/>
  <c r="X184" i="18" s="1"/>
  <c r="T121" i="18"/>
  <c r="AA195" i="18" s="1"/>
  <c r="H107" i="18"/>
  <c r="Z181" i="18" s="1"/>
  <c r="H114" i="18"/>
  <c r="Z188" i="18" s="1"/>
  <c r="H113" i="18"/>
  <c r="Z187" i="18" s="1"/>
  <c r="T88" i="18"/>
  <c r="AA162" i="18" s="1"/>
  <c r="T118" i="18"/>
  <c r="AA192" i="18" s="1"/>
  <c r="T104" i="18"/>
  <c r="AA178" i="18" s="1"/>
  <c r="H43" i="18"/>
  <c r="X194" i="18" s="1"/>
  <c r="H21" i="18"/>
  <c r="X172" i="18" s="1"/>
  <c r="T109" i="18"/>
  <c r="AA183" i="18" s="1"/>
  <c r="T114" i="18"/>
  <c r="AA188" i="18" s="1"/>
  <c r="T115" i="18"/>
  <c r="AA189" i="18" s="1"/>
  <c r="T108" i="18"/>
  <c r="AA182" i="18" s="1"/>
  <c r="T26" i="18"/>
  <c r="Y177" i="18" s="1"/>
  <c r="H100" i="18"/>
  <c r="Z174" i="18" s="1"/>
  <c r="T24" i="18"/>
  <c r="Y175" i="18" s="1"/>
  <c r="H115" i="18"/>
  <c r="Z189" i="18" s="1"/>
  <c r="T45" i="18"/>
  <c r="Y196" i="18" s="1"/>
  <c r="T28" i="18"/>
  <c r="Y179" i="18" s="1"/>
  <c r="H120" i="18"/>
  <c r="Z194" i="18" s="1"/>
  <c r="T33" i="18"/>
  <c r="Y184" i="18" s="1"/>
  <c r="H110" i="18"/>
  <c r="Z184" i="18" s="1"/>
  <c r="T19" i="18"/>
  <c r="Y170" i="18" s="1"/>
  <c r="H111" i="18"/>
  <c r="Z185" i="18" s="1"/>
  <c r="T90" i="18"/>
  <c r="AA164" i="18" s="1"/>
  <c r="H117" i="18"/>
  <c r="Z191" i="18" s="1"/>
  <c r="T30" i="18"/>
  <c r="Y181" i="18" s="1"/>
  <c r="T43" i="18"/>
  <c r="Y194" i="18" s="1"/>
  <c r="T102" i="18"/>
  <c r="AA176" i="18" s="1"/>
  <c r="H41" i="18"/>
  <c r="X192" i="18" s="1"/>
  <c r="T113" i="18"/>
  <c r="AA187" i="18" s="1"/>
  <c r="H20" i="18"/>
  <c r="X171" i="18" s="1"/>
  <c r="T119" i="18"/>
  <c r="AA193" i="18" s="1"/>
  <c r="T105" i="18"/>
  <c r="AA179" i="18" s="1"/>
  <c r="H14" i="18"/>
  <c r="X165" i="18" s="1"/>
  <c r="H25" i="18"/>
  <c r="X176" i="18" s="1"/>
  <c r="T116" i="18"/>
  <c r="AA190" i="18" s="1"/>
  <c r="H17" i="18"/>
  <c r="X168" i="18" s="1"/>
  <c r="H34" i="18"/>
  <c r="X185" i="18" s="1"/>
  <c r="H13" i="18"/>
  <c r="X164" i="18" s="1"/>
  <c r="T42" i="18"/>
  <c r="Y193" i="18" s="1"/>
  <c r="H97" i="18"/>
  <c r="Z171" i="18" s="1"/>
  <c r="H116" i="18"/>
  <c r="Z190" i="18" s="1"/>
  <c r="T40" i="18"/>
  <c r="Y191" i="18" s="1"/>
  <c r="T23" i="18"/>
  <c r="Y174" i="18" s="1"/>
  <c r="T36" i="18"/>
  <c r="Y187" i="18" s="1"/>
  <c r="H112" i="18"/>
  <c r="Z186" i="18" s="1"/>
  <c r="H109" i="18"/>
  <c r="Z183" i="18" s="1"/>
  <c r="H102" i="18"/>
  <c r="Z176" i="18" s="1"/>
  <c r="T35" i="18"/>
  <c r="Y186" i="18" s="1"/>
  <c r="H95" i="18"/>
  <c r="Z169" i="18" s="1"/>
  <c r="H101" i="18"/>
  <c r="Z175" i="18" s="1"/>
  <c r="T22" i="18"/>
  <c r="Y173" i="18" s="1"/>
  <c r="T27" i="18"/>
  <c r="Y178" i="18" s="1"/>
  <c r="H119" i="18"/>
  <c r="Z193" i="18" s="1"/>
  <c r="H23" i="18"/>
  <c r="X174" i="18" s="1"/>
  <c r="H9" i="18"/>
  <c r="X160" i="18" s="1"/>
  <c r="T106" i="18"/>
  <c r="AA180" i="18" s="1"/>
  <c r="H15" i="18"/>
  <c r="X166" i="18" s="1"/>
  <c r="H32" i="18"/>
  <c r="X183" i="18" s="1"/>
  <c r="H35" i="18"/>
  <c r="X186" i="18" s="1"/>
  <c r="H105" i="18"/>
  <c r="Z179" i="18" s="1"/>
  <c r="H108" i="18"/>
  <c r="Z182" i="18" s="1"/>
  <c r="T32" i="18"/>
  <c r="Y183" i="18" s="1"/>
  <c r="H39" i="18"/>
  <c r="X190" i="18" s="1"/>
  <c r="U120" i="17"/>
  <c r="H94" i="17"/>
  <c r="H132" i="17"/>
  <c r="H105" i="17"/>
  <c r="AD231" i="17"/>
  <c r="AD228" i="17"/>
  <c r="Z213" i="23"/>
  <c r="AD232" i="17"/>
  <c r="L203" i="17"/>
  <c r="Z65" i="19"/>
  <c r="Z68" i="19"/>
  <c r="AD271" i="17"/>
  <c r="AD270" i="17"/>
  <c r="Z214" i="23"/>
  <c r="Z244" i="23"/>
  <c r="Z240" i="23"/>
  <c r="Z258" i="23"/>
  <c r="Z220" i="23"/>
  <c r="Z247" i="23"/>
  <c r="Z237" i="23"/>
  <c r="Z69" i="19"/>
  <c r="Z217" i="23"/>
  <c r="Z221" i="23"/>
  <c r="AF21" i="24"/>
  <c r="P17" i="26"/>
  <c r="N17" i="26"/>
  <c r="N24" i="26"/>
  <c r="P24" i="26"/>
  <c r="P40" i="26"/>
  <c r="P44" i="26"/>
  <c r="P7" i="26"/>
  <c r="N7" i="26"/>
  <c r="P30" i="26"/>
  <c r="N30" i="26"/>
  <c r="P22" i="26"/>
  <c r="N22" i="26"/>
  <c r="P25" i="26"/>
  <c r="N25" i="26"/>
  <c r="P35" i="26"/>
  <c r="P19" i="26"/>
  <c r="N19" i="26"/>
  <c r="P41" i="26"/>
  <c r="N41" i="26"/>
  <c r="P26" i="26"/>
  <c r="N26" i="26"/>
  <c r="P31" i="26"/>
  <c r="N31" i="26"/>
  <c r="N14" i="26"/>
  <c r="P28" i="26"/>
  <c r="N36" i="26"/>
  <c r="P36" i="26"/>
  <c r="P27" i="26"/>
  <c r="N27" i="26"/>
  <c r="P43" i="26"/>
  <c r="N43" i="26"/>
  <c r="L215" i="17"/>
  <c r="AE269" i="17"/>
  <c r="L159" i="17"/>
  <c r="AE272" i="17"/>
  <c r="L217" i="17"/>
  <c r="L216" i="17"/>
  <c r="O31" i="26"/>
  <c r="O36" i="26"/>
  <c r="O28" i="26"/>
  <c r="O12" i="26"/>
  <c r="O29" i="26"/>
  <c r="O42" i="26"/>
  <c r="O33" i="26"/>
  <c r="O6" i="26"/>
  <c r="O15" i="26"/>
  <c r="P44" i="25"/>
  <c r="O7" i="26"/>
  <c r="O37" i="26"/>
  <c r="O16" i="26"/>
  <c r="O18" i="26"/>
  <c r="O9" i="26"/>
  <c r="O24" i="26"/>
  <c r="O8" i="26"/>
  <c r="L220" i="17"/>
  <c r="O19" i="26"/>
  <c r="O41" i="26"/>
  <c r="O35" i="26"/>
  <c r="P23" i="26"/>
  <c r="N23" i="26"/>
  <c r="N12" i="26"/>
  <c r="P12" i="26"/>
  <c r="P37" i="26"/>
  <c r="N37" i="26"/>
  <c r="N16" i="26"/>
  <c r="P16" i="26"/>
  <c r="N29" i="26"/>
  <c r="P6" i="26"/>
  <c r="N6" i="26"/>
  <c r="N32" i="26"/>
  <c r="P32" i="26"/>
  <c r="P13" i="26"/>
  <c r="N13" i="26"/>
  <c r="N34" i="26"/>
  <c r="N9" i="26"/>
  <c r="P10" i="26"/>
  <c r="N10" i="26"/>
  <c r="P15" i="26"/>
  <c r="N15" i="26"/>
  <c r="P39" i="26"/>
  <c r="N39" i="26"/>
  <c r="P18" i="26"/>
  <c r="N18" i="26"/>
  <c r="N20" i="26"/>
  <c r="P20" i="26"/>
  <c r="N38" i="26"/>
  <c r="P8" i="26"/>
  <c r="P21" i="26"/>
  <c r="N21" i="26"/>
  <c r="P42" i="26"/>
  <c r="N42" i="26"/>
  <c r="O20" i="26"/>
  <c r="P45" i="26"/>
  <c r="N45" i="26"/>
  <c r="P33" i="26"/>
  <c r="N33" i="26"/>
  <c r="P11" i="26"/>
  <c r="N11" i="26"/>
  <c r="AE273" i="17"/>
  <c r="O23" i="26"/>
  <c r="O40" i="26"/>
  <c r="O44" i="26"/>
  <c r="O11" i="26"/>
  <c r="O14" i="26"/>
  <c r="O30" i="26"/>
  <c r="O26" i="26"/>
  <c r="O10" i="26"/>
  <c r="O39" i="26"/>
  <c r="O22" i="26"/>
  <c r="O32" i="26"/>
  <c r="O25" i="26"/>
  <c r="O27" i="26"/>
  <c r="O21" i="26"/>
  <c r="G8" i="20"/>
  <c r="M8" i="20"/>
  <c r="Q64" i="25"/>
  <c r="O64" i="25"/>
  <c r="Q75" i="25"/>
  <c r="O75" i="25"/>
  <c r="Q72" i="25"/>
  <c r="O72" i="25"/>
  <c r="Q62" i="25"/>
  <c r="O62" i="25"/>
  <c r="O70" i="25"/>
  <c r="O63" i="25"/>
  <c r="Q63" i="25"/>
  <c r="P72" i="25"/>
  <c r="P62" i="25"/>
  <c r="P73" i="25"/>
  <c r="P69" i="25"/>
  <c r="P68" i="25"/>
  <c r="O69" i="25"/>
  <c r="Q69" i="25"/>
  <c r="O61" i="25"/>
  <c r="Q61" i="25"/>
  <c r="O65" i="25"/>
  <c r="Q65" i="25"/>
  <c r="O73" i="25"/>
  <c r="Q73" i="25"/>
  <c r="Q74" i="25"/>
  <c r="O74" i="25"/>
  <c r="Q76" i="25"/>
  <c r="O76" i="25"/>
  <c r="Q66" i="25"/>
  <c r="O66" i="25"/>
  <c r="O67" i="25"/>
  <c r="Q67" i="25"/>
  <c r="Q68" i="25"/>
  <c r="O68" i="25"/>
  <c r="P64" i="25"/>
  <c r="O71" i="25"/>
  <c r="Q71" i="25"/>
  <c r="P70" i="25"/>
  <c r="P71" i="25"/>
  <c r="P66" i="25"/>
  <c r="P63" i="25"/>
  <c r="P67" i="25"/>
  <c r="P74" i="25"/>
  <c r="P65" i="25"/>
  <c r="P76" i="25"/>
  <c r="P75" i="25"/>
  <c r="S11" i="27"/>
  <c r="O50" i="25"/>
  <c r="Q50" i="25"/>
  <c r="O51" i="25"/>
  <c r="Q51" i="25"/>
  <c r="O42" i="25"/>
  <c r="O49" i="25"/>
  <c r="Q49" i="25"/>
  <c r="O55" i="25"/>
  <c r="Q55" i="25"/>
  <c r="O48" i="25"/>
  <c r="Q48" i="25"/>
  <c r="O47" i="25"/>
  <c r="Q47" i="25"/>
  <c r="O41" i="25"/>
  <c r="Q41" i="25"/>
  <c r="P49" i="25"/>
  <c r="P41" i="25"/>
  <c r="P50" i="25"/>
  <c r="P51" i="25"/>
  <c r="AF10" i="24"/>
  <c r="O46" i="25"/>
  <c r="Q46" i="25"/>
  <c r="O54" i="25"/>
  <c r="Q54" i="25"/>
  <c r="O43" i="25"/>
  <c r="Q43" i="25"/>
  <c r="Q52" i="25"/>
  <c r="O52" i="25"/>
  <c r="O40" i="25"/>
  <c r="Q40" i="25"/>
  <c r="O53" i="25"/>
  <c r="Q53" i="25"/>
  <c r="O45" i="25"/>
  <c r="Q45" i="25"/>
  <c r="Q44" i="25"/>
  <c r="O44" i="25"/>
  <c r="P46" i="25"/>
  <c r="P40" i="25"/>
  <c r="P54" i="25"/>
  <c r="P43" i="25"/>
  <c r="P53" i="25"/>
  <c r="P42" i="25"/>
  <c r="P52" i="25"/>
  <c r="P55" i="25"/>
  <c r="P48" i="25"/>
  <c r="P47" i="25"/>
  <c r="P45" i="25"/>
  <c r="AR15" i="27"/>
  <c r="AN15" i="27"/>
  <c r="AJ30" i="27"/>
  <c r="AN45" i="27"/>
  <c r="AL15" i="27"/>
  <c r="AR30" i="27"/>
  <c r="AJ15" i="27"/>
  <c r="AL45" i="27"/>
  <c r="AP15" i="27"/>
  <c r="AJ45" i="27"/>
  <c r="AL30" i="27"/>
  <c r="AG51" i="24"/>
  <c r="AE51" i="24"/>
  <c r="AG44" i="24"/>
  <c r="AE44" i="24"/>
  <c r="AF44" i="24"/>
  <c r="AG57" i="24"/>
  <c r="AE57" i="24"/>
  <c r="AG55" i="24"/>
  <c r="AE55" i="24"/>
  <c r="AF55" i="24"/>
  <c r="AG49" i="24"/>
  <c r="AE49" i="24"/>
  <c r="AG59" i="24"/>
  <c r="AE59" i="24"/>
  <c r="AG45" i="24"/>
  <c r="AE45" i="24"/>
  <c r="AG52" i="24"/>
  <c r="AE52" i="24"/>
  <c r="AF52" i="24"/>
  <c r="AF59" i="24"/>
  <c r="AE9" i="24"/>
  <c r="AG9" i="24"/>
  <c r="AG37" i="24"/>
  <c r="AE37" i="24"/>
  <c r="AF37" i="24"/>
  <c r="AG32" i="24"/>
  <c r="AE32" i="24"/>
  <c r="AG39" i="24"/>
  <c r="AE39" i="24"/>
  <c r="AE14" i="24"/>
  <c r="AG14" i="24"/>
  <c r="AG31" i="24"/>
  <c r="AE31" i="24"/>
  <c r="AF31" i="24"/>
  <c r="AE22" i="24"/>
  <c r="AE21" i="24"/>
  <c r="AG21" i="24"/>
  <c r="AE34" i="24"/>
  <c r="AG34" i="24"/>
  <c r="AE23" i="24"/>
  <c r="AG23" i="24"/>
  <c r="AE20" i="24"/>
  <c r="AG20" i="24"/>
  <c r="AG53" i="24"/>
  <c r="AE53" i="24"/>
  <c r="AG60" i="24"/>
  <c r="AE60" i="24"/>
  <c r="AE46" i="24"/>
  <c r="AG46" i="24"/>
  <c r="AE54" i="24"/>
  <c r="AG54" i="24"/>
  <c r="AE50" i="24"/>
  <c r="AG50" i="24"/>
  <c r="AG56" i="24"/>
  <c r="AE56" i="24"/>
  <c r="AG61" i="24"/>
  <c r="AE61" i="24"/>
  <c r="AE58" i="24"/>
  <c r="AG47" i="24"/>
  <c r="AE47" i="24"/>
  <c r="AG48" i="24"/>
  <c r="AE48" i="24"/>
  <c r="AE19" i="24"/>
  <c r="AG19" i="24"/>
  <c r="AE30" i="24"/>
  <c r="AG30" i="24"/>
  <c r="AF48" i="24"/>
  <c r="AG40" i="24"/>
  <c r="AE40" i="24"/>
  <c r="AG41" i="24"/>
  <c r="AE41" i="24"/>
  <c r="AG29" i="24"/>
  <c r="AE29" i="24"/>
  <c r="AF29" i="24"/>
  <c r="AE26" i="24"/>
  <c r="AG26" i="24"/>
  <c r="AF26" i="24"/>
  <c r="AG33" i="24"/>
  <c r="AE33" i="24"/>
  <c r="AG35" i="24"/>
  <c r="AE35" i="24"/>
  <c r="AE17" i="24"/>
  <c r="AG17" i="24"/>
  <c r="AG36" i="24"/>
  <c r="AE36" i="24"/>
  <c r="AE24" i="24"/>
  <c r="AG24" i="24"/>
  <c r="AE15" i="24"/>
  <c r="AG15" i="24"/>
  <c r="AG28" i="24"/>
  <c r="AE28" i="24"/>
  <c r="AE13" i="24"/>
  <c r="AG13" i="24"/>
  <c r="AE11" i="24"/>
  <c r="AG11" i="24"/>
  <c r="AE12" i="24"/>
  <c r="AG12" i="24"/>
  <c r="AG8" i="24"/>
  <c r="AE8" i="24"/>
  <c r="AF33" i="24"/>
  <c r="AF49" i="24"/>
  <c r="AF60" i="24"/>
  <c r="AF18" i="24"/>
  <c r="AF28" i="24"/>
  <c r="AF15" i="24"/>
  <c r="AF39" i="24"/>
  <c r="AF45" i="24"/>
  <c r="AF24" i="24"/>
  <c r="AF27" i="24"/>
  <c r="AF40" i="24"/>
  <c r="AF20" i="24"/>
  <c r="AF8" i="24"/>
  <c r="AF32" i="24"/>
  <c r="AF13" i="24"/>
  <c r="AE18" i="24"/>
  <c r="AG18" i="24"/>
  <c r="AE10" i="24"/>
  <c r="AG10" i="24"/>
  <c r="AE16" i="24"/>
  <c r="AG16" i="24"/>
  <c r="AF56" i="24"/>
  <c r="AE42" i="24"/>
  <c r="AG42" i="24"/>
  <c r="AE38" i="24"/>
  <c r="AG38" i="24"/>
  <c r="AG27" i="24"/>
  <c r="AE27" i="24"/>
  <c r="AF30" i="24"/>
  <c r="AF51" i="24"/>
  <c r="AF23" i="24"/>
  <c r="AF42" i="24"/>
  <c r="AF36" i="24"/>
  <c r="AF46" i="24"/>
  <c r="AF34" i="24"/>
  <c r="AF50" i="24"/>
  <c r="AF58" i="24"/>
  <c r="AF41" i="24"/>
  <c r="AF19" i="24"/>
  <c r="AF38" i="24"/>
  <c r="AF47" i="24"/>
  <c r="AF16" i="24"/>
  <c r="AF35" i="24"/>
  <c r="AF53" i="24"/>
  <c r="AF14" i="24"/>
  <c r="AF17" i="24"/>
  <c r="AF54" i="24"/>
  <c r="AF22" i="24"/>
  <c r="AF61" i="24"/>
  <c r="AF9" i="24"/>
  <c r="AF11" i="24"/>
  <c r="AF12" i="24"/>
  <c r="AF57" i="24"/>
  <c r="AL15" i="21"/>
  <c r="AL31" i="21"/>
  <c r="AN30" i="21"/>
  <c r="AN31" i="21"/>
  <c r="AJ45" i="21"/>
  <c r="AN16" i="21"/>
  <c r="AL60" i="21"/>
  <c r="AJ16" i="21"/>
  <c r="AJ46" i="21"/>
  <c r="AL16" i="21"/>
  <c r="AD269" i="17"/>
  <c r="Q88" i="25"/>
  <c r="O88" i="25"/>
  <c r="P88" i="25"/>
  <c r="P89" i="25"/>
  <c r="Q89" i="25"/>
  <c r="O89" i="25"/>
  <c r="Q84" i="25"/>
  <c r="O84" i="25"/>
  <c r="P84" i="25"/>
  <c r="Q86" i="25"/>
  <c r="O86" i="25"/>
  <c r="P86" i="25"/>
  <c r="Q91" i="25"/>
  <c r="O91" i="25"/>
  <c r="P91" i="25"/>
  <c r="P85" i="25"/>
  <c r="Q85" i="25"/>
  <c r="O85" i="25"/>
  <c r="P82" i="25"/>
  <c r="Q82" i="25"/>
  <c r="O82" i="25"/>
  <c r="Q90" i="25"/>
  <c r="O90" i="25"/>
  <c r="P90" i="25"/>
  <c r="Q83" i="25"/>
  <c r="O83" i="25"/>
  <c r="P83" i="25"/>
  <c r="Q87" i="25"/>
  <c r="O87" i="25"/>
  <c r="P87" i="25"/>
  <c r="P92" i="25"/>
  <c r="Q92" i="25"/>
  <c r="O92" i="25"/>
  <c r="AA177" i="18"/>
  <c r="AA173" i="18"/>
  <c r="Z162" i="18"/>
  <c r="AA171" i="18"/>
  <c r="X161" i="18"/>
  <c r="X163" i="18"/>
  <c r="Y166" i="18"/>
  <c r="Z164" i="18"/>
  <c r="Z163" i="18"/>
  <c r="Z160" i="18"/>
  <c r="Z161" i="18"/>
  <c r="AA174" i="18"/>
  <c r="Z157" i="18"/>
  <c r="AA172" i="18"/>
  <c r="Z167" i="18"/>
  <c r="AA169" i="18"/>
  <c r="Z159" i="18"/>
  <c r="Y165" i="18"/>
  <c r="Z165" i="18"/>
  <c r="Z166" i="18"/>
  <c r="Y167" i="18"/>
  <c r="AA175" i="18"/>
  <c r="X162" i="18"/>
  <c r="AA170" i="18"/>
  <c r="Z158" i="18"/>
  <c r="Y164" i="18"/>
  <c r="AA168" i="18"/>
  <c r="AD227" i="17"/>
  <c r="Z256" i="23"/>
  <c r="S13" i="27"/>
  <c r="AP46" i="21"/>
  <c r="AR31" i="21"/>
  <c r="AL30" i="21"/>
  <c r="AR30" i="21"/>
  <c r="AL61" i="21"/>
  <c r="AL45" i="21"/>
  <c r="L219" i="17"/>
  <c r="H35" i="36"/>
  <c r="AE270" i="17"/>
  <c r="L197" i="17"/>
  <c r="AE271" i="17"/>
  <c r="L208" i="17"/>
  <c r="L163" i="17"/>
  <c r="L218" i="17"/>
  <c r="L196" i="17"/>
  <c r="L186" i="17"/>
  <c r="AE257" i="17"/>
  <c r="AE230" i="17"/>
  <c r="L184" i="17"/>
  <c r="AE255" i="17"/>
  <c r="L173" i="17"/>
  <c r="AE244" i="17"/>
  <c r="L187" i="17"/>
  <c r="AE258" i="17"/>
  <c r="L160" i="17"/>
  <c r="AE231" i="17"/>
  <c r="L175" i="17"/>
  <c r="AE246" i="17"/>
  <c r="L199" i="17"/>
  <c r="L177" i="17"/>
  <c r="AE248" i="17"/>
  <c r="AE236" i="17"/>
  <c r="AE261" i="17"/>
  <c r="L157" i="17"/>
  <c r="AE228" i="17"/>
  <c r="L198" i="17"/>
  <c r="L180" i="17"/>
  <c r="AE251" i="17"/>
  <c r="L183" i="17"/>
  <c r="AE254" i="17"/>
  <c r="L182" i="17"/>
  <c r="AE253" i="17"/>
  <c r="AE262" i="17"/>
  <c r="AE260" i="17"/>
  <c r="L185" i="17"/>
  <c r="AE256" i="17"/>
  <c r="AE229" i="17"/>
  <c r="L170" i="17"/>
  <c r="AE241" i="17"/>
  <c r="AE250" i="17"/>
  <c r="AE259" i="17"/>
  <c r="L176" i="17"/>
  <c r="AE247" i="17"/>
  <c r="L178" i="17"/>
  <c r="AE249" i="17"/>
  <c r="AE265" i="17"/>
  <c r="L205" i="17"/>
  <c r="L172" i="17"/>
  <c r="AE243" i="17"/>
  <c r="AE233" i="17"/>
  <c r="L181" i="17"/>
  <c r="AE252" i="17"/>
  <c r="AE245" i="17"/>
  <c r="L201" i="17"/>
  <c r="L168" i="17"/>
  <c r="AE239" i="17"/>
  <c r="AE242" i="17"/>
  <c r="L164" i="17"/>
  <c r="AE235" i="17"/>
  <c r="L167" i="17"/>
  <c r="AE238" i="17"/>
  <c r="L155" i="17"/>
  <c r="AE226" i="17"/>
  <c r="L156" i="17"/>
  <c r="AE227" i="17"/>
  <c r="L200" i="17"/>
  <c r="AE263" i="17"/>
  <c r="AE264" i="17"/>
  <c r="AE240" i="17"/>
  <c r="L166" i="17"/>
  <c r="AE237" i="17"/>
  <c r="M38" i="20"/>
  <c r="G44" i="20"/>
  <c r="M44" i="20"/>
  <c r="M18" i="20"/>
  <c r="G47" i="20"/>
  <c r="M23" i="20"/>
  <c r="G41" i="20"/>
  <c r="M41" i="20"/>
  <c r="G45" i="20"/>
  <c r="M45" i="20"/>
  <c r="M6" i="20"/>
  <c r="M40" i="20"/>
  <c r="G29" i="20"/>
  <c r="M29" i="20"/>
  <c r="G19" i="20"/>
  <c r="M19" i="20"/>
  <c r="M25" i="20"/>
  <c r="M32" i="20"/>
  <c r="G15" i="20"/>
  <c r="M15" i="20"/>
  <c r="G54" i="20"/>
  <c r="M37" i="20"/>
  <c r="G43" i="20"/>
  <c r="M43" i="20"/>
  <c r="G33" i="20"/>
  <c r="M33" i="20"/>
  <c r="G56" i="20"/>
  <c r="G50" i="20"/>
  <c r="G52" i="20"/>
  <c r="M17" i="20"/>
  <c r="G7" i="20"/>
  <c r="G13" i="20"/>
  <c r="M13" i="20"/>
  <c r="M39" i="20"/>
  <c r="M34" i="20"/>
  <c r="M12" i="20"/>
  <c r="M16" i="20"/>
  <c r="G59" i="20"/>
  <c r="M10" i="20"/>
  <c r="M35" i="20"/>
  <c r="G46" i="20"/>
  <c r="M36" i="20"/>
  <c r="G57" i="20"/>
  <c r="G42" i="20"/>
  <c r="M42" i="20"/>
  <c r="M31" i="20"/>
  <c r="G53" i="20"/>
  <c r="G24" i="20"/>
  <c r="M24" i="20"/>
  <c r="G20" i="20"/>
  <c r="M20" i="20"/>
  <c r="G11" i="20"/>
  <c r="M26" i="20"/>
  <c r="G48" i="20"/>
  <c r="G28" i="20"/>
  <c r="M28" i="20"/>
  <c r="M14" i="20"/>
  <c r="G22" i="20"/>
  <c r="M22" i="20"/>
  <c r="G49" i="20"/>
  <c r="G21" i="20"/>
  <c r="M21" i="20"/>
  <c r="G9" i="20"/>
  <c r="M9" i="20"/>
  <c r="M27" i="20"/>
  <c r="M30" i="20"/>
  <c r="G58" i="20"/>
  <c r="S63" i="27"/>
  <c r="S264" i="27"/>
  <c r="S136" i="27"/>
  <c r="Q42" i="25"/>
  <c r="N35" i="26"/>
  <c r="P14" i="26"/>
  <c r="N28" i="26"/>
  <c r="S50" i="27"/>
  <c r="AP28" i="27"/>
  <c r="S55" i="27"/>
  <c r="S7" i="27"/>
  <c r="S182" i="27"/>
  <c r="O43" i="26"/>
  <c r="S138" i="27"/>
  <c r="AG58" i="24"/>
  <c r="N40" i="26"/>
  <c r="N44" i="26"/>
  <c r="S307" i="27"/>
  <c r="S141" i="27"/>
  <c r="S183" i="27"/>
  <c r="S267" i="27"/>
  <c r="AG22" i="24"/>
  <c r="O13" i="26"/>
  <c r="O34" i="26"/>
  <c r="P34" i="26"/>
  <c r="P38" i="26"/>
  <c r="N8" i="26"/>
  <c r="S51" i="27"/>
  <c r="S178" i="27"/>
  <c r="S139" i="27"/>
  <c r="S312" i="27"/>
  <c r="O45" i="26"/>
  <c r="S309" i="27"/>
  <c r="S53" i="27"/>
  <c r="S10" i="27"/>
  <c r="P61" i="25"/>
  <c r="Q70" i="25"/>
  <c r="H36" i="36"/>
  <c r="H46" i="36"/>
  <c r="I46" i="36"/>
  <c r="H49" i="36"/>
  <c r="I49" i="36"/>
  <c r="H41" i="36"/>
  <c r="I41" i="36"/>
  <c r="H40" i="36"/>
  <c r="H38" i="36"/>
  <c r="H45" i="36"/>
  <c r="I45" i="36"/>
  <c r="H43" i="36"/>
  <c r="I43" i="36"/>
  <c r="H48" i="36"/>
  <c r="I48" i="36"/>
  <c r="H47" i="36"/>
  <c r="X157" i="18"/>
  <c r="Y241" i="23"/>
  <c r="X241" i="23"/>
  <c r="W241" i="23"/>
  <c r="Y228" i="23"/>
  <c r="X228" i="23"/>
  <c r="W228" i="23"/>
  <c r="X232" i="23"/>
  <c r="W232" i="23"/>
  <c r="Y232" i="23"/>
  <c r="X242" i="23"/>
  <c r="Y242" i="23"/>
  <c r="W242" i="23"/>
  <c r="W246" i="23"/>
  <c r="X246" i="23"/>
  <c r="Y246" i="23"/>
  <c r="X216" i="23"/>
  <c r="W216" i="23"/>
  <c r="Y216" i="23"/>
  <c r="W237" i="23"/>
  <c r="Y237" i="23"/>
  <c r="X237" i="23"/>
  <c r="W234" i="23"/>
  <c r="X234" i="23"/>
  <c r="Y234" i="23"/>
  <c r="X214" i="23"/>
  <c r="Y214" i="23"/>
  <c r="W214" i="23"/>
  <c r="Y223" i="23"/>
  <c r="X223" i="23"/>
  <c r="W223" i="23"/>
  <c r="W226" i="23"/>
  <c r="X226" i="23"/>
  <c r="Y226" i="23"/>
  <c r="W217" i="23"/>
  <c r="Y217" i="23"/>
  <c r="X217" i="23"/>
  <c r="Y252" i="23"/>
  <c r="W252" i="23"/>
  <c r="X252" i="23"/>
  <c r="Y249" i="23"/>
  <c r="X249" i="23"/>
  <c r="W249" i="23"/>
  <c r="Y213" i="23"/>
  <c r="X213" i="23"/>
  <c r="W213" i="23"/>
  <c r="X248" i="23"/>
  <c r="W248" i="23"/>
  <c r="Y248" i="23"/>
  <c r="X224" i="23"/>
  <c r="W224" i="23"/>
  <c r="Y224" i="23"/>
  <c r="W238" i="23"/>
  <c r="X238" i="23"/>
  <c r="Y238" i="23"/>
  <c r="Y215" i="23"/>
  <c r="X215" i="23"/>
  <c r="W215" i="23"/>
  <c r="Y260" i="23"/>
  <c r="X260" i="23"/>
  <c r="W260" i="23"/>
  <c r="W256" i="23"/>
  <c r="X256" i="23"/>
  <c r="Y256" i="23"/>
  <c r="Y259" i="23"/>
  <c r="X259" i="23"/>
  <c r="W259" i="23"/>
  <c r="Y239" i="23"/>
  <c r="X239" i="23"/>
  <c r="W239" i="23"/>
  <c r="W240" i="23"/>
  <c r="Y240" i="23"/>
  <c r="W243" i="23"/>
  <c r="Y243" i="23"/>
  <c r="X243" i="23"/>
  <c r="W233" i="23"/>
  <c r="Y233" i="23"/>
  <c r="X233" i="23"/>
  <c r="Y222" i="23"/>
  <c r="W222" i="23"/>
  <c r="Y229" i="23"/>
  <c r="X229" i="23"/>
  <c r="W229" i="23"/>
  <c r="Y221" i="23"/>
  <c r="X221" i="23"/>
  <c r="W221" i="23"/>
  <c r="W235" i="23"/>
  <c r="Y235" i="23"/>
  <c r="X235" i="23"/>
  <c r="Y236" i="23"/>
  <c r="W236" i="23"/>
  <c r="X236" i="23"/>
  <c r="W219" i="23"/>
  <c r="Y219" i="23"/>
  <c r="X219" i="23"/>
  <c r="X230" i="23"/>
  <c r="Y230" i="23"/>
  <c r="W230" i="23"/>
  <c r="Y231" i="23"/>
  <c r="X231" i="23"/>
  <c r="W231" i="23"/>
  <c r="W245" i="23"/>
  <c r="Y245" i="23"/>
  <c r="X245" i="23"/>
  <c r="Y247" i="23"/>
  <c r="X247" i="23"/>
  <c r="W247" i="23"/>
  <c r="Y244" i="23"/>
  <c r="X244" i="23"/>
  <c r="W244" i="23"/>
  <c r="W225" i="23"/>
  <c r="Y225" i="23"/>
  <c r="X225" i="23"/>
  <c r="X250" i="23"/>
  <c r="Y250" i="23"/>
  <c r="W250" i="23"/>
  <c r="W251" i="23"/>
  <c r="Y251" i="23"/>
  <c r="X251" i="23"/>
  <c r="W218" i="23"/>
  <c r="X218" i="23"/>
  <c r="Y218" i="23"/>
  <c r="W227" i="23"/>
  <c r="Y227" i="23"/>
  <c r="X227" i="23"/>
  <c r="Y220" i="23"/>
  <c r="W220" i="23"/>
  <c r="X220" i="23"/>
  <c r="W257" i="23"/>
  <c r="X257" i="23"/>
  <c r="Y257" i="23"/>
  <c r="X258" i="23"/>
  <c r="Y258" i="23"/>
  <c r="W258" i="23"/>
  <c r="X240" i="23"/>
  <c r="X222" i="23"/>
  <c r="Z226" i="23"/>
  <c r="G132" i="17"/>
  <c r="G14" i="17"/>
  <c r="Z66" i="19"/>
  <c r="Z250" i="23"/>
  <c r="Z231" i="23"/>
  <c r="Z222" i="23"/>
  <c r="Z229" i="23"/>
  <c r="AD230" i="17"/>
  <c r="Z225" i="23"/>
  <c r="Z230" i="23"/>
  <c r="Z234" i="23"/>
  <c r="Z248" i="23"/>
  <c r="Z239" i="23"/>
  <c r="Z259" i="23"/>
  <c r="Z233" i="23"/>
  <c r="Z215" i="23"/>
  <c r="Z251" i="23"/>
  <c r="Z252" i="23"/>
  <c r="Z224" i="23"/>
  <c r="Z227" i="23"/>
  <c r="Z238" i="23"/>
  <c r="L179" i="17"/>
  <c r="L171" i="17"/>
  <c r="L192" i="17"/>
  <c r="L188" i="17"/>
  <c r="L162" i="17"/>
  <c r="L174" i="17"/>
  <c r="L202" i="17"/>
  <c r="L204" i="17"/>
  <c r="L194" i="17"/>
  <c r="L195" i="17"/>
  <c r="O38" i="26"/>
  <c r="S49" i="27"/>
  <c r="S54" i="27"/>
  <c r="S266" i="27"/>
  <c r="G83" i="27"/>
  <c r="S180" i="27"/>
  <c r="S52" i="27"/>
  <c r="O17" i="26"/>
  <c r="G277" i="27"/>
  <c r="Z241" i="23"/>
  <c r="Z235" i="23"/>
  <c r="Z228" i="23"/>
  <c r="Z243" i="23"/>
  <c r="Z242" i="23"/>
  <c r="Z232" i="23"/>
  <c r="Z223" i="23"/>
  <c r="Z219" i="23"/>
  <c r="Z236" i="23"/>
  <c r="Z218" i="23"/>
  <c r="Z260" i="23"/>
  <c r="G17" i="20"/>
  <c r="G14" i="20"/>
  <c r="G16" i="20"/>
  <c r="G27" i="20"/>
  <c r="G31" i="20"/>
  <c r="G296" i="27"/>
  <c r="H44" i="36"/>
  <c r="G18" i="20"/>
  <c r="G32" i="20"/>
  <c r="H39" i="36"/>
  <c r="G23" i="20"/>
  <c r="G40" i="20"/>
  <c r="G6" i="20"/>
  <c r="D79" i="36"/>
  <c r="E11" i="36" s="1"/>
  <c r="D80" i="36"/>
  <c r="E14" i="36" s="1"/>
  <c r="G94" i="17"/>
  <c r="AD229" i="17"/>
  <c r="Z64" i="19"/>
  <c r="AD233" i="17"/>
  <c r="S268" i="27"/>
  <c r="H37" i="36"/>
  <c r="G12" i="20"/>
  <c r="G37" i="20"/>
  <c r="G51" i="20"/>
  <c r="H51" i="36"/>
  <c r="G30" i="20"/>
  <c r="M7" i="20"/>
  <c r="G39" i="20"/>
  <c r="G25" i="20"/>
  <c r="G35" i="20"/>
  <c r="S140" i="27"/>
  <c r="S306" i="27"/>
  <c r="S8" i="27"/>
  <c r="S137" i="27"/>
  <c r="S270" i="27"/>
  <c r="S177" i="27"/>
  <c r="S181" i="27"/>
  <c r="S179" i="27"/>
  <c r="S6" i="27"/>
  <c r="D81" i="36"/>
  <c r="S311" i="27"/>
  <c r="S48" i="27"/>
  <c r="F33" i="33"/>
  <c r="F32" i="33"/>
  <c r="F31" i="33"/>
  <c r="S342" i="21"/>
  <c r="S340" i="21"/>
  <c r="S343" i="21"/>
  <c r="S337" i="21"/>
  <c r="AC50" i="27"/>
  <c r="AP13" i="27"/>
  <c r="S341" i="21"/>
  <c r="S344" i="21"/>
  <c r="S338" i="21"/>
  <c r="S339" i="21"/>
  <c r="AC307" i="27"/>
  <c r="G395" i="21"/>
  <c r="G397" i="21"/>
  <c r="G396" i="21"/>
  <c r="T93" i="17"/>
  <c r="G80" i="23"/>
  <c r="Z246" i="23"/>
  <c r="AJ13" i="27"/>
  <c r="G8" i="27"/>
  <c r="P29" i="26"/>
  <c r="P9" i="26"/>
  <c r="S142" i="27"/>
  <c r="S269" i="27"/>
  <c r="S263" i="27"/>
  <c r="S135" i="27"/>
  <c r="S9" i="27"/>
  <c r="S184" i="27"/>
  <c r="S305" i="27"/>
  <c r="AD265" i="17"/>
  <c r="T120" i="17"/>
  <c r="AC312" i="27"/>
  <c r="G26" i="20"/>
  <c r="M11" i="20"/>
  <c r="G10" i="20"/>
  <c r="G36" i="20"/>
  <c r="H50" i="36"/>
  <c r="S265" i="27"/>
  <c r="S310" i="27"/>
  <c r="S308" i="27"/>
  <c r="G105" i="17"/>
  <c r="G326" i="27"/>
  <c r="Z78" i="19"/>
  <c r="G334" i="27"/>
  <c r="AC315" i="21"/>
  <c r="G165" i="21"/>
  <c r="G212" i="21"/>
  <c r="S250" i="21"/>
  <c r="G156" i="21"/>
  <c r="S267" i="21"/>
  <c r="G314" i="21"/>
  <c r="S301" i="21"/>
  <c r="AC55" i="21"/>
  <c r="G181" i="21"/>
  <c r="G225" i="21"/>
  <c r="G164" i="21"/>
  <c r="G207" i="21"/>
  <c r="G297" i="21"/>
  <c r="S283" i="21"/>
  <c r="S329" i="21"/>
  <c r="S368" i="21"/>
  <c r="G166" i="21"/>
  <c r="G208" i="21"/>
  <c r="S239" i="21"/>
  <c r="S256" i="21"/>
  <c r="G197" i="21"/>
  <c r="G136" i="21"/>
  <c r="G299" i="21"/>
  <c r="S285" i="21"/>
  <c r="S384" i="21"/>
  <c r="S170" i="21"/>
  <c r="S214" i="21"/>
  <c r="S154" i="21"/>
  <c r="S196" i="21"/>
  <c r="G270" i="21"/>
  <c r="S357" i="21"/>
  <c r="G322" i="21"/>
  <c r="G351" i="21"/>
  <c r="G371" i="21"/>
  <c r="G169" i="21"/>
  <c r="G224" i="21"/>
  <c r="G157" i="21"/>
  <c r="G195" i="21"/>
  <c r="G295" i="21"/>
  <c r="S281" i="21"/>
  <c r="AC312" i="21"/>
  <c r="S367" i="21"/>
  <c r="S386" i="21"/>
  <c r="G179" i="21"/>
  <c r="G239" i="21"/>
  <c r="S156" i="21"/>
  <c r="G280" i="21"/>
  <c r="S353" i="21"/>
  <c r="G309" i="21"/>
  <c r="G339" i="21"/>
  <c r="G379" i="21"/>
  <c r="S372" i="21"/>
  <c r="S140" i="21"/>
  <c r="S171" i="21"/>
  <c r="S221" i="21"/>
  <c r="G253" i="21"/>
  <c r="AC183" i="21"/>
  <c r="G272" i="21"/>
  <c r="S315" i="21"/>
  <c r="S308" i="21"/>
  <c r="G342" i="21"/>
  <c r="G383" i="21"/>
  <c r="AC310" i="21"/>
  <c r="S381" i="21"/>
  <c r="S169" i="21"/>
  <c r="S213" i="21"/>
  <c r="S153" i="21"/>
  <c r="S197" i="21"/>
  <c r="G266" i="21"/>
  <c r="S268" i="21"/>
  <c r="G323" i="21"/>
  <c r="G365" i="21"/>
  <c r="S39" i="21"/>
  <c r="G49" i="21"/>
  <c r="G55" i="21"/>
  <c r="S48" i="21"/>
  <c r="G82" i="21"/>
  <c r="S40" i="21"/>
  <c r="S26" i="21"/>
  <c r="G66" i="21"/>
  <c r="G83" i="21"/>
  <c r="G7" i="21"/>
  <c r="G35" i="21"/>
  <c r="G97" i="21"/>
  <c r="AL14" i="21"/>
  <c r="G22" i="21"/>
  <c r="G108" i="21"/>
  <c r="S105" i="21"/>
  <c r="G111" i="21"/>
  <c r="G81" i="21"/>
  <c r="AJ59" i="21"/>
  <c r="S121" i="21"/>
  <c r="G105" i="21"/>
  <c r="S35" i="21"/>
  <c r="S92" i="21"/>
  <c r="G38" i="21"/>
  <c r="AN29" i="21"/>
  <c r="G64" i="21"/>
  <c r="G68" i="21"/>
  <c r="S65" i="21"/>
  <c r="S96" i="21"/>
  <c r="G109" i="21"/>
  <c r="G51" i="21"/>
  <c r="G63" i="21"/>
  <c r="S55" i="21"/>
  <c r="G67" i="21"/>
  <c r="AR44" i="21"/>
  <c r="S107" i="21"/>
  <c r="G53" i="21"/>
  <c r="S69" i="21"/>
  <c r="S125" i="21"/>
  <c r="G96" i="17"/>
  <c r="S111" i="21"/>
  <c r="G37" i="19"/>
  <c r="Y95" i="19"/>
  <c r="S63" i="21"/>
  <c r="T113" i="17"/>
  <c r="Z71" i="19"/>
  <c r="AD246" i="17"/>
  <c r="G113" i="17"/>
  <c r="G101" i="17"/>
  <c r="AD234" i="17"/>
  <c r="G104" i="17"/>
  <c r="AD237" i="17"/>
  <c r="Y71" i="19"/>
  <c r="G13" i="19"/>
  <c r="L185" i="23"/>
  <c r="S84" i="21"/>
  <c r="L153" i="23"/>
  <c r="L162" i="23"/>
  <c r="L148" i="23"/>
  <c r="L174" i="23"/>
  <c r="L160" i="23"/>
  <c r="L188" i="23"/>
  <c r="L152" i="23"/>
  <c r="L183" i="23"/>
  <c r="L190" i="23"/>
  <c r="L176" i="23"/>
  <c r="L154" i="23"/>
  <c r="L195" i="23"/>
  <c r="L194" i="23"/>
  <c r="L180" i="23"/>
  <c r="L181" i="23"/>
  <c r="L147" i="23"/>
  <c r="L161" i="23"/>
  <c r="L151" i="23"/>
  <c r="L173" i="23"/>
  <c r="L155" i="23"/>
  <c r="L203" i="23"/>
  <c r="L167" i="23"/>
  <c r="L186" i="23"/>
  <c r="L172" i="23"/>
  <c r="L204" i="23"/>
  <c r="L168" i="23"/>
  <c r="L189" i="23"/>
  <c r="L179" i="23"/>
  <c r="H61" i="36"/>
  <c r="H66" i="36"/>
  <c r="H74" i="36"/>
  <c r="H62" i="36"/>
  <c r="G14" i="19"/>
  <c r="Y72" i="19"/>
  <c r="H70" i="36"/>
  <c r="G41" i="19"/>
  <c r="Y99" i="19"/>
  <c r="Z201" i="18"/>
  <c r="G145" i="18"/>
  <c r="G40" i="19"/>
  <c r="Y98" i="19"/>
  <c r="G42" i="19"/>
  <c r="Y100" i="19"/>
  <c r="Y78" i="19"/>
  <c r="G20" i="19"/>
  <c r="S18" i="19"/>
  <c r="S149" i="18"/>
  <c r="S19" i="19"/>
  <c r="G8" i="19"/>
  <c r="Y66" i="19"/>
  <c r="H149" i="18"/>
  <c r="G149" i="18"/>
  <c r="Y80" i="19"/>
  <c r="G22" i="19"/>
  <c r="Y74" i="19"/>
  <c r="G16" i="19"/>
  <c r="G144" i="18"/>
  <c r="Z200" i="18"/>
  <c r="Y67" i="19"/>
  <c r="G9" i="19"/>
  <c r="G136" i="17"/>
  <c r="G140" i="17"/>
  <c r="G98" i="17"/>
  <c r="T125" i="17"/>
  <c r="Z83" i="19"/>
  <c r="AD250" i="17"/>
  <c r="G117" i="17"/>
  <c r="T106" i="17"/>
  <c r="T124" i="17"/>
  <c r="Z82" i="19"/>
  <c r="G142" i="17"/>
  <c r="Z81" i="19"/>
  <c r="T123" i="17"/>
  <c r="G130" i="23"/>
  <c r="G101" i="23"/>
  <c r="T98" i="17"/>
  <c r="S80" i="23"/>
  <c r="G115" i="23"/>
  <c r="G106" i="23"/>
  <c r="G81" i="23"/>
  <c r="G127" i="23"/>
  <c r="S83" i="23"/>
  <c r="G139" i="17"/>
  <c r="AD258" i="17"/>
  <c r="G125" i="17"/>
  <c r="AD239" i="17"/>
  <c r="G106" i="17"/>
  <c r="G111" i="23"/>
  <c r="G107" i="23"/>
  <c r="G122" i="23"/>
  <c r="G100" i="23"/>
  <c r="G82" i="23"/>
  <c r="G89" i="23"/>
  <c r="G96" i="23"/>
  <c r="S106" i="21"/>
  <c r="G6" i="19"/>
  <c r="Y64" i="19"/>
  <c r="AN44" i="21"/>
  <c r="S36" i="21"/>
  <c r="G324" i="27"/>
  <c r="S339" i="27"/>
  <c r="G322" i="27"/>
  <c r="G294" i="27"/>
  <c r="G323" i="27"/>
  <c r="G264" i="27"/>
  <c r="G270" i="27"/>
  <c r="G311" i="27"/>
  <c r="S340" i="27"/>
  <c r="AC310" i="27"/>
  <c r="G365" i="27"/>
  <c r="S220" i="27"/>
  <c r="AC55" i="27"/>
  <c r="S25" i="27"/>
  <c r="G338" i="27"/>
  <c r="G348" i="27"/>
  <c r="G222" i="27"/>
  <c r="G167" i="27"/>
  <c r="G90" i="27"/>
  <c r="G52" i="27"/>
  <c r="S323" i="27"/>
  <c r="S209" i="27"/>
  <c r="G184" i="27"/>
  <c r="S105" i="27"/>
  <c r="G66" i="27"/>
  <c r="G251" i="27"/>
  <c r="S198" i="27"/>
  <c r="G183" i="27"/>
  <c r="AR43" i="27"/>
  <c r="S106" i="27"/>
  <c r="S20" i="27"/>
  <c r="S278" i="27"/>
  <c r="G234" i="27"/>
  <c r="G152" i="27"/>
  <c r="S27" i="27"/>
  <c r="G7" i="27"/>
  <c r="S336" i="27"/>
  <c r="S224" i="27"/>
  <c r="G123" i="27"/>
  <c r="S104" i="27"/>
  <c r="G40" i="27"/>
  <c r="S248" i="27"/>
  <c r="G198" i="27"/>
  <c r="AJ58" i="27"/>
  <c r="S120" i="27"/>
  <c r="G25" i="27"/>
  <c r="G254" i="27"/>
  <c r="S219" i="27"/>
  <c r="S109" i="27"/>
  <c r="S21" i="27"/>
  <c r="G263" i="27"/>
  <c r="S208" i="27"/>
  <c r="G136" i="27"/>
  <c r="S108" i="27"/>
  <c r="S23" i="27"/>
  <c r="G210" i="27"/>
  <c r="G122" i="27"/>
  <c r="G23" i="27"/>
  <c r="S284" i="27"/>
  <c r="G248" i="27"/>
  <c r="S207" i="27"/>
  <c r="AR14" i="27"/>
  <c r="G137" i="27"/>
  <c r="AJ14" i="27"/>
  <c r="S118" i="27"/>
  <c r="G51" i="27"/>
  <c r="S233" i="27"/>
  <c r="S149" i="27"/>
  <c r="G62" i="27"/>
  <c r="S281" i="27"/>
  <c r="S155" i="27"/>
  <c r="G50" i="27"/>
  <c r="S279" i="27"/>
  <c r="G64" i="27"/>
  <c r="AN28" i="27"/>
  <c r="G223" i="27"/>
  <c r="AN29" i="27"/>
  <c r="G193" i="27"/>
  <c r="G149" i="27"/>
  <c r="G93" i="27"/>
  <c r="S67" i="27"/>
  <c r="G238" i="27"/>
  <c r="AL58" i="27"/>
  <c r="G120" i="27"/>
  <c r="G78" i="27"/>
  <c r="AJ43" i="27"/>
  <c r="S239" i="27"/>
  <c r="G170" i="27"/>
  <c r="G109" i="27"/>
  <c r="S37" i="27"/>
  <c r="S293" i="27"/>
  <c r="G339" i="27"/>
  <c r="S253" i="27"/>
  <c r="AL29" i="27"/>
  <c r="G235" i="27"/>
  <c r="AC177" i="27"/>
  <c r="G118" i="27"/>
  <c r="S126" i="21"/>
  <c r="S8" i="21"/>
  <c r="AP29" i="21"/>
  <c r="S97" i="21"/>
  <c r="G147" i="18"/>
  <c r="T15" i="17"/>
  <c r="T31" i="17"/>
  <c r="T16" i="17"/>
  <c r="T32" i="17"/>
  <c r="T12" i="17"/>
  <c r="T25" i="17"/>
  <c r="T41" i="17"/>
  <c r="T10" i="17"/>
  <c r="T26" i="17"/>
  <c r="T42" i="17"/>
  <c r="AB231" i="17"/>
  <c r="G11" i="17"/>
  <c r="G28" i="17"/>
  <c r="AB248" i="17"/>
  <c r="T19" i="17"/>
  <c r="T35" i="17"/>
  <c r="T20" i="17"/>
  <c r="T36" i="17"/>
  <c r="T13" i="17"/>
  <c r="T29" i="17"/>
  <c r="T45" i="17"/>
  <c r="T7" i="17"/>
  <c r="T14" i="17"/>
  <c r="T30" i="17"/>
  <c r="G35" i="17"/>
  <c r="AB255" i="17"/>
  <c r="AB269" i="17"/>
  <c r="G67" i="17"/>
  <c r="T8" i="17"/>
  <c r="G53" i="17"/>
  <c r="G51" i="17"/>
  <c r="T50" i="17"/>
  <c r="AC270" i="17"/>
  <c r="T68" i="17"/>
  <c r="G70" i="17"/>
  <c r="AB272" i="17"/>
  <c r="AC269" i="17"/>
  <c r="T67" i="17"/>
  <c r="G8" i="17"/>
  <c r="AB228" i="17"/>
  <c r="G46" i="17"/>
  <c r="T70" i="17"/>
  <c r="AC272" i="17"/>
  <c r="G83" i="17"/>
  <c r="G55" i="17"/>
  <c r="G54" i="17"/>
  <c r="G26" i="17"/>
  <c r="AB246" i="17"/>
  <c r="T54" i="17"/>
  <c r="AB244" i="17"/>
  <c r="G24" i="17"/>
  <c r="T53" i="17"/>
  <c r="AB265" i="17"/>
  <c r="G45" i="17"/>
  <c r="AB233" i="17"/>
  <c r="G13" i="17"/>
  <c r="T84" i="17"/>
  <c r="AB226" i="17"/>
  <c r="G6" i="17"/>
  <c r="G56" i="17"/>
  <c r="T83" i="17"/>
  <c r="AB229" i="17"/>
  <c r="G9" i="17"/>
  <c r="T56" i="17"/>
  <c r="G23" i="17"/>
  <c r="AB243" i="17"/>
  <c r="T46" i="17"/>
  <c r="AB235" i="17"/>
  <c r="G15" i="17"/>
  <c r="T85" i="17"/>
  <c r="AB227" i="17"/>
  <c r="G7" i="17"/>
  <c r="AB238" i="17"/>
  <c r="G18" i="17"/>
  <c r="G41" i="17"/>
  <c r="AB261" i="17"/>
  <c r="G48" i="17"/>
  <c r="G44" i="17"/>
  <c r="AB264" i="17"/>
  <c r="G84" i="17"/>
  <c r="AB250" i="17"/>
  <c r="G30" i="17"/>
  <c r="AB234" i="17"/>
  <c r="G33" i="17"/>
  <c r="AB253" i="17"/>
  <c r="G20" i="17"/>
  <c r="AB240" i="17"/>
  <c r="G12" i="17"/>
  <c r="AB232" i="17"/>
  <c r="G58" i="17"/>
  <c r="G32" i="17"/>
  <c r="AB252" i="17"/>
  <c r="G141" i="21"/>
  <c r="AC182" i="21"/>
  <c r="S240" i="21"/>
  <c r="G152" i="21"/>
  <c r="G227" i="21"/>
  <c r="G301" i="21"/>
  <c r="S287" i="21"/>
  <c r="S325" i="21"/>
  <c r="G170" i="21"/>
  <c r="G214" i="21"/>
  <c r="G154" i="21"/>
  <c r="G196" i="21"/>
  <c r="S271" i="21"/>
  <c r="G269" i="21"/>
  <c r="S327" i="21"/>
  <c r="S365" i="21"/>
  <c r="G150" i="21"/>
  <c r="AC181" i="21"/>
  <c r="G221" i="21"/>
  <c r="S252" i="21"/>
  <c r="S183" i="21"/>
  <c r="G237" i="21"/>
  <c r="S284" i="21"/>
  <c r="G271" i="21"/>
  <c r="S328" i="21"/>
  <c r="S371" i="21"/>
  <c r="S143" i="21"/>
  <c r="S210" i="21"/>
  <c r="S151" i="21"/>
  <c r="S193" i="21"/>
  <c r="S238" i="21"/>
  <c r="G312" i="21"/>
  <c r="S300" i="21"/>
  <c r="G341" i="21"/>
  <c r="G367" i="21"/>
  <c r="G142" i="21"/>
  <c r="G213" i="21"/>
  <c r="G153" i="21"/>
  <c r="G194" i="21"/>
  <c r="S269" i="21"/>
  <c r="G267" i="21"/>
  <c r="S310" i="21"/>
  <c r="S326" i="21"/>
  <c r="S366" i="21"/>
  <c r="S382" i="21"/>
  <c r="S168" i="21"/>
  <c r="S222" i="21"/>
  <c r="G256" i="21"/>
  <c r="S227" i="21"/>
  <c r="S351" i="21"/>
  <c r="S296" i="21"/>
  <c r="G338" i="21"/>
  <c r="G369" i="21"/>
  <c r="G23" i="21"/>
  <c r="S138" i="21"/>
  <c r="S167" i="21"/>
  <c r="S211" i="21"/>
  <c r="G242" i="21"/>
  <c r="G180" i="21"/>
  <c r="S228" i="21"/>
  <c r="G300" i="21"/>
  <c r="G287" i="21"/>
  <c r="G337" i="21"/>
  <c r="G372" i="21"/>
  <c r="S194" i="21"/>
  <c r="S380" i="21"/>
  <c r="S142" i="21"/>
  <c r="S209" i="21"/>
  <c r="G255" i="21"/>
  <c r="S192" i="21"/>
  <c r="S237" i="21"/>
  <c r="S355" i="21"/>
  <c r="S312" i="21"/>
  <c r="G344" i="21"/>
  <c r="G385" i="21"/>
  <c r="G324" i="21"/>
  <c r="AP44" i="21"/>
  <c r="S93" i="21"/>
  <c r="G48" i="21"/>
  <c r="G52" i="21"/>
  <c r="S13" i="21"/>
  <c r="S124" i="21"/>
  <c r="G20" i="21"/>
  <c r="S21" i="21"/>
  <c r="G77" i="21"/>
  <c r="G24" i="21"/>
  <c r="G62" i="21"/>
  <c r="AL44" i="21"/>
  <c r="S22" i="21"/>
  <c r="G79" i="21"/>
  <c r="AR29" i="21"/>
  <c r="G96" i="21"/>
  <c r="G119" i="21"/>
  <c r="G123" i="21"/>
  <c r="AR14" i="21"/>
  <c r="S79" i="21"/>
  <c r="G98" i="21"/>
  <c r="G124" i="21"/>
  <c r="S23" i="21"/>
  <c r="S68" i="21"/>
  <c r="G26" i="21"/>
  <c r="S24" i="21"/>
  <c r="S25" i="21"/>
  <c r="S54" i="21"/>
  <c r="S20" i="21"/>
  <c r="G107" i="21"/>
  <c r="AL29" i="21"/>
  <c r="G112" i="21"/>
  <c r="G106" i="21"/>
  <c r="G13" i="21"/>
  <c r="AJ29" i="21"/>
  <c r="S64" i="21"/>
  <c r="G9" i="21"/>
  <c r="S9" i="21"/>
  <c r="S78" i="21"/>
  <c r="Y102" i="19"/>
  <c r="G44" i="19"/>
  <c r="S81" i="21"/>
  <c r="T110" i="17"/>
  <c r="G128" i="17"/>
  <c r="AD261" i="17"/>
  <c r="G135" i="17"/>
  <c r="G12" i="19"/>
  <c r="Y70" i="19"/>
  <c r="AD240" i="17"/>
  <c r="G107" i="17"/>
  <c r="H67" i="36"/>
  <c r="H58" i="36"/>
  <c r="H63" i="36"/>
  <c r="G71" i="18"/>
  <c r="H71" i="36"/>
  <c r="G18" i="19"/>
  <c r="Y76" i="19"/>
  <c r="Y202" i="18"/>
  <c r="S69" i="18"/>
  <c r="S147" i="18"/>
  <c r="T147" i="18"/>
  <c r="AA203" i="18" s="1"/>
  <c r="G67" i="18"/>
  <c r="X200" i="18"/>
  <c r="S21" i="19"/>
  <c r="Z202" i="18"/>
  <c r="G146" i="18"/>
  <c r="S15" i="19"/>
  <c r="S13" i="19"/>
  <c r="S6" i="19"/>
  <c r="G7" i="19"/>
  <c r="Y65" i="19"/>
  <c r="Y101" i="19"/>
  <c r="G43" i="19"/>
  <c r="S23" i="19"/>
  <c r="G146" i="17"/>
  <c r="AD249" i="17"/>
  <c r="G116" i="17"/>
  <c r="T95" i="17"/>
  <c r="T109" i="17"/>
  <c r="Z67" i="19"/>
  <c r="G97" i="17"/>
  <c r="AD273" i="17"/>
  <c r="T97" i="17"/>
  <c r="T112" i="17"/>
  <c r="Z70" i="19"/>
  <c r="S82" i="23"/>
  <c r="G131" i="23"/>
  <c r="Z84" i="19"/>
  <c r="T126" i="17"/>
  <c r="AD245" i="17"/>
  <c r="G112" i="17"/>
  <c r="G109" i="23"/>
  <c r="G114" i="17"/>
  <c r="AD247" i="17"/>
  <c r="G71" i="20"/>
  <c r="G99" i="23"/>
  <c r="G90" i="23"/>
  <c r="G92" i="23"/>
  <c r="G86" i="23"/>
  <c r="G97" i="23"/>
  <c r="G145" i="17"/>
  <c r="G124" i="17"/>
  <c r="AD257" i="17"/>
  <c r="G103" i="17"/>
  <c r="AD236" i="17"/>
  <c r="G87" i="23"/>
  <c r="G119" i="23"/>
  <c r="G91" i="23"/>
  <c r="G114" i="23"/>
  <c r="G116" i="23"/>
  <c r="Z249" i="23"/>
  <c r="G94" i="23"/>
  <c r="G105" i="23"/>
  <c r="G104" i="23"/>
  <c r="T94" i="17"/>
  <c r="G269" i="27"/>
  <c r="G279" i="27"/>
  <c r="G280" i="27"/>
  <c r="G292" i="27"/>
  <c r="G284" i="27"/>
  <c r="G335" i="27"/>
  <c r="G265" i="27"/>
  <c r="G308" i="27"/>
  <c r="G266" i="27"/>
  <c r="G282" i="27"/>
  <c r="G295" i="27"/>
  <c r="G368" i="27"/>
  <c r="G349" i="27"/>
  <c r="AC306" i="27"/>
  <c r="G253" i="27"/>
  <c r="S206" i="27"/>
  <c r="S119" i="27"/>
  <c r="S94" i="27"/>
  <c r="G77" i="27"/>
  <c r="S292" i="27"/>
  <c r="G236" i="27"/>
  <c r="G166" i="27"/>
  <c r="AC182" i="27"/>
  <c r="AC48" i="27"/>
  <c r="G6" i="27"/>
  <c r="G309" i="27"/>
  <c r="S197" i="27"/>
  <c r="S123" i="27"/>
  <c r="S91" i="27"/>
  <c r="S338" i="27"/>
  <c r="G239" i="27"/>
  <c r="AC181" i="27"/>
  <c r="G124" i="27"/>
  <c r="G37" i="27"/>
  <c r="G361" i="27"/>
  <c r="S291" i="27"/>
  <c r="G192" i="27"/>
  <c r="G153" i="27"/>
  <c r="G94" i="27"/>
  <c r="S62" i="27"/>
  <c r="S322" i="27"/>
  <c r="S150" i="27"/>
  <c r="G38" i="27"/>
  <c r="AC53" i="27"/>
  <c r="G297" i="27"/>
  <c r="G212" i="27"/>
  <c r="G138" i="27"/>
  <c r="G80" i="27"/>
  <c r="S76" i="27"/>
  <c r="S333" i="27"/>
  <c r="S225" i="27"/>
  <c r="S95" i="27"/>
  <c r="G76" i="27"/>
  <c r="AL59" i="27"/>
  <c r="G249" i="27"/>
  <c r="S194" i="27"/>
  <c r="G155" i="27"/>
  <c r="S96" i="27"/>
  <c r="G69" i="27"/>
  <c r="G352" i="27"/>
  <c r="S240" i="27"/>
  <c r="G196" i="27"/>
  <c r="AP14" i="27"/>
  <c r="AC179" i="27"/>
  <c r="G104" i="27"/>
  <c r="S68" i="27"/>
  <c r="S298" i="27"/>
  <c r="S205" i="27"/>
  <c r="G119" i="27"/>
  <c r="G178" i="27"/>
  <c r="S79" i="27"/>
  <c r="G68" i="27"/>
  <c r="G252" i="27"/>
  <c r="G165" i="27"/>
  <c r="AN14" i="27"/>
  <c r="S22" i="27"/>
  <c r="AL43" i="27"/>
  <c r="G364" i="27"/>
  <c r="G191" i="27"/>
  <c r="G135" i="27"/>
  <c r="G24" i="27"/>
  <c r="G92" i="27"/>
  <c r="AR28" i="27"/>
  <c r="S295" i="27"/>
  <c r="G205" i="27"/>
  <c r="S121" i="27"/>
  <c r="G107" i="27"/>
  <c r="G22" i="27"/>
  <c r="AL13" i="27"/>
  <c r="S319" i="27"/>
  <c r="AC183" i="27"/>
  <c r="S41" i="27"/>
  <c r="G347" i="27"/>
  <c r="S251" i="27"/>
  <c r="G219" i="27"/>
  <c r="G163" i="27"/>
  <c r="G95" i="27"/>
  <c r="G11" i="27"/>
  <c r="S235" i="27"/>
  <c r="AR44" i="27"/>
  <c r="AJ59" i="27"/>
  <c r="S249" i="27"/>
  <c r="G195" i="27"/>
  <c r="G179" i="27"/>
  <c r="G97" i="27"/>
  <c r="G54" i="27"/>
  <c r="G13" i="27"/>
  <c r="G307" i="27"/>
  <c r="AD264" i="17"/>
  <c r="G131" i="17"/>
  <c r="G10" i="21"/>
  <c r="G25" i="19"/>
  <c r="Y83" i="19"/>
  <c r="G8" i="21"/>
  <c r="AJ14" i="21"/>
  <c r="T122" i="17"/>
  <c r="Z80" i="19"/>
  <c r="Y204" i="18"/>
  <c r="S71" i="18"/>
  <c r="G120" i="23"/>
  <c r="AD238" i="17"/>
  <c r="G113" i="23"/>
  <c r="AC49" i="21"/>
  <c r="G178" i="21"/>
  <c r="G223" i="21"/>
  <c r="G151" i="21"/>
  <c r="G198" i="21"/>
  <c r="S286" i="21"/>
  <c r="G273" i="21"/>
  <c r="S322" i="21"/>
  <c r="G143" i="21"/>
  <c r="G210" i="21"/>
  <c r="S255" i="21"/>
  <c r="G193" i="21"/>
  <c r="G238" i="21"/>
  <c r="G354" i="21"/>
  <c r="S314" i="21"/>
  <c r="S352" i="21"/>
  <c r="G140" i="21"/>
  <c r="G171" i="21"/>
  <c r="G211" i="21"/>
  <c r="S251" i="21"/>
  <c r="AC178" i="21"/>
  <c r="G236" i="21"/>
  <c r="S282" i="21"/>
  <c r="G356" i="21"/>
  <c r="G315" i="21"/>
  <c r="S358" i="21"/>
  <c r="S139" i="21"/>
  <c r="S207" i="21"/>
  <c r="G254" i="21"/>
  <c r="G183" i="21"/>
  <c r="S235" i="21"/>
  <c r="G298" i="21"/>
  <c r="G285" i="21"/>
  <c r="G329" i="21"/>
  <c r="G366" i="21"/>
  <c r="G138" i="21"/>
  <c r="S184" i="21"/>
  <c r="S254" i="21"/>
  <c r="AC185" i="21"/>
  <c r="G228" i="21"/>
  <c r="G352" i="21"/>
  <c r="AC308" i="21"/>
  <c r="S324" i="21"/>
  <c r="S354" i="21"/>
  <c r="S379" i="21"/>
  <c r="S165" i="21"/>
  <c r="S212" i="21"/>
  <c r="G252" i="21"/>
  <c r="S198" i="21"/>
  <c r="G308" i="21"/>
  <c r="S294" i="21"/>
  <c r="G327" i="21"/>
  <c r="G357" i="21"/>
  <c r="G386" i="21"/>
  <c r="S137" i="21"/>
  <c r="S166" i="21"/>
  <c r="S208" i="21"/>
  <c r="S224" i="21"/>
  <c r="S155" i="21"/>
  <c r="S199" i="21"/>
  <c r="G296" i="21"/>
  <c r="S272" i="21"/>
  <c r="G326" i="21"/>
  <c r="G368" i="21"/>
  <c r="G251" i="21"/>
  <c r="S370" i="21"/>
  <c r="AC311" i="21"/>
  <c r="AC184" i="21"/>
  <c r="G250" i="21"/>
  <c r="AC180" i="21"/>
  <c r="S236" i="21"/>
  <c r="S311" i="21"/>
  <c r="S298" i="21"/>
  <c r="G340" i="21"/>
  <c r="G380" i="21"/>
  <c r="G268" i="21"/>
  <c r="S52" i="21"/>
  <c r="S91" i="21"/>
  <c r="S77" i="21"/>
  <c r="S119" i="21"/>
  <c r="S98" i="21"/>
  <c r="G27" i="21"/>
  <c r="S62" i="21"/>
  <c r="G12" i="21"/>
  <c r="G122" i="21"/>
  <c r="G40" i="21"/>
  <c r="S6" i="21"/>
  <c r="S41" i="21"/>
  <c r="G37" i="21"/>
  <c r="AC54" i="21"/>
  <c r="G94" i="21"/>
  <c r="AL59" i="21"/>
  <c r="G121" i="21"/>
  <c r="AN14" i="21"/>
  <c r="G36" i="21"/>
  <c r="S80" i="21"/>
  <c r="S120" i="21"/>
  <c r="S51" i="21"/>
  <c r="G84" i="21"/>
  <c r="AC48" i="21"/>
  <c r="G120" i="21"/>
  <c r="S50" i="21"/>
  <c r="S95" i="21"/>
  <c r="AC52" i="21"/>
  <c r="G34" i="21"/>
  <c r="AC50" i="21"/>
  <c r="AP14" i="21"/>
  <c r="G25" i="21"/>
  <c r="AJ44" i="21"/>
  <c r="G93" i="21"/>
  <c r="G92" i="21"/>
  <c r="G21" i="21"/>
  <c r="S66" i="21"/>
  <c r="AC51" i="21"/>
  <c r="T121" i="17"/>
  <c r="Z79" i="19"/>
  <c r="G99" i="17"/>
  <c r="S11" i="21"/>
  <c r="H148" i="18"/>
  <c r="G148" i="18"/>
  <c r="T146" i="18"/>
  <c r="AA202" i="18" s="1"/>
  <c r="S146" i="18"/>
  <c r="G119" i="17"/>
  <c r="AD252" i="17"/>
  <c r="AD263" i="17"/>
  <c r="G130" i="17"/>
  <c r="L146" i="23"/>
  <c r="L202" i="23"/>
  <c r="L178" i="23"/>
  <c r="L164" i="23"/>
  <c r="L207" i="23"/>
  <c r="L163" i="23"/>
  <c r="L149" i="23"/>
  <c r="L193" i="23"/>
  <c r="L182" i="23"/>
  <c r="L205" i="23"/>
  <c r="L143" i="23"/>
  <c r="L165" i="23"/>
  <c r="L187" i="23"/>
  <c r="L145" i="23"/>
  <c r="L175" i="23"/>
  <c r="L169" i="23"/>
  <c r="L142" i="23"/>
  <c r="L192" i="23"/>
  <c r="L170" i="23"/>
  <c r="L156" i="23"/>
  <c r="L150" i="23"/>
  <c r="L184" i="23"/>
  <c r="L158" i="23"/>
  <c r="L144" i="23"/>
  <c r="L191" i="23"/>
  <c r="L177" i="23"/>
  <c r="L171" i="23"/>
  <c r="L157" i="23"/>
  <c r="L166" i="23"/>
  <c r="L206" i="23"/>
  <c r="L159" i="23"/>
  <c r="H68" i="36"/>
  <c r="H59" i="36"/>
  <c r="H64" i="36"/>
  <c r="G15" i="19"/>
  <c r="Y73" i="19"/>
  <c r="H72" i="36"/>
  <c r="G10" i="19"/>
  <c r="Y68" i="19"/>
  <c r="T144" i="18"/>
  <c r="AA200" i="18" s="1"/>
  <c r="S144" i="18"/>
  <c r="S148" i="18"/>
  <c r="AA204" i="18"/>
  <c r="Y96" i="19"/>
  <c r="G38" i="19"/>
  <c r="S12" i="19"/>
  <c r="S7" i="19"/>
  <c r="S17" i="19"/>
  <c r="S145" i="18"/>
  <c r="T145" i="18"/>
  <c r="AA201" i="18" s="1"/>
  <c r="S11" i="19"/>
  <c r="S10" i="19"/>
  <c r="G24" i="19"/>
  <c r="Y82" i="19"/>
  <c r="G36" i="19"/>
  <c r="Y94" i="19"/>
  <c r="G102" i="17"/>
  <c r="AD235" i="17"/>
  <c r="G144" i="17"/>
  <c r="T118" i="17"/>
  <c r="Z76" i="19"/>
  <c r="G127" i="17"/>
  <c r="AD260" i="17"/>
  <c r="AD262" i="17"/>
  <c r="G129" i="17"/>
  <c r="T117" i="17"/>
  <c r="Z75" i="19"/>
  <c r="G69" i="20"/>
  <c r="T107" i="17"/>
  <c r="AD251" i="17"/>
  <c r="G118" i="17"/>
  <c r="S85" i="23"/>
  <c r="G117" i="23"/>
  <c r="G138" i="17"/>
  <c r="G95" i="17"/>
  <c r="G141" i="17"/>
  <c r="G108" i="23"/>
  <c r="G102" i="23"/>
  <c r="G121" i="23"/>
  <c r="AD241" i="17"/>
  <c r="G108" i="17"/>
  <c r="AD272" i="17"/>
  <c r="T96" i="17"/>
  <c r="G95" i="23"/>
  <c r="G126" i="23"/>
  <c r="G98" i="23"/>
  <c r="G125" i="23"/>
  <c r="G132" i="23"/>
  <c r="G110" i="23"/>
  <c r="Z216" i="23"/>
  <c r="G83" i="23"/>
  <c r="Z245" i="23"/>
  <c r="G112" i="23"/>
  <c r="G34" i="19"/>
  <c r="Y92" i="19"/>
  <c r="G319" i="27"/>
  <c r="G325" i="27"/>
  <c r="AC309" i="27"/>
  <c r="G306" i="27"/>
  <c r="AC308" i="27"/>
  <c r="G336" i="27"/>
  <c r="AC305" i="27"/>
  <c r="AC311" i="27"/>
  <c r="S294" i="27"/>
  <c r="G278" i="27"/>
  <c r="G367" i="27"/>
  <c r="G247" i="27"/>
  <c r="S192" i="27"/>
  <c r="AP43" i="27"/>
  <c r="S92" i="27"/>
  <c r="G63" i="27"/>
  <c r="S238" i="27"/>
  <c r="G194" i="27"/>
  <c r="G48" i="27"/>
  <c r="G9" i="27"/>
  <c r="G351" i="27"/>
  <c r="G250" i="27"/>
  <c r="S191" i="27"/>
  <c r="S163" i="27"/>
  <c r="G53" i="27"/>
  <c r="S324" i="27"/>
  <c r="S226" i="27"/>
  <c r="G141" i="27"/>
  <c r="S153" i="27"/>
  <c r="S34" i="27"/>
  <c r="S250" i="27"/>
  <c r="G206" i="27"/>
  <c r="S111" i="27"/>
  <c r="AC54" i="27"/>
  <c r="G12" i="27"/>
  <c r="G291" i="27"/>
  <c r="S196" i="27"/>
  <c r="G169" i="27"/>
  <c r="AC49" i="27"/>
  <c r="G366" i="27"/>
  <c r="G226" i="27"/>
  <c r="G139" i="27"/>
  <c r="AL28" i="27"/>
  <c r="G106" i="27"/>
  <c r="G20" i="27"/>
  <c r="S237" i="27"/>
  <c r="S154" i="27"/>
  <c r="S81" i="27"/>
  <c r="S334" i="27"/>
  <c r="S236" i="27"/>
  <c r="G168" i="27"/>
  <c r="AC178" i="27"/>
  <c r="S80" i="27"/>
  <c r="G363" i="27"/>
  <c r="S254" i="27"/>
  <c r="G177" i="27"/>
  <c r="G82" i="27"/>
  <c r="S39" i="27"/>
  <c r="S325" i="27"/>
  <c r="S223" i="27"/>
  <c r="S193" i="27"/>
  <c r="AJ29" i="27"/>
  <c r="G140" i="27"/>
  <c r="S93" i="27"/>
  <c r="S168" i="27"/>
  <c r="S40" i="27"/>
  <c r="G310" i="27"/>
  <c r="G197" i="27"/>
  <c r="G105" i="27"/>
  <c r="S65" i="27"/>
  <c r="S64" i="27"/>
  <c r="AJ28" i="27"/>
  <c r="G362" i="27"/>
  <c r="G207" i="27"/>
  <c r="AJ44" i="27"/>
  <c r="AC180" i="27"/>
  <c r="S110" i="27"/>
  <c r="G26" i="27"/>
  <c r="G10" i="27"/>
  <c r="S195" i="27"/>
  <c r="S83" i="27"/>
  <c r="S282" i="27"/>
  <c r="G225" i="27"/>
  <c r="G182" i="27"/>
  <c r="G81" i="27"/>
  <c r="AC52" i="27"/>
  <c r="S247" i="27"/>
  <c r="AR29" i="27"/>
  <c r="G221" i="27"/>
  <c r="S152" i="27"/>
  <c r="S38" i="27"/>
  <c r="S22" i="19"/>
  <c r="Y81" i="19"/>
  <c r="G23" i="19"/>
  <c r="G72" i="18"/>
  <c r="S112" i="21"/>
  <c r="T23" i="17"/>
  <c r="T39" i="17"/>
  <c r="T24" i="17"/>
  <c r="T40" i="17"/>
  <c r="T17" i="17"/>
  <c r="T33" i="17"/>
  <c r="T9" i="17"/>
  <c r="T18" i="17"/>
  <c r="T34" i="17"/>
  <c r="G59" i="17"/>
  <c r="AB241" i="17"/>
  <c r="G21" i="17"/>
  <c r="G52" i="17"/>
  <c r="T27" i="17"/>
  <c r="T43" i="17"/>
  <c r="T28" i="17"/>
  <c r="T44" i="17"/>
  <c r="T21" i="17"/>
  <c r="T37" i="17"/>
  <c r="T6" i="17"/>
  <c r="T11" i="17"/>
  <c r="T22" i="17"/>
  <c r="T38" i="17"/>
  <c r="AB257" i="17"/>
  <c r="G37" i="17"/>
  <c r="AB239" i="17"/>
  <c r="G19" i="17"/>
  <c r="G50" i="17"/>
  <c r="G82" i="17"/>
  <c r="AC271" i="17"/>
  <c r="T69" i="17"/>
  <c r="AB230" i="17"/>
  <c r="G10" i="17"/>
  <c r="T49" i="17"/>
  <c r="G47" i="17"/>
  <c r="T48" i="17"/>
  <c r="G69" i="17"/>
  <c r="AB271" i="17"/>
  <c r="T81" i="17"/>
  <c r="T55" i="17"/>
  <c r="G68" i="17"/>
  <c r="AB270" i="17"/>
  <c r="G43" i="17"/>
  <c r="AB263" i="17"/>
  <c r="G42" i="17"/>
  <c r="AB262" i="17"/>
  <c r="T80" i="17"/>
  <c r="AB260" i="17"/>
  <c r="G40" i="17"/>
  <c r="T72" i="17"/>
  <c r="T52" i="17"/>
  <c r="AB249" i="17"/>
  <c r="G29" i="17"/>
  <c r="G72" i="17"/>
  <c r="T58" i="17"/>
  <c r="G71" i="17"/>
  <c r="AB273" i="17"/>
  <c r="G16" i="17"/>
  <c r="AB236" i="17"/>
  <c r="T57" i="17"/>
  <c r="AC273" i="17"/>
  <c r="T71" i="17"/>
  <c r="T47" i="17"/>
  <c r="G34" i="17"/>
  <c r="AB254" i="17"/>
  <c r="AB251" i="17"/>
  <c r="G31" i="17"/>
  <c r="T82" i="17"/>
  <c r="T59" i="17"/>
  <c r="G81" i="17"/>
  <c r="G49" i="17"/>
  <c r="G25" i="17"/>
  <c r="AB245" i="17"/>
  <c r="G36" i="17"/>
  <c r="AB256" i="17"/>
  <c r="G80" i="17"/>
  <c r="AB258" i="17"/>
  <c r="G38" i="17"/>
  <c r="AB242" i="17"/>
  <c r="G22" i="17"/>
  <c r="T51" i="17"/>
  <c r="G17" i="17"/>
  <c r="AB237" i="17"/>
  <c r="G85" i="17"/>
  <c r="G57" i="17"/>
  <c r="G39" i="17"/>
  <c r="AB259" i="17"/>
  <c r="AB247" i="17"/>
  <c r="G27" i="17"/>
  <c r="AC313" i="21"/>
  <c r="G168" i="21"/>
  <c r="G222" i="21"/>
  <c r="S253" i="21"/>
  <c r="G185" i="21"/>
  <c r="S280" i="21"/>
  <c r="G358" i="21"/>
  <c r="G311" i="21"/>
  <c r="G139" i="21"/>
  <c r="G192" i="21"/>
  <c r="S242" i="21"/>
  <c r="G182" i="21"/>
  <c r="G235" i="21"/>
  <c r="G310" i="21"/>
  <c r="S297" i="21"/>
  <c r="G137" i="21"/>
  <c r="G167" i="21"/>
  <c r="G209" i="21"/>
  <c r="S249" i="21"/>
  <c r="G155" i="21"/>
  <c r="G226" i="21"/>
  <c r="S273" i="21"/>
  <c r="S313" i="21"/>
  <c r="S299" i="21"/>
  <c r="S136" i="21"/>
  <c r="S181" i="21"/>
  <c r="G241" i="21"/>
  <c r="S178" i="21"/>
  <c r="S225" i="21"/>
  <c r="G286" i="21"/>
  <c r="S270" i="21"/>
  <c r="G325" i="21"/>
  <c r="G353" i="21"/>
  <c r="G384" i="21"/>
  <c r="S356" i="21"/>
  <c r="S179" i="21"/>
  <c r="S241" i="21"/>
  <c r="S180" i="21"/>
  <c r="G199" i="21"/>
  <c r="S309" i="21"/>
  <c r="S295" i="21"/>
  <c r="S323" i="21"/>
  <c r="S369" i="21"/>
  <c r="S141" i="21"/>
  <c r="G184" i="21"/>
  <c r="G249" i="21"/>
  <c r="S185" i="21"/>
  <c r="G282" i="21"/>
  <c r="G281" i="21"/>
  <c r="G313" i="21"/>
  <c r="G343" i="21"/>
  <c r="G382" i="21"/>
  <c r="S385" i="21"/>
  <c r="S164" i="21"/>
  <c r="S182" i="21"/>
  <c r="S223" i="21"/>
  <c r="S150" i="21"/>
  <c r="S195" i="21"/>
  <c r="G294" i="21"/>
  <c r="S266" i="21"/>
  <c r="AC314" i="21"/>
  <c r="G355" i="21"/>
  <c r="AC309" i="21"/>
  <c r="G381" i="21"/>
  <c r="S383" i="21"/>
  <c r="AC179" i="21"/>
  <c r="G240" i="21"/>
  <c r="S157" i="21"/>
  <c r="S226" i="21"/>
  <c r="G284" i="21"/>
  <c r="G283" i="21"/>
  <c r="G328" i="21"/>
  <c r="G370" i="21"/>
  <c r="S152" i="21"/>
  <c r="S37" i="21"/>
  <c r="S7" i="21"/>
  <c r="S67" i="21"/>
  <c r="G41" i="21"/>
  <c r="S53" i="21"/>
  <c r="S109" i="21"/>
  <c r="G80" i="21"/>
  <c r="S10" i="21"/>
  <c r="S82" i="21"/>
  <c r="G110" i="21"/>
  <c r="S94" i="21"/>
  <c r="AC53" i="21"/>
  <c r="G54" i="21"/>
  <c r="S12" i="21"/>
  <c r="G126" i="21"/>
  <c r="G65" i="21"/>
  <c r="S27" i="21"/>
  <c r="G69" i="21"/>
  <c r="G11" i="21"/>
  <c r="S83" i="21"/>
  <c r="G91" i="21"/>
  <c r="G95" i="21"/>
  <c r="G78" i="21"/>
  <c r="S122" i="21"/>
  <c r="G6" i="21"/>
  <c r="G50" i="21"/>
  <c r="G125" i="21"/>
  <c r="S34" i="21"/>
  <c r="S110" i="21"/>
  <c r="G39" i="21"/>
  <c r="S49" i="21"/>
  <c r="S108" i="21"/>
  <c r="S38" i="21"/>
  <c r="AD255" i="17"/>
  <c r="G122" i="17"/>
  <c r="AD259" i="17"/>
  <c r="G126" i="17"/>
  <c r="S70" i="18"/>
  <c r="Y203" i="18"/>
  <c r="G133" i="17"/>
  <c r="G134" i="17"/>
  <c r="Y79" i="19"/>
  <c r="G21" i="19"/>
  <c r="G129" i="23"/>
  <c r="H69" i="36"/>
  <c r="H60" i="36"/>
  <c r="H65" i="36"/>
  <c r="G68" i="18"/>
  <c r="X201" i="18"/>
  <c r="H73" i="36"/>
  <c r="G19" i="19"/>
  <c r="Y77" i="19"/>
  <c r="S72" i="18"/>
  <c r="Y93" i="19"/>
  <c r="G35" i="19"/>
  <c r="X202" i="18"/>
  <c r="G69" i="18"/>
  <c r="S68" i="18"/>
  <c r="Y201" i="18"/>
  <c r="G70" i="18"/>
  <c r="S20" i="19"/>
  <c r="G11" i="19"/>
  <c r="Y69" i="19"/>
  <c r="S9" i="19"/>
  <c r="S67" i="18"/>
  <c r="Y200" i="18"/>
  <c r="G39" i="19"/>
  <c r="Y97" i="19"/>
  <c r="G33" i="19"/>
  <c r="Y91" i="19"/>
  <c r="S16" i="19"/>
  <c r="S14" i="19"/>
  <c r="Y84" i="19"/>
  <c r="G26" i="19"/>
  <c r="G100" i="17"/>
  <c r="AD243" i="17"/>
  <c r="G110" i="17"/>
  <c r="G111" i="17"/>
  <c r="AD244" i="17"/>
  <c r="T119" i="17"/>
  <c r="Z77" i="19"/>
  <c r="T108" i="17"/>
  <c r="G143" i="17"/>
  <c r="T111" i="17"/>
  <c r="T114" i="17"/>
  <c r="Z72" i="19"/>
  <c r="G67" i="20"/>
  <c r="Z74" i="19"/>
  <c r="T116" i="17"/>
  <c r="G72" i="20"/>
  <c r="G93" i="23"/>
  <c r="G124" i="23"/>
  <c r="G137" i="17"/>
  <c r="G123" i="17"/>
  <c r="AD256" i="17"/>
  <c r="G123" i="23"/>
  <c r="G120" i="17"/>
  <c r="AD253" i="17"/>
  <c r="G68" i="20"/>
  <c r="G118" i="23"/>
  <c r="G128" i="23"/>
  <c r="AD248" i="17"/>
  <c r="G115" i="17"/>
  <c r="G109" i="17"/>
  <c r="AD242" i="17"/>
  <c r="G133" i="23"/>
  <c r="G103" i="23"/>
  <c r="S81" i="23"/>
  <c r="Z257" i="23"/>
  <c r="G84" i="23"/>
  <c r="G85" i="23"/>
  <c r="G93" i="17"/>
  <c r="AD226" i="17"/>
  <c r="G70" i="20"/>
  <c r="G88" i="23"/>
  <c r="AD254" i="17"/>
  <c r="G121" i="17"/>
  <c r="S123" i="21"/>
  <c r="G293" i="27"/>
  <c r="G333" i="27"/>
  <c r="AN30" i="27"/>
  <c r="G321" i="27"/>
  <c r="G305" i="27"/>
  <c r="G320" i="27"/>
  <c r="G298" i="27"/>
  <c r="G312" i="27"/>
  <c r="G281" i="27"/>
  <c r="G267" i="27"/>
  <c r="G283" i="27"/>
  <c r="S326" i="27"/>
  <c r="S234" i="27"/>
  <c r="G154" i="27"/>
  <c r="S167" i="27"/>
  <c r="AC51" i="27"/>
  <c r="S252" i="27"/>
  <c r="G208" i="27"/>
  <c r="S125" i="27"/>
  <c r="G96" i="27"/>
  <c r="S66" i="27"/>
  <c r="S283" i="27"/>
  <c r="G150" i="27"/>
  <c r="G55" i="27"/>
  <c r="S26" i="27"/>
  <c r="S297" i="27"/>
  <c r="S212" i="27"/>
  <c r="S164" i="27"/>
  <c r="S90" i="27"/>
  <c r="G65" i="27"/>
  <c r="G220" i="27"/>
  <c r="G180" i="27"/>
  <c r="S151" i="27"/>
  <c r="AL44" i="27"/>
  <c r="G27" i="27"/>
  <c r="S335" i="27"/>
  <c r="S280" i="27"/>
  <c r="S210" i="27"/>
  <c r="G110" i="27"/>
  <c r="S82" i="27"/>
  <c r="G67" i="27"/>
  <c r="S277" i="27"/>
  <c r="S156" i="27"/>
  <c r="G108" i="27"/>
  <c r="AN43" i="27"/>
  <c r="S36" i="27"/>
  <c r="G350" i="27"/>
  <c r="G240" i="27"/>
  <c r="S170" i="27"/>
  <c r="G21" i="27"/>
  <c r="S320" i="27"/>
  <c r="S222" i="27"/>
  <c r="AC184" i="27"/>
  <c r="S122" i="27"/>
  <c r="G41" i="27"/>
  <c r="G340" i="27"/>
  <c r="G354" i="27"/>
  <c r="G224" i="27"/>
  <c r="G121" i="27"/>
  <c r="S165" i="27"/>
  <c r="AN44" i="27"/>
  <c r="G34" i="27"/>
  <c r="G353" i="27"/>
  <c r="S337" i="27"/>
  <c r="S211" i="27"/>
  <c r="G164" i="27"/>
  <c r="G151" i="27"/>
  <c r="AL14" i="27"/>
  <c r="S107" i="27"/>
  <c r="S24" i="27"/>
  <c r="G337" i="27"/>
  <c r="G181" i="27"/>
  <c r="S97" i="27"/>
  <c r="G209" i="27"/>
  <c r="S166" i="27"/>
  <c r="G91" i="27"/>
  <c r="S35" i="27"/>
  <c r="S321" i="27"/>
  <c r="G211" i="27"/>
  <c r="G156" i="27"/>
  <c r="S169" i="27"/>
  <c r="G79" i="27"/>
  <c r="G49" i="27"/>
  <c r="AP44" i="27"/>
  <c r="S221" i="27"/>
  <c r="G39" i="27"/>
  <c r="G36" i="27"/>
  <c r="AN13" i="27"/>
  <c r="G237" i="27"/>
  <c r="G111" i="27"/>
  <c r="S124" i="27"/>
  <c r="S69" i="27"/>
  <c r="S78" i="27"/>
  <c r="AR13" i="27"/>
  <c r="S296" i="27"/>
  <c r="G233" i="27"/>
  <c r="G125" i="27"/>
  <c r="G142" i="27"/>
  <c r="G35" i="27"/>
  <c r="S77" i="27"/>
  <c r="G268" i="27"/>
  <c r="S84" i="23"/>
  <c r="S8" i="19"/>
  <c r="T115" i="17"/>
  <c r="Z73" i="19"/>
  <c r="Y75" i="19"/>
  <c r="G17" i="19"/>
  <c r="P41" i="33" l="1"/>
  <c r="E18" i="36"/>
  <c r="E12" i="36"/>
  <c r="E7" i="36"/>
  <c r="R31" i="33"/>
  <c r="Q38" i="33"/>
  <c r="R45" i="33"/>
  <c r="E20" i="36"/>
  <c r="R37" i="33"/>
  <c r="Q45" i="33"/>
  <c r="P45" i="33"/>
  <c r="R22" i="33"/>
  <c r="E22" i="36"/>
  <c r="E9" i="36"/>
  <c r="E8" i="36"/>
  <c r="E10" i="36"/>
  <c r="P13" i="33"/>
  <c r="P22" i="33"/>
  <c r="R10" i="33"/>
  <c r="Q11" i="33"/>
  <c r="P14" i="33"/>
  <c r="P17" i="33"/>
  <c r="P10" i="33"/>
  <c r="R36" i="33"/>
  <c r="Q17" i="33"/>
  <c r="P31" i="33"/>
  <c r="E16" i="36"/>
  <c r="R12" i="33"/>
  <c r="P38" i="33"/>
  <c r="P44" i="33"/>
  <c r="R34" i="33"/>
  <c r="E19" i="36"/>
  <c r="E23" i="36"/>
  <c r="E15" i="36"/>
  <c r="Q34" i="33"/>
  <c r="P42" i="33"/>
  <c r="Q22" i="33"/>
  <c r="Q6" i="33"/>
  <c r="R43" i="33"/>
  <c r="Q15" i="33"/>
  <c r="P40" i="33"/>
  <c r="P12" i="33"/>
  <c r="P16" i="33"/>
  <c r="Q12" i="33"/>
  <c r="P36" i="33"/>
  <c r="E21" i="36"/>
  <c r="E13" i="36"/>
  <c r="Q14" i="33"/>
  <c r="Q40" i="33"/>
  <c r="Q39" i="33"/>
  <c r="P39" i="33"/>
  <c r="P15" i="33"/>
  <c r="P18" i="33"/>
  <c r="P33" i="33"/>
  <c r="R46" i="33"/>
  <c r="Q18" i="33"/>
  <c r="P30" i="33"/>
  <c r="R21" i="33"/>
  <c r="P34" i="33"/>
  <c r="Q10" i="33"/>
  <c r="R30" i="33"/>
  <c r="R8" i="33"/>
  <c r="Q21" i="33"/>
  <c r="R7" i="33"/>
  <c r="P43" i="33"/>
  <c r="P9" i="33"/>
  <c r="R20" i="33"/>
  <c r="P21" i="33"/>
  <c r="Q9" i="33"/>
  <c r="Q13" i="33"/>
  <c r="Q43" i="33"/>
  <c r="P46" i="33"/>
  <c r="R9" i="33"/>
  <c r="Q19" i="33"/>
  <c r="Q8" i="33"/>
  <c r="R35" i="33"/>
  <c r="P35" i="33"/>
  <c r="P8" i="33"/>
  <c r="P32" i="33"/>
  <c r="R33" i="33"/>
  <c r="R6" i="33"/>
  <c r="R19" i="33"/>
  <c r="P7" i="33"/>
  <c r="Q46" i="33"/>
  <c r="P11" i="33"/>
  <c r="P6" i="33"/>
  <c r="Q42" i="33"/>
  <c r="Q36" i="33"/>
  <c r="Q41" i="33"/>
  <c r="R38" i="33"/>
  <c r="P37" i="33"/>
  <c r="R15" i="33"/>
  <c r="R39" i="33"/>
  <c r="Q16" i="33"/>
  <c r="R40" i="33"/>
  <c r="R16" i="33"/>
  <c r="Q35" i="33"/>
  <c r="R13" i="33"/>
  <c r="Q7" i="33"/>
  <c r="R41" i="33"/>
  <c r="Q31" i="33"/>
  <c r="Q32" i="33"/>
  <c r="R17" i="33"/>
  <c r="P19" i="33"/>
  <c r="R44" i="33"/>
  <c r="Q30" i="33"/>
  <c r="R14" i="33"/>
  <c r="R42" i="33"/>
  <c r="P20" i="33"/>
  <c r="R32" i="33"/>
  <c r="Q37" i="33"/>
  <c r="Q33" i="33"/>
  <c r="R18" i="33"/>
  <c r="AP75" i="21"/>
  <c r="AP74" i="21"/>
  <c r="E17" i="36"/>
  <c r="Q20" i="33"/>
  <c r="M56" i="23"/>
  <c r="M49" i="23"/>
  <c r="M12" i="23"/>
  <c r="Q12" i="26" s="1"/>
  <c r="M24" i="23"/>
  <c r="Q24" i="26" s="1"/>
  <c r="M28" i="23"/>
  <c r="AH20" i="24" s="1"/>
  <c r="M26" i="23"/>
  <c r="Q26" i="26" s="1"/>
  <c r="M15" i="23"/>
  <c r="AA222" i="23" s="1"/>
  <c r="M11" i="23"/>
  <c r="Q11" i="26" s="1"/>
  <c r="R11" i="33"/>
  <c r="Q44" i="33"/>
  <c r="M67" i="23"/>
  <c r="AA256" i="23" s="1"/>
  <c r="M59" i="23"/>
  <c r="M32" i="23"/>
  <c r="AH30" i="24" s="1"/>
  <c r="M40" i="23"/>
  <c r="Q40" i="26" s="1"/>
  <c r="M68" i="23"/>
  <c r="AA257" i="23" s="1"/>
  <c r="M18" i="23"/>
  <c r="AA225" i="23" s="1"/>
  <c r="K38" i="17"/>
  <c r="N38" i="20" s="1"/>
  <c r="AC258" i="17"/>
  <c r="K22" i="17"/>
  <c r="N22" i="20" s="1"/>
  <c r="AC242" i="17"/>
  <c r="K11" i="17"/>
  <c r="N11" i="20" s="1"/>
  <c r="AC231" i="17"/>
  <c r="AC226" i="17"/>
  <c r="K6" i="17"/>
  <c r="N6" i="20" s="1"/>
  <c r="AC257" i="17"/>
  <c r="K37" i="17"/>
  <c r="N37" i="20" s="1"/>
  <c r="AC241" i="17"/>
  <c r="K21" i="17"/>
  <c r="N21" i="20" s="1"/>
  <c r="AC264" i="17"/>
  <c r="K44" i="17"/>
  <c r="N44" i="20" s="1"/>
  <c r="AC248" i="17"/>
  <c r="K28" i="17"/>
  <c r="N28" i="20" s="1"/>
  <c r="AC263" i="17"/>
  <c r="K43" i="17"/>
  <c r="N43" i="20" s="1"/>
  <c r="AC247" i="17"/>
  <c r="K27" i="17"/>
  <c r="N27" i="20" s="1"/>
  <c r="AC254" i="17"/>
  <c r="K34" i="17"/>
  <c r="N34" i="20" s="1"/>
  <c r="AC238" i="17"/>
  <c r="K18" i="17"/>
  <c r="N18" i="20" s="1"/>
  <c r="AC229" i="17"/>
  <c r="K9" i="17"/>
  <c r="N9" i="20" s="1"/>
  <c r="AC253" i="17"/>
  <c r="K33" i="17"/>
  <c r="N33" i="20" s="1"/>
  <c r="AC237" i="17"/>
  <c r="K17" i="17"/>
  <c r="N17" i="20" s="1"/>
  <c r="AC260" i="17"/>
  <c r="K40" i="17"/>
  <c r="N40" i="20" s="1"/>
  <c r="AC244" i="17"/>
  <c r="K24" i="17"/>
  <c r="N24" i="20" s="1"/>
  <c r="AC259" i="17"/>
  <c r="K39" i="17"/>
  <c r="N39" i="20" s="1"/>
  <c r="AC243" i="17"/>
  <c r="K23" i="17"/>
  <c r="N23" i="20" s="1"/>
  <c r="M54" i="23"/>
  <c r="M16" i="23"/>
  <c r="M35" i="23"/>
  <c r="M39" i="23"/>
  <c r="M48" i="23"/>
  <c r="M7" i="23"/>
  <c r="M27" i="23"/>
  <c r="M19" i="23"/>
  <c r="AC228" i="17"/>
  <c r="K8" i="17"/>
  <c r="N8" i="20" s="1"/>
  <c r="K30" i="17"/>
  <c r="N30" i="20" s="1"/>
  <c r="AC250" i="17"/>
  <c r="K14" i="17"/>
  <c r="N14" i="20" s="1"/>
  <c r="AC234" i="17"/>
  <c r="K7" i="17"/>
  <c r="N7" i="20" s="1"/>
  <c r="AC227" i="17"/>
  <c r="AC265" i="17"/>
  <c r="K45" i="17"/>
  <c r="N45" i="20" s="1"/>
  <c r="AC249" i="17"/>
  <c r="K29" i="17"/>
  <c r="N29" i="20" s="1"/>
  <c r="AC233" i="17"/>
  <c r="K13" i="17"/>
  <c r="N13" i="20" s="1"/>
  <c r="AC256" i="17"/>
  <c r="K36" i="17"/>
  <c r="N36" i="20" s="1"/>
  <c r="AC240" i="17"/>
  <c r="K20" i="17"/>
  <c r="N20" i="20" s="1"/>
  <c r="AC255" i="17"/>
  <c r="K35" i="17"/>
  <c r="N35" i="20" s="1"/>
  <c r="AC239" i="17"/>
  <c r="K19" i="17"/>
  <c r="N19" i="20" s="1"/>
  <c r="AC262" i="17"/>
  <c r="K42" i="17"/>
  <c r="N42" i="20" s="1"/>
  <c r="AC246" i="17"/>
  <c r="K26" i="17"/>
  <c r="N26" i="20" s="1"/>
  <c r="AC230" i="17"/>
  <c r="K10" i="17"/>
  <c r="N10" i="20" s="1"/>
  <c r="AC261" i="17"/>
  <c r="K41" i="17"/>
  <c r="N41" i="20" s="1"/>
  <c r="AC245" i="17"/>
  <c r="K25" i="17"/>
  <c r="N25" i="20" s="1"/>
  <c r="AC232" i="17"/>
  <c r="K12" i="17"/>
  <c r="N12" i="20" s="1"/>
  <c r="AC252" i="17"/>
  <c r="K32" i="17"/>
  <c r="N32" i="20" s="1"/>
  <c r="AC236" i="17"/>
  <c r="K16" i="17"/>
  <c r="N16" i="20" s="1"/>
  <c r="AC251" i="17"/>
  <c r="K31" i="17"/>
  <c r="N31" i="20" s="1"/>
  <c r="AC235" i="17"/>
  <c r="K15" i="17"/>
  <c r="N15" i="20" s="1"/>
  <c r="M71" i="23"/>
  <c r="AA260" i="23" s="1"/>
  <c r="M70" i="23"/>
  <c r="AA259" i="23" s="1"/>
  <c r="M30" i="23"/>
  <c r="M33" i="23"/>
  <c r="M23" i="23"/>
  <c r="M21" i="23"/>
  <c r="M38" i="23"/>
  <c r="M43" i="23"/>
  <c r="M58" i="23"/>
  <c r="M22" i="23"/>
  <c r="M51" i="23"/>
  <c r="M46" i="23"/>
  <c r="M37" i="23"/>
  <c r="M6" i="23"/>
  <c r="M13" i="23"/>
  <c r="M20" i="23"/>
  <c r="M41" i="23"/>
  <c r="M45" i="23"/>
  <c r="M9" i="23"/>
  <c r="M52" i="23"/>
  <c r="M47" i="23"/>
  <c r="M57" i="23"/>
  <c r="M10" i="23"/>
  <c r="M69" i="23"/>
  <c r="AA258" i="23" s="1"/>
  <c r="M72" i="23"/>
  <c r="M55" i="23"/>
  <c r="M17" i="23"/>
  <c r="M34" i="23"/>
  <c r="M42" i="23"/>
  <c r="M8" i="23"/>
  <c r="M44" i="23"/>
  <c r="M50" i="23"/>
  <c r="M29" i="23"/>
  <c r="M53" i="23"/>
  <c r="M31" i="23"/>
  <c r="M36" i="23"/>
  <c r="M25" i="23"/>
  <c r="M14" i="23"/>
  <c r="R86" i="25" l="1"/>
  <c r="AA233" i="23"/>
  <c r="AA239" i="23"/>
  <c r="Q15" i="26"/>
  <c r="AH26" i="24"/>
  <c r="AA219" i="23"/>
  <c r="AH14" i="24"/>
  <c r="AA218" i="23"/>
  <c r="R87" i="25"/>
  <c r="AH24" i="24"/>
  <c r="AH10" i="24"/>
  <c r="AA235" i="23"/>
  <c r="AH56" i="24"/>
  <c r="AH50" i="24"/>
  <c r="Q32" i="26"/>
  <c r="AH18" i="24"/>
  <c r="AH60" i="24"/>
  <c r="R90" i="25"/>
  <c r="AH44" i="24"/>
  <c r="AH37" i="24"/>
  <c r="AH31" i="24"/>
  <c r="Q28" i="26"/>
  <c r="AA231" i="23"/>
  <c r="AA247" i="23"/>
  <c r="AH48" i="24"/>
  <c r="AH41" i="24"/>
  <c r="AH35" i="24"/>
  <c r="AH54" i="24"/>
  <c r="Q18" i="26"/>
  <c r="AH9" i="24"/>
  <c r="Q14" i="26"/>
  <c r="R89" i="25"/>
  <c r="AA221" i="23"/>
  <c r="AA250" i="23"/>
  <c r="Q43" i="26"/>
  <c r="AH49" i="24"/>
  <c r="AH42" i="24"/>
  <c r="AH61" i="24"/>
  <c r="AH55" i="24"/>
  <c r="Q33" i="26"/>
  <c r="AA240" i="23"/>
  <c r="AH36" i="24"/>
  <c r="Q19" i="26"/>
  <c r="AA226" i="23"/>
  <c r="AA214" i="23"/>
  <c r="Q7" i="26"/>
  <c r="Q39" i="26"/>
  <c r="AA246" i="23"/>
  <c r="R91" i="25"/>
  <c r="Q16" i="26"/>
  <c r="AH11" i="24"/>
  <c r="AA223" i="23"/>
  <c r="AA243" i="23"/>
  <c r="Q36" i="26"/>
  <c r="AA215" i="23"/>
  <c r="Q8" i="26"/>
  <c r="Q34" i="26"/>
  <c r="AA241" i="23"/>
  <c r="Q9" i="26"/>
  <c r="AA216" i="23"/>
  <c r="Q41" i="26"/>
  <c r="AA248" i="23"/>
  <c r="Q20" i="26"/>
  <c r="AA227" i="23"/>
  <c r="R82" i="25"/>
  <c r="AA213" i="23"/>
  <c r="Q6" i="26"/>
  <c r="AA229" i="23"/>
  <c r="Q22" i="26"/>
  <c r="R84" i="25"/>
  <c r="Q21" i="26"/>
  <c r="AA228" i="23"/>
  <c r="R83" i="25"/>
  <c r="Q25" i="26"/>
  <c r="AA232" i="23"/>
  <c r="AH59" i="24"/>
  <c r="AH17" i="24"/>
  <c r="AH29" i="24"/>
  <c r="AH47" i="24"/>
  <c r="AH53" i="24"/>
  <c r="Q31" i="26"/>
  <c r="AH40" i="24"/>
  <c r="AA238" i="23"/>
  <c r="AH23" i="24"/>
  <c r="AH34" i="24"/>
  <c r="AA236" i="23"/>
  <c r="AH38" i="24"/>
  <c r="AH21" i="24"/>
  <c r="AH32" i="24"/>
  <c r="Q29" i="26"/>
  <c r="AH15" i="24"/>
  <c r="AH45" i="24"/>
  <c r="AH51" i="24"/>
  <c r="AH57" i="24"/>
  <c r="AH27" i="24"/>
  <c r="Q44" i="26"/>
  <c r="AA251" i="23"/>
  <c r="AA249" i="23"/>
  <c r="Q42" i="26"/>
  <c r="Q17" i="26"/>
  <c r="AA224" i="23"/>
  <c r="AH12" i="24"/>
  <c r="R92" i="25"/>
  <c r="AA217" i="23"/>
  <c r="Q10" i="26"/>
  <c r="AA252" i="23"/>
  <c r="Q45" i="26"/>
  <c r="AH8" i="24"/>
  <c r="R88" i="25"/>
  <c r="AA220" i="23"/>
  <c r="Q13" i="26"/>
  <c r="Q37" i="26"/>
  <c r="AA244" i="23"/>
  <c r="Q38" i="26"/>
  <c r="AA245" i="23"/>
  <c r="AA230" i="23"/>
  <c r="Q23" i="26"/>
  <c r="R85" i="25"/>
  <c r="AH58" i="24"/>
  <c r="AH22" i="24"/>
  <c r="AH52" i="24"/>
  <c r="AH28" i="24"/>
  <c r="Q30" i="26"/>
  <c r="AA237" i="23"/>
  <c r="AH46" i="24"/>
  <c r="AH39" i="24"/>
  <c r="AH16" i="24"/>
  <c r="AH33" i="24"/>
  <c r="AH19" i="24"/>
  <c r="Q27" i="26"/>
  <c r="AH13" i="24"/>
  <c r="AA234" i="23"/>
  <c r="AA242" i="23"/>
  <c r="Q35" i="26"/>
</calcChain>
</file>

<file path=xl/sharedStrings.xml><?xml version="1.0" encoding="utf-8"?>
<sst xmlns="http://schemas.openxmlformats.org/spreadsheetml/2006/main" count="5722" uniqueCount="1058">
  <si>
    <t xml:space="preserve">MARCO CORREDIZA </t>
  </si>
  <si>
    <t>ZOCALO CORREDIZA</t>
  </si>
  <si>
    <t>LATERAL CORREDIZA</t>
  </si>
  <si>
    <t>CENTRAL CORREDIZA</t>
  </si>
  <si>
    <t>H4/4901</t>
  </si>
  <si>
    <t>H4/4902</t>
  </si>
  <si>
    <t>H4/1903</t>
  </si>
  <si>
    <t>H4/1904</t>
  </si>
  <si>
    <t>ZOCALO ALTO</t>
  </si>
  <si>
    <t>H4/1044</t>
  </si>
  <si>
    <t>UMBRAL CORREDIZA</t>
  </si>
  <si>
    <t>H4/1017</t>
  </si>
  <si>
    <t>CONTRAVIDRIO</t>
  </si>
  <si>
    <t>H4/1008</t>
  </si>
  <si>
    <t>H4/1861</t>
  </si>
  <si>
    <t>MARCO FINO</t>
  </si>
  <si>
    <t>MARCO POSTIGO</t>
  </si>
  <si>
    <t>MARCO PUERTA 36</t>
  </si>
  <si>
    <t>H4/1821</t>
  </si>
  <si>
    <t>H4/1820</t>
  </si>
  <si>
    <t>H4/1577</t>
  </si>
  <si>
    <t>MARCO POSTIGO FINO</t>
  </si>
  <si>
    <t>H4/1178</t>
  </si>
  <si>
    <t>PARANTE DE POSTIGO</t>
  </si>
  <si>
    <t>H4/1006</t>
  </si>
  <si>
    <t>MOSQUTERO MEDIANITO</t>
  </si>
  <si>
    <t>H4/1090</t>
  </si>
  <si>
    <t>TRAVESAÑO MOSQUITERO</t>
  </si>
  <si>
    <t>H4/1907</t>
  </si>
  <si>
    <t xml:space="preserve">PAÑO FIJO </t>
  </si>
  <si>
    <t>H4/1777</t>
  </si>
  <si>
    <t>TRAVESAÑO PAÑO FIJO</t>
  </si>
  <si>
    <t>H4/1920</t>
  </si>
  <si>
    <t>GUIA PARA CORTINA COMUN</t>
  </si>
  <si>
    <t>H4/1029</t>
  </si>
  <si>
    <t xml:space="preserve">TAPA CINTA </t>
  </si>
  <si>
    <t>H4/1800/P</t>
  </si>
  <si>
    <t>REVESTIMIENTO POSTIGO</t>
  </si>
  <si>
    <t>REVESTIMIENTO ACANALADO</t>
  </si>
  <si>
    <t>H4/1688</t>
  </si>
  <si>
    <t>H4/4049</t>
  </si>
  <si>
    <t>ACOPLE</t>
  </si>
  <si>
    <t>H4/1823</t>
  </si>
  <si>
    <t>TAPA JUNTA POSTIGO</t>
  </si>
  <si>
    <t>PARANTE DE PUERTA</t>
  </si>
  <si>
    <t>H4/1179</t>
  </si>
  <si>
    <t>ZOCALO Y TRAVESAÑO DE PUERTA</t>
  </si>
  <si>
    <t>H4/1180</t>
  </si>
  <si>
    <t>PERFILERIA ALUMORENO</t>
  </si>
  <si>
    <t>Codigo</t>
  </si>
  <si>
    <t>Detalle</t>
  </si>
  <si>
    <t>VIDRIO NAZA</t>
  </si>
  <si>
    <t>FLOAT 3MM</t>
  </si>
  <si>
    <t>VIDRIO INCOLORO 3MM</t>
  </si>
  <si>
    <t>Plancha</t>
  </si>
  <si>
    <t>FLOAT 4MM</t>
  </si>
  <si>
    <t>FLOAT 5MM</t>
  </si>
  <si>
    <t>FLOAT 6MM</t>
  </si>
  <si>
    <t>VIDRIO INCOLORO 4MM</t>
  </si>
  <si>
    <t>VIDRIO INCOLORO 5MM</t>
  </si>
  <si>
    <t>VIDRIO INCOLORO 6MM</t>
  </si>
  <si>
    <t>250X360</t>
  </si>
  <si>
    <t>PRECIO KG.</t>
  </si>
  <si>
    <t>PR. X TIRA</t>
  </si>
  <si>
    <t>Kg. x Mts.</t>
  </si>
  <si>
    <t>Mts. x Tira</t>
  </si>
  <si>
    <t>Kg. x Tira</t>
  </si>
  <si>
    <t>Pr. x Mts2</t>
  </si>
  <si>
    <t>FLOAT 8MM</t>
  </si>
  <si>
    <t>FLOAT 10MM</t>
  </si>
  <si>
    <t>VIDRIO INCOLORO 8MM</t>
  </si>
  <si>
    <t>VIDRIO INCOLORO 10MM</t>
  </si>
  <si>
    <t>VIDRIO LAMINADO 3+3</t>
  </si>
  <si>
    <t>VIDRIO LAMINADO 4+4</t>
  </si>
  <si>
    <t>VIDRIO LAMINADO 5+5</t>
  </si>
  <si>
    <t>VIDRIO LAMINADO 6+6</t>
  </si>
  <si>
    <t>VIDRIO PACIFIC 4MM</t>
  </si>
  <si>
    <t>VIDRIO OPACID 4MM</t>
  </si>
  <si>
    <t>VIDRIO STIPOLITE/MARTELE 4MM</t>
  </si>
  <si>
    <t>VIDRIO OPACID 6MM</t>
  </si>
  <si>
    <t>VIDRIO FUME GRIS/BRONCE 3MM</t>
  </si>
  <si>
    <t>VIDRIO FUME GRIS/BRONCE 4MM</t>
  </si>
  <si>
    <t>VIDRIO FUME GRIS/BRONCE 5MM</t>
  </si>
  <si>
    <t>VIDRIO FUME GRIS/BRONCE 6MM</t>
  </si>
  <si>
    <t>VIDRIO FUME GRIS/BRONCE 8MM</t>
  </si>
  <si>
    <t>VIDRIO FUME GRIS/BRONCE 10MM</t>
  </si>
  <si>
    <t>VIDRIO LAMINADO GRIS/BRONCE 3+3 CLARO</t>
  </si>
  <si>
    <t>VIDRIO LAMINADO GRIS/BRONCE 4+4 CLARO</t>
  </si>
  <si>
    <t>VIDRIO LAMINADO GRIS/BRONCE 5+5 CLARO</t>
  </si>
  <si>
    <t>VIDRIO LAMINADO GRIS/BRONCE 3+3 OSCURO</t>
  </si>
  <si>
    <t>VIDRIO LAMINADO GRIS/BRONCE 4+4 OSCURO</t>
  </si>
  <si>
    <t>VIDRIO LAMINADO GRIS/BRONCE 5+5 OSCURO</t>
  </si>
  <si>
    <t>STOPSOL GRIS/BRONCE 4MM</t>
  </si>
  <si>
    <t>STOPSOL GRIS/BRONCE 6MM</t>
  </si>
  <si>
    <t>LAM3+3INC</t>
  </si>
  <si>
    <t>LAM4+4INC</t>
  </si>
  <si>
    <t>LAM5+5INC</t>
  </si>
  <si>
    <t>LAM6+6INC</t>
  </si>
  <si>
    <t>PACIFIC</t>
  </si>
  <si>
    <t>STIPOL</t>
  </si>
  <si>
    <t>OPACID4MM</t>
  </si>
  <si>
    <t>OPACID6MM</t>
  </si>
  <si>
    <t>FUM3MM</t>
  </si>
  <si>
    <t>FUM4MM</t>
  </si>
  <si>
    <t>FUM5MM</t>
  </si>
  <si>
    <t>FUM6MM</t>
  </si>
  <si>
    <t>FUM8MM</t>
  </si>
  <si>
    <t>FUM10MM</t>
  </si>
  <si>
    <t>LAM3+3CLARO</t>
  </si>
  <si>
    <t>LAM3+3OSCURO</t>
  </si>
  <si>
    <t>LAM4+4OSCURO</t>
  </si>
  <si>
    <t>LAM5+5OSCURO</t>
  </si>
  <si>
    <t>LAM4+4CLARO</t>
  </si>
  <si>
    <t>LAM5+5CLARO</t>
  </si>
  <si>
    <t>STOPSOL4MM</t>
  </si>
  <si>
    <t>STOPSOL6MM</t>
  </si>
  <si>
    <t xml:space="preserve">Ancho </t>
  </si>
  <si>
    <t>Alto</t>
  </si>
  <si>
    <t>Vidrio</t>
  </si>
  <si>
    <t>Accesorios</t>
  </si>
  <si>
    <t>M. Obra</t>
  </si>
  <si>
    <t>CTO TOTAL</t>
  </si>
  <si>
    <t>PR DE VTA</t>
  </si>
  <si>
    <t>ANTIRRUIDO N°2</t>
  </si>
  <si>
    <t>PARTE J</t>
  </si>
  <si>
    <t>MANIJA TIRADORA</t>
  </si>
  <si>
    <t>CIERRE CENTRAL ECO</t>
  </si>
  <si>
    <t>FELPA PVC 7X4,5</t>
  </si>
  <si>
    <t>ESCUADRA DE MARCO</t>
  </si>
  <si>
    <t>BURLETE UNIVERSAL</t>
  </si>
  <si>
    <t>TORNILLO 9X1 1/2</t>
  </si>
  <si>
    <t>TORNILLO PAMFRAMI 7X1/16</t>
  </si>
  <si>
    <t>FILM STREACH</t>
  </si>
  <si>
    <t>ESQUINERO CARTON CURRUGADO</t>
  </si>
  <si>
    <t>MANO DE OBRA</t>
  </si>
  <si>
    <t>MEDINA</t>
  </si>
  <si>
    <t>SILVA</t>
  </si>
  <si>
    <t>SAEZ</t>
  </si>
  <si>
    <t>CABRERA</t>
  </si>
  <si>
    <t>MANCA</t>
  </si>
  <si>
    <t>MODENA</t>
  </si>
  <si>
    <t xml:space="preserve">SERATI </t>
  </si>
  <si>
    <t>BENITEZ</t>
  </si>
  <si>
    <t>ALEJANDRO MEDIDA</t>
  </si>
  <si>
    <t>ADRIAN SILVA</t>
  </si>
  <si>
    <t>CRISTIAN SAEZ</t>
  </si>
  <si>
    <t>MATIAS CABRERA</t>
  </si>
  <si>
    <t>PABLO MANCA</t>
  </si>
  <si>
    <t>SERGIO SERATI</t>
  </si>
  <si>
    <t>CLAUDIO SERATI</t>
  </si>
  <si>
    <t>SERGIO BENITEZ</t>
  </si>
  <si>
    <t>Quincena</t>
  </si>
  <si>
    <t>$ x Hs.</t>
  </si>
  <si>
    <t>ACCESORIOS</t>
  </si>
  <si>
    <t>Proveedor</t>
  </si>
  <si>
    <t>FLEXICO</t>
  </si>
  <si>
    <t>FUMACA</t>
  </si>
  <si>
    <t>BEN</t>
  </si>
  <si>
    <t>RAESA</t>
  </si>
  <si>
    <t>GENOVESE</t>
  </si>
  <si>
    <t>ROLAND</t>
  </si>
  <si>
    <t>$ x Und</t>
  </si>
  <si>
    <t>Aluminio</t>
  </si>
  <si>
    <t>MARGEN</t>
  </si>
  <si>
    <t>$ x Dia</t>
  </si>
  <si>
    <t>RUEDA SIMPLE ECONOMICA</t>
  </si>
  <si>
    <t>RUEDA DOBLE ECONOMICA</t>
  </si>
  <si>
    <t>CLASICA CORREDIZA VIDRIO 3MM</t>
  </si>
  <si>
    <t>CLASICA CORREDIZA (BALCONES CON TRAVESAÑO) VIDRIO 3MM</t>
  </si>
  <si>
    <t>Rev. Post Ciego</t>
  </si>
  <si>
    <t>FELPA 7X4,5</t>
  </si>
  <si>
    <t>CHINGOLO H14</t>
  </si>
  <si>
    <t>ALDABA CP-5N</t>
  </si>
  <si>
    <t>CLASICA POSTIGO EN 2 HOJAS</t>
  </si>
  <si>
    <t>REVESTIMIENTO POSTIGO TROQUELADO</t>
  </si>
  <si>
    <t>CLASICA POSTIGO (BALCONES CON TRAVESAÑO) 2 HOJAS</t>
  </si>
  <si>
    <t>CLASICA POSTIGO EN 3 HOJAS</t>
  </si>
  <si>
    <t>CIERRE PZ</t>
  </si>
  <si>
    <t>RUEDA FULL SIMPLE</t>
  </si>
  <si>
    <t>RUEDA FULL DOBLE</t>
  </si>
  <si>
    <t>CLASICA POSTIGO (BALCONES CON TRAVESAÑO) 3 HOJAS</t>
  </si>
  <si>
    <t>Rev. Post Troq</t>
  </si>
  <si>
    <t>CON REVESTIMIENTO DE POSTIGO TROQUELADO</t>
  </si>
  <si>
    <t xml:space="preserve">CLASICA RAJA </t>
  </si>
  <si>
    <t xml:space="preserve">CLASICA BANDEROLA </t>
  </si>
  <si>
    <t>CLASICA PROYECTANTE</t>
  </si>
  <si>
    <t>CHINGOLO DE ALDABA H14P</t>
  </si>
  <si>
    <t>BRAZO PROYECTANTE CORTO</t>
  </si>
  <si>
    <t>BRAZO PROYECTANTE MEDIANO</t>
  </si>
  <si>
    <t>BRAZO CORTO</t>
  </si>
  <si>
    <t>BRAZO MEDIANO</t>
  </si>
  <si>
    <t>BRAZO LARGO</t>
  </si>
  <si>
    <t>CLASICA PAÑO FIJO VIDRIO 3MM</t>
  </si>
  <si>
    <t>CLASICA PAÑO FIJO CON TRAVESAÑO VIDRIO 3MM</t>
  </si>
  <si>
    <t>PUERTA MOD 1</t>
  </si>
  <si>
    <t>TORNILLO 12X3</t>
  </si>
  <si>
    <t>T100</t>
  </si>
  <si>
    <t>DAMAC</t>
  </si>
  <si>
    <t>BISAGRAS FLH1</t>
  </si>
  <si>
    <t>BISAGRAS H33</t>
  </si>
  <si>
    <t>CERRADURA CLASICA</t>
  </si>
  <si>
    <t>CERRADURA PESADA</t>
  </si>
  <si>
    <t>CERRATEX</t>
  </si>
  <si>
    <t>PUERTA MOD 2</t>
  </si>
  <si>
    <t>PUERTA MOD 3</t>
  </si>
  <si>
    <t>CLASICA CORREDIZA (BALCONES CON TRAVESAÑO Y UMBRAL TRANSITABLE) VIDRIO 3MM</t>
  </si>
  <si>
    <t>SELLADOR</t>
  </si>
  <si>
    <t>Rev. Chico</t>
  </si>
  <si>
    <t>PUERTA MOD 9</t>
  </si>
  <si>
    <t>PUERTA MOD 11</t>
  </si>
  <si>
    <t>PUERTA MOD 12</t>
  </si>
  <si>
    <t>* CON 4 VIDRIOS!!!</t>
  </si>
  <si>
    <t>PUERTA MOD 4</t>
  </si>
  <si>
    <t>PLACA DE ALUMINIO DAMAC</t>
  </si>
  <si>
    <t>PLACA</t>
  </si>
  <si>
    <t xml:space="preserve">PLACA DE ALUMINIO </t>
  </si>
  <si>
    <t>90x200</t>
  </si>
  <si>
    <t>Placa</t>
  </si>
  <si>
    <t>Precio</t>
  </si>
  <si>
    <t>PUERTA MOD 17</t>
  </si>
  <si>
    <t>PUERTA MOD 6</t>
  </si>
  <si>
    <t>* VER ALTURA Y ANCHO DE LA PLACA</t>
  </si>
  <si>
    <t>PUERTA MOD 13</t>
  </si>
  <si>
    <t>PUERTA MOD 8</t>
  </si>
  <si>
    <t>PUERTA MOD 10 BIS</t>
  </si>
  <si>
    <t>PUERTA MOD 10</t>
  </si>
  <si>
    <t>PUERTA MOD 7</t>
  </si>
  <si>
    <t>PUERTA MOD 5</t>
  </si>
  <si>
    <t>PUERTA MOD 14</t>
  </si>
  <si>
    <t>PUERTA MOD 15</t>
  </si>
  <si>
    <t>PUERTA MOD 16</t>
  </si>
  <si>
    <t>CUÑA MULTI</t>
  </si>
  <si>
    <t>CUÑA N° 10</t>
  </si>
  <si>
    <t>CLASICA CORREDIZA VIDRIO 3MM CON GUIA</t>
  </si>
  <si>
    <t>CLASICA CORREDIZA (BALCONES CON TRAVESAÑO) VIDRIO 3MM CON GUIA</t>
  </si>
  <si>
    <t>CLASICA CORREDIZA (BALCONES CON TRAVESAÑO Y UMBRAL TRANSITABLE) VIDRIO 3MM CON GUIA</t>
  </si>
  <si>
    <t>PIVOT TAPA CINTA</t>
  </si>
  <si>
    <t>CLASICA MOSQUITERO PARA CORREDIZA</t>
  </si>
  <si>
    <t>Tejido Mosq</t>
  </si>
  <si>
    <t>TEJIDO MOSQUITERO</t>
  </si>
  <si>
    <t xml:space="preserve">DA </t>
  </si>
  <si>
    <t>CORDON DE MOSQUITERO 5,5</t>
  </si>
  <si>
    <t>ESCUADRA MOSQUITERO HERRERO CLASICA E73</t>
  </si>
  <si>
    <t>ALUMORENO</t>
  </si>
  <si>
    <t>PATIN DE MOSQUITERO HERRERO SUPERIOR</t>
  </si>
  <si>
    <t>PATIN DE MOSQUITERO HERRERO INFERIOR</t>
  </si>
  <si>
    <t>TORNILLO 10X2</t>
  </si>
  <si>
    <t>CLASICA MOSQUITERO CON TRAVESAÑO PARA CORREDIZA</t>
  </si>
  <si>
    <t>ABA - TRAVESAÑO PARA PAÑO FIJO</t>
  </si>
  <si>
    <t>H4/4120</t>
  </si>
  <si>
    <t>PERIMETRAL SIN CAVA TIPO FLAMIA</t>
  </si>
  <si>
    <t>H4/1121</t>
  </si>
  <si>
    <t>CENTRAL CON CAVA TIPO FLAMIA</t>
  </si>
  <si>
    <t>ADICIONAL VIDRIO REPARTIDO</t>
  </si>
  <si>
    <t>6 VIDRIOS</t>
  </si>
  <si>
    <t>4 VIDRIOS</t>
  </si>
  <si>
    <t>CLASICA MOSQUITERO PARA CORREDIZA MODENA</t>
  </si>
  <si>
    <t>CLASICA MOSQUITERO CON TRAVESAÑO PARA CORREDIZA MODENA</t>
  </si>
  <si>
    <t>4MM</t>
  </si>
  <si>
    <t>3+3</t>
  </si>
  <si>
    <t>4-9-4</t>
  </si>
  <si>
    <t>PR 4MM</t>
  </si>
  <si>
    <t>PR 4-9-4</t>
  </si>
  <si>
    <t>PR 3+3</t>
  </si>
  <si>
    <t>CLASICA CORREDIZA VIDRIO ENTERO SIN GUIA</t>
  </si>
  <si>
    <t>CLASICA CORREDIZA VIDRIO ENTERO CON GUIA</t>
  </si>
  <si>
    <t>BRIO</t>
  </si>
  <si>
    <t>DA</t>
  </si>
  <si>
    <t>BRIO-XL</t>
  </si>
  <si>
    <t>R40</t>
  </si>
  <si>
    <t>R42</t>
  </si>
  <si>
    <t>T92</t>
  </si>
  <si>
    <t>T93</t>
  </si>
  <si>
    <t>T89</t>
  </si>
  <si>
    <t>GIVA</t>
  </si>
  <si>
    <t>T90</t>
  </si>
  <si>
    <t>T91</t>
  </si>
  <si>
    <t>C14 -FELPA 7X6 CON SEAL</t>
  </si>
  <si>
    <t>E69 -ESCUADRA MARCO / HOJA</t>
  </si>
  <si>
    <t>E70 -ESCUADRA DE PUERTA</t>
  </si>
  <si>
    <t>E67 -SUPLEMENTO ESCUADRA DE PUERTA</t>
  </si>
  <si>
    <t>CERRADURA MODENA</t>
  </si>
  <si>
    <t>T96 -CLIP DE CONTRAVIDRIO</t>
  </si>
  <si>
    <t>T87 -CLIP DE CONTRAMARCO</t>
  </si>
  <si>
    <t>H47 -FALLEBA DE ABRIR</t>
  </si>
  <si>
    <t>H93 -PICAPORTE</t>
  </si>
  <si>
    <t>H61 -BISAGRA VENTANA</t>
  </si>
  <si>
    <t>H62 -BISAGRA PUERTA</t>
  </si>
  <si>
    <t>R43 SUPERIOR</t>
  </si>
  <si>
    <t>R43 INFERIO</t>
  </si>
  <si>
    <t>E73 -ESCUADRA MOSQUITERO MODENA</t>
  </si>
  <si>
    <t>TIJERA DESPLAZABLE CORTA</t>
  </si>
  <si>
    <t>TIJERA DESPLAZABLE MEDIANA</t>
  </si>
  <si>
    <t>TIJERA DESPLAZABLE LARGA</t>
  </si>
  <si>
    <t>T98 - TAPONES PUERTAS Y VENTANAS DOBLE</t>
  </si>
  <si>
    <t>H49 PASADOR DE PUERTA Y VENTANA</t>
  </si>
  <si>
    <t>E66 ESCUADRA CONTRAMARCO MODENA</t>
  </si>
  <si>
    <t>T130</t>
  </si>
  <si>
    <t>T131</t>
  </si>
  <si>
    <t>E68 ESCUADRA PREMARCO</t>
  </si>
  <si>
    <t>S9 GRAMPA DE AMURE PREMARCO</t>
  </si>
  <si>
    <t>RIENDAS PREMARCO</t>
  </si>
  <si>
    <t>M5200</t>
  </si>
  <si>
    <t>M5201</t>
  </si>
  <si>
    <t>M5203</t>
  </si>
  <si>
    <t>M5204</t>
  </si>
  <si>
    <t>M5205</t>
  </si>
  <si>
    <t>M5206</t>
  </si>
  <si>
    <t>M5207</t>
  </si>
  <si>
    <t>M5209</t>
  </si>
  <si>
    <t>M5213</t>
  </si>
  <si>
    <t>M5214</t>
  </si>
  <si>
    <t>M5215</t>
  </si>
  <si>
    <t>M5216</t>
  </si>
  <si>
    <t>M5218</t>
  </si>
  <si>
    <t>M5219</t>
  </si>
  <si>
    <t>M5221</t>
  </si>
  <si>
    <t>M5228</t>
  </si>
  <si>
    <t>M5240</t>
  </si>
  <si>
    <t>M5241</t>
  </si>
  <si>
    <t>M5243</t>
  </si>
  <si>
    <t>M5245</t>
  </si>
  <si>
    <t>M5246</t>
  </si>
  <si>
    <t>M5248</t>
  </si>
  <si>
    <t>M5249</t>
  </si>
  <si>
    <t>M5250</t>
  </si>
  <si>
    <t>M5252</t>
  </si>
  <si>
    <t>M5255</t>
  </si>
  <si>
    <t>M5230</t>
  </si>
  <si>
    <t>M5257</t>
  </si>
  <si>
    <t>M5232</t>
  </si>
  <si>
    <t>UMBRAL Y DINTEL CORREDIZA</t>
  </si>
  <si>
    <t>JAMBA DE MARCO</t>
  </si>
  <si>
    <t>PARANTE LATERAL V/SIMPLE</t>
  </si>
  <si>
    <t>ZOCALO Y CABEZAL DE HOJA</t>
  </si>
  <si>
    <t>PREMARCO</t>
  </si>
  <si>
    <t>CONTRAMARCO</t>
  </si>
  <si>
    <t>PARANTE CENTRAL V/SIMPLE</t>
  </si>
  <si>
    <t>ZOCALO ALTO VIDRIO SIMPLE</t>
  </si>
  <si>
    <t>JAMBA Y CABEZAL HOJA DE PUERTA</t>
  </si>
  <si>
    <t>HOJA DE ABRIR DOBLE CONTACTO -VENTANA</t>
  </si>
  <si>
    <t>MARCO VENTANA DE ABRIR - PAÑO FIJO</t>
  </si>
  <si>
    <t>TRAVESAÑO HOJA PUERTA DE RABATIR</t>
  </si>
  <si>
    <t>ZOCALO HOJA PUERTA DE REBATIR</t>
  </si>
  <si>
    <t>TRAVESAÑO ANGOSTO PAÑO FIJO</t>
  </si>
  <si>
    <t>TOPE MOSQUITERO CORREDIZA</t>
  </si>
  <si>
    <t>MARCO Y DINTEL CORREDIZA 3 GUIAS</t>
  </si>
  <si>
    <t>JAMBA DE MARCO 3 GUIAS</t>
  </si>
  <si>
    <t>GUIA DE CORTINA COMUN</t>
  </si>
  <si>
    <t>TAPA CINTA</t>
  </si>
  <si>
    <t>ENCUENTRO CENTRAL CORREDIZA</t>
  </si>
  <si>
    <t>PARANTE LATERAL DE HOJA VIDRIO DVH</t>
  </si>
  <si>
    <t>ZOCALO Y CABEZAL VIDRIO DVH</t>
  </si>
  <si>
    <t>PARANTE CENTRAL DE HOJA VIDRIO DVH</t>
  </si>
  <si>
    <t>ZOCALO ALTO VIDRIO DVH</t>
  </si>
  <si>
    <t>MOSQUITERO</t>
  </si>
  <si>
    <t>CONTRAVIDRIO 29MM</t>
  </si>
  <si>
    <t>CONTRAVIDRIO CURVO</t>
  </si>
  <si>
    <t>CONTRAVIDRIO CURVO 22M</t>
  </si>
  <si>
    <t>ESCUADRA PARA CAMARA 9MM SIN LOMO</t>
  </si>
  <si>
    <t>CAMARA 9MM</t>
  </si>
  <si>
    <t>CINTA DE BUTYLO</t>
  </si>
  <si>
    <t>SELLADOR POLIURETANO - SALCHICHA</t>
  </si>
  <si>
    <t>TAMIZ MOLECULAR</t>
  </si>
  <si>
    <t>CLASICA CORREDIZA VIDRIO ENTERO CON TRAVESAÑO SIN GUIA</t>
  </si>
  <si>
    <t>M5254</t>
  </si>
  <si>
    <t>BISAGRA TAPA CINTA</t>
  </si>
  <si>
    <t>CLASICA CORREDIZA VIDRIO ENTERO CON TRAVESAÑO CON GUIA</t>
  </si>
  <si>
    <t>1 HOJA</t>
  </si>
  <si>
    <t>2 HOJAS</t>
  </si>
  <si>
    <t>Acc. 1 Hoja</t>
  </si>
  <si>
    <t>Acc. 2 Hojas</t>
  </si>
  <si>
    <t>Alum 1 Hoja</t>
  </si>
  <si>
    <t>Alum 2 Hojas</t>
  </si>
  <si>
    <t>CLASICA PAÑO FIJO VIDRIO 4MM</t>
  </si>
  <si>
    <t>CLASICA PAÑO FIJO CON TRAVESAÑO VIDRIO 4MM</t>
  </si>
  <si>
    <t>Accesorio</t>
  </si>
  <si>
    <t>CLASICA OSCILOBATIENTE VIDRIO ENTERO SIN GUIA</t>
  </si>
  <si>
    <t>CLASICA VENTANA DE ABRIR VIDRIO ENTERO SIN GUIA</t>
  </si>
  <si>
    <t>CLASICA DESPLAZABLE VIDRIO ENTERO SIN GUIA</t>
  </si>
  <si>
    <t>CLASICA PROYECTANTE VIDRIO ENTERO SIN GUIA</t>
  </si>
  <si>
    <t>* CON 5 VIDRIOS!!!</t>
  </si>
  <si>
    <t>4 VIDIROS</t>
  </si>
  <si>
    <t>BURLETE HOJA -B52</t>
  </si>
  <si>
    <t>BURLETE MARCO -B67</t>
  </si>
  <si>
    <t>BURLETE MOSQUITERO -B70</t>
  </si>
  <si>
    <t>BURLETE MARCO DE HOJA -B68</t>
  </si>
  <si>
    <t>E62 ESCUADRA CONTRAMARCO HERRERO</t>
  </si>
  <si>
    <t>FLETE</t>
  </si>
  <si>
    <t>DÓLAR</t>
  </si>
  <si>
    <t>DETALLE</t>
  </si>
  <si>
    <t>PRECIO</t>
  </si>
  <si>
    <t>$ x Und en MdP</t>
  </si>
  <si>
    <t>H43 TRABA BARILLA DEL PASADOR (H49)</t>
  </si>
  <si>
    <t>BRAZO PROYECTANTE LARGO</t>
  </si>
  <si>
    <t>H52 -CHINGOLO BANDEROLA</t>
  </si>
  <si>
    <t>MECANISMO OSCILOBATIENTE LARGO</t>
  </si>
  <si>
    <t>MECANISMO OSCILOBATIENTE CORTO</t>
  </si>
  <si>
    <t>H82 - BISAGRA 3° HOJA PUERTA</t>
  </si>
  <si>
    <t>H81 - BISAGRA 3° HOJA VENTANA</t>
  </si>
  <si>
    <t>H91 - FALLEBA DESPLABLE</t>
  </si>
  <si>
    <t>+ $ 110 X TIRA</t>
  </si>
  <si>
    <t>PUERTA MOD 4 BIS</t>
  </si>
  <si>
    <t>CON REVESTIMIENTO TUBULAR</t>
  </si>
  <si>
    <t>MECANISMO CORTO</t>
  </si>
  <si>
    <t>MECANISMO LARGO</t>
  </si>
  <si>
    <t>M5224</t>
  </si>
  <si>
    <t>ENCUENTRO CENTRAL DE ABRIR</t>
  </si>
  <si>
    <t>M5236</t>
  </si>
  <si>
    <t>HOJA VENTILUZ CURVA - HOJA PROYECTANTE</t>
  </si>
  <si>
    <t>PUERTA MOD 4 BIS con Revestimiento</t>
  </si>
  <si>
    <t>3015/01</t>
  </si>
  <si>
    <t>3015/02</t>
  </si>
  <si>
    <t>ZOCALO Y CABEZAL VENTANA CORREDIZA</t>
  </si>
  <si>
    <t>3015/03</t>
  </si>
  <si>
    <t>PARANTE LATERAL VENTANA CORREDIZA</t>
  </si>
  <si>
    <t xml:space="preserve">MARCO VENTANA CORREDIZA </t>
  </si>
  <si>
    <t>3015/04</t>
  </si>
  <si>
    <t>PARANTE CENTRAL VENTANA CORREDIZA</t>
  </si>
  <si>
    <t>3015/24A</t>
  </si>
  <si>
    <t>GUIA CORTINA</t>
  </si>
  <si>
    <t>3005/44</t>
  </si>
  <si>
    <t>TRAVESAÑO INFERIOR PTA 25 Y HOJA VTANA CORREDIZA</t>
  </si>
  <si>
    <t>3005/07</t>
  </si>
  <si>
    <t>3005/24A</t>
  </si>
  <si>
    <t>MARCO P/HOJA CORREDIZA</t>
  </si>
  <si>
    <t>3005/68</t>
  </si>
  <si>
    <t>MARCO PUERTA RECTO 25</t>
  </si>
  <si>
    <t>3005/77</t>
  </si>
  <si>
    <t>MARCO 31MM</t>
  </si>
  <si>
    <t>3005/76</t>
  </si>
  <si>
    <t>PARANTE HOJA POSTIGO</t>
  </si>
  <si>
    <t>3005/05</t>
  </si>
  <si>
    <t>MOSQUTERO</t>
  </si>
  <si>
    <t>3005/06</t>
  </si>
  <si>
    <t>3005/94</t>
  </si>
  <si>
    <t>3005/21</t>
  </si>
  <si>
    <t>3005/80</t>
  </si>
  <si>
    <t>TABLILLA POSTIGO</t>
  </si>
  <si>
    <t>3005/81</t>
  </si>
  <si>
    <t>REVESTIMIENTO ACANALADO (DOBLE FAZ)</t>
  </si>
  <si>
    <t>3005/69</t>
  </si>
  <si>
    <t>PERFIL UNION 75MM</t>
  </si>
  <si>
    <t>3005/19</t>
  </si>
  <si>
    <t>TAPA JUNTA POSTIGO (ENCUENTRO CENTRAL)</t>
  </si>
  <si>
    <t>3005/36</t>
  </si>
  <si>
    <t>3005/38</t>
  </si>
  <si>
    <t>BATIENTE PUERTA 36</t>
  </si>
  <si>
    <t>3005/37</t>
  </si>
  <si>
    <t>ZOCALO Y TRAVESAÑO INFERIOR PUERTA 36</t>
  </si>
  <si>
    <t>3005/33</t>
  </si>
  <si>
    <t>REVESTIMIENTO TUBULAR -12</t>
  </si>
  <si>
    <t>3005/26</t>
  </si>
  <si>
    <t>BASTIDOR VIDRIO REPARTIDO</t>
  </si>
  <si>
    <t>3005/25</t>
  </si>
  <si>
    <t>TRAVESAÑO VIDRIO REPARTIDO</t>
  </si>
  <si>
    <t>3010/00</t>
  </si>
  <si>
    <t>UMBRAL DE MARCO</t>
  </si>
  <si>
    <t>3010/01</t>
  </si>
  <si>
    <t>JAMBA MARCO</t>
  </si>
  <si>
    <t>3010/03</t>
  </si>
  <si>
    <t>3010/04</t>
  </si>
  <si>
    <t>3010/05</t>
  </si>
  <si>
    <t>ZOCALO Y CABEZAL DE HOJA V/SIMPLE</t>
  </si>
  <si>
    <t>3010/06</t>
  </si>
  <si>
    <t>CONTRAMARCO (TAPA PREMARCO)</t>
  </si>
  <si>
    <t>3010/07</t>
  </si>
  <si>
    <t>3010/09</t>
  </si>
  <si>
    <t>3010/13</t>
  </si>
  <si>
    <t>ACOPLE (UNION)</t>
  </si>
  <si>
    <t>3010/14</t>
  </si>
  <si>
    <t>3010/35</t>
  </si>
  <si>
    <t>HOJA VENTANA DE ABRIR, BANDEROLA, VENTILUZ</t>
  </si>
  <si>
    <t>3010/16</t>
  </si>
  <si>
    <t>3010/18</t>
  </si>
  <si>
    <t>3010/19</t>
  </si>
  <si>
    <t>3010/21</t>
  </si>
  <si>
    <t>3010/40C</t>
  </si>
  <si>
    <t>MARCO 3 GUIAS</t>
  </si>
  <si>
    <t>3010/41C</t>
  </si>
  <si>
    <t>JAMBA 3 GUIAS</t>
  </si>
  <si>
    <t>3010/48</t>
  </si>
  <si>
    <t>3010/49</t>
  </si>
  <si>
    <t>3010/50</t>
  </si>
  <si>
    <t>3010/52</t>
  </si>
  <si>
    <t>3010/55</t>
  </si>
  <si>
    <t>3010/30</t>
  </si>
  <si>
    <t>CONTRAVIDRIO ANCHO VIDRIO 4MM</t>
  </si>
  <si>
    <t>3010/31</t>
  </si>
  <si>
    <t>CONTRAVIDRIO DVH</t>
  </si>
  <si>
    <t>3010/32</t>
  </si>
  <si>
    <t>CONTRAVIDRIO DVH ALTERNATIVO</t>
  </si>
  <si>
    <t>3005/17</t>
  </si>
  <si>
    <t>UMBRAL PUERTA CORREDIZA</t>
  </si>
  <si>
    <t>3005/79</t>
  </si>
  <si>
    <t>TRAVESAÑO DE MOSQUITERO</t>
  </si>
  <si>
    <t>3010/28</t>
  </si>
  <si>
    <t>3010/24</t>
  </si>
  <si>
    <t>3010/54</t>
  </si>
  <si>
    <t>3010/45</t>
  </si>
  <si>
    <t>3010/43</t>
  </si>
  <si>
    <t>GUIA CORTINA COMUN</t>
  </si>
  <si>
    <t>3010/60</t>
  </si>
  <si>
    <t>NOP HAY PERFILES EN LINEA CLASICA</t>
  </si>
  <si>
    <t>Reja para abertura</t>
  </si>
  <si>
    <t>Reja para amurar</t>
  </si>
  <si>
    <t>Reja perimetrales</t>
  </si>
  <si>
    <t>Puerta Balcon hasta 150x200</t>
  </si>
  <si>
    <t>Puerta Balcon hasta 200x200</t>
  </si>
  <si>
    <t>Puerta Economica 80x200</t>
  </si>
  <si>
    <t>Puerta Reforzada 80x200</t>
  </si>
  <si>
    <t>Puerta Reforzada hasta 150x200</t>
  </si>
  <si>
    <t>Puerta Reforzada hasta 200x200</t>
  </si>
  <si>
    <t>mts2</t>
  </si>
  <si>
    <t>unidad</t>
  </si>
  <si>
    <t>Rejas Marcos</t>
  </si>
  <si>
    <t>Rejas para Aberturas o Amurar</t>
  </si>
  <si>
    <t>Mts2</t>
  </si>
  <si>
    <t>Precio x mts2</t>
  </si>
  <si>
    <t>* Precio minimo 0,5 mts2</t>
  </si>
  <si>
    <t>3MM</t>
  </si>
  <si>
    <t>PR 3MM</t>
  </si>
  <si>
    <t>DESPERDICIO</t>
  </si>
  <si>
    <t>CLASICA PAÑO FIJO CON GUIA VIDRIO 3MM</t>
  </si>
  <si>
    <t>CLASICA PAÑO FIJO CON GUIA Y TRAVESAÑO VIDRIO 3MM</t>
  </si>
  <si>
    <t>ALUMORENO HERRERO</t>
  </si>
  <si>
    <t>SILOE MODENA / DIFERENCIA</t>
  </si>
  <si>
    <t>ALUMORENO MODENA /DIFERENCIA</t>
  </si>
  <si>
    <t xml:space="preserve">ALUMORENO MODENA  </t>
  </si>
  <si>
    <t xml:space="preserve">SILOE MODENA  </t>
  </si>
  <si>
    <t>MANIJON</t>
  </si>
  <si>
    <t>PAPA</t>
  </si>
  <si>
    <t>Linea Clasica</t>
  </si>
  <si>
    <t>Linea Clasica Corrediza v/3mm</t>
  </si>
  <si>
    <t>Medidas</t>
  </si>
  <si>
    <t>Sin Guia</t>
  </si>
  <si>
    <t>Con Guia</t>
  </si>
  <si>
    <t>Adicional Mosquitero</t>
  </si>
  <si>
    <t>Adicional Reja</t>
  </si>
  <si>
    <t>60x40</t>
  </si>
  <si>
    <t>60x60</t>
  </si>
  <si>
    <t>80x40</t>
  </si>
  <si>
    <t>80x60</t>
  </si>
  <si>
    <t>80x80</t>
  </si>
  <si>
    <t>100x40</t>
  </si>
  <si>
    <t>100x60</t>
  </si>
  <si>
    <t>100x80</t>
  </si>
  <si>
    <t>100x100</t>
  </si>
  <si>
    <t>100x110</t>
  </si>
  <si>
    <t>100x120</t>
  </si>
  <si>
    <t>100x150</t>
  </si>
  <si>
    <t>120x40</t>
  </si>
  <si>
    <t>120x60</t>
  </si>
  <si>
    <t>120x80</t>
  </si>
  <si>
    <t>120x100</t>
  </si>
  <si>
    <t>120x110</t>
  </si>
  <si>
    <t>120x120</t>
  </si>
  <si>
    <t>120x150</t>
  </si>
  <si>
    <t>120x180</t>
  </si>
  <si>
    <t>150x40</t>
  </si>
  <si>
    <t>150x60</t>
  </si>
  <si>
    <t>150x80</t>
  </si>
  <si>
    <t>150x100</t>
  </si>
  <si>
    <t>150x110</t>
  </si>
  <si>
    <t>150x120</t>
  </si>
  <si>
    <t>150x150</t>
  </si>
  <si>
    <t>150x180</t>
  </si>
  <si>
    <t>180x80</t>
  </si>
  <si>
    <t>180x100</t>
  </si>
  <si>
    <t>180x110</t>
  </si>
  <si>
    <t>180x120</t>
  </si>
  <si>
    <t>180x150</t>
  </si>
  <si>
    <t>180x180</t>
  </si>
  <si>
    <t>200x80</t>
  </si>
  <si>
    <t>200x100</t>
  </si>
  <si>
    <t>200x110</t>
  </si>
  <si>
    <t>200x120</t>
  </si>
  <si>
    <t>200x150</t>
  </si>
  <si>
    <t>200x180</t>
  </si>
  <si>
    <t>Linea Clasica Corrediza c/travesaño v/3mm</t>
  </si>
  <si>
    <t>Reja de Abrir p/Balcon</t>
  </si>
  <si>
    <t>120x200</t>
  </si>
  <si>
    <t>150x200</t>
  </si>
  <si>
    <t>180x200</t>
  </si>
  <si>
    <t>200x200</t>
  </si>
  <si>
    <t>240x200</t>
  </si>
  <si>
    <t>Linea Clasica Raja v/3mm</t>
  </si>
  <si>
    <t>30x40</t>
  </si>
  <si>
    <t>30x60</t>
  </si>
  <si>
    <t>30x80</t>
  </si>
  <si>
    <t>30x100</t>
  </si>
  <si>
    <t>30x120</t>
  </si>
  <si>
    <t>40x40</t>
  </si>
  <si>
    <t>40x60</t>
  </si>
  <si>
    <t>40x80</t>
  </si>
  <si>
    <t>40x100</t>
  </si>
  <si>
    <t>40x120</t>
  </si>
  <si>
    <t>40x150</t>
  </si>
  <si>
    <t>50x60</t>
  </si>
  <si>
    <t>50x80</t>
  </si>
  <si>
    <t>50x100</t>
  </si>
  <si>
    <t>50x120</t>
  </si>
  <si>
    <t>50x150</t>
  </si>
  <si>
    <t>60x80</t>
  </si>
  <si>
    <t>60x100</t>
  </si>
  <si>
    <t>60x120</t>
  </si>
  <si>
    <t>60x150</t>
  </si>
  <si>
    <t>Linea Clasica Proyectante v/3mm</t>
  </si>
  <si>
    <t>50x40</t>
  </si>
  <si>
    <t>50x50</t>
  </si>
  <si>
    <t>60x50</t>
  </si>
  <si>
    <t>70x40</t>
  </si>
  <si>
    <t>70x50</t>
  </si>
  <si>
    <t>70x60</t>
  </si>
  <si>
    <t>80x50</t>
  </si>
  <si>
    <t>Linea Clasica Postigos</t>
  </si>
  <si>
    <t>2 Hojas</t>
  </si>
  <si>
    <t>3 Hojas</t>
  </si>
  <si>
    <t>Linea Clasica Postigos c/travesaño</t>
  </si>
  <si>
    <t>Linea Clasica Paño Fijo v/3mm</t>
  </si>
  <si>
    <t>Linea Modena Clasica Corrediza v/3mm</t>
  </si>
  <si>
    <t>Linea Modena Clasica</t>
  </si>
  <si>
    <t>V/3MM</t>
  </si>
  <si>
    <t>V/4-9-4</t>
  </si>
  <si>
    <t>V/3+3</t>
  </si>
  <si>
    <t>LISTA MDP</t>
  </si>
  <si>
    <t>LISTA SERIE A</t>
  </si>
  <si>
    <t>MOD 1</t>
  </si>
  <si>
    <t>MOD 2</t>
  </si>
  <si>
    <t>MOD 3</t>
  </si>
  <si>
    <t>MOD 4</t>
  </si>
  <si>
    <t>MOD 5</t>
  </si>
  <si>
    <t>MOD 6</t>
  </si>
  <si>
    <t>MOD 7</t>
  </si>
  <si>
    <t>MOD 8</t>
  </si>
  <si>
    <t>MOD 9</t>
  </si>
  <si>
    <t>MOD 10</t>
  </si>
  <si>
    <t>MOD 11</t>
  </si>
  <si>
    <t>MOD 12</t>
  </si>
  <si>
    <t>MOD 13</t>
  </si>
  <si>
    <t>MOD 14</t>
  </si>
  <si>
    <t>MOD 15</t>
  </si>
  <si>
    <t>MOD 16</t>
  </si>
  <si>
    <t>MOD 17</t>
  </si>
  <si>
    <t>MOD 10 BIS</t>
  </si>
  <si>
    <t>Adicional Guia</t>
  </si>
  <si>
    <t>GUIA</t>
  </si>
  <si>
    <t>Linea Clasica Modena</t>
  </si>
  <si>
    <t>1 Hoja V/3mm</t>
  </si>
  <si>
    <t>1 Hojas      V/4-9-4</t>
  </si>
  <si>
    <t>1 Hoja    V/3+3</t>
  </si>
  <si>
    <t>40x110</t>
  </si>
  <si>
    <t>50x110</t>
  </si>
  <si>
    <t>60x110</t>
  </si>
  <si>
    <t>2 Hojas V/3mm</t>
  </si>
  <si>
    <t>1 Hoja         V/4-9-4</t>
  </si>
  <si>
    <t>1 Hoja      V/3+3</t>
  </si>
  <si>
    <t>2 Hojas    V/3+3</t>
  </si>
  <si>
    <t>Linea Clasica Modena Ventana de Abrir</t>
  </si>
  <si>
    <t>2 Hojas         V/4-9-4</t>
  </si>
  <si>
    <t>Linea Clasica Modena Proyectante</t>
  </si>
  <si>
    <t>Linea Clasica Modena Oscilobatiente Sin Guia</t>
  </si>
  <si>
    <t>Linea Modena Clasica Paño Fijo v/3mm</t>
  </si>
  <si>
    <t>V/3mm</t>
  </si>
  <si>
    <t>Linea Herrero</t>
  </si>
  <si>
    <t>Linea Herrero Postigos</t>
  </si>
  <si>
    <t>Linea Herrero Postigos c/travesaño</t>
  </si>
  <si>
    <t>CLASICA MOSQUITERO PARA RAJAS</t>
  </si>
  <si>
    <t xml:space="preserve">Linea Modena </t>
  </si>
  <si>
    <t>Linea Modena Corrediza c/travesaño v/3mm</t>
  </si>
  <si>
    <t>Linea Modena Ventana de Abrir</t>
  </si>
  <si>
    <t>Linea Modena</t>
  </si>
  <si>
    <t>Linea  Modena</t>
  </si>
  <si>
    <t>Linea  Modena Proyectante</t>
  </si>
  <si>
    <t>Linea Modena Oscilobatiente Sin Guia</t>
  </si>
  <si>
    <t>Linea  Modena Desplazable</t>
  </si>
  <si>
    <t>PUERTA MOD 1 CON VIDRIO 3+3</t>
  </si>
  <si>
    <t>PUERTA MOD 2 CON VIDRIO 3+3</t>
  </si>
  <si>
    <t>PUERTA MOD 3 CON VIDRIO 3+3</t>
  </si>
  <si>
    <t>PUERTA MOD 4 CON VIDRIO 3+3</t>
  </si>
  <si>
    <t>PUERTA MOD 8 CON VIDRIO 3+3</t>
  </si>
  <si>
    <t>PUERTA MOD 10 BIS CON VIDRIO 3+3</t>
  </si>
  <si>
    <t>PUERTA MOD 10 CON VIDRIO 3+3</t>
  </si>
  <si>
    <t>PUERTA MOD 7 CON VIDRIO 3+3</t>
  </si>
  <si>
    <t>PUERTA MOD 16 CON VIDRIO 3+3</t>
  </si>
  <si>
    <t>PUERTA MOD 11 CON VIDRIO 3+3</t>
  </si>
  <si>
    <t>PUERTA MOD 12 CON VIDRIO 3+3</t>
  </si>
  <si>
    <t>PUERTA MOD 6 CON VIDRIO 3+3</t>
  </si>
  <si>
    <t>PUERTA MOD 5 CON VIDRIO 3+3</t>
  </si>
  <si>
    <t>PUERTA MOD 13 CON VIDRIO 3+3</t>
  </si>
  <si>
    <t>PUERTA MOD 14 CON VIDRIO 3+3</t>
  </si>
  <si>
    <t>PUERTA MOD 15 CON VIDRIO 3+3</t>
  </si>
  <si>
    <t>Vidrio 4-9-4</t>
  </si>
  <si>
    <t>3 HOJAS</t>
  </si>
  <si>
    <t>Alum 3 Hojas</t>
  </si>
  <si>
    <t>Acc. 3 Hojas</t>
  </si>
  <si>
    <t>BISAGRA 3º HOJA</t>
  </si>
  <si>
    <t>3 Hojas V/3mm</t>
  </si>
  <si>
    <t>3 Hojas         V/4-9-4</t>
  </si>
  <si>
    <t>3 Hojas    V/3+3</t>
  </si>
  <si>
    <t>MODENA VENTANA DE ABRIR VIDRIO ENTERO SIN GUIA</t>
  </si>
  <si>
    <t>PUERTA MOD 4 BIS con Revestimiento CON VIDRIO 3+3</t>
  </si>
  <si>
    <t>Vidrio 4mm</t>
  </si>
  <si>
    <t>Vidrio 3+3</t>
  </si>
  <si>
    <t>PUERTA MOD 1  CON VIDRIO 4-9-4</t>
  </si>
  <si>
    <t>PUERTA MOD 2 CON VIDRIO 4-9-4</t>
  </si>
  <si>
    <t>PUERTA MOD 11 CON VIDRIO 4-9-4</t>
  </si>
  <si>
    <t>PUERTA MOD 12 CON VIDRIO 4-9-4</t>
  </si>
  <si>
    <t>PUERTA MOD 3 CON VIDRIO 4-9-4</t>
  </si>
  <si>
    <t>PUERTA MOD 4 CON VIDRIO 4-9-4</t>
  </si>
  <si>
    <t>PUERTA MOD 4 BIS con Revestimiento CON VIDRIO 4-9-4</t>
  </si>
  <si>
    <t>PUERTA MOD 8 CON VIDRIO 4-9-4</t>
  </si>
  <si>
    <t>PUERTA MOD 6 CON VIDRIO 4-9-4</t>
  </si>
  <si>
    <t>PUERTA MOD 10 CON VIDRIO 4-9-4</t>
  </si>
  <si>
    <t>PUERTA MOD 7 CON VIDRIO 4-9-4</t>
  </si>
  <si>
    <t>PUERTA MOD 1 VIDRIO 3+3</t>
  </si>
  <si>
    <t>PUERTA MOD 2 VIDRIO 3+3</t>
  </si>
  <si>
    <t>PUERTA MOD 11 VIDRIO 3+3</t>
  </si>
  <si>
    <t>PUERTA MOD 3 VIDRIO 3+3</t>
  </si>
  <si>
    <t>PUERTA MOD 12 VIDRIO 3+3</t>
  </si>
  <si>
    <t>PUERTA MOD 4 VIDRIO 3+3</t>
  </si>
  <si>
    <t>PUERTA MOD 4 BIS con Revestimiento VIDRIO 3+3</t>
  </si>
  <si>
    <t>PUERTA MOD 8 VIDRIO 3+3</t>
  </si>
  <si>
    <t>PUERTA MOD 6 VIDRIO 3+3</t>
  </si>
  <si>
    <t>PUERTA MOD 10 BIS VIDRIO 3+3</t>
  </si>
  <si>
    <t>PUERTA MOD 5 VIDRIO 3+3</t>
  </si>
  <si>
    <t>PUERTA MOD 10 VIDRIO 3+3</t>
  </si>
  <si>
    <t>PUERTA MOD 13 VIDRIO 3+3</t>
  </si>
  <si>
    <t>PUERTA MOD 14 VIDRIO 3+3</t>
  </si>
  <si>
    <t>PUERTA MOD 7 VIDRIO 3+3</t>
  </si>
  <si>
    <t>PUERTA MOD 16 VIDRIO 3+3</t>
  </si>
  <si>
    <t>PUERTA MOD 15 VIDRIO 3+3</t>
  </si>
  <si>
    <t>PUERTA MOD 1 con vidrio 4-9-4</t>
  </si>
  <si>
    <t>PUERTA MOD 2 con vidrio 4-9-4</t>
  </si>
  <si>
    <t>PUERTA MOD 11 con vidrio 4-9-4</t>
  </si>
  <si>
    <t>PUERTA MOD 3 con vidrio 4-9-4</t>
  </si>
  <si>
    <t>PUERTA MOD 12 con vidrio 4-9-4</t>
  </si>
  <si>
    <t>PUERTA MOD 4 con vidrio 4-9-4</t>
  </si>
  <si>
    <t>PUERTA MOD 4 BIS con Revestimiento con vidrio 4-9-4</t>
  </si>
  <si>
    <t>PUERTA MOD 8 con vidrio 4-9-4</t>
  </si>
  <si>
    <t>PUERTA MOD 6 con vidrio 4-9-4</t>
  </si>
  <si>
    <t>PUERTA MOD 10 BIS con vidrio 4-9-4</t>
  </si>
  <si>
    <t>PUERTA MOD 5 con vidrio 4-9-4</t>
  </si>
  <si>
    <t>PUERTA MOD 10 con vidrio 4-9-4</t>
  </si>
  <si>
    <t>PUERTA MOD 7 con vidrio 4-9-4</t>
  </si>
  <si>
    <t>Juan B. Justo Nº 4629 –Mar del Plata</t>
  </si>
  <si>
    <t>(0223) 472- 8777 / 223 689 2376</t>
  </si>
  <si>
    <t>adm@arcenaluminio.com.ar / info@arcenaluminio.com.ar</t>
  </si>
  <si>
    <t>www.arcenaluminio.com.ar</t>
  </si>
  <si>
    <t>Medios de Pago</t>
  </si>
  <si>
    <r>
      <t>Cta Cte $:</t>
    </r>
    <r>
      <rPr>
        <sz val="16"/>
        <color theme="1"/>
        <rFont val="Calibri"/>
        <family val="2"/>
        <scheme val="minor"/>
      </rPr>
      <t xml:space="preserve"> 37709- 2  084- 1</t>
    </r>
  </si>
  <si>
    <r>
      <t>CBU:</t>
    </r>
    <r>
      <rPr>
        <sz val="16"/>
        <color theme="1"/>
        <rFont val="Calibri"/>
        <family val="2"/>
        <scheme val="minor"/>
      </rPr>
      <t xml:space="preserve"> 0070084920000037709217</t>
    </r>
  </si>
  <si>
    <r>
      <rPr>
        <b/>
        <u/>
        <sz val="16"/>
        <rFont val="Calibri"/>
        <family val="2"/>
      </rPr>
      <t>Importante:</t>
    </r>
    <r>
      <rPr>
        <u/>
        <sz val="16"/>
        <rFont val="Calibri"/>
        <family val="2"/>
      </rPr>
      <t xml:space="preserve"> </t>
    </r>
    <r>
      <rPr>
        <sz val="16"/>
        <rFont val="Calibri"/>
        <family val="2"/>
      </rPr>
      <t>Enviar el comprobante de pago o transferencia al mail</t>
    </r>
  </si>
  <si>
    <t>info@arcenaluminio.com.ar</t>
  </si>
  <si>
    <t>Solamente con el pago se congela el precio del pedido</t>
  </si>
  <si>
    <t xml:space="preserve"> </t>
  </si>
  <si>
    <t>VARIOS</t>
  </si>
  <si>
    <t>Acople</t>
  </si>
  <si>
    <t>Columna</t>
  </si>
  <si>
    <t>Travesaño Herrero</t>
  </si>
  <si>
    <t>Travesaño Modena</t>
  </si>
  <si>
    <t>Contramarco Herrero</t>
  </si>
  <si>
    <t>Contramarco Modena</t>
  </si>
  <si>
    <t>Premarco</t>
  </si>
  <si>
    <t>Manijon de Puerta</t>
  </si>
  <si>
    <t>Umbral Transitable</t>
  </si>
  <si>
    <t>Herraje Plegadizo para porton</t>
  </si>
  <si>
    <t>Herraje Corredizo Galvanizado para porton</t>
  </si>
  <si>
    <t>Herraje Corredizo Acero Inox para porton</t>
  </si>
  <si>
    <t>Aldaba Reforzada</t>
  </si>
  <si>
    <t>mts. Lineal</t>
  </si>
  <si>
    <t>Unidad</t>
  </si>
  <si>
    <t>PUERTA MOD 1 - LIVIANA R/T</t>
  </si>
  <si>
    <t>PUERTA MOD 9 - LIVIANA R/T</t>
  </si>
  <si>
    <t>PUERTA MOD 11 - LIVIANA R/T</t>
  </si>
  <si>
    <t>PUERTA MOD 12 - LIVIANA R/T</t>
  </si>
  <si>
    <t>PUERTA MOD 2 - LIVIANA R/T</t>
  </si>
  <si>
    <t>PUERTA MOD 3 - LIVIANA R/T</t>
  </si>
  <si>
    <t>PUERTA MOD 4 - LIVIANA R/T</t>
  </si>
  <si>
    <t>PUERTA MOD 17 - LIVIANA R/T</t>
  </si>
  <si>
    <t>PUERTA MOD 4 BIS - LIVIANA R/T</t>
  </si>
  <si>
    <t>PUERTA MOD 8 - LIVIANA R/T</t>
  </si>
  <si>
    <t>PUERTA MOD 6 - LIVIANA R/T</t>
  </si>
  <si>
    <t>PUERTA MOD 5 - LIVIANA R/T</t>
  </si>
  <si>
    <t>PUERTA MOD 10 - LIVIANA R/T</t>
  </si>
  <si>
    <t>PUERTA MOD 10 BIS - LIVIANA R/T</t>
  </si>
  <si>
    <t>PUERTA MOD 13 - LIVIANA R/T</t>
  </si>
  <si>
    <t>PUERTA MOD 7 - LIVIANA R/T</t>
  </si>
  <si>
    <t>PUERTA MOD 14 - LIVIANA R/T</t>
  </si>
  <si>
    <t>PUERTA MOD 16 - LIVIANA R/T</t>
  </si>
  <si>
    <t>PUERTA MOD 15 - LIVIANA R/T</t>
  </si>
  <si>
    <t>MARCO DE PUERTA 25</t>
  </si>
  <si>
    <t>3005/13</t>
  </si>
  <si>
    <t>BATIENTE PUERTA 25</t>
  </si>
  <si>
    <t>PUERTA MOD 1 - LIVIANA R/ACANALADO</t>
  </si>
  <si>
    <t>PUERTA MOD 9 - LIVIANA R/ACANALADO</t>
  </si>
  <si>
    <t>PUERTA MOD 11 - LIVIANA R/ACANALADO</t>
  </si>
  <si>
    <t>PUERTA MOD 2 - LIVIANA R/ACANALADO</t>
  </si>
  <si>
    <t>PUERTA MOD 3 - LIVIANA R/ACANALADO</t>
  </si>
  <si>
    <t>PUERTA MOD 12 - LIVIANA R/ACANALADO</t>
  </si>
  <si>
    <t>PUERTA MOD 4 - LIVIANA R/ACANALADO</t>
  </si>
  <si>
    <t>PUERTA MOD 17 - LIVIANA R/ACANALADO</t>
  </si>
  <si>
    <t>PUERTA MOD 8 - LIVIANA R/ACANALADO</t>
  </si>
  <si>
    <t>PUERTA MOD 6 - LIVIANA R/ACANALADO</t>
  </si>
  <si>
    <t>PUERTA MOD 10 - LIVIANA R/ACANALADO</t>
  </si>
  <si>
    <t>PUERTA MOD 5 - LIVIANA R/ACANALADO</t>
  </si>
  <si>
    <t>PUERTA MOD 10 BIS - LIVIANA R/ACANALADO</t>
  </si>
  <si>
    <t>PUERTA MOD 13 - LIVIANA R/ACANALADO</t>
  </si>
  <si>
    <t>PUERTA MOD 7 - LIVIANA R/ACANALADO</t>
  </si>
  <si>
    <t>PUERTA MOD 14 - LIVIANA R/ACANALADO</t>
  </si>
  <si>
    <t>PUERTA MOD 16 - LIVIANA R/ACANALADO</t>
  </si>
  <si>
    <t>PUERTA MOD 15 - LIVIANA R/ACANALADO</t>
  </si>
  <si>
    <t>PUERTA MOD 4 BIS - LIVIANA R/ACANALADO</t>
  </si>
  <si>
    <t>ACOPLE HERRERO</t>
  </si>
  <si>
    <t>ACOPLE MODENA</t>
  </si>
  <si>
    <t>3005/85</t>
  </si>
  <si>
    <t>COLUMNA DE ACOPLE</t>
  </si>
  <si>
    <t>TRAVESAÑO MODENA</t>
  </si>
  <si>
    <t>TRAVESAÑO HERRERO</t>
  </si>
  <si>
    <t>CONTRAMARCO MODENA</t>
  </si>
  <si>
    <t>3005/31A</t>
  </si>
  <si>
    <t>CONTRAMARCO HERRERO</t>
  </si>
  <si>
    <t>UMBRAL DE PUERTA HERRERO PESADA (36)</t>
  </si>
  <si>
    <t>UMBRAL DE PUERTA MODENA</t>
  </si>
  <si>
    <t xml:space="preserve">margen </t>
  </si>
  <si>
    <t>Umbral para Puerta Herrero</t>
  </si>
  <si>
    <t>Umbral para Puerta Modena</t>
  </si>
  <si>
    <t>H4/7700</t>
  </si>
  <si>
    <t>H4/1342</t>
  </si>
  <si>
    <t>H4/1193</t>
  </si>
  <si>
    <t>REVESTIMIENTO TUBULAR DE 12</t>
  </si>
  <si>
    <t>H4425/12</t>
  </si>
  <si>
    <t>Rev. Tubular</t>
  </si>
  <si>
    <t>Costo</t>
  </si>
  <si>
    <t>Costo luis</t>
  </si>
  <si>
    <t>ADICIONAL C9 POR EL ZOCALO ALTO / SUMO 4 PARTES "J" (12 EN TOTAL) C80</t>
  </si>
  <si>
    <t>ADICIONAL C9 POR EL ZOCALO ALTO / SUMO 6 PARTES "J" (18 EN TOTAL) C80</t>
  </si>
  <si>
    <t>2 Hojas2</t>
  </si>
  <si>
    <t>3 Hojas3</t>
  </si>
  <si>
    <t>Rev/ Ciego</t>
  </si>
  <si>
    <t>Rev/ Troquelado</t>
  </si>
  <si>
    <t>travesaño herrero / manijon</t>
  </si>
  <si>
    <t>VIBE</t>
  </si>
  <si>
    <t>Aluminio Inyectado en poliuretano</t>
  </si>
  <si>
    <t>Lamas de PVC  DISCONTINUADO</t>
  </si>
  <si>
    <t>Sistema Compacto</t>
  </si>
  <si>
    <t>Aluminio Anodizado Natural</t>
  </si>
  <si>
    <t>Aluminio color Negro</t>
  </si>
  <si>
    <t>Aluminio color Bronce Colonial</t>
  </si>
  <si>
    <t>+ 10%</t>
  </si>
  <si>
    <t xml:space="preserve">+ 10% </t>
  </si>
  <si>
    <t>cp/25</t>
  </si>
  <si>
    <t>FALLEBA REFORZADA</t>
  </si>
  <si>
    <t>HERREJE PLEGADIZO</t>
  </si>
  <si>
    <t>HERRAJE CORREDIZO GALVANIZADO</t>
  </si>
  <si>
    <t>HERRAJE CORREDIZO ACERO INOX</t>
  </si>
  <si>
    <t>Adicional Repartido     (6 Vidrios)</t>
  </si>
  <si>
    <t>Adicional Repartido       (4 Vidrios)</t>
  </si>
  <si>
    <t>Adicional Repartido        (4 Vidrios)</t>
  </si>
  <si>
    <t>* Aberturas a medida: Se toma la medida proxima superior</t>
  </si>
  <si>
    <t>Hoja de Abrir</t>
  </si>
  <si>
    <t>Paño Fijo</t>
  </si>
  <si>
    <t>80x110</t>
  </si>
  <si>
    <t>Linea Modena Patagonica c/Oscilobatiente</t>
  </si>
  <si>
    <t>Linea Modena Patagonica v/Abrir</t>
  </si>
  <si>
    <t>TRAVESAÑO</t>
  </si>
  <si>
    <t xml:space="preserve">Rejas de Abrir </t>
  </si>
  <si>
    <t>Puerta Mosquitero</t>
  </si>
  <si>
    <t>Puerta Reja</t>
  </si>
  <si>
    <t>BISAGRA PUERTA MOSQUTERO</t>
  </si>
  <si>
    <t>PUERTA MOSQUITERO</t>
  </si>
  <si>
    <t>SIMPLE</t>
  </si>
  <si>
    <t>REVESTIMIENTO TUBULAR</t>
  </si>
  <si>
    <t>REVEST</t>
  </si>
  <si>
    <t>Tejido</t>
  </si>
  <si>
    <t>Simple</t>
  </si>
  <si>
    <t>R/Tubular</t>
  </si>
  <si>
    <t>GROW</t>
  </si>
  <si>
    <t>SANDOVAL IGNACIO</t>
  </si>
  <si>
    <t>EL PRECIO DEL CLASICO ESTA EN PESOS</t>
  </si>
  <si>
    <t>Natural</t>
  </si>
  <si>
    <t>Blanco</t>
  </si>
  <si>
    <t>Negro</t>
  </si>
  <si>
    <t>Anod. Natual</t>
  </si>
  <si>
    <t>Anod. Negro</t>
  </si>
  <si>
    <t>TRIALUM</t>
  </si>
  <si>
    <t>Modena</t>
  </si>
  <si>
    <t>A30</t>
  </si>
  <si>
    <t>-</t>
  </si>
  <si>
    <t>DA PERFILES</t>
  </si>
  <si>
    <t>HAY QUE SUMAR EL FLETE</t>
  </si>
  <si>
    <t>LEANDRO</t>
  </si>
  <si>
    <t>Herrero</t>
  </si>
  <si>
    <t>LINEA PESADA</t>
  </si>
  <si>
    <t xml:space="preserve">Negro y Bronce </t>
  </si>
  <si>
    <t>1 Hoja  V/3+3</t>
  </si>
  <si>
    <t>RPT</t>
  </si>
  <si>
    <t>VIDRIO STIPOLITE 4MM</t>
  </si>
  <si>
    <t>*+* c/desc</t>
  </si>
  <si>
    <t>Consultar precio</t>
  </si>
  <si>
    <t>T130 -REDONDO</t>
  </si>
  <si>
    <t>T131 - LARGO EXTERIOR</t>
  </si>
  <si>
    <t>TORNILLO PAMFRAMI 7X7/16</t>
  </si>
  <si>
    <t>alcolor</t>
  </si>
  <si>
    <t>alcolco -color</t>
  </si>
  <si>
    <t>no estan en formula</t>
  </si>
  <si>
    <t>DA ACCESORIOS</t>
  </si>
  <si>
    <t>1 Hoja V/4-9-4</t>
  </si>
  <si>
    <t>2 Hojas V/4-9-4</t>
  </si>
  <si>
    <t>2 Hojas V/3+3</t>
  </si>
  <si>
    <t>3 Hojas V/4-9-4</t>
  </si>
  <si>
    <t>3 Hojas V/3+3</t>
  </si>
  <si>
    <t>1 Hojas V/4-9-4</t>
  </si>
  <si>
    <t>1 Hoja V/3+3</t>
  </si>
  <si>
    <r>
      <t>Cta Cte $:</t>
    </r>
    <r>
      <rPr>
        <sz val="16"/>
        <color theme="1"/>
        <rFont val="Calibri"/>
        <family val="2"/>
        <scheme val="minor"/>
      </rPr>
      <t xml:space="preserve"> 0214-017120/0</t>
    </r>
  </si>
  <si>
    <r>
      <t>CBU:</t>
    </r>
    <r>
      <rPr>
        <sz val="16"/>
        <color theme="1"/>
        <rFont val="Calibri"/>
        <family val="2"/>
        <scheme val="minor"/>
      </rPr>
      <t xml:space="preserve"> 0170214120000001712009</t>
    </r>
  </si>
  <si>
    <t>1 Hoja V/4mm</t>
  </si>
  <si>
    <t>Linea Modena Paño Fijo</t>
  </si>
  <si>
    <t>Linea Modena Corrediza</t>
  </si>
  <si>
    <t>PUERTA DE REJA</t>
  </si>
  <si>
    <t>SIN DESCUENTOS</t>
  </si>
  <si>
    <t>Vidrio 3mm</t>
  </si>
  <si>
    <t>Linea Herrero Corrediza c/travesaño v/3mm</t>
  </si>
  <si>
    <t>Linea Herrero Corrediza v/3mm</t>
  </si>
  <si>
    <t>Linea Herrero Proyectante v/3mm</t>
  </si>
  <si>
    <t>Linea Herrero Raja v/3mm</t>
  </si>
  <si>
    <t>Linea Herrero Paño Fijo v/3mm</t>
  </si>
  <si>
    <t>Linea Herrero Patagonica v/Abrir v/3mm</t>
  </si>
  <si>
    <t>naza</t>
  </si>
  <si>
    <t>Pesada R/T</t>
  </si>
  <si>
    <t>Liviana R/T</t>
  </si>
  <si>
    <t>Liviana R/A</t>
  </si>
  <si>
    <t>CUÑA N° 14</t>
  </si>
  <si>
    <r>
      <t>Cta Cte $:</t>
    </r>
    <r>
      <rPr>
        <sz val="16"/>
        <color theme="1"/>
        <rFont val="Calibri"/>
        <family val="2"/>
        <scheme val="minor"/>
      </rPr>
      <t xml:space="preserve"> 3- 684  0942098098- 9</t>
    </r>
  </si>
  <si>
    <r>
      <t>CBU:</t>
    </r>
    <r>
      <rPr>
        <sz val="16"/>
        <color theme="1"/>
        <rFont val="Calibri"/>
        <family val="2"/>
        <scheme val="minor"/>
      </rPr>
      <t xml:space="preserve"> 2850684130094209809891</t>
    </r>
  </si>
  <si>
    <t>PARTE A ESCUADRA ARMADO</t>
  </si>
  <si>
    <t>Y90331/Y90631</t>
  </si>
  <si>
    <t>PESADA</t>
  </si>
  <si>
    <t>TRABA DE POSTIGON H14</t>
  </si>
  <si>
    <t>X90132</t>
  </si>
  <si>
    <t>ALDABA CP5</t>
  </si>
  <si>
    <t>X93032</t>
  </si>
  <si>
    <t>BRAZO EMPUJE 30</t>
  </si>
  <si>
    <t>X83032</t>
  </si>
  <si>
    <t>BRAZO EMPUJE 40</t>
  </si>
  <si>
    <t>X84032</t>
  </si>
  <si>
    <t>CONUJNTO FL-H1</t>
  </si>
  <si>
    <t>W81132</t>
  </si>
  <si>
    <t>CONJUNTO H33 REDONDO</t>
  </si>
  <si>
    <t>W81432</t>
  </si>
  <si>
    <t>2102 FH</t>
  </si>
  <si>
    <t>TELA MOSQUITERO ALUMINIO BRILLANTE</t>
  </si>
  <si>
    <t>MM1814080</t>
  </si>
  <si>
    <t>MM1814100</t>
  </si>
  <si>
    <t>PARTE B ESCUADRA ARMADO</t>
  </si>
  <si>
    <t>Y90431</t>
  </si>
  <si>
    <t>MM1814120</t>
  </si>
  <si>
    <t>MM1814150</t>
  </si>
  <si>
    <t>ESCUADRA ARMADO ABA</t>
  </si>
  <si>
    <t>Y70131</t>
  </si>
  <si>
    <t>BISAGRA MOSQUERA</t>
  </si>
  <si>
    <t>P43012</t>
  </si>
  <si>
    <t>H54 CIERRE LATERAL</t>
  </si>
  <si>
    <t>X96232/X96233</t>
  </si>
  <si>
    <t>H55 CIERRE LATERAL</t>
  </si>
  <si>
    <t>X92232/X92233</t>
  </si>
  <si>
    <t>Y98240</t>
  </si>
  <si>
    <t>Y98340</t>
  </si>
  <si>
    <t>FELPA FLEX</t>
  </si>
  <si>
    <t>Z076031/Z076032</t>
  </si>
  <si>
    <t>FALLEBA COMPLETA**</t>
  </si>
  <si>
    <t>FALLEBA 813 C</t>
  </si>
  <si>
    <t>X47132/X47133</t>
  </si>
  <si>
    <t>KIT MECANISMO OSCILOBATIENTE</t>
  </si>
  <si>
    <t>X95532/X95533</t>
  </si>
  <si>
    <t>KIT FALLEBA</t>
  </si>
  <si>
    <t>X860KM</t>
  </si>
  <si>
    <t>X95632/X95633</t>
  </si>
  <si>
    <t>BRAZO PROYECTANTE CORTO (160)</t>
  </si>
  <si>
    <t>H63 BRAZO ARTICULADO</t>
  </si>
  <si>
    <t>X81032/X81033</t>
  </si>
  <si>
    <t>BRAZO PROYECTANTE LARGO (224)</t>
  </si>
  <si>
    <t>X82432/X82433</t>
  </si>
  <si>
    <t>H52 BANDEROLA</t>
  </si>
  <si>
    <t>X90232</t>
  </si>
  <si>
    <t>PRECIO COMPLETO</t>
  </si>
  <si>
    <t>LIMITADOR 150</t>
  </si>
  <si>
    <t>X80040</t>
  </si>
  <si>
    <t>TIJERA DESPLAZABLE CORTA (305)</t>
  </si>
  <si>
    <t>BISAGRA A FRICCION H36</t>
  </si>
  <si>
    <t>W95127</t>
  </si>
  <si>
    <t>LIMITADOR 250</t>
  </si>
  <si>
    <t>X82540</t>
  </si>
  <si>
    <t>TIJERA DESPLAZABLE MEDIANA (508)</t>
  </si>
  <si>
    <t>W95427</t>
  </si>
  <si>
    <t>TIJERA DESPLAZABLE LARGA (710)</t>
  </si>
  <si>
    <t>W95627</t>
  </si>
  <si>
    <t>CERRDADURA COMPLETA **</t>
  </si>
  <si>
    <t>CERRADURA</t>
  </si>
  <si>
    <t>X51308</t>
  </si>
  <si>
    <t>H50 MANIJA 1512</t>
  </si>
  <si>
    <t>XV0232/XV0233</t>
  </si>
  <si>
    <t>BOCA LLAVE</t>
  </si>
  <si>
    <t>XWS232/XWS233</t>
  </si>
  <si>
    <t>CONJUNTO H61</t>
  </si>
  <si>
    <t>W80732/W80733</t>
  </si>
  <si>
    <t>TAMBOR MODENA</t>
  </si>
  <si>
    <t>X51370C</t>
  </si>
  <si>
    <t>CONJUNTO H62</t>
  </si>
  <si>
    <t>W80932/W80933</t>
  </si>
  <si>
    <t>TAMBOR A30</t>
  </si>
  <si>
    <t>X51380C</t>
  </si>
  <si>
    <t>CONJUNTO H81</t>
  </si>
  <si>
    <t>W81732/W81733</t>
  </si>
  <si>
    <t>CONJUNTO H82</t>
  </si>
  <si>
    <t>W81932/W81933</t>
  </si>
  <si>
    <t>PASADOR VENTANA DE ABRIR</t>
  </si>
  <si>
    <t>X43132</t>
  </si>
  <si>
    <t>H43 TRABA VARILLA SIMPLE</t>
  </si>
  <si>
    <t>X43032</t>
  </si>
  <si>
    <t>E73 ESCUADRA ALINEACION</t>
  </si>
  <si>
    <t>XE7332</t>
  </si>
  <si>
    <t>E66 ESCUADRA ALINEACION</t>
  </si>
  <si>
    <t>E62 ESCUADRA ALINEACION</t>
  </si>
  <si>
    <t>XE6231</t>
  </si>
  <si>
    <t>E68</t>
  </si>
  <si>
    <t>CAMARA 9 MM</t>
  </si>
  <si>
    <t>WURTH</t>
  </si>
  <si>
    <t>ALDABA ALUMINIO 850</t>
  </si>
  <si>
    <t>X94132/X94133</t>
  </si>
  <si>
    <t>X90732</t>
  </si>
  <si>
    <t>PZ CIERRE CENTRAL PIVOT ZAMAC</t>
  </si>
  <si>
    <t>Z074531/Z074532</t>
  </si>
  <si>
    <t>TIRADOR PARA VENTANA</t>
  </si>
  <si>
    <t>Y92032</t>
  </si>
  <si>
    <t xml:space="preserve">C14 -FELPA 7X6 </t>
  </si>
  <si>
    <t>Adicional Repartido            (6 Vidrios)</t>
  </si>
  <si>
    <t>3000N</t>
  </si>
  <si>
    <t>RUEDA ECONOMICA SIMPLE</t>
  </si>
  <si>
    <t>RUEDA ECONOMICA DOBLE</t>
  </si>
  <si>
    <t>A40 RPT</t>
  </si>
  <si>
    <t>bi punto</t>
  </si>
  <si>
    <t>bi punto con llave</t>
  </si>
  <si>
    <t>camara 6mm</t>
  </si>
  <si>
    <t>e78</t>
  </si>
  <si>
    <t>camara 15</t>
  </si>
  <si>
    <t>escuadra de 15</t>
  </si>
  <si>
    <t>escuadra de 6mm</t>
  </si>
  <si>
    <t>t112</t>
  </si>
  <si>
    <t>t118</t>
  </si>
  <si>
    <t>t117</t>
  </si>
  <si>
    <t>t116</t>
  </si>
  <si>
    <t>clip 115</t>
  </si>
  <si>
    <r>
      <t xml:space="preserve">Pago efvo/transferencia </t>
    </r>
    <r>
      <rPr>
        <b/>
        <u/>
        <sz val="16"/>
        <color theme="1"/>
        <rFont val="Calibri"/>
        <family val="2"/>
        <scheme val="minor"/>
      </rPr>
      <t>precio lista</t>
    </r>
    <r>
      <rPr>
        <b/>
        <sz val="16"/>
        <color theme="1"/>
        <rFont val="Calibri"/>
        <family val="2"/>
        <scheme val="minor"/>
      </rPr>
      <t xml:space="preserve"> – SIN EL 5%</t>
    </r>
  </si>
  <si>
    <r>
      <t xml:space="preserve">Pago efvo/transferencia </t>
    </r>
    <r>
      <rPr>
        <b/>
        <u/>
        <sz val="16"/>
        <color theme="1"/>
        <rFont val="Calibri"/>
        <family val="2"/>
        <scheme val="minor"/>
      </rPr>
      <t>precio lista</t>
    </r>
    <r>
      <rPr>
        <b/>
        <sz val="16"/>
        <color theme="1"/>
        <rFont val="Calibri"/>
        <family val="2"/>
        <scheme val="minor"/>
      </rPr>
      <t xml:space="preserve"> –  10 %</t>
    </r>
  </si>
  <si>
    <t>Lista ARC</t>
  </si>
  <si>
    <t>Nº 37</t>
  </si>
  <si>
    <t>Mar del Plata, Julio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</si>
</sst>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 &quot;$&quot;\ * #,##0.00_ ;_ &quot;$&quot;\ * \-#,##0.00_ ;_ &quot;$&quot;\ * &quot;-&quot;??_ ;_ @_ "/>
    <numFmt numFmtId="164" formatCode="_-&quot;$&quot;\ * #,##0.00_-;\-&quot;$&quot;\ * #,##0.00_-;_-&quot;$&quot;\ * &quot;-&quot;??_-;_-@_-"/>
    <numFmt numFmtId="165" formatCode="_-* #,##0.00_-;\-* #,##0.00_-;_-* &quot;-&quot;??_-;_-@_-"/>
    <numFmt numFmtId="166" formatCode="_-&quot;$&quot;* #,##0.00_-;\-&quot;$&quot;* #,##0.00_-;_-&quot;$&quot;* &quot;-&quot;??_-;_-@_-"/>
    <numFmt numFmtId="167" formatCode="_-* #,##0.000_-;\-* #,##0.000_-;_-* &quot;-&quot;??_-;_-@_-"/>
    <numFmt numFmtId="168" formatCode="&quot;$&quot;\ #,##0.00"/>
    <numFmt numFmtId="169" formatCode="_-* #,##0.0_-;\-* #,##0.0_-;_-* &quot;-&quot;??_-;_-@_-"/>
  </numFmts>
  <fonts count="9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0"/>
      <name val="Arial"/>
      <family val="2"/>
    </font>
    <font>
      <sz val="10"/>
      <color indexed="9"/>
      <name val="Arial"/>
      <family val="2"/>
    </font>
    <font>
      <b/>
      <i/>
      <sz val="10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b/>
      <i/>
      <sz val="14"/>
      <name val="Arial"/>
      <family val="2"/>
    </font>
    <font>
      <b/>
      <sz val="10"/>
      <color indexed="9"/>
      <name val="Arial"/>
      <family val="2"/>
    </font>
    <font>
      <i/>
      <sz val="9"/>
      <name val="Arial"/>
      <family val="2"/>
    </font>
    <font>
      <sz val="10"/>
      <name val="Arial"/>
      <family val="2"/>
    </font>
    <font>
      <sz val="16"/>
      <name val="Calibri"/>
      <family val="2"/>
      <scheme val="minor"/>
    </font>
    <font>
      <b/>
      <sz val="12"/>
      <name val="Arial"/>
      <family val="2"/>
    </font>
    <font>
      <b/>
      <sz val="14"/>
      <color indexed="9"/>
      <name val="Arial"/>
      <family val="2"/>
    </font>
    <font>
      <sz val="14"/>
      <color indexed="9"/>
      <name val="Arial"/>
      <family val="2"/>
    </font>
    <font>
      <sz val="20"/>
      <color indexed="9"/>
      <name val="Arial"/>
      <family val="2"/>
    </font>
    <font>
      <b/>
      <i/>
      <sz val="14"/>
      <color indexed="9"/>
      <name val="Arial"/>
      <family val="2"/>
    </font>
    <font>
      <b/>
      <sz val="20"/>
      <color indexed="9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sz val="18"/>
      <name val="Arial"/>
      <family val="2"/>
    </font>
    <font>
      <b/>
      <sz val="16"/>
      <name val="Calibri"/>
      <family val="2"/>
      <scheme val="minor"/>
    </font>
    <font>
      <b/>
      <sz val="18"/>
      <name val="Arial"/>
      <family val="2"/>
    </font>
    <font>
      <b/>
      <sz val="14"/>
      <color theme="3" tint="0.39997558519241921"/>
      <name val="Calibri"/>
      <family val="2"/>
      <scheme val="minor"/>
    </font>
    <font>
      <b/>
      <sz val="16"/>
      <color theme="3" tint="0.3999755851924192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sz val="14"/>
      <color theme="4" tint="-0.249977111117893"/>
      <name val="Arial"/>
      <family val="2"/>
    </font>
    <font>
      <b/>
      <sz val="20"/>
      <color theme="4" tint="-0.249977111117893"/>
      <name val="Arial"/>
      <family val="2"/>
    </font>
    <font>
      <sz val="20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0"/>
      <color theme="4" tint="-0.249977111117893"/>
      <name val="Arial"/>
      <family val="2"/>
    </font>
    <font>
      <sz val="12"/>
      <color rgb="FF000000"/>
      <name val="Calibri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sz val="14"/>
      <color theme="9" tint="-0.249977111117893"/>
      <name val="Arial"/>
      <family val="2"/>
    </font>
    <font>
      <b/>
      <sz val="20"/>
      <color theme="9" tint="-0.249977111117893"/>
      <name val="Arial"/>
      <family val="2"/>
    </font>
    <font>
      <sz val="20"/>
      <color theme="9" tint="-0.249977111117893"/>
      <name val="Arial"/>
      <family val="2"/>
    </font>
    <font>
      <sz val="10"/>
      <color theme="9" tint="-0.249977111117893"/>
      <name val="Arial"/>
      <family val="2"/>
    </font>
    <font>
      <sz val="11"/>
      <color theme="5" tint="-0.249977111117893"/>
      <name val="Calibri"/>
      <family val="2"/>
      <scheme val="minor"/>
    </font>
    <font>
      <b/>
      <sz val="16"/>
      <color theme="5" tint="-0.249977111117893"/>
      <name val="Calibri"/>
      <family val="2"/>
      <scheme val="minor"/>
    </font>
    <font>
      <sz val="14"/>
      <color theme="5" tint="-0.249977111117893"/>
      <name val="Arial"/>
      <family val="2"/>
    </font>
    <font>
      <b/>
      <sz val="20"/>
      <color theme="5" tint="-0.249977111117893"/>
      <name val="Arial"/>
      <family val="2"/>
    </font>
    <font>
      <sz val="20"/>
      <color theme="5" tint="-0.249977111117893"/>
      <name val="Arial"/>
      <family val="2"/>
    </font>
    <font>
      <b/>
      <i/>
      <sz val="14"/>
      <color theme="5" tint="-0.249977111117893"/>
      <name val="Arial"/>
      <family val="2"/>
    </font>
    <font>
      <sz val="10"/>
      <color theme="5" tint="-0.249977111117893"/>
      <name val="Arial"/>
      <family val="2"/>
    </font>
    <font>
      <sz val="11"/>
      <color theme="0" tint="-0.34998626667073579"/>
      <name val="Calibri"/>
      <family val="2"/>
      <scheme val="minor"/>
    </font>
    <font>
      <b/>
      <sz val="16"/>
      <color theme="0" tint="-0.34998626667073579"/>
      <name val="Calibri"/>
      <family val="2"/>
      <scheme val="minor"/>
    </font>
    <font>
      <sz val="14"/>
      <color theme="0" tint="-0.34998626667073579"/>
      <name val="Arial"/>
      <family val="2"/>
    </font>
    <font>
      <b/>
      <sz val="20"/>
      <color theme="0" tint="-0.34998626667073579"/>
      <name val="Arial"/>
      <family val="2"/>
    </font>
    <font>
      <sz val="20"/>
      <color theme="0" tint="-0.34998626667073579"/>
      <name val="Arial"/>
      <family val="2"/>
    </font>
    <font>
      <sz val="18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sz val="12"/>
      <color theme="1"/>
      <name val="Calibri"/>
      <family val="2"/>
      <scheme val="minor"/>
    </font>
    <font>
      <i/>
      <sz val="24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26"/>
      <color theme="1"/>
      <name val="Calibri"/>
      <family val="2"/>
      <scheme val="minor"/>
    </font>
    <font>
      <u/>
      <sz val="16"/>
      <name val="Calibri"/>
      <family val="2"/>
    </font>
    <font>
      <b/>
      <u/>
      <sz val="16"/>
      <name val="Calibri"/>
      <family val="2"/>
    </font>
    <font>
      <sz val="16"/>
      <name val="Calibri"/>
      <family val="2"/>
    </font>
    <font>
      <b/>
      <sz val="24"/>
      <color theme="1"/>
      <name val="Calibri"/>
      <family val="2"/>
      <scheme val="minor"/>
    </font>
    <font>
      <u/>
      <sz val="14"/>
      <color theme="10"/>
      <name val="Calibri"/>
      <family val="2"/>
    </font>
    <font>
      <b/>
      <sz val="18"/>
      <name val="Calibri"/>
      <family val="2"/>
    </font>
    <font>
      <b/>
      <sz val="12"/>
      <color theme="1"/>
      <name val="Calibri  "/>
    </font>
    <font>
      <sz val="11"/>
      <color theme="4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0"/>
      <name val="Calibri"/>
      <family val="2"/>
    </font>
    <font>
      <sz val="11"/>
      <color rgb="FFFF0000"/>
      <name val="Calibri"/>
      <family val="2"/>
      <scheme val="minor"/>
    </font>
    <font>
      <b/>
      <u/>
      <sz val="3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AD66D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rgb="FFCC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8" fillId="0" borderId="0" applyNumberFormat="0" applyFill="0" applyBorder="0" applyAlignment="0" applyProtection="0">
      <alignment vertical="top"/>
      <protection locked="0"/>
    </xf>
  </cellStyleXfs>
  <cellXfs count="99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8" xfId="0" applyFont="1" applyBorder="1"/>
    <xf numFmtId="0" fontId="0" fillId="0" borderId="0" xfId="0" applyBorder="1"/>
    <xf numFmtId="0" fontId="2" fillId="0" borderId="10" xfId="0" applyFont="1" applyBorder="1"/>
    <xf numFmtId="0" fontId="0" fillId="0" borderId="11" xfId="0" applyBorder="1"/>
    <xf numFmtId="0" fontId="3" fillId="0" borderId="1" xfId="0" applyFont="1" applyBorder="1" applyAlignment="1">
      <alignment horizontal="center"/>
    </xf>
    <xf numFmtId="0" fontId="2" fillId="0" borderId="8" xfId="0" applyFont="1" applyFill="1" applyBorder="1"/>
    <xf numFmtId="0" fontId="0" fillId="0" borderId="0" xfId="0" applyFill="1" applyBorder="1"/>
    <xf numFmtId="167" fontId="0" fillId="0" borderId="0" xfId="1" applyNumberFormat="1" applyFont="1" applyBorder="1"/>
    <xf numFmtId="0" fontId="4" fillId="0" borderId="1" xfId="0" applyFont="1" applyBorder="1"/>
    <xf numFmtId="0" fontId="2" fillId="0" borderId="0" xfId="0" applyFont="1" applyBorder="1"/>
    <xf numFmtId="0" fontId="2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166" fontId="0" fillId="0" borderId="9" xfId="2" applyFont="1" applyBorder="1"/>
    <xf numFmtId="166" fontId="0" fillId="0" borderId="9" xfId="2" applyFont="1" applyFill="1" applyBorder="1"/>
    <xf numFmtId="0" fontId="0" fillId="0" borderId="11" xfId="0" applyFill="1" applyBorder="1"/>
    <xf numFmtId="166" fontId="0" fillId="0" borderId="12" xfId="2" applyFont="1" applyBorder="1"/>
    <xf numFmtId="0" fontId="3" fillId="3" borderId="1" xfId="0" applyFont="1" applyFill="1" applyBorder="1" applyAlignment="1">
      <alignment horizontal="center"/>
    </xf>
    <xf numFmtId="0" fontId="2" fillId="3" borderId="8" xfId="0" applyFont="1" applyFill="1" applyBorder="1"/>
    <xf numFmtId="0" fontId="0" fillId="3" borderId="0" xfId="0" applyFill="1" applyBorder="1"/>
    <xf numFmtId="166" fontId="0" fillId="3" borderId="0" xfId="2" applyFont="1" applyFill="1" applyBorder="1"/>
    <xf numFmtId="0" fontId="2" fillId="3" borderId="10" xfId="0" applyFont="1" applyFill="1" applyBorder="1"/>
    <xf numFmtId="0" fontId="0" fillId="3" borderId="11" xfId="0" applyFill="1" applyBorder="1"/>
    <xf numFmtId="0" fontId="0" fillId="3" borderId="12" xfId="0" applyFill="1" applyBorder="1"/>
    <xf numFmtId="0" fontId="2" fillId="3" borderId="5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2" fillId="3" borderId="9" xfId="0" applyFont="1" applyFill="1" applyBorder="1"/>
    <xf numFmtId="0" fontId="2" fillId="3" borderId="12" xfId="0" applyFont="1" applyFill="1" applyBorder="1"/>
    <xf numFmtId="0" fontId="0" fillId="0" borderId="0" xfId="0" applyAlignment="1">
      <alignment horizontal="center"/>
    </xf>
    <xf numFmtId="0" fontId="2" fillId="4" borderId="2" xfId="0" applyFont="1" applyFill="1" applyBorder="1"/>
    <xf numFmtId="0" fontId="0" fillId="4" borderId="3" xfId="0" applyFill="1" applyBorder="1"/>
    <xf numFmtId="0" fontId="3" fillId="3" borderId="13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166" fontId="0" fillId="0" borderId="15" xfId="2" applyFon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6" fontId="2" fillId="0" borderId="20" xfId="0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6" fillId="0" borderId="13" xfId="0" applyFont="1" applyBorder="1" applyAlignment="1">
      <alignment horizontal="center"/>
    </xf>
    <xf numFmtId="166" fontId="0" fillId="0" borderId="17" xfId="2" applyFont="1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166" fontId="2" fillId="0" borderId="18" xfId="0" applyNumberFormat="1" applyFont="1" applyBorder="1" applyAlignment="1">
      <alignment horizontal="center"/>
    </xf>
    <xf numFmtId="166" fontId="0" fillId="0" borderId="22" xfId="2" applyFont="1" applyBorder="1" applyAlignment="1">
      <alignment horizontal="center"/>
    </xf>
    <xf numFmtId="166" fontId="0" fillId="0" borderId="22" xfId="0" applyNumberFormat="1" applyBorder="1" applyAlignment="1">
      <alignment horizontal="center"/>
    </xf>
    <xf numFmtId="166" fontId="2" fillId="0" borderId="23" xfId="0" applyNumberFormat="1" applyFont="1" applyBorder="1" applyAlignment="1">
      <alignment horizontal="center"/>
    </xf>
    <xf numFmtId="0" fontId="8" fillId="0" borderId="0" xfId="0" applyFont="1"/>
    <xf numFmtId="166" fontId="0" fillId="0" borderId="17" xfId="0" applyNumberFormat="1" applyFill="1" applyBorder="1" applyAlignment="1">
      <alignment horizontal="center"/>
    </xf>
    <xf numFmtId="166" fontId="0" fillId="0" borderId="15" xfId="0" applyNumberFormat="1" applyFill="1" applyBorder="1" applyAlignment="1">
      <alignment horizontal="center"/>
    </xf>
    <xf numFmtId="166" fontId="0" fillId="0" borderId="22" xfId="0" applyNumberFormat="1" applyFill="1" applyBorder="1" applyAlignment="1">
      <alignment horizontal="center"/>
    </xf>
    <xf numFmtId="0" fontId="7" fillId="0" borderId="0" xfId="0" applyFont="1" applyFill="1" applyBorder="1" applyAlignment="1">
      <alignment vertical="center" textRotation="90" wrapText="1"/>
    </xf>
    <xf numFmtId="166" fontId="0" fillId="0" borderId="17" xfId="2" applyFont="1" applyFill="1" applyBorder="1" applyAlignment="1">
      <alignment horizontal="center"/>
    </xf>
    <xf numFmtId="166" fontId="0" fillId="0" borderId="15" xfId="2" applyFont="1" applyFill="1" applyBorder="1" applyAlignment="1">
      <alignment horizontal="center"/>
    </xf>
    <xf numFmtId="166" fontId="0" fillId="0" borderId="22" xfId="2" applyFont="1" applyFill="1" applyBorder="1" applyAlignment="1">
      <alignment horizontal="center"/>
    </xf>
    <xf numFmtId="9" fontId="5" fillId="0" borderId="1" xfId="3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6" fontId="2" fillId="4" borderId="4" xfId="2" applyFont="1" applyFill="1" applyBorder="1"/>
    <xf numFmtId="0" fontId="6" fillId="0" borderId="0" xfId="0" applyFont="1"/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166" fontId="2" fillId="0" borderId="18" xfId="0" applyNumberFormat="1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166" fontId="2" fillId="0" borderId="20" xfId="0" applyNumberFormat="1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166" fontId="2" fillId="0" borderId="23" xfId="0" applyNumberFormat="1" applyFont="1" applyFill="1" applyBorder="1" applyAlignment="1">
      <alignment horizontal="center"/>
    </xf>
    <xf numFmtId="166" fontId="0" fillId="6" borderId="17" xfId="2" applyFont="1" applyFill="1" applyBorder="1" applyAlignment="1">
      <alignment horizontal="center"/>
    </xf>
    <xf numFmtId="166" fontId="0" fillId="6" borderId="15" xfId="2" applyFont="1" applyFill="1" applyBorder="1" applyAlignment="1">
      <alignment horizontal="center"/>
    </xf>
    <xf numFmtId="166" fontId="0" fillId="6" borderId="22" xfId="2" applyFont="1" applyFill="1" applyBorder="1" applyAlignment="1">
      <alignment horizontal="center"/>
    </xf>
    <xf numFmtId="0" fontId="0" fillId="0" borderId="0" xfId="0" applyFill="1"/>
    <xf numFmtId="0" fontId="12" fillId="0" borderId="0" xfId="0" applyFont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/>
    <xf numFmtId="0" fontId="2" fillId="0" borderId="0" xfId="0" applyFont="1" applyBorder="1" applyAlignment="1">
      <alignment horizontal="center"/>
    </xf>
    <xf numFmtId="166" fontId="4" fillId="0" borderId="1" xfId="2" applyFont="1" applyBorder="1"/>
    <xf numFmtId="0" fontId="3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/>
    <xf numFmtId="0" fontId="0" fillId="0" borderId="6" xfId="0" applyBorder="1"/>
    <xf numFmtId="167" fontId="0" fillId="0" borderId="6" xfId="1" applyNumberFormat="1" applyFont="1" applyBorder="1"/>
    <xf numFmtId="166" fontId="0" fillId="0" borderId="7" xfId="2" applyFont="1" applyBorder="1"/>
    <xf numFmtId="167" fontId="0" fillId="0" borderId="0" xfId="1" applyNumberFormat="1" applyFont="1" applyFill="1" applyBorder="1"/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2" fillId="0" borderId="7" xfId="0" applyFont="1" applyFill="1" applyBorder="1" applyAlignment="1"/>
    <xf numFmtId="0" fontId="2" fillId="0" borderId="0" xfId="0" applyFont="1" applyFill="1" applyBorder="1" applyAlignment="1"/>
    <xf numFmtId="0" fontId="13" fillId="0" borderId="0" xfId="0" applyFont="1" applyFill="1" applyBorder="1" applyAlignment="1">
      <alignment vertical="center" textRotation="90" wrapText="1"/>
    </xf>
    <xf numFmtId="0" fontId="11" fillId="0" borderId="16" xfId="0" applyFont="1" applyFill="1" applyBorder="1" applyAlignment="1">
      <alignment horizontal="center"/>
    </xf>
    <xf numFmtId="0" fontId="11" fillId="0" borderId="17" xfId="0" applyFont="1" applyFill="1" applyBorder="1" applyAlignment="1">
      <alignment horizontal="center"/>
    </xf>
    <xf numFmtId="166" fontId="11" fillId="0" borderId="15" xfId="2" applyFont="1" applyFill="1" applyBorder="1" applyAlignment="1">
      <alignment horizontal="center"/>
    </xf>
    <xf numFmtId="166" fontId="11" fillId="0" borderId="17" xfId="2" applyFont="1" applyFill="1" applyBorder="1" applyAlignment="1">
      <alignment horizontal="center"/>
    </xf>
    <xf numFmtId="166" fontId="11" fillId="0" borderId="17" xfId="0" applyNumberFormat="1" applyFont="1" applyFill="1" applyBorder="1" applyAlignment="1">
      <alignment horizontal="center"/>
    </xf>
    <xf numFmtId="166" fontId="7" fillId="0" borderId="18" xfId="0" applyNumberFormat="1" applyFont="1" applyFill="1" applyBorder="1" applyAlignment="1">
      <alignment horizontal="center"/>
    </xf>
    <xf numFmtId="0" fontId="11" fillId="0" borderId="19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166" fontId="11" fillId="0" borderId="15" xfId="0" applyNumberFormat="1" applyFont="1" applyFill="1" applyBorder="1" applyAlignment="1">
      <alignment horizontal="center"/>
    </xf>
    <xf numFmtId="166" fontId="7" fillId="0" borderId="20" xfId="0" applyNumberFormat="1" applyFont="1" applyFill="1" applyBorder="1" applyAlignment="1">
      <alignment horizontal="center"/>
    </xf>
    <xf numFmtId="0" fontId="11" fillId="0" borderId="21" xfId="0" applyFont="1" applyFill="1" applyBorder="1" applyAlignment="1">
      <alignment horizontal="center"/>
    </xf>
    <xf numFmtId="0" fontId="11" fillId="0" borderId="22" xfId="0" applyFont="1" applyFill="1" applyBorder="1" applyAlignment="1">
      <alignment horizontal="center"/>
    </xf>
    <xf numFmtId="166" fontId="11" fillId="0" borderId="22" xfId="2" applyFont="1" applyFill="1" applyBorder="1" applyAlignment="1">
      <alignment horizontal="center"/>
    </xf>
    <xf numFmtId="166" fontId="11" fillId="0" borderId="22" xfId="0" applyNumberFormat="1" applyFont="1" applyFill="1" applyBorder="1" applyAlignment="1">
      <alignment horizontal="center"/>
    </xf>
    <xf numFmtId="166" fontId="7" fillId="0" borderId="23" xfId="0" applyNumberFormat="1" applyFont="1" applyFill="1" applyBorder="1" applyAlignment="1">
      <alignment horizontal="center"/>
    </xf>
    <xf numFmtId="166" fontId="0" fillId="6" borderId="17" xfId="0" applyNumberFormat="1" applyFill="1" applyBorder="1" applyAlignment="1">
      <alignment horizontal="center"/>
    </xf>
    <xf numFmtId="166" fontId="0" fillId="6" borderId="15" xfId="0" applyNumberFormat="1" applyFill="1" applyBorder="1" applyAlignment="1">
      <alignment horizontal="center"/>
    </xf>
    <xf numFmtId="166" fontId="0" fillId="6" borderId="22" xfId="0" applyNumberFormat="1" applyFill="1" applyBorder="1" applyAlignment="1">
      <alignment horizontal="center"/>
    </xf>
    <xf numFmtId="49" fontId="2" fillId="0" borderId="14" xfId="0" applyNumberFormat="1" applyFont="1" applyBorder="1" applyAlignment="1">
      <alignment horizontal="center"/>
    </xf>
    <xf numFmtId="9" fontId="5" fillId="0" borderId="13" xfId="3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166" fontId="2" fillId="0" borderId="25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9" fontId="5" fillId="0" borderId="0" xfId="3" applyFont="1" applyBorder="1" applyAlignment="1">
      <alignment horizontal="center"/>
    </xf>
    <xf numFmtId="0" fontId="6" fillId="0" borderId="0" xfId="0" applyFont="1" applyFill="1" applyBorder="1"/>
    <xf numFmtId="0" fontId="2" fillId="0" borderId="0" xfId="0" applyFont="1" applyFill="1" applyBorder="1" applyAlignment="1">
      <alignment horizontal="center"/>
    </xf>
    <xf numFmtId="166" fontId="2" fillId="0" borderId="15" xfId="0" applyNumberFormat="1" applyFont="1" applyFill="1" applyBorder="1" applyAlignment="1">
      <alignment horizontal="center"/>
    </xf>
    <xf numFmtId="166" fontId="2" fillId="0" borderId="17" xfId="0" applyNumberFormat="1" applyFont="1" applyFill="1" applyBorder="1" applyAlignment="1">
      <alignment horizontal="center"/>
    </xf>
    <xf numFmtId="166" fontId="2" fillId="0" borderId="22" xfId="0" applyNumberFormat="1" applyFont="1" applyFill="1" applyBorder="1" applyAlignment="1">
      <alignment horizontal="center"/>
    </xf>
    <xf numFmtId="0" fontId="14" fillId="0" borderId="14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166" fontId="2" fillId="0" borderId="26" xfId="0" applyNumberFormat="1" applyFont="1" applyFill="1" applyBorder="1" applyAlignment="1">
      <alignment horizontal="center"/>
    </xf>
    <xf numFmtId="166" fontId="2" fillId="0" borderId="27" xfId="0" applyNumberFormat="1" applyFont="1" applyFill="1" applyBorder="1" applyAlignment="1">
      <alignment horizontal="center"/>
    </xf>
    <xf numFmtId="166" fontId="2" fillId="0" borderId="28" xfId="0" applyNumberFormat="1" applyFont="1" applyFill="1" applyBorder="1" applyAlignment="1">
      <alignment horizontal="center"/>
    </xf>
    <xf numFmtId="166" fontId="2" fillId="0" borderId="29" xfId="0" applyNumberFormat="1" applyFont="1" applyFill="1" applyBorder="1" applyAlignment="1">
      <alignment horizontal="center"/>
    </xf>
    <xf numFmtId="166" fontId="2" fillId="0" borderId="30" xfId="0" applyNumberFormat="1" applyFont="1" applyFill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4" fillId="0" borderId="0" xfId="0" applyFont="1" applyAlignment="1">
      <alignment horizontal="left"/>
    </xf>
    <xf numFmtId="166" fontId="0" fillId="0" borderId="18" xfId="0" applyNumberFormat="1" applyFill="1" applyBorder="1" applyAlignment="1">
      <alignment horizontal="center"/>
    </xf>
    <xf numFmtId="166" fontId="0" fillId="0" borderId="20" xfId="0" applyNumberFormat="1" applyFill="1" applyBorder="1" applyAlignment="1">
      <alignment horizontal="center"/>
    </xf>
    <xf numFmtId="166" fontId="0" fillId="0" borderId="23" xfId="0" applyNumberFormat="1" applyFill="1" applyBorder="1" applyAlignment="1">
      <alignment horizontal="center"/>
    </xf>
    <xf numFmtId="9" fontId="6" fillId="0" borderId="1" xfId="3" applyFont="1" applyBorder="1" applyAlignment="1">
      <alignment horizontal="center"/>
    </xf>
    <xf numFmtId="0" fontId="14" fillId="0" borderId="0" xfId="0" applyFont="1"/>
    <xf numFmtId="166" fontId="2" fillId="0" borderId="15" xfId="2" applyFont="1" applyFill="1" applyBorder="1" applyAlignment="1">
      <alignment horizontal="center"/>
    </xf>
    <xf numFmtId="166" fontId="2" fillId="0" borderId="17" xfId="2" applyFont="1" applyFill="1" applyBorder="1" applyAlignment="1">
      <alignment horizontal="center"/>
    </xf>
    <xf numFmtId="166" fontId="2" fillId="0" borderId="22" xfId="2" applyFont="1" applyFill="1" applyBorder="1" applyAlignment="1">
      <alignment horizontal="center"/>
    </xf>
    <xf numFmtId="0" fontId="2" fillId="10" borderId="25" xfId="0" applyFont="1" applyFill="1" applyBorder="1"/>
    <xf numFmtId="0" fontId="2" fillId="9" borderId="27" xfId="0" applyFont="1" applyFill="1" applyBorder="1"/>
    <xf numFmtId="167" fontId="0" fillId="0" borderId="11" xfId="1" applyNumberFormat="1" applyFont="1" applyFill="1" applyBorder="1"/>
    <xf numFmtId="166" fontId="2" fillId="10" borderId="25" xfId="2" applyFont="1" applyFill="1" applyBorder="1"/>
    <xf numFmtId="0" fontId="2" fillId="11" borderId="1" xfId="0" applyFont="1" applyFill="1" applyBorder="1"/>
    <xf numFmtId="0" fontId="2" fillId="6" borderId="1" xfId="0" applyFont="1" applyFill="1" applyBorder="1"/>
    <xf numFmtId="166" fontId="2" fillId="6" borderId="1" xfId="2" applyFont="1" applyFill="1" applyBorder="1"/>
    <xf numFmtId="0" fontId="2" fillId="6" borderId="2" xfId="0" applyFont="1" applyFill="1" applyBorder="1"/>
    <xf numFmtId="0" fontId="0" fillId="6" borderId="3" xfId="0" applyFill="1" applyBorder="1"/>
    <xf numFmtId="167" fontId="0" fillId="6" borderId="3" xfId="1" applyNumberFormat="1" applyFont="1" applyFill="1" applyBorder="1"/>
    <xf numFmtId="166" fontId="0" fillId="6" borderId="4" xfId="2" applyFont="1" applyFill="1" applyBorder="1"/>
    <xf numFmtId="49" fontId="2" fillId="6" borderId="4" xfId="0" applyNumberFormat="1" applyFont="1" applyFill="1" applyBorder="1" applyAlignment="1">
      <alignment horizontal="left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166" fontId="2" fillId="6" borderId="18" xfId="0" applyNumberFormat="1" applyFont="1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166" fontId="2" fillId="6" borderId="20" xfId="0" applyNumberFormat="1" applyFont="1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166" fontId="2" fillId="6" borderId="23" xfId="0" applyNumberFormat="1" applyFont="1" applyFill="1" applyBorder="1" applyAlignment="1">
      <alignment horizontal="center"/>
    </xf>
    <xf numFmtId="166" fontId="2" fillId="6" borderId="15" xfId="0" applyNumberFormat="1" applyFont="1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6" fontId="0" fillId="3" borderId="15" xfId="2" applyFont="1" applyFill="1" applyBorder="1" applyAlignment="1">
      <alignment horizontal="center"/>
    </xf>
    <xf numFmtId="166" fontId="0" fillId="3" borderId="15" xfId="0" applyNumberFormat="1" applyFill="1" applyBorder="1" applyAlignment="1">
      <alignment horizontal="center"/>
    </xf>
    <xf numFmtId="166" fontId="2" fillId="3" borderId="15" xfId="0" applyNumberFormat="1" applyFont="1" applyFill="1" applyBorder="1" applyAlignment="1">
      <alignment horizontal="center"/>
    </xf>
    <xf numFmtId="166" fontId="2" fillId="3" borderId="20" xfId="0" applyNumberFormat="1" applyFont="1" applyFill="1" applyBorder="1" applyAlignment="1">
      <alignment horizontal="center"/>
    </xf>
    <xf numFmtId="166" fontId="2" fillId="3" borderId="33" xfId="0" applyNumberFormat="1" applyFont="1" applyFill="1" applyBorder="1" applyAlignment="1">
      <alignment horizontal="center"/>
    </xf>
    <xf numFmtId="166" fontId="2" fillId="6" borderId="17" xfId="0" applyNumberFormat="1" applyFont="1" applyFill="1" applyBorder="1" applyAlignment="1">
      <alignment horizontal="center"/>
    </xf>
    <xf numFmtId="0" fontId="0" fillId="12" borderId="19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166" fontId="0" fillId="12" borderId="15" xfId="2" applyFont="1" applyFill="1" applyBorder="1" applyAlignment="1">
      <alignment horizontal="center"/>
    </xf>
    <xf numFmtId="166" fontId="0" fillId="12" borderId="15" xfId="0" applyNumberFormat="1" applyFill="1" applyBorder="1" applyAlignment="1">
      <alignment horizontal="center"/>
    </xf>
    <xf numFmtId="166" fontId="2" fillId="12" borderId="15" xfId="0" applyNumberFormat="1" applyFont="1" applyFill="1" applyBorder="1" applyAlignment="1">
      <alignment horizontal="center"/>
    </xf>
    <xf numFmtId="166" fontId="2" fillId="12" borderId="20" xfId="0" applyNumberFormat="1" applyFont="1" applyFill="1" applyBorder="1" applyAlignment="1">
      <alignment horizontal="center"/>
    </xf>
    <xf numFmtId="0" fontId="0" fillId="12" borderId="21" xfId="0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166" fontId="0" fillId="12" borderId="22" xfId="2" applyFont="1" applyFill="1" applyBorder="1" applyAlignment="1">
      <alignment horizontal="center"/>
    </xf>
    <xf numFmtId="166" fontId="0" fillId="12" borderId="22" xfId="0" applyNumberFormat="1" applyFill="1" applyBorder="1" applyAlignment="1">
      <alignment horizontal="center"/>
    </xf>
    <xf numFmtId="166" fontId="2" fillId="12" borderId="22" xfId="0" applyNumberFormat="1" applyFont="1" applyFill="1" applyBorder="1" applyAlignment="1">
      <alignment horizontal="center"/>
    </xf>
    <xf numFmtId="166" fontId="2" fillId="12" borderId="23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166" fontId="0" fillId="3" borderId="9" xfId="2" applyFont="1" applyFill="1" applyBorder="1"/>
    <xf numFmtId="0" fontId="2" fillId="13" borderId="8" xfId="0" applyFont="1" applyFill="1" applyBorder="1"/>
    <xf numFmtId="0" fontId="0" fillId="13" borderId="0" xfId="0" applyFill="1" applyBorder="1"/>
    <xf numFmtId="167" fontId="0" fillId="13" borderId="0" xfId="1" applyNumberFormat="1" applyFont="1" applyFill="1" applyBorder="1"/>
    <xf numFmtId="166" fontId="0" fillId="13" borderId="9" xfId="2" applyFont="1" applyFill="1" applyBorder="1"/>
    <xf numFmtId="0" fontId="2" fillId="0" borderId="10" xfId="0" applyFont="1" applyFill="1" applyBorder="1"/>
    <xf numFmtId="166" fontId="0" fillId="0" borderId="12" xfId="2" applyFont="1" applyFill="1" applyBorder="1"/>
    <xf numFmtId="0" fontId="14" fillId="0" borderId="8" xfId="0" applyFont="1" applyFill="1" applyBorder="1" applyAlignment="1">
      <alignment horizontal="left"/>
    </xf>
    <xf numFmtId="0" fontId="0" fillId="14" borderId="16" xfId="0" applyFill="1" applyBorder="1" applyAlignment="1">
      <alignment horizontal="center"/>
    </xf>
    <xf numFmtId="0" fontId="0" fillId="14" borderId="17" xfId="0" applyFill="1" applyBorder="1" applyAlignment="1">
      <alignment horizontal="center"/>
    </xf>
    <xf numFmtId="166" fontId="0" fillId="14" borderId="17" xfId="2" applyFont="1" applyFill="1" applyBorder="1" applyAlignment="1">
      <alignment horizontal="center"/>
    </xf>
    <xf numFmtId="166" fontId="0" fillId="14" borderId="17" xfId="0" applyNumberFormat="1" applyFill="1" applyBorder="1" applyAlignment="1">
      <alignment horizontal="center"/>
    </xf>
    <xf numFmtId="166" fontId="2" fillId="14" borderId="17" xfId="0" applyNumberFormat="1" applyFont="1" applyFill="1" applyBorder="1" applyAlignment="1">
      <alignment horizontal="center"/>
    </xf>
    <xf numFmtId="166" fontId="2" fillId="14" borderId="18" xfId="0" applyNumberFormat="1" applyFont="1" applyFill="1" applyBorder="1" applyAlignment="1">
      <alignment horizontal="center"/>
    </xf>
    <xf numFmtId="0" fontId="0" fillId="14" borderId="19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166" fontId="0" fillId="14" borderId="15" xfId="2" applyFont="1" applyFill="1" applyBorder="1" applyAlignment="1">
      <alignment horizontal="center"/>
    </xf>
    <xf numFmtId="166" fontId="0" fillId="14" borderId="15" xfId="0" applyNumberFormat="1" applyFill="1" applyBorder="1" applyAlignment="1">
      <alignment horizontal="center"/>
    </xf>
    <xf numFmtId="166" fontId="2" fillId="14" borderId="15" xfId="0" applyNumberFormat="1" applyFont="1" applyFill="1" applyBorder="1" applyAlignment="1">
      <alignment horizontal="center"/>
    </xf>
    <xf numFmtId="166" fontId="2" fillId="14" borderId="20" xfId="0" applyNumberFormat="1" applyFont="1" applyFill="1" applyBorder="1" applyAlignment="1">
      <alignment horizontal="center"/>
    </xf>
    <xf numFmtId="0" fontId="0" fillId="14" borderId="21" xfId="0" applyFill="1" applyBorder="1" applyAlignment="1">
      <alignment horizontal="center"/>
    </xf>
    <xf numFmtId="0" fontId="0" fillId="14" borderId="22" xfId="0" applyFill="1" applyBorder="1" applyAlignment="1">
      <alignment horizontal="center"/>
    </xf>
    <xf numFmtId="166" fontId="0" fillId="14" borderId="22" xfId="2" applyFont="1" applyFill="1" applyBorder="1" applyAlignment="1">
      <alignment horizontal="center"/>
    </xf>
    <xf numFmtId="166" fontId="0" fillId="14" borderId="22" xfId="0" applyNumberFormat="1" applyFill="1" applyBorder="1" applyAlignment="1">
      <alignment horizontal="center"/>
    </xf>
    <xf numFmtId="166" fontId="2" fillId="14" borderId="22" xfId="0" applyNumberFormat="1" applyFont="1" applyFill="1" applyBorder="1" applyAlignment="1">
      <alignment horizontal="center"/>
    </xf>
    <xf numFmtId="166" fontId="2" fillId="14" borderId="23" xfId="0" applyNumberFormat="1" applyFont="1" applyFill="1" applyBorder="1" applyAlignment="1">
      <alignment horizontal="center"/>
    </xf>
    <xf numFmtId="0" fontId="2" fillId="16" borderId="1" xfId="0" applyFont="1" applyFill="1" applyBorder="1"/>
    <xf numFmtId="166" fontId="2" fillId="16" borderId="1" xfId="2" applyFont="1" applyFill="1" applyBorder="1"/>
    <xf numFmtId="0" fontId="0" fillId="4" borderId="0" xfId="0" applyFill="1" applyBorder="1"/>
    <xf numFmtId="0" fontId="2" fillId="4" borderId="5" xfId="0" applyFont="1" applyFill="1" applyBorder="1"/>
    <xf numFmtId="0" fontId="0" fillId="4" borderId="6" xfId="0" applyFill="1" applyBorder="1"/>
    <xf numFmtId="166" fontId="2" fillId="4" borderId="7" xfId="2" applyFont="1" applyFill="1" applyBorder="1"/>
    <xf numFmtId="0" fontId="2" fillId="4" borderId="8" xfId="0" applyFont="1" applyFill="1" applyBorder="1"/>
    <xf numFmtId="166" fontId="2" fillId="4" borderId="9" xfId="2" applyFont="1" applyFill="1" applyBorder="1"/>
    <xf numFmtId="0" fontId="2" fillId="0" borderId="1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165" fontId="0" fillId="0" borderId="17" xfId="1" applyFont="1" applyFill="1" applyBorder="1" applyAlignment="1">
      <alignment horizontal="center"/>
    </xf>
    <xf numFmtId="165" fontId="0" fillId="0" borderId="15" xfId="1" applyFont="1" applyFill="1" applyBorder="1" applyAlignment="1">
      <alignment horizontal="center"/>
    </xf>
    <xf numFmtId="165" fontId="0" fillId="0" borderId="22" xfId="1" applyFont="1" applyFill="1" applyBorder="1" applyAlignment="1">
      <alignment horizontal="center"/>
    </xf>
    <xf numFmtId="166" fontId="11" fillId="6" borderId="17" xfId="2" applyFont="1" applyFill="1" applyBorder="1" applyAlignment="1">
      <alignment horizontal="center"/>
    </xf>
    <xf numFmtId="166" fontId="11" fillId="6" borderId="15" xfId="2" applyFont="1" applyFill="1" applyBorder="1" applyAlignment="1">
      <alignment horizontal="center"/>
    </xf>
    <xf numFmtId="166" fontId="11" fillId="6" borderId="22" xfId="2" applyFont="1" applyFill="1" applyBorder="1" applyAlignment="1">
      <alignment horizontal="center"/>
    </xf>
    <xf numFmtId="0" fontId="0" fillId="0" borderId="1" xfId="0" applyBorder="1"/>
    <xf numFmtId="9" fontId="5" fillId="0" borderId="5" xfId="3" applyFont="1" applyBorder="1" applyAlignment="1">
      <alignment horizontal="center"/>
    </xf>
    <xf numFmtId="9" fontId="5" fillId="0" borderId="6" xfId="3" applyFont="1" applyBorder="1" applyAlignment="1">
      <alignment horizontal="center"/>
    </xf>
    <xf numFmtId="9" fontId="5" fillId="0" borderId="7" xfId="3" applyFont="1" applyBorder="1" applyAlignment="1">
      <alignment horizontal="center"/>
    </xf>
    <xf numFmtId="0" fontId="0" fillId="16" borderId="0" xfId="0" applyFill="1"/>
    <xf numFmtId="0" fontId="14" fillId="0" borderId="8" xfId="0" applyFont="1" applyFill="1" applyBorder="1" applyAlignment="1">
      <alignment horizontal="center"/>
    </xf>
    <xf numFmtId="166" fontId="0" fillId="0" borderId="0" xfId="0" applyNumberFormat="1"/>
    <xf numFmtId="0" fontId="19" fillId="0" borderId="12" xfId="0" applyFont="1" applyFill="1" applyBorder="1" applyAlignment="1">
      <alignment horizontal="center" vertical="center" wrapText="1"/>
    </xf>
    <xf numFmtId="0" fontId="19" fillId="0" borderId="24" xfId="0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/>
    </xf>
    <xf numFmtId="166" fontId="20" fillId="0" borderId="1" xfId="2" applyFont="1" applyFill="1" applyBorder="1" applyAlignment="1">
      <alignment horizontal="center"/>
    </xf>
    <xf numFmtId="0" fontId="20" fillId="0" borderId="9" xfId="0" applyFont="1" applyFill="1" applyBorder="1" applyAlignment="1">
      <alignment horizontal="center"/>
    </xf>
    <xf numFmtId="166" fontId="20" fillId="0" borderId="14" xfId="2" applyFont="1" applyFill="1" applyBorder="1" applyAlignment="1">
      <alignment horizontal="center"/>
    </xf>
    <xf numFmtId="166" fontId="20" fillId="0" borderId="8" xfId="2" applyFont="1" applyFill="1" applyBorder="1" applyAlignment="1">
      <alignment horizontal="center"/>
    </xf>
    <xf numFmtId="166" fontId="20" fillId="0" borderId="0" xfId="2" applyFont="1" applyFill="1" applyBorder="1" applyAlignment="1">
      <alignment horizontal="center"/>
    </xf>
    <xf numFmtId="0" fontId="20" fillId="0" borderId="9" xfId="0" applyFont="1" applyBorder="1" applyAlignment="1">
      <alignment horizontal="center"/>
    </xf>
    <xf numFmtId="166" fontId="20" fillId="0" borderId="14" xfId="2" applyFont="1" applyBorder="1" applyAlignment="1">
      <alignment horizontal="center"/>
    </xf>
    <xf numFmtId="166" fontId="20" fillId="0" borderId="8" xfId="2" applyFont="1" applyBorder="1" applyAlignment="1">
      <alignment horizontal="center"/>
    </xf>
    <xf numFmtId="166" fontId="20" fillId="0" borderId="0" xfId="2" applyFont="1" applyBorder="1" applyAlignment="1">
      <alignment horizontal="center"/>
    </xf>
    <xf numFmtId="166" fontId="20" fillId="18" borderId="37" xfId="2" applyNumberFormat="1" applyFont="1" applyFill="1" applyBorder="1" applyAlignment="1">
      <alignment horizontal="center"/>
    </xf>
    <xf numFmtId="0" fontId="21" fillId="0" borderId="9" xfId="0" applyFont="1" applyBorder="1" applyAlignment="1">
      <alignment horizontal="center"/>
    </xf>
    <xf numFmtId="166" fontId="21" fillId="0" borderId="14" xfId="2" applyFont="1" applyBorder="1" applyAlignment="1">
      <alignment horizontal="center"/>
    </xf>
    <xf numFmtId="0" fontId="15" fillId="0" borderId="0" xfId="0" applyFont="1" applyBorder="1" applyAlignment="1">
      <alignment horizontal="center" vertical="center"/>
    </xf>
    <xf numFmtId="0" fontId="20" fillId="18" borderId="39" xfId="0" applyFont="1" applyFill="1" applyBorder="1" applyAlignment="1">
      <alignment horizontal="center"/>
    </xf>
    <xf numFmtId="0" fontId="20" fillId="18" borderId="36" xfId="0" applyFont="1" applyFill="1" applyBorder="1" applyAlignment="1">
      <alignment horizontal="center"/>
    </xf>
    <xf numFmtId="0" fontId="15" fillId="0" borderId="0" xfId="0" applyFont="1" applyBorder="1" applyAlignment="1">
      <alignment vertical="center"/>
    </xf>
    <xf numFmtId="0" fontId="20" fillId="0" borderId="13" xfId="0" applyFont="1" applyFill="1" applyBorder="1" applyAlignment="1">
      <alignment horizontal="center"/>
    </xf>
    <xf numFmtId="166" fontId="20" fillId="0" borderId="13" xfId="2" applyFont="1" applyBorder="1" applyAlignment="1">
      <alignment horizontal="center"/>
    </xf>
    <xf numFmtId="0" fontId="20" fillId="0" borderId="14" xfId="0" applyFont="1" applyFill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Alignment="1"/>
    <xf numFmtId="166" fontId="20" fillId="0" borderId="24" xfId="2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1" fillId="0" borderId="14" xfId="0" applyFont="1" applyFill="1" applyBorder="1" applyAlignment="1">
      <alignment horizontal="center"/>
    </xf>
    <xf numFmtId="0" fontId="21" fillId="0" borderId="14" xfId="0" applyFont="1" applyBorder="1" applyAlignment="1">
      <alignment horizontal="center"/>
    </xf>
    <xf numFmtId="0" fontId="21" fillId="0" borderId="24" xfId="0" applyFont="1" applyBorder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/>
    </xf>
    <xf numFmtId="166" fontId="20" fillId="0" borderId="7" xfId="2" applyFont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166" fontId="20" fillId="0" borderId="9" xfId="2" applyFont="1" applyBorder="1" applyAlignment="1">
      <alignment horizontal="center"/>
    </xf>
    <xf numFmtId="0" fontId="20" fillId="0" borderId="10" xfId="0" applyFont="1" applyFill="1" applyBorder="1" applyAlignment="1">
      <alignment horizontal="center"/>
    </xf>
    <xf numFmtId="166" fontId="20" fillId="0" borderId="12" xfId="2" applyFont="1" applyBorder="1" applyAlignment="1">
      <alignment horizontal="center"/>
    </xf>
    <xf numFmtId="166" fontId="20" fillId="0" borderId="13" xfId="2" applyFont="1" applyFill="1" applyBorder="1" applyAlignment="1">
      <alignment horizontal="center"/>
    </xf>
    <xf numFmtId="0" fontId="20" fillId="17" borderId="39" xfId="0" applyFont="1" applyFill="1" applyBorder="1" applyAlignment="1">
      <alignment horizontal="center"/>
    </xf>
    <xf numFmtId="0" fontId="20" fillId="17" borderId="24" xfId="0" applyFont="1" applyFill="1" applyBorder="1" applyAlignment="1">
      <alignment horizontal="center"/>
    </xf>
    <xf numFmtId="166" fontId="20" fillId="0" borderId="5" xfId="2" applyFont="1" applyFill="1" applyBorder="1" applyAlignment="1">
      <alignment horizontal="center"/>
    </xf>
    <xf numFmtId="166" fontId="20" fillId="17" borderId="40" xfId="2" applyNumberFormat="1" applyFont="1" applyFill="1" applyBorder="1" applyAlignment="1">
      <alignment horizontal="center"/>
    </xf>
    <xf numFmtId="166" fontId="20" fillId="18" borderId="40" xfId="2" applyNumberFormat="1" applyFont="1" applyFill="1" applyBorder="1" applyAlignment="1">
      <alignment horizontal="center"/>
    </xf>
    <xf numFmtId="166" fontId="20" fillId="17" borderId="10" xfId="2" applyNumberFormat="1" applyFont="1" applyFill="1" applyBorder="1" applyAlignment="1">
      <alignment horizontal="center"/>
    </xf>
    <xf numFmtId="166" fontId="20" fillId="0" borderId="24" xfId="2" applyFont="1" applyFill="1" applyBorder="1" applyAlignment="1">
      <alignment horizontal="center"/>
    </xf>
    <xf numFmtId="0" fontId="22" fillId="0" borderId="0" xfId="0" applyFont="1"/>
    <xf numFmtId="0" fontId="0" fillId="0" borderId="0" xfId="0" applyFill="1" applyBorder="1" applyAlignment="1">
      <alignment horizontal="right"/>
    </xf>
    <xf numFmtId="168" fontId="0" fillId="0" borderId="0" xfId="0" applyNumberFormat="1" applyFill="1" applyBorder="1" applyAlignment="1">
      <alignment horizontal="center"/>
    </xf>
    <xf numFmtId="0" fontId="23" fillId="0" borderId="0" xfId="0" applyFont="1" applyBorder="1"/>
    <xf numFmtId="0" fontId="25" fillId="0" borderId="0" xfId="0" applyFont="1"/>
    <xf numFmtId="0" fontId="26" fillId="0" borderId="0" xfId="0" applyFont="1"/>
    <xf numFmtId="0" fontId="26" fillId="0" borderId="0" xfId="0" applyFont="1" applyBorder="1"/>
    <xf numFmtId="0" fontId="27" fillId="0" borderId="0" xfId="0" applyFont="1" applyAlignment="1">
      <alignment vertical="center"/>
    </xf>
    <xf numFmtId="0" fontId="28" fillId="0" borderId="0" xfId="0" applyFont="1" applyBorder="1"/>
    <xf numFmtId="2" fontId="29" fillId="0" borderId="0" xfId="0" applyNumberFormat="1" applyFont="1" applyAlignment="1">
      <alignment vertical="center"/>
    </xf>
    <xf numFmtId="0" fontId="26" fillId="0" borderId="0" xfId="0" applyFont="1" applyFill="1" applyBorder="1" applyAlignment="1">
      <alignment horizontal="right"/>
    </xf>
    <xf numFmtId="0" fontId="30" fillId="0" borderId="0" xfId="0" applyFont="1"/>
    <xf numFmtId="0" fontId="27" fillId="0" borderId="0" xfId="0" applyFont="1" applyBorder="1" applyAlignment="1">
      <alignment vertical="center"/>
    </xf>
    <xf numFmtId="0" fontId="31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32" fillId="0" borderId="0" xfId="0" applyFont="1" applyBorder="1" applyAlignment="1">
      <alignment horizontal="center"/>
    </xf>
    <xf numFmtId="164" fontId="33" fillId="0" borderId="0" xfId="2" applyNumberFormat="1" applyFont="1"/>
    <xf numFmtId="0" fontId="34" fillId="0" borderId="0" xfId="0" applyFont="1"/>
    <xf numFmtId="0" fontId="35" fillId="0" borderId="0" xfId="0" applyFont="1" applyBorder="1"/>
    <xf numFmtId="0" fontId="36" fillId="0" borderId="0" xfId="0" applyFont="1" applyBorder="1"/>
    <xf numFmtId="0" fontId="37" fillId="0" borderId="0" xfId="0" applyFont="1" applyFill="1" applyBorder="1" applyAlignment="1">
      <alignment horizontal="right"/>
    </xf>
    <xf numFmtId="2" fontId="38" fillId="0" borderId="0" xfId="0" applyNumberFormat="1" applyFont="1" applyAlignment="1">
      <alignment vertical="center"/>
    </xf>
    <xf numFmtId="0" fontId="39" fillId="0" borderId="0" xfId="0" applyFont="1"/>
    <xf numFmtId="0" fontId="40" fillId="0" borderId="0" xfId="0" applyFont="1" applyBorder="1" applyAlignment="1">
      <alignment vertical="center"/>
    </xf>
    <xf numFmtId="0" fontId="37" fillId="0" borderId="0" xfId="0" applyFont="1" applyBorder="1"/>
    <xf numFmtId="0" fontId="24" fillId="0" borderId="0" xfId="0" applyFont="1"/>
    <xf numFmtId="164" fontId="41" fillId="0" borderId="0" xfId="2" applyNumberFormat="1" applyFont="1"/>
    <xf numFmtId="0" fontId="41" fillId="0" borderId="0" xfId="0" applyFont="1" applyFill="1" applyBorder="1" applyAlignment="1">
      <alignment horizontal="right"/>
    </xf>
    <xf numFmtId="0" fontId="42" fillId="0" borderId="0" xfId="0" applyFont="1"/>
    <xf numFmtId="0" fontId="41" fillId="0" borderId="0" xfId="0" applyFont="1"/>
    <xf numFmtId="0" fontId="25" fillId="0" borderId="0" xfId="0" applyFont="1" applyBorder="1"/>
    <xf numFmtId="0" fontId="43" fillId="0" borderId="0" xfId="0" applyFont="1" applyAlignment="1">
      <alignment horizontal="center" vertical="center"/>
    </xf>
    <xf numFmtId="0" fontId="30" fillId="0" borderId="0" xfId="0" applyFont="1" applyBorder="1"/>
    <xf numFmtId="0" fontId="37" fillId="0" borderId="0" xfId="0" applyFont="1"/>
    <xf numFmtId="0" fontId="39" fillId="0" borderId="0" xfId="0" applyFont="1" applyBorder="1"/>
    <xf numFmtId="164" fontId="41" fillId="0" borderId="0" xfId="2" applyNumberFormat="1" applyFont="1" applyAlignment="1">
      <alignment vertical="center"/>
    </xf>
    <xf numFmtId="0" fontId="44" fillId="0" borderId="0" xfId="0" applyFont="1" applyBorder="1" applyAlignment="1">
      <alignment vertical="center"/>
    </xf>
    <xf numFmtId="0" fontId="34" fillId="0" borderId="0" xfId="0" applyFont="1" applyBorder="1"/>
    <xf numFmtId="0" fontId="43" fillId="0" borderId="0" xfId="0" applyFont="1"/>
    <xf numFmtId="0" fontId="45" fillId="0" borderId="0" xfId="0" applyFont="1" applyAlignment="1">
      <alignment horizontal="center"/>
    </xf>
    <xf numFmtId="0" fontId="45" fillId="0" borderId="0" xfId="0" applyFont="1" applyBorder="1" applyAlignment="1">
      <alignment horizontal="center"/>
    </xf>
    <xf numFmtId="0" fontId="43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0" fontId="41" fillId="0" borderId="0" xfId="0" applyFont="1" applyBorder="1"/>
    <xf numFmtId="2" fontId="29" fillId="0" borderId="0" xfId="0" applyNumberFormat="1" applyFont="1" applyBorder="1" applyAlignment="1">
      <alignment vertical="center"/>
    </xf>
    <xf numFmtId="0" fontId="24" fillId="0" borderId="0" xfId="0" applyFont="1" applyBorder="1"/>
    <xf numFmtId="2" fontId="38" fillId="0" borderId="0" xfId="0" applyNumberFormat="1" applyFont="1" applyBorder="1" applyAlignment="1">
      <alignment vertical="center"/>
    </xf>
    <xf numFmtId="0" fontId="47" fillId="0" borderId="0" xfId="0" applyFont="1" applyAlignment="1">
      <alignment horizontal="center"/>
    </xf>
    <xf numFmtId="0" fontId="23" fillId="0" borderId="0" xfId="0" applyFont="1" applyBorder="1" applyAlignment="1">
      <alignment horizontal="center"/>
    </xf>
    <xf numFmtId="0" fontId="48" fillId="0" borderId="0" xfId="0" applyFont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48" fillId="0" borderId="0" xfId="0" applyFont="1" applyBorder="1" applyAlignment="1">
      <alignment horizontal="center" vertical="center"/>
    </xf>
    <xf numFmtId="164" fontId="53" fillId="0" borderId="0" xfId="2" applyNumberFormat="1" applyFont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50" fillId="0" borderId="0" xfId="0" applyFont="1" applyBorder="1" applyAlignment="1">
      <alignment horizontal="center" vertical="center"/>
    </xf>
    <xf numFmtId="2" fontId="51" fillId="0" borderId="0" xfId="0" applyNumberFormat="1" applyFont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2" fillId="5" borderId="8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166" fontId="21" fillId="0" borderId="14" xfId="2" applyFont="1" applyFill="1" applyBorder="1" applyAlignment="1">
      <alignment horizontal="center"/>
    </xf>
    <xf numFmtId="166" fontId="54" fillId="0" borderId="14" xfId="2" applyNumberFormat="1" applyFont="1" applyBorder="1" applyAlignment="1">
      <alignment horizontal="center"/>
    </xf>
    <xf numFmtId="0" fontId="0" fillId="0" borderId="14" xfId="0" applyFill="1" applyBorder="1"/>
    <xf numFmtId="0" fontId="2" fillId="0" borderId="1" xfId="0" applyFont="1" applyFill="1" applyBorder="1" applyAlignment="1">
      <alignment horizontal="center"/>
    </xf>
    <xf numFmtId="0" fontId="20" fillId="20" borderId="36" xfId="0" applyFont="1" applyFill="1" applyBorder="1" applyAlignment="1">
      <alignment horizontal="center"/>
    </xf>
    <xf numFmtId="0" fontId="20" fillId="19" borderId="36" xfId="0" applyFont="1" applyFill="1" applyBorder="1" applyAlignment="1">
      <alignment horizontal="center"/>
    </xf>
    <xf numFmtId="0" fontId="20" fillId="20" borderId="38" xfId="0" applyFont="1" applyFill="1" applyBorder="1" applyAlignment="1">
      <alignment horizontal="center"/>
    </xf>
    <xf numFmtId="0" fontId="52" fillId="0" borderId="0" xfId="0" applyFont="1" applyFill="1" applyAlignment="1">
      <alignment horizontal="center" vertical="center"/>
    </xf>
    <xf numFmtId="0" fontId="52" fillId="0" borderId="0" xfId="0" applyFont="1" applyFill="1" applyBorder="1" applyAlignment="1">
      <alignment horizontal="center" vertical="center"/>
    </xf>
    <xf numFmtId="168" fontId="52" fillId="0" borderId="0" xfId="0" applyNumberFormat="1" applyFont="1" applyFill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2" fontId="55" fillId="0" borderId="0" xfId="0" applyNumberFormat="1" applyFont="1" applyAlignment="1">
      <alignment horizontal="center" vertical="center"/>
    </xf>
    <xf numFmtId="0" fontId="57" fillId="0" borderId="0" xfId="0" applyFont="1" applyAlignment="1">
      <alignment horizontal="center" vertical="center"/>
    </xf>
    <xf numFmtId="0" fontId="58" fillId="0" borderId="0" xfId="0" applyFont="1" applyAlignment="1">
      <alignment horizontal="center" vertical="center"/>
    </xf>
    <xf numFmtId="0" fontId="59" fillId="0" borderId="0" xfId="0" applyFont="1" applyAlignment="1">
      <alignment horizontal="center" vertical="center"/>
    </xf>
    <xf numFmtId="0" fontId="57" fillId="0" borderId="0" xfId="0" applyFont="1" applyBorder="1" applyAlignment="1">
      <alignment horizontal="center" vertical="center"/>
    </xf>
    <xf numFmtId="0" fontId="59" fillId="0" borderId="0" xfId="0" applyFont="1" applyBorder="1" applyAlignment="1">
      <alignment horizontal="center" vertical="center"/>
    </xf>
    <xf numFmtId="2" fontId="60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61" fillId="0" borderId="0" xfId="2" applyNumberFormat="1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68" fontId="5" fillId="0" borderId="0" xfId="0" applyNumberFormat="1" applyFont="1" applyFill="1" applyBorder="1" applyAlignment="1">
      <alignment horizontal="center" vertical="center"/>
    </xf>
    <xf numFmtId="9" fontId="6" fillId="0" borderId="3" xfId="3" applyFont="1" applyBorder="1" applyAlignment="1">
      <alignment horizontal="center"/>
    </xf>
    <xf numFmtId="0" fontId="19" fillId="0" borderId="13" xfId="0" applyFont="1" applyFill="1" applyBorder="1" applyAlignment="1">
      <alignment horizontal="center" vertical="center" wrapText="1"/>
    </xf>
    <xf numFmtId="166" fontId="0" fillId="0" borderId="0" xfId="2" applyFont="1" applyFill="1" applyBorder="1" applyAlignment="1">
      <alignment horizontal="center"/>
    </xf>
    <xf numFmtId="166" fontId="0" fillId="6" borderId="0" xfId="2" applyFon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0" fontId="20" fillId="0" borderId="8" xfId="0" applyFont="1" applyBorder="1" applyAlignment="1">
      <alignment horizontal="center"/>
    </xf>
    <xf numFmtId="166" fontId="20" fillId="0" borderId="6" xfId="2" applyFont="1" applyFill="1" applyBorder="1" applyAlignment="1">
      <alignment horizontal="center"/>
    </xf>
    <xf numFmtId="0" fontId="19" fillId="0" borderId="1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6" fontId="0" fillId="0" borderId="13" xfId="0" applyNumberFormat="1" applyBorder="1"/>
    <xf numFmtId="166" fontId="0" fillId="0" borderId="14" xfId="0" applyNumberFormat="1" applyBorder="1"/>
    <xf numFmtId="166" fontId="0" fillId="0" borderId="24" xfId="0" applyNumberFormat="1" applyBorder="1"/>
    <xf numFmtId="0" fontId="62" fillId="0" borderId="0" xfId="0" applyFont="1"/>
    <xf numFmtId="0" fontId="63" fillId="0" borderId="0" xfId="0" applyFont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65" fillId="0" borderId="0" xfId="0" applyFont="1" applyAlignment="1">
      <alignment horizontal="center" vertical="center"/>
    </xf>
    <xf numFmtId="2" fontId="66" fillId="0" borderId="0" xfId="0" applyNumberFormat="1" applyFont="1" applyAlignment="1">
      <alignment vertical="center"/>
    </xf>
    <xf numFmtId="0" fontId="67" fillId="0" borderId="0" xfId="0" applyFont="1" applyBorder="1"/>
    <xf numFmtId="0" fontId="63" fillId="0" borderId="0" xfId="0" applyFont="1" applyBorder="1" applyAlignment="1">
      <alignment horizontal="center" vertical="center"/>
    </xf>
    <xf numFmtId="0" fontId="65" fillId="0" borderId="0" xfId="0" applyFont="1" applyBorder="1" applyAlignment="1">
      <alignment horizontal="center" vertical="center"/>
    </xf>
    <xf numFmtId="2" fontId="66" fillId="0" borderId="0" xfId="0" applyNumberFormat="1" applyFont="1" applyAlignment="1">
      <alignment horizontal="center" vertical="center"/>
    </xf>
    <xf numFmtId="0" fontId="62" fillId="0" borderId="0" xfId="0" applyFont="1" applyAlignment="1">
      <alignment horizontal="center" vertical="center"/>
    </xf>
    <xf numFmtId="164" fontId="68" fillId="0" borderId="0" xfId="2" applyNumberFormat="1" applyFont="1" applyAlignment="1">
      <alignment horizontal="center" vertical="center"/>
    </xf>
    <xf numFmtId="0" fontId="62" fillId="0" borderId="0" xfId="0" applyFont="1" applyFill="1" applyAlignment="1">
      <alignment horizontal="center" vertical="center"/>
    </xf>
    <xf numFmtId="0" fontId="62" fillId="0" borderId="0" xfId="0" applyFont="1" applyFill="1" applyBorder="1" applyAlignment="1">
      <alignment horizontal="center" vertical="center"/>
    </xf>
    <xf numFmtId="168" fontId="62" fillId="0" borderId="0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6" fontId="0" fillId="0" borderId="0" xfId="0" applyNumberFormat="1" applyFill="1" applyBorder="1"/>
    <xf numFmtId="0" fontId="11" fillId="0" borderId="0" xfId="0" applyFont="1" applyBorder="1"/>
    <xf numFmtId="0" fontId="20" fillId="0" borderId="0" xfId="0" applyFont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166" fontId="0" fillId="3" borderId="22" xfId="2" applyFont="1" applyFill="1" applyBorder="1" applyAlignment="1">
      <alignment horizontal="center"/>
    </xf>
    <xf numFmtId="166" fontId="0" fillId="3" borderId="22" xfId="0" applyNumberFormat="1" applyFill="1" applyBorder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2" fillId="0" borderId="0" xfId="0" applyFont="1" applyAlignment="1">
      <alignment horizontal="center" vertical="center"/>
    </xf>
    <xf numFmtId="2" fontId="73" fillId="0" borderId="0" xfId="0" applyNumberFormat="1" applyFont="1" applyAlignment="1">
      <alignment vertical="center"/>
    </xf>
    <xf numFmtId="0" fontId="74" fillId="0" borderId="0" xfId="0" applyFont="1" applyAlignment="1">
      <alignment horizontal="center" vertical="center"/>
    </xf>
    <xf numFmtId="0" fontId="70" fillId="0" borderId="0" xfId="0" applyFont="1" applyBorder="1" applyAlignment="1">
      <alignment horizontal="center" vertical="center"/>
    </xf>
    <xf numFmtId="0" fontId="72" fillId="0" borderId="0" xfId="0" applyFont="1" applyBorder="1" applyAlignment="1">
      <alignment horizontal="center" vertical="center"/>
    </xf>
    <xf numFmtId="2" fontId="73" fillId="0" borderId="0" xfId="0" applyNumberFormat="1" applyFont="1" applyAlignment="1">
      <alignment horizontal="center" vertical="center"/>
    </xf>
    <xf numFmtId="0" fontId="69" fillId="0" borderId="0" xfId="0" applyFont="1" applyAlignment="1">
      <alignment horizontal="center" vertical="center"/>
    </xf>
    <xf numFmtId="164" fontId="75" fillId="0" borderId="0" xfId="2" applyNumberFormat="1" applyFont="1" applyAlignment="1">
      <alignment horizontal="center" vertical="center"/>
    </xf>
    <xf numFmtId="0" fontId="69" fillId="0" borderId="0" xfId="0" applyFont="1" applyFill="1" applyAlignment="1">
      <alignment horizontal="center" vertical="center"/>
    </xf>
    <xf numFmtId="0" fontId="69" fillId="0" borderId="0" xfId="0" applyFont="1" applyFill="1" applyBorder="1" applyAlignment="1">
      <alignment horizontal="center" vertical="center"/>
    </xf>
    <xf numFmtId="168" fontId="69" fillId="0" borderId="0" xfId="0" applyNumberFormat="1" applyFont="1" applyFill="1" applyBorder="1" applyAlignment="1">
      <alignment horizontal="center" vertical="center"/>
    </xf>
    <xf numFmtId="0" fontId="12" fillId="0" borderId="16" xfId="0" applyFont="1" applyBorder="1"/>
    <xf numFmtId="0" fontId="12" fillId="0" borderId="17" xfId="0" applyFont="1" applyBorder="1"/>
    <xf numFmtId="0" fontId="12" fillId="0" borderId="18" xfId="0" applyFont="1" applyBorder="1"/>
    <xf numFmtId="0" fontId="12" fillId="0" borderId="21" xfId="0" applyFont="1" applyBorder="1"/>
    <xf numFmtId="0" fontId="12" fillId="0" borderId="22" xfId="0" applyFont="1" applyBorder="1"/>
    <xf numFmtId="0" fontId="12" fillId="0" borderId="23" xfId="0" applyFont="1" applyBorder="1"/>
    <xf numFmtId="0" fontId="0" fillId="15" borderId="0" xfId="0" applyFill="1"/>
    <xf numFmtId="166" fontId="20" fillId="0" borderId="0" xfId="0" applyNumberFormat="1" applyFont="1" applyBorder="1" applyAlignment="1">
      <alignment horizontal="center" vertical="center"/>
    </xf>
    <xf numFmtId="166" fontId="55" fillId="0" borderId="0" xfId="0" applyNumberFormat="1" applyFont="1" applyBorder="1" applyAlignment="1">
      <alignment horizontal="center" vertical="center"/>
    </xf>
    <xf numFmtId="166" fontId="55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9" fontId="6" fillId="0" borderId="0" xfId="3" applyFont="1" applyBorder="1" applyAlignment="1">
      <alignment horizontal="center"/>
    </xf>
    <xf numFmtId="166" fontId="0" fillId="0" borderId="28" xfId="0" applyNumberFormat="1" applyFill="1" applyBorder="1" applyAlignment="1">
      <alignment horizontal="center"/>
    </xf>
    <xf numFmtId="166" fontId="0" fillId="0" borderId="29" xfId="0" applyNumberFormat="1" applyFill="1" applyBorder="1" applyAlignment="1">
      <alignment horizontal="center"/>
    </xf>
    <xf numFmtId="166" fontId="2" fillId="0" borderId="13" xfId="0" applyNumberFormat="1" applyFont="1" applyFill="1" applyBorder="1" applyAlignment="1">
      <alignment horizontal="center"/>
    </xf>
    <xf numFmtId="0" fontId="0" fillId="0" borderId="47" xfId="0" applyBorder="1"/>
    <xf numFmtId="166" fontId="20" fillId="19" borderId="36" xfId="2" applyFont="1" applyFill="1" applyBorder="1" applyAlignment="1">
      <alignment horizontal="center"/>
    </xf>
    <xf numFmtId="0" fontId="76" fillId="19" borderId="38" xfId="0" applyFont="1" applyFill="1" applyBorder="1" applyAlignment="1">
      <alignment horizontal="center"/>
    </xf>
    <xf numFmtId="0" fontId="7" fillId="5" borderId="14" xfId="0" applyFont="1" applyFill="1" applyBorder="1" applyAlignment="1">
      <alignment horizontal="center"/>
    </xf>
    <xf numFmtId="0" fontId="11" fillId="5" borderId="16" xfId="0" applyFont="1" applyFill="1" applyBorder="1" applyAlignment="1">
      <alignment horizontal="center"/>
    </xf>
    <xf numFmtId="0" fontId="11" fillId="5" borderId="17" xfId="0" applyFont="1" applyFill="1" applyBorder="1" applyAlignment="1">
      <alignment horizontal="center"/>
    </xf>
    <xf numFmtId="166" fontId="11" fillId="5" borderId="17" xfId="2" applyFont="1" applyFill="1" applyBorder="1" applyAlignment="1">
      <alignment horizontal="center"/>
    </xf>
    <xf numFmtId="166" fontId="11" fillId="5" borderId="17" xfId="0" applyNumberFormat="1" applyFont="1" applyFill="1" applyBorder="1" applyAlignment="1">
      <alignment horizontal="center"/>
    </xf>
    <xf numFmtId="166" fontId="7" fillId="5" borderId="18" xfId="0" applyNumberFormat="1" applyFont="1" applyFill="1" applyBorder="1" applyAlignment="1">
      <alignment horizontal="center"/>
    </xf>
    <xf numFmtId="0" fontId="11" fillId="5" borderId="19" xfId="0" applyFont="1" applyFill="1" applyBorder="1" applyAlignment="1">
      <alignment horizontal="center"/>
    </xf>
    <xf numFmtId="0" fontId="11" fillId="5" borderId="15" xfId="0" applyFont="1" applyFill="1" applyBorder="1" applyAlignment="1">
      <alignment horizontal="center"/>
    </xf>
    <xf numFmtId="166" fontId="11" fillId="5" borderId="15" xfId="2" applyFont="1" applyFill="1" applyBorder="1" applyAlignment="1">
      <alignment horizontal="center"/>
    </xf>
    <xf numFmtId="166" fontId="11" fillId="5" borderId="15" xfId="0" applyNumberFormat="1" applyFont="1" applyFill="1" applyBorder="1" applyAlignment="1">
      <alignment horizontal="center"/>
    </xf>
    <xf numFmtId="166" fontId="7" fillId="5" borderId="20" xfId="0" applyNumberFormat="1" applyFont="1" applyFill="1" applyBorder="1" applyAlignment="1">
      <alignment horizontal="center"/>
    </xf>
    <xf numFmtId="0" fontId="11" fillId="5" borderId="21" xfId="0" applyFont="1" applyFill="1" applyBorder="1" applyAlignment="1">
      <alignment horizontal="center"/>
    </xf>
    <xf numFmtId="0" fontId="11" fillId="5" borderId="22" xfId="0" applyFont="1" applyFill="1" applyBorder="1" applyAlignment="1">
      <alignment horizontal="center"/>
    </xf>
    <xf numFmtId="166" fontId="11" fillId="5" borderId="22" xfId="2" applyFont="1" applyFill="1" applyBorder="1" applyAlignment="1">
      <alignment horizontal="center"/>
    </xf>
    <xf numFmtId="166" fontId="11" fillId="5" borderId="22" xfId="0" applyNumberFormat="1" applyFont="1" applyFill="1" applyBorder="1" applyAlignment="1">
      <alignment horizontal="center"/>
    </xf>
    <xf numFmtId="166" fontId="7" fillId="5" borderId="23" xfId="0" applyNumberFormat="1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166" fontId="0" fillId="5" borderId="17" xfId="2" applyFont="1" applyFill="1" applyBorder="1" applyAlignment="1">
      <alignment horizontal="center"/>
    </xf>
    <xf numFmtId="166" fontId="0" fillId="5" borderId="17" xfId="0" applyNumberFormat="1" applyFill="1" applyBorder="1" applyAlignment="1">
      <alignment horizontal="center"/>
    </xf>
    <xf numFmtId="166" fontId="2" fillId="5" borderId="18" xfId="0" applyNumberFormat="1" applyFont="1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166" fontId="0" fillId="5" borderId="15" xfId="2" applyFont="1" applyFill="1" applyBorder="1" applyAlignment="1">
      <alignment horizontal="center"/>
    </xf>
    <xf numFmtId="166" fontId="0" fillId="5" borderId="15" xfId="0" applyNumberFormat="1" applyFill="1" applyBorder="1" applyAlignment="1">
      <alignment horizontal="center"/>
    </xf>
    <xf numFmtId="166" fontId="2" fillId="5" borderId="20" xfId="0" applyNumberFormat="1" applyFont="1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166" fontId="0" fillId="5" borderId="22" xfId="2" applyFont="1" applyFill="1" applyBorder="1" applyAlignment="1">
      <alignment horizontal="center"/>
    </xf>
    <xf numFmtId="166" fontId="0" fillId="5" borderId="22" xfId="0" applyNumberFormat="1" applyFill="1" applyBorder="1" applyAlignment="1">
      <alignment horizontal="center"/>
    </xf>
    <xf numFmtId="166" fontId="2" fillId="5" borderId="23" xfId="0" applyNumberFormat="1" applyFont="1" applyFill="1" applyBorder="1" applyAlignment="1">
      <alignment horizontal="center"/>
    </xf>
    <xf numFmtId="0" fontId="20" fillId="0" borderId="0" xfId="0" applyFont="1" applyBorder="1"/>
    <xf numFmtId="0" fontId="3" fillId="0" borderId="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/>
    <xf numFmtId="168" fontId="3" fillId="0" borderId="0" xfId="0" applyNumberFormat="1" applyFont="1" applyFill="1" applyBorder="1" applyAlignment="1">
      <alignment horizontal="center"/>
    </xf>
    <xf numFmtId="166" fontId="56" fillId="0" borderId="0" xfId="0" applyNumberFormat="1" applyFont="1" applyBorder="1" applyAlignment="1">
      <alignment horizontal="center" vertical="center"/>
    </xf>
    <xf numFmtId="0" fontId="3" fillId="0" borderId="0" xfId="0" applyFont="1" applyBorder="1"/>
    <xf numFmtId="0" fontId="44" fillId="0" borderId="0" xfId="0" applyFont="1" applyBorder="1"/>
    <xf numFmtId="0" fontId="45" fillId="0" borderId="0" xfId="0" applyFont="1"/>
    <xf numFmtId="0" fontId="44" fillId="0" borderId="0" xfId="0" applyFont="1"/>
    <xf numFmtId="0" fontId="35" fillId="0" borderId="0" xfId="0" applyFont="1"/>
    <xf numFmtId="0" fontId="46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68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56" fillId="0" borderId="0" xfId="0" applyFont="1" applyAlignment="1">
      <alignment horizontal="center" vertical="center" wrapText="1"/>
    </xf>
    <xf numFmtId="2" fontId="56" fillId="0" borderId="0" xfId="0" applyNumberFormat="1" applyFont="1" applyAlignment="1">
      <alignment horizontal="center" vertical="center" wrapText="1"/>
    </xf>
    <xf numFmtId="0" fontId="0" fillId="22" borderId="0" xfId="0" applyFill="1"/>
    <xf numFmtId="2" fontId="56" fillId="0" borderId="0" xfId="0" applyNumberFormat="1" applyFont="1" applyAlignment="1">
      <alignment horizontal="center" vertical="center"/>
    </xf>
    <xf numFmtId="166" fontId="3" fillId="0" borderId="0" xfId="0" applyNumberFormat="1" applyFont="1" applyBorder="1" applyAlignment="1">
      <alignment horizontal="center" vertical="center" wrapText="1"/>
    </xf>
    <xf numFmtId="165" fontId="3" fillId="0" borderId="0" xfId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8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35" fillId="0" borderId="0" xfId="0" applyFont="1" applyBorder="1" applyAlignment="1">
      <alignment horizontal="left" vertical="center" wrapText="1"/>
    </xf>
    <xf numFmtId="0" fontId="28" fillId="0" borderId="0" xfId="0" applyFont="1" applyBorder="1" applyAlignment="1">
      <alignment horizontal="left" vertical="center" wrapText="1"/>
    </xf>
    <xf numFmtId="0" fontId="36" fillId="0" borderId="0" xfId="0" applyFont="1" applyBorder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26" fillId="0" borderId="0" xfId="0" applyFont="1" applyBorder="1" applyAlignment="1">
      <alignment horizontal="left" vertical="center" wrapText="1"/>
    </xf>
    <xf numFmtId="0" fontId="37" fillId="0" borderId="0" xfId="0" applyFont="1" applyBorder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/>
    </xf>
    <xf numFmtId="0" fontId="77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Alignment="1"/>
    <xf numFmtId="0" fontId="19" fillId="0" borderId="0" xfId="0" applyFont="1" applyAlignment="1">
      <alignment horizontal="left"/>
    </xf>
    <xf numFmtId="0" fontId="79" fillId="0" borderId="0" xfId="0" applyFont="1" applyAlignment="1">
      <alignment horizontal="center"/>
    </xf>
    <xf numFmtId="0" fontId="4" fillId="0" borderId="0" xfId="0" applyFont="1"/>
    <xf numFmtId="0" fontId="18" fillId="0" borderId="0" xfId="0" applyFont="1"/>
    <xf numFmtId="0" fontId="83" fillId="0" borderId="0" xfId="0" applyFont="1"/>
    <xf numFmtId="0" fontId="84" fillId="0" borderId="0" xfId="4" applyFont="1" applyAlignment="1" applyProtection="1">
      <alignment horizontal="center"/>
    </xf>
    <xf numFmtId="0" fontId="19" fillId="0" borderId="0" xfId="0" applyFont="1" applyAlignment="1">
      <alignment horizontal="center"/>
    </xf>
    <xf numFmtId="0" fontId="86" fillId="0" borderId="0" xfId="0" applyFont="1"/>
    <xf numFmtId="0" fontId="0" fillId="6" borderId="15" xfId="0" applyFill="1" applyBorder="1"/>
    <xf numFmtId="0" fontId="0" fillId="6" borderId="22" xfId="0" applyFill="1" applyBorder="1"/>
    <xf numFmtId="0" fontId="20" fillId="0" borderId="16" xfId="0" applyFont="1" applyBorder="1"/>
    <xf numFmtId="166" fontId="20" fillId="0" borderId="17" xfId="2" applyFont="1" applyBorder="1"/>
    <xf numFmtId="0" fontId="20" fillId="0" borderId="18" xfId="0" applyFont="1" applyBorder="1"/>
    <xf numFmtId="0" fontId="20" fillId="0" borderId="19" xfId="0" applyFont="1" applyBorder="1"/>
    <xf numFmtId="166" fontId="20" fillId="0" borderId="15" xfId="2" applyFont="1" applyBorder="1"/>
    <xf numFmtId="0" fontId="20" fillId="0" borderId="20" xfId="0" applyFont="1" applyBorder="1"/>
    <xf numFmtId="0" fontId="20" fillId="0" borderId="21" xfId="0" applyFont="1" applyBorder="1"/>
    <xf numFmtId="166" fontId="20" fillId="0" borderId="22" xfId="2" applyFont="1" applyBorder="1"/>
    <xf numFmtId="0" fontId="20" fillId="0" borderId="23" xfId="0" applyFont="1" applyBorder="1"/>
    <xf numFmtId="0" fontId="56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87" fillId="0" borderId="0" xfId="0" applyFont="1"/>
    <xf numFmtId="44" fontId="0" fillId="0" borderId="0" xfId="0" applyNumberFormat="1"/>
    <xf numFmtId="0" fontId="2" fillId="24" borderId="0" xfId="0" applyFont="1" applyFill="1" applyBorder="1" applyAlignment="1"/>
    <xf numFmtId="0" fontId="0" fillId="24" borderId="0" xfId="0" applyFill="1" applyBorder="1"/>
    <xf numFmtId="166" fontId="0" fillId="24" borderId="0" xfId="0" applyNumberFormat="1" applyFill="1" applyBorder="1"/>
    <xf numFmtId="166" fontId="0" fillId="24" borderId="0" xfId="2" applyFont="1" applyFill="1" applyBorder="1"/>
    <xf numFmtId="165" fontId="5" fillId="0" borderId="1" xfId="1" applyFont="1" applyBorder="1" applyAlignment="1">
      <alignment horizontal="center"/>
    </xf>
    <xf numFmtId="169" fontId="5" fillId="0" borderId="1" xfId="1" applyNumberFormat="1" applyFont="1" applyBorder="1" applyAlignment="1">
      <alignment horizontal="center"/>
    </xf>
    <xf numFmtId="166" fontId="2" fillId="0" borderId="15" xfId="0" applyNumberFormat="1" applyFont="1" applyBorder="1" applyAlignment="1">
      <alignment horizontal="center"/>
    </xf>
    <xf numFmtId="165" fontId="6" fillId="0" borderId="1" xfId="1" applyFont="1" applyBorder="1" applyAlignment="1">
      <alignment horizontal="center"/>
    </xf>
    <xf numFmtId="166" fontId="0" fillId="0" borderId="0" xfId="2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6" fontId="0" fillId="0" borderId="6" xfId="2" applyFont="1" applyBorder="1" applyAlignment="1">
      <alignment horizontal="center"/>
    </xf>
    <xf numFmtId="166" fontId="0" fillId="0" borderId="6" xfId="2" applyFont="1" applyFill="1" applyBorder="1" applyAlignment="1">
      <alignment horizontal="center"/>
    </xf>
    <xf numFmtId="166" fontId="0" fillId="6" borderId="6" xfId="2" applyFont="1" applyFill="1" applyBorder="1" applyAlignment="1">
      <alignment horizontal="center"/>
    </xf>
    <xf numFmtId="166" fontId="0" fillId="0" borderId="6" xfId="0" applyNumberFormat="1" applyFill="1" applyBorder="1" applyAlignment="1">
      <alignment horizontal="center"/>
    </xf>
    <xf numFmtId="166" fontId="2" fillId="0" borderId="7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166" fontId="2" fillId="0" borderId="9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6" fontId="0" fillId="0" borderId="11" xfId="2" applyFont="1" applyBorder="1" applyAlignment="1">
      <alignment horizontal="center"/>
    </xf>
    <xf numFmtId="166" fontId="0" fillId="0" borderId="11" xfId="2" applyFont="1" applyFill="1" applyBorder="1" applyAlignment="1">
      <alignment horizontal="center"/>
    </xf>
    <xf numFmtId="166" fontId="0" fillId="6" borderId="11" xfId="2" applyFont="1" applyFill="1" applyBorder="1" applyAlignment="1">
      <alignment horizontal="center"/>
    </xf>
    <xf numFmtId="166" fontId="0" fillId="0" borderId="11" xfId="0" applyNumberFormat="1" applyFill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0" fontId="15" fillId="0" borderId="10" xfId="0" applyFont="1" applyBorder="1" applyAlignment="1">
      <alignment vertical="center" wrapText="1"/>
    </xf>
    <xf numFmtId="166" fontId="88" fillId="0" borderId="14" xfId="2" applyFont="1" applyBorder="1" applyAlignment="1">
      <alignment horizontal="center"/>
    </xf>
    <xf numFmtId="0" fontId="89" fillId="0" borderId="24" xfId="0" applyFont="1" applyFill="1" applyBorder="1" applyAlignment="1">
      <alignment horizontal="center" vertical="center" wrapText="1"/>
    </xf>
    <xf numFmtId="0" fontId="89" fillId="0" borderId="5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89" fillId="0" borderId="14" xfId="0" applyFont="1" applyFill="1" applyBorder="1" applyAlignment="1">
      <alignment horizontal="center" vertical="center" wrapText="1"/>
    </xf>
    <xf numFmtId="166" fontId="20" fillId="0" borderId="6" xfId="2" applyFont="1" applyBorder="1" applyAlignment="1">
      <alignment horizontal="center"/>
    </xf>
    <xf numFmtId="166" fontId="20" fillId="0" borderId="11" xfId="2" applyFont="1" applyBorder="1" applyAlignment="1">
      <alignment horizontal="center"/>
    </xf>
    <xf numFmtId="166" fontId="20" fillId="0" borderId="47" xfId="2" applyFont="1" applyBorder="1"/>
    <xf numFmtId="0" fontId="44" fillId="0" borderId="0" xfId="0" applyFont="1" applyFill="1" applyBorder="1" applyAlignment="1">
      <alignment vertical="center" textRotation="90" wrapText="1"/>
    </xf>
    <xf numFmtId="0" fontId="17" fillId="0" borderId="0" xfId="0" applyFont="1" applyFill="1" applyBorder="1" applyAlignment="1">
      <alignment vertical="center" textRotation="90" wrapText="1"/>
    </xf>
    <xf numFmtId="0" fontId="18" fillId="0" borderId="0" xfId="0" applyFont="1" applyBorder="1" applyAlignment="1">
      <alignment horizontal="center"/>
    </xf>
    <xf numFmtId="2" fontId="55" fillId="0" borderId="0" xfId="0" applyNumberFormat="1" applyFont="1" applyFill="1" applyBorder="1" applyAlignment="1">
      <alignment horizontal="center"/>
    </xf>
    <xf numFmtId="0" fontId="91" fillId="0" borderId="0" xfId="0" applyFont="1" applyFill="1" applyBorder="1" applyAlignment="1">
      <alignment vertical="center" wrapText="1"/>
    </xf>
    <xf numFmtId="164" fontId="56" fillId="0" borderId="17" xfId="2" applyNumberFormat="1" applyFont="1" applyBorder="1" applyAlignment="1">
      <alignment horizontal="center" vertical="center"/>
    </xf>
    <xf numFmtId="164" fontId="56" fillId="0" borderId="18" xfId="2" applyNumberFormat="1" applyFont="1" applyBorder="1" applyAlignment="1">
      <alignment horizontal="center" vertical="center"/>
    </xf>
    <xf numFmtId="0" fontId="90" fillId="0" borderId="5" xfId="0" applyFont="1" applyFill="1" applyBorder="1" applyAlignment="1">
      <alignment horizontal="center" vertical="center" wrapText="1"/>
    </xf>
    <xf numFmtId="0" fontId="90" fillId="0" borderId="52" xfId="0" applyFont="1" applyFill="1" applyBorder="1" applyAlignment="1">
      <alignment vertical="center" wrapText="1"/>
    </xf>
    <xf numFmtId="0" fontId="90" fillId="0" borderId="53" xfId="0" applyFont="1" applyFill="1" applyBorder="1" applyAlignment="1">
      <alignment vertical="center" wrapText="1"/>
    </xf>
    <xf numFmtId="0" fontId="20" fillId="0" borderId="19" xfId="0" applyFont="1" applyFill="1" applyBorder="1"/>
    <xf numFmtId="0" fontId="20" fillId="0" borderId="21" xfId="0" applyFont="1" applyFill="1" applyBorder="1"/>
    <xf numFmtId="49" fontId="0" fillId="0" borderId="15" xfId="0" applyNumberFormat="1" applyBorder="1" applyAlignment="1">
      <alignment horizontal="center"/>
    </xf>
    <xf numFmtId="49" fontId="0" fillId="0" borderId="20" xfId="0" applyNumberFormat="1" applyBorder="1"/>
    <xf numFmtId="0" fontId="2" fillId="3" borderId="0" xfId="0" applyFont="1" applyFill="1"/>
    <xf numFmtId="0" fontId="0" fillId="3" borderId="0" xfId="0" applyFill="1"/>
    <xf numFmtId="0" fontId="20" fillId="25" borderId="36" xfId="0" applyFont="1" applyFill="1" applyBorder="1" applyAlignment="1">
      <alignment horizontal="center"/>
    </xf>
    <xf numFmtId="0" fontId="20" fillId="26" borderId="39" xfId="0" applyFont="1" applyFill="1" applyBorder="1" applyAlignment="1">
      <alignment horizontal="center"/>
    </xf>
    <xf numFmtId="0" fontId="20" fillId="25" borderId="39" xfId="0" applyFont="1" applyFill="1" applyBorder="1" applyAlignment="1">
      <alignment horizontal="center"/>
    </xf>
    <xf numFmtId="0" fontId="20" fillId="26" borderId="24" xfId="0" applyFont="1" applyFill="1" applyBorder="1" applyAlignment="1">
      <alignment horizontal="center"/>
    </xf>
    <xf numFmtId="166" fontId="3" fillId="0" borderId="15" xfId="0" applyNumberFormat="1" applyFont="1" applyBorder="1" applyAlignment="1">
      <alignment horizontal="center" vertical="center"/>
    </xf>
    <xf numFmtId="166" fontId="56" fillId="0" borderId="15" xfId="0" applyNumberFormat="1" applyFont="1" applyBorder="1" applyAlignment="1">
      <alignment horizontal="center" vertical="center"/>
    </xf>
    <xf numFmtId="166" fontId="56" fillId="0" borderId="15" xfId="0" applyNumberFormat="1" applyFont="1" applyFill="1" applyBorder="1" applyAlignment="1">
      <alignment horizontal="center" vertical="center"/>
    </xf>
    <xf numFmtId="166" fontId="20" fillId="0" borderId="15" xfId="0" applyNumberFormat="1" applyFont="1" applyBorder="1" applyAlignment="1">
      <alignment horizontal="center" vertical="center"/>
    </xf>
    <xf numFmtId="0" fontId="55" fillId="0" borderId="15" xfId="0" applyFont="1" applyBorder="1" applyAlignment="1">
      <alignment horizontal="center" vertical="center" wrapText="1"/>
    </xf>
    <xf numFmtId="166" fontId="55" fillId="0" borderId="15" xfId="0" applyNumberFormat="1" applyFont="1" applyBorder="1" applyAlignment="1">
      <alignment horizontal="center" vertical="center"/>
    </xf>
    <xf numFmtId="166" fontId="55" fillId="0" borderId="15" xfId="0" applyNumberFormat="1" applyFont="1" applyFill="1" applyBorder="1" applyAlignment="1">
      <alignment horizontal="center" vertical="center"/>
    </xf>
    <xf numFmtId="166" fontId="3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left"/>
    </xf>
    <xf numFmtId="166" fontId="56" fillId="0" borderId="15" xfId="0" applyNumberFormat="1" applyFont="1" applyBorder="1" applyAlignment="1">
      <alignment horizontal="center" vertical="center" wrapText="1"/>
    </xf>
    <xf numFmtId="166" fontId="56" fillId="0" borderId="15" xfId="0" applyNumberFormat="1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2" fillId="27" borderId="8" xfId="0" applyFont="1" applyFill="1" applyBorder="1"/>
    <xf numFmtId="0" fontId="0" fillId="27" borderId="0" xfId="0" applyFill="1" applyBorder="1"/>
    <xf numFmtId="167" fontId="0" fillId="27" borderId="0" xfId="1" applyNumberFormat="1" applyFont="1" applyFill="1" applyBorder="1"/>
    <xf numFmtId="166" fontId="0" fillId="27" borderId="9" xfId="2" applyFont="1" applyFill="1" applyBorder="1"/>
    <xf numFmtId="0" fontId="0" fillId="27" borderId="0" xfId="0" applyFill="1"/>
    <xf numFmtId="0" fontId="20" fillId="0" borderId="24" xfId="0" applyFont="1" applyBorder="1" applyAlignment="1">
      <alignment horizontal="center"/>
    </xf>
    <xf numFmtId="0" fontId="0" fillId="28" borderId="8" xfId="0" applyFill="1" applyBorder="1"/>
    <xf numFmtId="0" fontId="0" fillId="28" borderId="0" xfId="0" applyFill="1" applyBorder="1"/>
    <xf numFmtId="0" fontId="0" fillId="28" borderId="9" xfId="0" applyFill="1" applyBorder="1"/>
    <xf numFmtId="0" fontId="0" fillId="28" borderId="10" xfId="0" applyFill="1" applyBorder="1"/>
    <xf numFmtId="0" fontId="0" fillId="28" borderId="11" xfId="0" applyFill="1" applyBorder="1"/>
    <xf numFmtId="0" fontId="0" fillId="28" borderId="12" xfId="0" applyFill="1" applyBorder="1"/>
    <xf numFmtId="166" fontId="2" fillId="28" borderId="0" xfId="2" applyFont="1" applyFill="1" applyBorder="1"/>
    <xf numFmtId="0" fontId="2" fillId="28" borderId="11" xfId="0" applyFont="1" applyFill="1" applyBorder="1"/>
    <xf numFmtId="0" fontId="2" fillId="28" borderId="8" xfId="0" applyFont="1" applyFill="1" applyBorder="1"/>
    <xf numFmtId="166" fontId="20" fillId="0" borderId="10" xfId="2" applyFont="1" applyFill="1" applyBorder="1" applyAlignment="1">
      <alignment horizontal="center"/>
    </xf>
    <xf numFmtId="0" fontId="93" fillId="0" borderId="13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vertical="center" wrapText="1"/>
    </xf>
    <xf numFmtId="0" fontId="2" fillId="12" borderId="5" xfId="0" applyFont="1" applyFill="1" applyBorder="1"/>
    <xf numFmtId="0" fontId="0" fillId="12" borderId="6" xfId="0" applyFill="1" applyBorder="1"/>
    <xf numFmtId="166" fontId="2" fillId="12" borderId="7" xfId="2" applyFont="1" applyFill="1" applyBorder="1"/>
    <xf numFmtId="0" fontId="2" fillId="12" borderId="8" xfId="0" applyFont="1" applyFill="1" applyBorder="1"/>
    <xf numFmtId="0" fontId="0" fillId="12" borderId="0" xfId="0" applyFill="1" applyBorder="1"/>
    <xf numFmtId="166" fontId="2" fillId="12" borderId="9" xfId="2" applyFont="1" applyFill="1" applyBorder="1"/>
    <xf numFmtId="0" fontId="2" fillId="12" borderId="10" xfId="0" applyFont="1" applyFill="1" applyBorder="1"/>
    <xf numFmtId="0" fontId="0" fillId="12" borderId="11" xfId="0" applyFill="1" applyBorder="1"/>
    <xf numFmtId="166" fontId="2" fillId="12" borderId="12" xfId="2" applyFont="1" applyFill="1" applyBorder="1"/>
    <xf numFmtId="165" fontId="0" fillId="0" borderId="34" xfId="1" applyFont="1" applyFill="1" applyBorder="1" applyAlignment="1">
      <alignment horizontal="center"/>
    </xf>
    <xf numFmtId="165" fontId="0" fillId="0" borderId="33" xfId="1" applyFont="1" applyFill="1" applyBorder="1" applyAlignment="1">
      <alignment horizontal="center"/>
    </xf>
    <xf numFmtId="165" fontId="0" fillId="0" borderId="35" xfId="1" applyFont="1" applyFill="1" applyBorder="1" applyAlignment="1">
      <alignment horizontal="center"/>
    </xf>
    <xf numFmtId="166" fontId="0" fillId="0" borderId="54" xfId="2" applyFont="1" applyFill="1" applyBorder="1" applyAlignment="1">
      <alignment horizontal="center"/>
    </xf>
    <xf numFmtId="166" fontId="0" fillId="0" borderId="55" xfId="2" applyFont="1" applyFill="1" applyBorder="1" applyAlignment="1">
      <alignment horizontal="center"/>
    </xf>
    <xf numFmtId="166" fontId="0" fillId="0" borderId="56" xfId="2" applyFont="1" applyFill="1" applyBorder="1" applyAlignment="1">
      <alignment horizontal="center"/>
    </xf>
    <xf numFmtId="166" fontId="0" fillId="0" borderId="13" xfId="2" applyFont="1" applyFill="1" applyBorder="1" applyAlignment="1">
      <alignment horizontal="center"/>
    </xf>
    <xf numFmtId="166" fontId="0" fillId="0" borderId="14" xfId="2" applyFont="1" applyFill="1" applyBorder="1" applyAlignment="1">
      <alignment horizontal="center"/>
    </xf>
    <xf numFmtId="166" fontId="0" fillId="0" borderId="24" xfId="2" applyFont="1" applyFill="1" applyBorder="1" applyAlignment="1">
      <alignment horizontal="center"/>
    </xf>
    <xf numFmtId="166" fontId="0" fillId="0" borderId="0" xfId="2" applyFont="1"/>
    <xf numFmtId="166" fontId="0" fillId="0" borderId="0" xfId="2" applyFont="1" applyFill="1" applyBorder="1"/>
    <xf numFmtId="166" fontId="0" fillId="0" borderId="25" xfId="2" applyFont="1" applyFill="1" applyBorder="1" applyAlignment="1">
      <alignment horizontal="center"/>
    </xf>
    <xf numFmtId="166" fontId="0" fillId="0" borderId="26" xfId="2" applyFont="1" applyFill="1" applyBorder="1" applyAlignment="1">
      <alignment horizontal="center"/>
    </xf>
    <xf numFmtId="166" fontId="0" fillId="0" borderId="27" xfId="2" applyFont="1" applyFill="1" applyBorder="1" applyAlignment="1">
      <alignment horizontal="center"/>
    </xf>
    <xf numFmtId="166" fontId="0" fillId="0" borderId="34" xfId="2" applyFont="1" applyFill="1" applyBorder="1" applyAlignment="1">
      <alignment horizontal="center"/>
    </xf>
    <xf numFmtId="166" fontId="0" fillId="0" borderId="33" xfId="2" applyFont="1" applyFill="1" applyBorder="1" applyAlignment="1">
      <alignment horizontal="center"/>
    </xf>
    <xf numFmtId="166" fontId="0" fillId="0" borderId="35" xfId="2" applyFont="1" applyFill="1" applyBorder="1" applyAlignment="1">
      <alignment horizontal="center"/>
    </xf>
    <xf numFmtId="0" fontId="0" fillId="0" borderId="15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2" xfId="0" applyBorder="1" applyAlignment="1">
      <alignment vertical="center"/>
    </xf>
    <xf numFmtId="0" fontId="63" fillId="0" borderId="0" xfId="0" applyFont="1" applyAlignment="1">
      <alignment vertical="center"/>
    </xf>
    <xf numFmtId="0" fontId="94" fillId="0" borderId="0" xfId="4" applyFont="1" applyAlignment="1" applyProtection="1">
      <alignment horizontal="left"/>
    </xf>
    <xf numFmtId="0" fontId="0" fillId="4" borderId="0" xfId="0" applyFill="1"/>
    <xf numFmtId="0" fontId="0" fillId="5" borderId="0" xfId="0" applyFill="1"/>
    <xf numFmtId="166" fontId="2" fillId="0" borderId="0" xfId="2" applyFont="1" applyFill="1" applyBorder="1"/>
    <xf numFmtId="164" fontId="56" fillId="0" borderId="25" xfId="2" applyNumberFormat="1" applyFont="1" applyBorder="1" applyAlignment="1">
      <alignment horizontal="center" vertical="center"/>
    </xf>
    <xf numFmtId="164" fontId="56" fillId="0" borderId="26" xfId="2" applyNumberFormat="1" applyFont="1" applyBorder="1" applyAlignment="1">
      <alignment horizontal="center" vertical="center"/>
    </xf>
    <xf numFmtId="164" fontId="56" fillId="0" borderId="27" xfId="2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95" fillId="0" borderId="1" xfId="0" applyFont="1" applyBorder="1" applyAlignment="1">
      <alignment horizontal="center"/>
    </xf>
    <xf numFmtId="165" fontId="95" fillId="0" borderId="1" xfId="1" applyFont="1" applyBorder="1" applyAlignment="1">
      <alignment horizontal="center"/>
    </xf>
    <xf numFmtId="0" fontId="55" fillId="0" borderId="0" xfId="0" applyFont="1" applyBorder="1" applyAlignment="1">
      <alignment horizontal="center" vertical="center" wrapText="1"/>
    </xf>
    <xf numFmtId="164" fontId="56" fillId="0" borderId="18" xfId="2" applyNumberFormat="1" applyFont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0" fillId="0" borderId="0" xfId="0" applyAlignment="1">
      <alignment vertical="center"/>
    </xf>
    <xf numFmtId="166" fontId="0" fillId="5" borderId="0" xfId="2" applyFont="1" applyFill="1"/>
    <xf numFmtId="166" fontId="3" fillId="0" borderId="0" xfId="0" applyNumberFormat="1" applyFont="1" applyBorder="1" applyAlignment="1">
      <alignment horizontal="center" vertical="center"/>
    </xf>
    <xf numFmtId="165" fontId="5" fillId="0" borderId="0" xfId="1" applyFont="1" applyBorder="1" applyAlignment="1">
      <alignment horizontal="center"/>
    </xf>
    <xf numFmtId="166" fontId="2" fillId="0" borderId="12" xfId="2" applyFont="1" applyFill="1" applyBorder="1"/>
    <xf numFmtId="166" fontId="2" fillId="0" borderId="9" xfId="2" applyFont="1" applyFill="1" applyBorder="1"/>
    <xf numFmtId="0" fontId="0" fillId="0" borderId="6" xfId="0" applyFill="1" applyBorder="1"/>
    <xf numFmtId="0" fontId="2" fillId="0" borderId="5" xfId="0" applyFont="1" applyFill="1" applyBorder="1"/>
    <xf numFmtId="166" fontId="2" fillId="0" borderId="7" xfId="2" applyFont="1" applyFill="1" applyBorder="1"/>
    <xf numFmtId="166" fontId="2" fillId="3" borderId="12" xfId="2" applyFont="1" applyFill="1" applyBorder="1"/>
    <xf numFmtId="166" fontId="2" fillId="3" borderId="7" xfId="2" applyFont="1" applyFill="1" applyBorder="1"/>
    <xf numFmtId="0" fontId="2" fillId="5" borderId="8" xfId="0" applyFont="1" applyFill="1" applyBorder="1"/>
    <xf numFmtId="0" fontId="0" fillId="5" borderId="0" xfId="0" applyFill="1" applyBorder="1"/>
    <xf numFmtId="166" fontId="2" fillId="5" borderId="9" xfId="2" applyFont="1" applyFill="1" applyBorder="1"/>
    <xf numFmtId="0" fontId="0" fillId="4" borderId="8" xfId="0" applyFill="1" applyBorder="1"/>
    <xf numFmtId="0" fontId="0" fillId="3" borderId="10" xfId="0" applyFill="1" applyBorder="1"/>
    <xf numFmtId="0" fontId="0" fillId="3" borderId="5" xfId="0" applyFill="1" applyBorder="1"/>
    <xf numFmtId="0" fontId="0" fillId="5" borderId="8" xfId="0" applyFill="1" applyBorder="1"/>
    <xf numFmtId="0" fontId="0" fillId="0" borderId="14" xfId="0" applyBorder="1"/>
    <xf numFmtId="0" fontId="0" fillId="0" borderId="24" xfId="0" applyBorder="1"/>
    <xf numFmtId="0" fontId="0" fillId="0" borderId="24" xfId="0" applyBorder="1"/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7" borderId="1" xfId="0" applyFill="1" applyBorder="1"/>
    <xf numFmtId="166" fontId="0" fillId="31" borderId="0" xfId="0" applyNumberFormat="1" applyFill="1"/>
    <xf numFmtId="164" fontId="0" fillId="0" borderId="0" xfId="0" applyNumberFormat="1"/>
    <xf numFmtId="0" fontId="0" fillId="0" borderId="24" xfId="0" applyBorder="1"/>
    <xf numFmtId="0" fontId="0" fillId="0" borderId="24" xfId="0" applyBorder="1"/>
    <xf numFmtId="0" fontId="0" fillId="10" borderId="14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12" fillId="0" borderId="1" xfId="0" applyFont="1" applyBorder="1"/>
    <xf numFmtId="0" fontId="12" fillId="0" borderId="24" xfId="0" applyFont="1" applyBorder="1"/>
    <xf numFmtId="0" fontId="12" fillId="0" borderId="27" xfId="0" applyFont="1" applyBorder="1"/>
    <xf numFmtId="0" fontId="12" fillId="0" borderId="4" xfId="0" applyFont="1" applyBorder="1"/>
    <xf numFmtId="0" fontId="12" fillId="0" borderId="12" xfId="0" applyFont="1" applyBorder="1"/>
    <xf numFmtId="0" fontId="12" fillId="0" borderId="30" xfId="0" applyFont="1" applyBorder="1"/>
    <xf numFmtId="0" fontId="2" fillId="29" borderId="1" xfId="0" applyFont="1" applyFill="1" applyBorder="1"/>
    <xf numFmtId="166" fontId="2" fillId="29" borderId="1" xfId="2" applyFont="1" applyFill="1" applyBorder="1"/>
    <xf numFmtId="0" fontId="4" fillId="29" borderId="1" xfId="0" applyFont="1" applyFill="1" applyBorder="1"/>
    <xf numFmtId="166" fontId="4" fillId="29" borderId="1" xfId="2" applyFont="1" applyFill="1" applyBorder="1"/>
    <xf numFmtId="0" fontId="22" fillId="29" borderId="0" xfId="0" applyFont="1" applyFill="1"/>
    <xf numFmtId="0" fontId="4" fillId="11" borderId="1" xfId="0" applyFont="1" applyFill="1" applyBorder="1"/>
    <xf numFmtId="166" fontId="4" fillId="11" borderId="1" xfId="2" applyFont="1" applyFill="1" applyBorder="1"/>
    <xf numFmtId="0" fontId="22" fillId="11" borderId="0" xfId="0" applyFont="1" applyFill="1"/>
    <xf numFmtId="44" fontId="0" fillId="0" borderId="0" xfId="0" applyNumberFormat="1" applyFill="1" applyBorder="1"/>
    <xf numFmtId="0" fontId="0" fillId="14" borderId="0" xfId="0" applyFill="1"/>
    <xf numFmtId="0" fontId="2" fillId="14" borderId="1" xfId="0" applyFont="1" applyFill="1" applyBorder="1"/>
    <xf numFmtId="166" fontId="2" fillId="14" borderId="1" xfId="2" applyFont="1" applyFill="1" applyBorder="1"/>
    <xf numFmtId="0" fontId="5" fillId="0" borderId="1" xfId="3" applyNumberFormat="1" applyFont="1" applyBorder="1" applyAlignment="1">
      <alignment horizontal="center"/>
    </xf>
    <xf numFmtId="166" fontId="2" fillId="5" borderId="4" xfId="2" applyFont="1" applyFill="1" applyBorder="1"/>
    <xf numFmtId="0" fontId="2" fillId="0" borderId="15" xfId="0" applyFont="1" applyFill="1" applyBorder="1"/>
    <xf numFmtId="0" fontId="2" fillId="3" borderId="15" xfId="0" applyFont="1" applyFill="1" applyBorder="1" applyAlignment="1">
      <alignment horizontal="center"/>
    </xf>
    <xf numFmtId="166" fontId="2" fillId="3" borderId="4" xfId="2" applyFont="1" applyFill="1" applyBorder="1"/>
    <xf numFmtId="0" fontId="2" fillId="2" borderId="8" xfId="0" applyFont="1" applyFill="1" applyBorder="1"/>
    <xf numFmtId="166" fontId="0" fillId="2" borderId="0" xfId="0" applyNumberFormat="1" applyFill="1"/>
    <xf numFmtId="0" fontId="55" fillId="0" borderId="0" xfId="0" applyFont="1" applyBorder="1" applyAlignment="1">
      <alignment horizontal="center" vertical="center"/>
    </xf>
    <xf numFmtId="2" fontId="55" fillId="0" borderId="0" xfId="0" applyNumberFormat="1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 wrapText="1"/>
    </xf>
    <xf numFmtId="0" fontId="0" fillId="2" borderId="14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65" fontId="5" fillId="0" borderId="13" xfId="1" applyFont="1" applyBorder="1" applyAlignment="1">
      <alignment horizontal="center"/>
    </xf>
    <xf numFmtId="0" fontId="2" fillId="6" borderId="7" xfId="0" applyFont="1" applyFill="1" applyBorder="1" applyAlignment="1"/>
    <xf numFmtId="0" fontId="14" fillId="0" borderId="0" xfId="0" applyFont="1" applyFill="1" applyBorder="1" applyAlignment="1">
      <alignment horizontal="left"/>
    </xf>
    <xf numFmtId="0" fontId="12" fillId="0" borderId="0" xfId="0" applyFont="1" applyFill="1" applyBorder="1"/>
    <xf numFmtId="0" fontId="6" fillId="0" borderId="0" xfId="0" applyFont="1" applyFill="1" applyBorder="1" applyAlignment="1">
      <alignment horizontal="center"/>
    </xf>
    <xf numFmtId="9" fontId="5" fillId="0" borderId="0" xfId="3" applyFont="1" applyFill="1" applyBorder="1" applyAlignment="1">
      <alignment horizontal="center"/>
    </xf>
    <xf numFmtId="9" fontId="5" fillId="0" borderId="0" xfId="3" applyFont="1" applyFill="1" applyBorder="1" applyAlignment="1"/>
    <xf numFmtId="166" fontId="0" fillId="32" borderId="0" xfId="2" applyFont="1" applyFill="1" applyBorder="1"/>
    <xf numFmtId="0" fontId="0" fillId="32" borderId="0" xfId="0" applyFill="1"/>
    <xf numFmtId="0" fontId="2" fillId="32" borderId="0" xfId="0" applyFont="1" applyFill="1"/>
    <xf numFmtId="0" fontId="2" fillId="0" borderId="0" xfId="0" applyFont="1" applyFill="1"/>
    <xf numFmtId="165" fontId="0" fillId="0" borderId="0" xfId="1" applyFont="1" applyFill="1" applyBorder="1"/>
    <xf numFmtId="0" fontId="2" fillId="32" borderId="0" xfId="0" applyFont="1" applyFill="1" applyBorder="1"/>
    <xf numFmtId="0" fontId="0" fillId="0" borderId="0" xfId="0" applyFont="1" applyFill="1" applyBorder="1"/>
    <xf numFmtId="166" fontId="0" fillId="0" borderId="0" xfId="0" applyNumberFormat="1" applyFill="1"/>
    <xf numFmtId="0" fontId="2" fillId="0" borderId="9" xfId="0" applyFont="1" applyFill="1" applyBorder="1"/>
    <xf numFmtId="0" fontId="0" fillId="33" borderId="0" xfId="0" applyFill="1" applyBorder="1"/>
    <xf numFmtId="166" fontId="0" fillId="33" borderId="0" xfId="2" applyFont="1" applyFill="1" applyBorder="1"/>
    <xf numFmtId="0" fontId="2" fillId="33" borderId="9" xfId="0" applyFont="1" applyFill="1" applyBorder="1"/>
    <xf numFmtId="0" fontId="0" fillId="0" borderId="9" xfId="0" applyFill="1" applyBorder="1" applyAlignment="1">
      <alignment horizontal="center"/>
    </xf>
    <xf numFmtId="0" fontId="0" fillId="23" borderId="0" xfId="0" applyFill="1" applyBorder="1"/>
    <xf numFmtId="166" fontId="0" fillId="23" borderId="0" xfId="2" applyFont="1" applyFill="1" applyBorder="1"/>
    <xf numFmtId="0" fontId="2" fillId="23" borderId="9" xfId="0" applyFont="1" applyFill="1" applyBorder="1"/>
    <xf numFmtId="166" fontId="11" fillId="23" borderId="0" xfId="2" applyFont="1" applyFill="1" applyBorder="1"/>
    <xf numFmtId="0" fontId="0" fillId="23" borderId="0" xfId="0" applyFill="1"/>
    <xf numFmtId="166" fontId="1" fillId="23" borderId="0" xfId="2" applyFont="1" applyFill="1" applyBorder="1"/>
    <xf numFmtId="166" fontId="0" fillId="23" borderId="0" xfId="2" applyFont="1" applyFill="1"/>
    <xf numFmtId="0" fontId="4" fillId="0" borderId="0" xfId="0" applyFont="1" applyAlignment="1">
      <alignment vertical="center"/>
    </xf>
    <xf numFmtId="166" fontId="0" fillId="2" borderId="0" xfId="2" applyFont="1" applyFill="1" applyBorder="1"/>
    <xf numFmtId="166" fontId="11" fillId="0" borderId="0" xfId="2" applyFont="1" applyFill="1" applyBorder="1"/>
    <xf numFmtId="166" fontId="11" fillId="3" borderId="0" xfId="2" applyFont="1" applyFill="1" applyBorder="1"/>
    <xf numFmtId="166" fontId="2" fillId="3" borderId="17" xfId="0" applyNumberFormat="1" applyFont="1" applyFill="1" applyBorder="1" applyAlignment="1">
      <alignment horizontal="center"/>
    </xf>
    <xf numFmtId="166" fontId="2" fillId="3" borderId="18" xfId="0" applyNumberFormat="1" applyFont="1" applyFill="1" applyBorder="1" applyAlignment="1">
      <alignment horizontal="center"/>
    </xf>
    <xf numFmtId="0" fontId="96" fillId="0" borderId="0" xfId="0" applyFont="1" applyAlignment="1">
      <alignment horizontal="center"/>
    </xf>
    <xf numFmtId="0" fontId="80" fillId="0" borderId="0" xfId="4" applyFont="1" applyAlignment="1" applyProtection="1">
      <alignment horizontal="center"/>
    </xf>
    <xf numFmtId="0" fontId="84" fillId="0" borderId="0" xfId="4" applyFont="1" applyAlignment="1" applyProtection="1">
      <alignment horizontal="center"/>
    </xf>
    <xf numFmtId="0" fontId="19" fillId="0" borderId="0" xfId="0" applyFont="1" applyAlignment="1">
      <alignment horizontal="center"/>
    </xf>
    <xf numFmtId="0" fontId="85" fillId="0" borderId="5" xfId="4" applyFont="1" applyBorder="1" applyAlignment="1" applyProtection="1">
      <alignment horizontal="center" vertical="center" wrapText="1"/>
    </xf>
    <xf numFmtId="0" fontId="85" fillId="0" borderId="6" xfId="4" applyFont="1" applyBorder="1" applyAlignment="1" applyProtection="1">
      <alignment horizontal="center" vertical="center" wrapText="1"/>
    </xf>
    <xf numFmtId="0" fontId="85" fillId="0" borderId="7" xfId="4" applyFont="1" applyBorder="1" applyAlignment="1" applyProtection="1">
      <alignment horizontal="center" vertical="center" wrapText="1"/>
    </xf>
    <xf numFmtId="0" fontId="85" fillId="0" borderId="8" xfId="4" applyFont="1" applyBorder="1" applyAlignment="1" applyProtection="1">
      <alignment horizontal="center" vertical="center" wrapText="1"/>
    </xf>
    <xf numFmtId="0" fontId="85" fillId="0" borderId="0" xfId="4" applyFont="1" applyBorder="1" applyAlignment="1" applyProtection="1">
      <alignment horizontal="center" vertical="center" wrapText="1"/>
    </xf>
    <xf numFmtId="0" fontId="85" fillId="0" borderId="9" xfId="4" applyFont="1" applyBorder="1" applyAlignment="1" applyProtection="1">
      <alignment horizontal="center" vertical="center" wrapText="1"/>
    </xf>
    <xf numFmtId="0" fontId="85" fillId="0" borderId="10" xfId="4" applyFont="1" applyBorder="1" applyAlignment="1" applyProtection="1">
      <alignment horizontal="center" vertical="center" wrapText="1"/>
    </xf>
    <xf numFmtId="0" fontId="85" fillId="0" borderId="11" xfId="4" applyFont="1" applyBorder="1" applyAlignment="1" applyProtection="1">
      <alignment horizontal="center" vertical="center" wrapText="1"/>
    </xf>
    <xf numFmtId="0" fontId="85" fillId="0" borderId="12" xfId="4" applyFont="1" applyBorder="1" applyAlignment="1" applyProtection="1">
      <alignment horizontal="center" vertical="center" wrapText="1"/>
    </xf>
    <xf numFmtId="0" fontId="13" fillId="6" borderId="7" xfId="0" applyFont="1" applyFill="1" applyBorder="1" applyAlignment="1">
      <alignment horizontal="center" vertical="center" textRotation="90" wrapText="1"/>
    </xf>
    <xf numFmtId="0" fontId="13" fillId="6" borderId="9" xfId="0" applyFont="1" applyFill="1" applyBorder="1" applyAlignment="1">
      <alignment horizontal="center" vertical="center" textRotation="90" wrapText="1"/>
    </xf>
    <xf numFmtId="0" fontId="13" fillId="6" borderId="12" xfId="0" applyFont="1" applyFill="1" applyBorder="1" applyAlignment="1">
      <alignment horizontal="center" vertical="center" textRotation="90" wrapText="1"/>
    </xf>
    <xf numFmtId="9" fontId="5" fillId="0" borderId="5" xfId="3" applyFont="1" applyBorder="1" applyAlignment="1">
      <alignment horizontal="center"/>
    </xf>
    <xf numFmtId="9" fontId="5" fillId="0" borderId="6" xfId="3" applyFont="1" applyBorder="1" applyAlignment="1">
      <alignment horizontal="center"/>
    </xf>
    <xf numFmtId="9" fontId="5" fillId="0" borderId="7" xfId="3" applyFont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 vertical="center" textRotation="90" wrapText="1"/>
    </xf>
    <xf numFmtId="0" fontId="15" fillId="6" borderId="9" xfId="0" applyFont="1" applyFill="1" applyBorder="1" applyAlignment="1">
      <alignment horizontal="center" vertical="center" textRotation="90" wrapText="1"/>
    </xf>
    <xf numFmtId="0" fontId="15" fillId="6" borderId="12" xfId="0" applyFont="1" applyFill="1" applyBorder="1" applyAlignment="1">
      <alignment horizontal="center" vertical="center" textRotation="90" wrapText="1"/>
    </xf>
    <xf numFmtId="9" fontId="5" fillId="0" borderId="2" xfId="3" applyFont="1" applyBorder="1" applyAlignment="1">
      <alignment horizontal="center"/>
    </xf>
    <xf numFmtId="9" fontId="5" fillId="0" borderId="3" xfId="3" applyFont="1" applyBorder="1" applyAlignment="1">
      <alignment horizontal="center"/>
    </xf>
    <xf numFmtId="9" fontId="5" fillId="0" borderId="4" xfId="3" applyFont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2" fillId="12" borderId="6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165" fontId="5" fillId="0" borderId="2" xfId="1" applyFont="1" applyBorder="1" applyAlignment="1">
      <alignment horizontal="center"/>
    </xf>
    <xf numFmtId="165" fontId="5" fillId="0" borderId="3" xfId="1" applyFont="1" applyBorder="1" applyAlignment="1">
      <alignment horizontal="center"/>
    </xf>
    <xf numFmtId="165" fontId="5" fillId="0" borderId="4" xfId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30" borderId="2" xfId="0" applyFill="1" applyBorder="1" applyAlignment="1">
      <alignment horizontal="center"/>
    </xf>
    <xf numFmtId="0" fontId="0" fillId="30" borderId="3" xfId="0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13" fillId="6" borderId="2" xfId="0" applyFont="1" applyFill="1" applyBorder="1" applyAlignment="1">
      <alignment horizontal="center"/>
    </xf>
    <xf numFmtId="0" fontId="13" fillId="6" borderId="3" xfId="0" applyFont="1" applyFill="1" applyBorder="1" applyAlignment="1">
      <alignment horizontal="center"/>
    </xf>
    <xf numFmtId="0" fontId="13" fillId="6" borderId="4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92" fillId="7" borderId="2" xfId="0" applyFont="1" applyFill="1" applyBorder="1" applyAlignment="1">
      <alignment horizontal="center" vertical="center" wrapText="1"/>
    </xf>
    <xf numFmtId="0" fontId="92" fillId="7" borderId="3" xfId="0" applyFont="1" applyFill="1" applyBorder="1" applyAlignment="1">
      <alignment horizontal="center" vertical="center" wrapText="1"/>
    </xf>
    <xf numFmtId="0" fontId="92" fillId="7" borderId="4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textRotation="90" wrapText="1"/>
    </xf>
    <xf numFmtId="0" fontId="17" fillId="7" borderId="14" xfId="0" applyFont="1" applyFill="1" applyBorder="1" applyAlignment="1">
      <alignment horizontal="center" vertical="center" textRotation="90" wrapText="1"/>
    </xf>
    <xf numFmtId="0" fontId="17" fillId="7" borderId="24" xfId="0" applyFont="1" applyFill="1" applyBorder="1" applyAlignment="1">
      <alignment horizontal="center" vertical="center" textRotation="90" wrapText="1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7" fillId="3" borderId="13" xfId="0" applyFont="1" applyFill="1" applyBorder="1" applyAlignment="1">
      <alignment horizontal="center" vertical="center" textRotation="90" wrapText="1"/>
    </xf>
    <xf numFmtId="0" fontId="0" fillId="0" borderId="14" xfId="0" applyBorder="1"/>
    <xf numFmtId="0" fontId="0" fillId="0" borderId="24" xfId="0" applyBorder="1"/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7" fillId="3" borderId="14" xfId="0" applyFont="1" applyFill="1" applyBorder="1" applyAlignment="1">
      <alignment horizontal="center" vertical="center" textRotation="90" wrapText="1"/>
    </xf>
    <xf numFmtId="0" fontId="17" fillId="3" borderId="24" xfId="0" applyFont="1" applyFill="1" applyBorder="1" applyAlignment="1">
      <alignment horizontal="center" vertical="center" textRotation="90" wrapText="1"/>
    </xf>
    <xf numFmtId="0" fontId="10" fillId="7" borderId="5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0" fillId="7" borderId="12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169" fontId="5" fillId="0" borderId="2" xfId="1" applyNumberFormat="1" applyFont="1" applyBorder="1" applyAlignment="1">
      <alignment horizontal="center"/>
    </xf>
    <xf numFmtId="169" fontId="5" fillId="0" borderId="3" xfId="1" applyNumberFormat="1" applyFont="1" applyBorder="1" applyAlignment="1">
      <alignment horizontal="center"/>
    </xf>
    <xf numFmtId="169" fontId="5" fillId="0" borderId="4" xfId="1" applyNumberFormat="1" applyFont="1" applyBorder="1" applyAlignment="1">
      <alignment horizontal="center"/>
    </xf>
    <xf numFmtId="0" fontId="2" fillId="5" borderId="7" xfId="0" applyFont="1" applyFill="1" applyBorder="1" applyAlignment="1">
      <alignment horizontal="center" vertical="center" textRotation="90" wrapText="1"/>
    </xf>
    <xf numFmtId="0" fontId="2" fillId="5" borderId="9" xfId="0" applyFont="1" applyFill="1" applyBorder="1" applyAlignment="1">
      <alignment horizontal="center" vertical="center" textRotation="90" wrapText="1"/>
    </xf>
    <xf numFmtId="0" fontId="2" fillId="5" borderId="12" xfId="0" applyFont="1" applyFill="1" applyBorder="1" applyAlignment="1">
      <alignment horizontal="center" vertical="center" textRotation="90" wrapText="1"/>
    </xf>
    <xf numFmtId="0" fontId="2" fillId="5" borderId="7" xfId="0" applyFont="1" applyFill="1" applyBorder="1" applyAlignment="1">
      <alignment horizontal="center" vertical="center" textRotation="45" wrapText="1"/>
    </xf>
    <xf numFmtId="0" fontId="2" fillId="5" borderId="9" xfId="0" applyFont="1" applyFill="1" applyBorder="1" applyAlignment="1">
      <alignment horizontal="center" vertical="center" textRotation="45" wrapText="1"/>
    </xf>
    <xf numFmtId="0" fontId="2" fillId="5" borderId="12" xfId="0" applyFont="1" applyFill="1" applyBorder="1" applyAlignment="1">
      <alignment horizontal="center" vertical="center" textRotation="45" wrapText="1"/>
    </xf>
    <xf numFmtId="0" fontId="15" fillId="0" borderId="6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9" fillId="8" borderId="11" xfId="0" applyFont="1" applyFill="1" applyBorder="1" applyAlignment="1">
      <alignment horizontal="center"/>
    </xf>
    <xf numFmtId="9" fontId="5" fillId="9" borderId="2" xfId="3" applyFont="1" applyFill="1" applyBorder="1" applyAlignment="1">
      <alignment horizontal="center"/>
    </xf>
    <xf numFmtId="9" fontId="5" fillId="9" borderId="3" xfId="3" applyFont="1" applyFill="1" applyBorder="1" applyAlignment="1">
      <alignment horizontal="center"/>
    </xf>
    <xf numFmtId="9" fontId="5" fillId="9" borderId="4" xfId="3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 vertical="center" textRotation="90" wrapText="1"/>
    </xf>
    <xf numFmtId="0" fontId="13" fillId="6" borderId="14" xfId="0" applyFont="1" applyFill="1" applyBorder="1" applyAlignment="1">
      <alignment horizontal="center" vertical="center" textRotation="90" wrapText="1"/>
    </xf>
    <xf numFmtId="0" fontId="17" fillId="4" borderId="13" xfId="0" applyFont="1" applyFill="1" applyBorder="1" applyAlignment="1">
      <alignment horizontal="center" vertical="center" textRotation="90" wrapText="1"/>
    </xf>
    <xf numFmtId="0" fontId="17" fillId="4" borderId="14" xfId="0" applyFont="1" applyFill="1" applyBorder="1" applyAlignment="1">
      <alignment horizontal="center" vertical="center" textRotation="90" wrapText="1"/>
    </xf>
    <xf numFmtId="0" fontId="17" fillId="4" borderId="24" xfId="0" applyFont="1" applyFill="1" applyBorder="1" applyAlignment="1">
      <alignment horizontal="center" vertical="center" textRotation="90" wrapText="1"/>
    </xf>
    <xf numFmtId="0" fontId="15" fillId="6" borderId="7" xfId="0" applyFont="1" applyFill="1" applyBorder="1" applyAlignment="1">
      <alignment horizontal="center" vertical="center" textRotation="90"/>
    </xf>
    <xf numFmtId="0" fontId="15" fillId="6" borderId="9" xfId="0" applyFont="1" applyFill="1" applyBorder="1" applyAlignment="1">
      <alignment horizontal="center" vertical="center" textRotation="90"/>
    </xf>
    <xf numFmtId="0" fontId="15" fillId="6" borderId="12" xfId="0" applyFont="1" applyFill="1" applyBorder="1" applyAlignment="1">
      <alignment horizontal="center" vertical="center" textRotation="90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9" fontId="6" fillId="0" borderId="2" xfId="3" applyFont="1" applyBorder="1" applyAlignment="1">
      <alignment horizontal="center"/>
    </xf>
    <xf numFmtId="9" fontId="6" fillId="0" borderId="4" xfId="3" applyFont="1" applyBorder="1" applyAlignment="1">
      <alignment horizontal="center"/>
    </xf>
    <xf numFmtId="9" fontId="6" fillId="0" borderId="3" xfId="3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15" fillId="0" borderId="41" xfId="0" applyFont="1" applyBorder="1" applyAlignment="1">
      <alignment horizontal="center" vertical="center"/>
    </xf>
    <xf numFmtId="0" fontId="15" fillId="0" borderId="42" xfId="0" applyFont="1" applyBorder="1" applyAlignment="1">
      <alignment horizontal="center" vertical="center"/>
    </xf>
    <xf numFmtId="0" fontId="15" fillId="0" borderId="43" xfId="0" applyFont="1" applyBorder="1" applyAlignment="1">
      <alignment horizontal="center" vertical="center"/>
    </xf>
    <xf numFmtId="0" fontId="15" fillId="0" borderId="44" xfId="0" applyFont="1" applyBorder="1" applyAlignment="1">
      <alignment horizontal="center" vertical="center"/>
    </xf>
    <xf numFmtId="0" fontId="15" fillId="0" borderId="45" xfId="0" applyFont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2" fillId="6" borderId="13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 vertical="center" textRotation="45" wrapText="1"/>
    </xf>
    <xf numFmtId="0" fontId="2" fillId="3" borderId="14" xfId="0" applyFont="1" applyFill="1" applyBorder="1" applyAlignment="1">
      <alignment horizontal="center" vertical="center" textRotation="45" wrapText="1"/>
    </xf>
    <xf numFmtId="0" fontId="2" fillId="3" borderId="24" xfId="0" applyFont="1" applyFill="1" applyBorder="1" applyAlignment="1">
      <alignment horizontal="center" vertical="center" textRotation="45" wrapText="1"/>
    </xf>
    <xf numFmtId="0" fontId="7" fillId="6" borderId="13" xfId="0" applyFont="1" applyFill="1" applyBorder="1" applyAlignment="1">
      <alignment horizontal="center" vertical="center" textRotation="45" wrapText="1"/>
    </xf>
    <xf numFmtId="0" fontId="7" fillId="6" borderId="14" xfId="0" applyFont="1" applyFill="1" applyBorder="1" applyAlignment="1">
      <alignment horizontal="center" vertical="center" textRotation="45" wrapText="1"/>
    </xf>
    <xf numFmtId="0" fontId="7" fillId="3" borderId="13" xfId="0" applyFont="1" applyFill="1" applyBorder="1" applyAlignment="1">
      <alignment horizontal="center" vertical="center" textRotation="45" wrapText="1"/>
    </xf>
    <xf numFmtId="0" fontId="7" fillId="3" borderId="14" xfId="0" applyFont="1" applyFill="1" applyBorder="1" applyAlignment="1">
      <alignment horizontal="center" vertical="center" textRotation="45" wrapText="1"/>
    </xf>
    <xf numFmtId="0" fontId="7" fillId="3" borderId="24" xfId="0" applyFont="1" applyFill="1" applyBorder="1" applyAlignment="1">
      <alignment horizontal="center" vertical="center" textRotation="45" wrapText="1"/>
    </xf>
    <xf numFmtId="0" fontId="2" fillId="6" borderId="7" xfId="0" applyFont="1" applyFill="1" applyBorder="1" applyAlignment="1">
      <alignment horizontal="center" vertical="center" textRotation="45" wrapText="1"/>
    </xf>
    <xf numFmtId="0" fontId="2" fillId="6" borderId="9" xfId="0" applyFont="1" applyFill="1" applyBorder="1" applyAlignment="1">
      <alignment horizontal="center" vertical="center" textRotation="45" wrapText="1"/>
    </xf>
    <xf numFmtId="0" fontId="2" fillId="6" borderId="12" xfId="0" applyFont="1" applyFill="1" applyBorder="1" applyAlignment="1">
      <alignment horizontal="center" vertical="center" textRotation="45" wrapText="1"/>
    </xf>
    <xf numFmtId="0" fontId="2" fillId="12" borderId="7" xfId="0" applyFont="1" applyFill="1" applyBorder="1" applyAlignment="1">
      <alignment horizontal="center" vertical="center" textRotation="45" wrapText="1"/>
    </xf>
    <xf numFmtId="0" fontId="2" fillId="12" borderId="9" xfId="0" applyFont="1" applyFill="1" applyBorder="1" applyAlignment="1">
      <alignment horizontal="center" vertical="center" textRotation="45" wrapText="1"/>
    </xf>
    <xf numFmtId="0" fontId="2" fillId="12" borderId="12" xfId="0" applyFont="1" applyFill="1" applyBorder="1" applyAlignment="1">
      <alignment horizontal="center" vertical="center" textRotation="45" wrapText="1"/>
    </xf>
    <xf numFmtId="0" fontId="16" fillId="14" borderId="13" xfId="0" applyFont="1" applyFill="1" applyBorder="1" applyAlignment="1">
      <alignment horizontal="center" vertical="center" textRotation="90" wrapText="1"/>
    </xf>
    <xf numFmtId="0" fontId="16" fillId="14" borderId="14" xfId="0" applyFont="1" applyFill="1" applyBorder="1" applyAlignment="1">
      <alignment horizontal="center" vertical="center" textRotation="90" wrapText="1"/>
    </xf>
    <xf numFmtId="0" fontId="16" fillId="14" borderId="24" xfId="0" applyFont="1" applyFill="1" applyBorder="1" applyAlignment="1">
      <alignment horizontal="center" vertical="center" textRotation="90" wrapText="1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15" fillId="23" borderId="5" xfId="0" applyFont="1" applyFill="1" applyBorder="1" applyAlignment="1">
      <alignment horizontal="center" vertical="center" wrapText="1"/>
    </xf>
    <xf numFmtId="0" fontId="15" fillId="23" borderId="6" xfId="0" applyFont="1" applyFill="1" applyBorder="1" applyAlignment="1">
      <alignment horizontal="center" vertical="center" wrapText="1"/>
    </xf>
    <xf numFmtId="0" fontId="15" fillId="23" borderId="7" xfId="0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19" fillId="0" borderId="4" xfId="0" applyFont="1" applyFill="1" applyBorder="1" applyAlignment="1">
      <alignment horizontal="center"/>
    </xf>
    <xf numFmtId="165" fontId="5" fillId="0" borderId="5" xfId="1" applyFont="1" applyBorder="1" applyAlignment="1">
      <alignment horizontal="center"/>
    </xf>
    <xf numFmtId="165" fontId="5" fillId="0" borderId="6" xfId="1" applyFont="1" applyBorder="1" applyAlignment="1">
      <alignment horizontal="center"/>
    </xf>
    <xf numFmtId="165" fontId="5" fillId="0" borderId="7" xfId="1" applyFont="1" applyBorder="1" applyAlignment="1">
      <alignment horizontal="center"/>
    </xf>
    <xf numFmtId="0" fontId="17" fillId="5" borderId="13" xfId="0" applyFont="1" applyFill="1" applyBorder="1" applyAlignment="1">
      <alignment horizontal="center" vertical="center" textRotation="90" wrapText="1"/>
    </xf>
    <xf numFmtId="0" fontId="17" fillId="5" borderId="14" xfId="0" applyFont="1" applyFill="1" applyBorder="1" applyAlignment="1">
      <alignment horizontal="center" vertical="center" textRotation="90" wrapText="1"/>
    </xf>
    <xf numFmtId="0" fontId="17" fillId="5" borderId="24" xfId="0" applyFont="1" applyFill="1" applyBorder="1" applyAlignment="1">
      <alignment horizontal="center" vertical="center" textRotation="90" wrapText="1"/>
    </xf>
    <xf numFmtId="0" fontId="5" fillId="0" borderId="2" xfId="3" applyNumberFormat="1" applyFont="1" applyBorder="1" applyAlignment="1">
      <alignment horizontal="center"/>
    </xf>
    <xf numFmtId="0" fontId="5" fillId="0" borderId="3" xfId="3" applyNumberFormat="1" applyFont="1" applyBorder="1" applyAlignment="1">
      <alignment horizontal="center"/>
    </xf>
    <xf numFmtId="0" fontId="5" fillId="0" borderId="4" xfId="3" applyNumberFormat="1" applyFont="1" applyBorder="1" applyAlignment="1">
      <alignment horizontal="center"/>
    </xf>
    <xf numFmtId="0" fontId="2" fillId="5" borderId="13" xfId="0" applyFont="1" applyFill="1" applyBorder="1" applyAlignment="1">
      <alignment horizontal="center" vertical="center" textRotation="90" wrapText="1"/>
    </xf>
    <xf numFmtId="0" fontId="2" fillId="5" borderId="14" xfId="0" applyFont="1" applyFill="1" applyBorder="1" applyAlignment="1">
      <alignment horizontal="center" vertical="center" textRotation="90" wrapText="1"/>
    </xf>
    <xf numFmtId="0" fontId="2" fillId="5" borderId="24" xfId="0" applyFont="1" applyFill="1" applyBorder="1" applyAlignment="1">
      <alignment horizontal="center" vertical="center" textRotation="90" wrapText="1"/>
    </xf>
    <xf numFmtId="0" fontId="2" fillId="12" borderId="2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2" fillId="0" borderId="49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44" fillId="21" borderId="13" xfId="0" applyFont="1" applyFill="1" applyBorder="1" applyAlignment="1">
      <alignment horizontal="center" vertical="center" textRotation="90" wrapText="1"/>
    </xf>
    <xf numFmtId="0" fontId="44" fillId="21" borderId="14" xfId="0" applyFont="1" applyFill="1" applyBorder="1" applyAlignment="1">
      <alignment horizontal="center" vertical="center" textRotation="90" wrapText="1"/>
    </xf>
    <xf numFmtId="0" fontId="44" fillId="21" borderId="24" xfId="0" applyFont="1" applyFill="1" applyBorder="1" applyAlignment="1">
      <alignment horizontal="center" vertical="center" textRotation="90" wrapText="1"/>
    </xf>
    <xf numFmtId="165" fontId="6" fillId="0" borderId="2" xfId="1" applyFont="1" applyBorder="1" applyAlignment="1">
      <alignment horizontal="center"/>
    </xf>
    <xf numFmtId="165" fontId="6" fillId="0" borderId="3" xfId="1" applyFont="1" applyBorder="1" applyAlignment="1">
      <alignment horizontal="center"/>
    </xf>
    <xf numFmtId="165" fontId="6" fillId="0" borderId="4" xfId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0" fontId="15" fillId="5" borderId="2" xfId="0" applyFont="1" applyFill="1" applyBorder="1" applyAlignment="1">
      <alignment horizontal="center"/>
    </xf>
    <xf numFmtId="0" fontId="15" fillId="5" borderId="3" xfId="0" applyFont="1" applyFill="1" applyBorder="1" applyAlignment="1">
      <alignment horizontal="center"/>
    </xf>
    <xf numFmtId="0" fontId="15" fillId="5" borderId="4" xfId="0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 vertical="center" textRotation="45" wrapText="1"/>
    </xf>
    <xf numFmtId="0" fontId="7" fillId="6" borderId="9" xfId="0" applyFont="1" applyFill="1" applyBorder="1" applyAlignment="1">
      <alignment horizontal="center" vertical="center" textRotation="45" wrapText="1"/>
    </xf>
    <xf numFmtId="0" fontId="7" fillId="3" borderId="7" xfId="0" applyFont="1" applyFill="1" applyBorder="1" applyAlignment="1">
      <alignment horizontal="center" vertical="center" textRotation="45" wrapText="1"/>
    </xf>
    <xf numFmtId="0" fontId="7" fillId="3" borderId="9" xfId="0" applyFont="1" applyFill="1" applyBorder="1" applyAlignment="1">
      <alignment horizontal="center" vertical="center" textRotation="45" wrapText="1"/>
    </xf>
    <xf numFmtId="0" fontId="7" fillId="3" borderId="12" xfId="0" applyFont="1" applyFill="1" applyBorder="1" applyAlignment="1">
      <alignment horizontal="center" vertical="center" textRotation="45" wrapText="1"/>
    </xf>
    <xf numFmtId="0" fontId="2" fillId="3" borderId="7" xfId="0" applyFont="1" applyFill="1" applyBorder="1" applyAlignment="1">
      <alignment horizontal="center" vertical="center" textRotation="45" wrapText="1"/>
    </xf>
    <xf numFmtId="0" fontId="2" fillId="3" borderId="9" xfId="0" applyFont="1" applyFill="1" applyBorder="1" applyAlignment="1">
      <alignment horizontal="center" vertical="center" textRotation="45" wrapText="1"/>
    </xf>
    <xf numFmtId="0" fontId="2" fillId="3" borderId="12" xfId="0" applyFont="1" applyFill="1" applyBorder="1" applyAlignment="1">
      <alignment horizontal="center" vertical="center" textRotation="45" wrapText="1"/>
    </xf>
    <xf numFmtId="0" fontId="2" fillId="6" borderId="7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28" borderId="2" xfId="0" applyFont="1" applyFill="1" applyBorder="1" applyAlignment="1">
      <alignment horizontal="center"/>
    </xf>
    <xf numFmtId="0" fontId="2" fillId="28" borderId="3" xfId="0" applyFont="1" applyFill="1" applyBorder="1" applyAlignment="1">
      <alignment horizontal="center"/>
    </xf>
    <xf numFmtId="0" fontId="2" fillId="28" borderId="4" xfId="0" applyFont="1" applyFill="1" applyBorder="1" applyAlignment="1">
      <alignment horizontal="center"/>
    </xf>
    <xf numFmtId="0" fontId="44" fillId="29" borderId="13" xfId="0" applyFont="1" applyFill="1" applyBorder="1" applyAlignment="1">
      <alignment horizontal="center" vertical="center" textRotation="90" wrapText="1"/>
    </xf>
    <xf numFmtId="0" fontId="44" fillId="29" borderId="14" xfId="0" applyFont="1" applyFill="1" applyBorder="1" applyAlignment="1">
      <alignment horizontal="center" vertical="center" textRotation="90" wrapText="1"/>
    </xf>
    <xf numFmtId="0" fontId="44" fillId="29" borderId="24" xfId="0" applyFont="1" applyFill="1" applyBorder="1" applyAlignment="1">
      <alignment horizontal="center" vertical="center" textRotation="90" wrapText="1"/>
    </xf>
    <xf numFmtId="49" fontId="0" fillId="0" borderId="33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</cellXfs>
  <cellStyles count="5">
    <cellStyle name="Hipervínculo" xfId="4" builtinId="8"/>
    <cellStyle name="Millares" xfId="1" builtinId="3"/>
    <cellStyle name="Moneda" xfId="2" builtinId="4"/>
    <cellStyle name="Normal" xfId="0" builtinId="0"/>
    <cellStyle name="Porcentaje" xfId="3" builtinId="5"/>
  </cellStyles>
  <dxfs count="30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??_-;_-@_-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??_-;_-@_-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??_-;_-@_-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??_-;_-@_-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??_-;_-@_-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??_-;_-@_-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??_-;_-@_-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??_-;_-@_-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??_-;_-@_-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??_-;_-@_-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??_-;_-@_-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??_-;_-@_-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??_-;_-@_-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relative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??_-;_-@_-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??_-;_-@_-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??_-;_-@_-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??_-;_-@_-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66" formatCode="_-&quot;$&quot;* #,##0.00_-;\-&quot;$&quot;* #,##0.00_-;_-&quot;$&quot;* &quot;-&quot;??_-;_-@_-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??_-;_-@_-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??_-;_-@_-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??_-;_-@_-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??_-;_-@_-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??_-;_-@_-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??_-;_-@_-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??_-;_-@_-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??_-;_-@_-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??_-;_-@_-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??_-;_-@_-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??_-;_-@_-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??_-;_-@_-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??_-;_-@_-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??_-;_-@_-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??_-;_-@_-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??_-;_-@_-"/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 outline="0">
        <right style="medium">
          <color rgb="FF000000"/>
        </right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??_-;_-@_-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??_-;_-@_-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??_-;_-@_-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??_-;_-@_-"/>
      <alignment horizontal="center" vertical="bottom" textRotation="0" wrapText="0" relative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??_-;_-@_-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??_-;_-@_-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??_-;_-@_-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??_-;_-@_-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??_-;_-@_-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??_-;_-@_-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??_-;_-@_-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??_-;_-@_-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??_-;_-@_-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??_-;_-@_-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??_-;_-@_-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??_-;_-@_-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66" formatCode="_-&quot;$&quot;* #,##0.00_-;\-&quot;$&quot;* #,##0.00_-;_-&quot;$&quot;* &quot;-&quot;??_-;_-@_-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??_-;_-@_-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??_-;_-@_-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??_-;_-@_-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??_-;_-@_-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??_-;_-@_-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??_-;_-@_-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??_-;_-@_-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??_-;_-@_-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 outline="0">
        <right style="medium">
          <color rgb="FF000000"/>
        </right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??_-;_-@_-"/>
      <alignment horizontal="center" vertical="bottom" textRotation="0" wrapText="0" relative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ill>
        <patternFill>
          <bgColor rgb="FF6666FF"/>
        </patternFill>
      </fill>
    </dxf>
    <dxf>
      <border>
        <left style="thin">
          <color theme="8"/>
        </left>
      </border>
    </dxf>
    <dxf>
      <border>
        <top style="thin">
          <color theme="8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8"/>
        </top>
      </border>
    </dxf>
    <dxf>
      <font>
        <b/>
        <color theme="0"/>
      </font>
      <fill>
        <patternFill patternType="solid">
          <fgColor theme="8"/>
          <bgColor theme="8"/>
        </patternFill>
      </fill>
    </dxf>
    <dxf>
      <fill>
        <patternFill>
          <bgColor theme="8" tint="0.39994506668294322"/>
        </patternFill>
      </fill>
    </dxf>
    <dxf>
      <fill>
        <patternFill>
          <bgColor rgb="FFCC99FF"/>
        </patternFill>
      </fill>
    </dxf>
  </dxfs>
  <tableStyles count="3" defaultTableStyle="TableStyleMedium2" defaultPivotStyle="PivotStyleLight16">
    <tableStyle name="Estilo de tabla 1" pivot="0" count="1">
      <tableStyleElement type="wholeTable" dxfId="308"/>
    </tableStyle>
    <tableStyle name="Estilo de tabla 2" pivot="0" count="1">
      <tableStyleElement type="wholeTable" dxfId="307"/>
    </tableStyle>
    <tableStyle name="TableStyleLight13 2" pivot="0" count="7">
      <tableStyleElement type="headerRow" dxfId="306"/>
      <tableStyleElement type="totalRow" dxfId="305"/>
      <tableStyleElement type="firstColumn" dxfId="304"/>
      <tableStyleElement type="lastColumn" dxfId="303"/>
      <tableStyleElement type="firstRowStripe" dxfId="302"/>
      <tableStyleElement type="firstColumnStripe" dxfId="301"/>
      <tableStyleElement type="firstHeaderCell" dxfId="300"/>
    </tableStyle>
  </tableStyles>
  <colors>
    <mruColors>
      <color rgb="FFCC99FF"/>
      <color rgb="FFAD66D4"/>
      <color rgb="FFCCCCFF"/>
      <color rgb="FF9966FF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8.png"/><Relationship Id="rId1" Type="http://schemas.openxmlformats.org/officeDocument/2006/relationships/image" Target="../media/image17.jpeg"/><Relationship Id="rId4" Type="http://schemas.openxmlformats.org/officeDocument/2006/relationships/image" Target="../media/image19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tmp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8.png"/><Relationship Id="rId1" Type="http://schemas.openxmlformats.org/officeDocument/2006/relationships/image" Target="../media/image17.jpeg"/><Relationship Id="rId4" Type="http://schemas.openxmlformats.org/officeDocument/2006/relationships/image" Target="../media/image19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5" Type="http://schemas.openxmlformats.org/officeDocument/2006/relationships/image" Target="../media/image16.png"/><Relationship Id="rId4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7</xdr:row>
      <xdr:rowOff>43006</xdr:rowOff>
    </xdr:from>
    <xdr:to>
      <xdr:col>7</xdr:col>
      <xdr:colOff>676275</xdr:colOff>
      <xdr:row>28</xdr:row>
      <xdr:rowOff>172313</xdr:rowOff>
    </xdr:to>
    <xdr:pic>
      <xdr:nvPicPr>
        <xdr:cNvPr id="2" name="Imagen 1" descr="ARCEN LOGO-01 (1)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19150" y="1586056"/>
          <a:ext cx="4610100" cy="4129807"/>
        </a:xfrm>
        <a:prstGeom prst="rect">
          <a:avLst/>
        </a:prstGeom>
        <a:noFill/>
      </xdr:spPr>
    </xdr:pic>
    <xdr:clientData/>
  </xdr:twoCellAnchor>
  <xdr:twoCellAnchor>
    <xdr:from>
      <xdr:col>0</xdr:col>
      <xdr:colOff>476246</xdr:colOff>
      <xdr:row>35</xdr:row>
      <xdr:rowOff>28575</xdr:rowOff>
    </xdr:from>
    <xdr:to>
      <xdr:col>2</xdr:col>
      <xdr:colOff>9522</xdr:colOff>
      <xdr:row>37</xdr:row>
      <xdr:rowOff>28576</xdr:rowOff>
    </xdr:to>
    <xdr:pic>
      <xdr:nvPicPr>
        <xdr:cNvPr id="3" name="Imagen 2" descr="ubicacion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 flipH="1">
          <a:off x="476246" y="6905625"/>
          <a:ext cx="476251" cy="428626"/>
        </a:xfrm>
        <a:prstGeom prst="rect">
          <a:avLst/>
        </a:prstGeom>
        <a:noFill/>
      </xdr:spPr>
    </xdr:pic>
    <xdr:clientData/>
  </xdr:twoCellAnchor>
  <xdr:twoCellAnchor>
    <xdr:from>
      <xdr:col>1</xdr:col>
      <xdr:colOff>9526</xdr:colOff>
      <xdr:row>37</xdr:row>
      <xdr:rowOff>152400</xdr:rowOff>
    </xdr:from>
    <xdr:to>
      <xdr:col>1</xdr:col>
      <xdr:colOff>371475</xdr:colOff>
      <xdr:row>39</xdr:row>
      <xdr:rowOff>57150</xdr:rowOff>
    </xdr:to>
    <xdr:pic>
      <xdr:nvPicPr>
        <xdr:cNvPr id="4" name="Imagen 3" descr="logo telefono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1" y="7458075"/>
          <a:ext cx="361949" cy="381000"/>
        </a:xfrm>
        <a:prstGeom prst="rect">
          <a:avLst/>
        </a:prstGeom>
        <a:noFill/>
      </xdr:spPr>
    </xdr:pic>
    <xdr:clientData/>
  </xdr:twoCellAnchor>
  <xdr:twoCellAnchor>
    <xdr:from>
      <xdr:col>1</xdr:col>
      <xdr:colOff>31751</xdr:colOff>
      <xdr:row>39</xdr:row>
      <xdr:rowOff>180975</xdr:rowOff>
    </xdr:from>
    <xdr:to>
      <xdr:col>1</xdr:col>
      <xdr:colOff>314325</xdr:colOff>
      <xdr:row>41</xdr:row>
      <xdr:rowOff>25691</xdr:rowOff>
    </xdr:to>
    <xdr:pic>
      <xdr:nvPicPr>
        <xdr:cNvPr id="5" name="Imagen 5" descr="logo mail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5626" y="7962900"/>
          <a:ext cx="282574" cy="320966"/>
        </a:xfrm>
        <a:prstGeom prst="rect">
          <a:avLst/>
        </a:prstGeom>
        <a:noFill/>
      </xdr:spPr>
    </xdr:pic>
    <xdr:clientData/>
  </xdr:twoCellAnchor>
  <xdr:twoCellAnchor>
    <xdr:from>
      <xdr:col>1</xdr:col>
      <xdr:colOff>37223</xdr:colOff>
      <xdr:row>41</xdr:row>
      <xdr:rowOff>161925</xdr:rowOff>
    </xdr:from>
    <xdr:to>
      <xdr:col>1</xdr:col>
      <xdr:colOff>333374</xdr:colOff>
      <xdr:row>43</xdr:row>
      <xdr:rowOff>54055</xdr:rowOff>
    </xdr:to>
    <xdr:pic>
      <xdr:nvPicPr>
        <xdr:cNvPr id="6" name="Imagen 6" descr="logo sitio web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561098" y="8420100"/>
          <a:ext cx="296151" cy="320755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347325</xdr:colOff>
      <xdr:row>62</xdr:row>
      <xdr:rowOff>26938</xdr:rowOff>
    </xdr:from>
    <xdr:to>
      <xdr:col>24</xdr:col>
      <xdr:colOff>771620</xdr:colOff>
      <xdr:row>62</xdr:row>
      <xdr:rowOff>581120</xdr:rowOff>
    </xdr:to>
    <xdr:pic>
      <xdr:nvPicPr>
        <xdr:cNvPr id="2" name="1 Imagen" descr="C:\Users\Usuario\Desktop\Arcen Aluminio\herrero raja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2908" y="1730855"/>
          <a:ext cx="424295" cy="55418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254962</xdr:colOff>
      <xdr:row>62</xdr:row>
      <xdr:rowOff>29946</xdr:rowOff>
    </xdr:from>
    <xdr:to>
      <xdr:col>25</xdr:col>
      <xdr:colOff>828844</xdr:colOff>
      <xdr:row>62</xdr:row>
      <xdr:rowOff>557067</xdr:rowOff>
    </xdr:to>
    <xdr:pic>
      <xdr:nvPicPr>
        <xdr:cNvPr id="3" name="2 Imagen" descr="C:\Users\Usuario\Desktop\Arcen Aluminio\kisspng-mosquito-control-household-insect-repellents-primo-5ba2f629ec4636.4883996115374065059678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7712" y="1395196"/>
          <a:ext cx="573882" cy="52712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26</xdr:col>
      <xdr:colOff>231185</xdr:colOff>
      <xdr:row>61</xdr:row>
      <xdr:rowOff>407988</xdr:rowOff>
    </xdr:from>
    <xdr:to>
      <xdr:col>26</xdr:col>
      <xdr:colOff>926294</xdr:colOff>
      <xdr:row>63</xdr:row>
      <xdr:rowOff>90851</xdr:rowOff>
    </xdr:to>
    <xdr:pic>
      <xdr:nvPicPr>
        <xdr:cNvPr id="4" name="3 Imagen" descr="C:\Users\Usuario\Desktop\Arcen Aluminio\Corrediza con Reja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5185" y="1265238"/>
          <a:ext cx="695109" cy="82586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785735</xdr:colOff>
      <xdr:row>88</xdr:row>
      <xdr:rowOff>0</xdr:rowOff>
    </xdr:from>
    <xdr:to>
      <xdr:col>27</xdr:col>
      <xdr:colOff>265890</xdr:colOff>
      <xdr:row>95</xdr:row>
      <xdr:rowOff>19579</xdr:rowOff>
    </xdr:to>
    <xdr:pic>
      <xdr:nvPicPr>
        <xdr:cNvPr id="5" name="Imagen 9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643235" y="7402286"/>
          <a:ext cx="1834191" cy="170686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150812</xdr:colOff>
      <xdr:row>3</xdr:row>
      <xdr:rowOff>19046</xdr:rowOff>
    </xdr:from>
    <xdr:to>
      <xdr:col>35</xdr:col>
      <xdr:colOff>978812</xdr:colOff>
      <xdr:row>12</xdr:row>
      <xdr:rowOff>149046</xdr:rowOff>
    </xdr:to>
    <xdr:grpSp>
      <xdr:nvGrpSpPr>
        <xdr:cNvPr id="122" name="Group 18"/>
        <xdr:cNvGrpSpPr>
          <a:grpSpLocks/>
        </xdr:cNvGrpSpPr>
      </xdr:nvGrpSpPr>
      <xdr:grpSpPr bwMode="auto">
        <a:xfrm>
          <a:off x="489527" y="578806"/>
          <a:ext cx="890865" cy="1859417"/>
          <a:chOff x="12" y="864"/>
          <a:chExt cx="82" cy="97"/>
        </a:xfrm>
      </xdr:grpSpPr>
      <xdr:sp macro="" textlink="">
        <xdr:nvSpPr>
          <xdr:cNvPr id="123" name="Rectangle 4"/>
          <xdr:cNvSpPr>
            <a:spLocks noChangeArrowheads="1"/>
          </xdr:cNvSpPr>
        </xdr:nvSpPr>
        <xdr:spPr bwMode="auto">
          <a:xfrm>
            <a:off x="12" y="864"/>
            <a:ext cx="82" cy="97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4" name="Rectangle 5"/>
          <xdr:cNvSpPr>
            <a:spLocks noChangeArrowheads="1"/>
          </xdr:cNvSpPr>
        </xdr:nvSpPr>
        <xdr:spPr bwMode="auto">
          <a:xfrm>
            <a:off x="19" y="868"/>
            <a:ext cx="68" cy="88"/>
          </a:xfrm>
          <a:prstGeom prst="rect">
            <a:avLst/>
          </a:prstGeom>
          <a:solidFill>
            <a:schemeClr val="accent2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5" name="Line 9"/>
          <xdr:cNvSpPr>
            <a:spLocks noChangeShapeType="1"/>
          </xdr:cNvSpPr>
        </xdr:nvSpPr>
        <xdr:spPr bwMode="auto">
          <a:xfrm>
            <a:off x="77" y="913"/>
            <a:ext cx="15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37</xdr:col>
      <xdr:colOff>112710</xdr:colOff>
      <xdr:row>3</xdr:row>
      <xdr:rowOff>19046</xdr:rowOff>
    </xdr:from>
    <xdr:to>
      <xdr:col>37</xdr:col>
      <xdr:colOff>940710</xdr:colOff>
      <xdr:row>12</xdr:row>
      <xdr:rowOff>149046</xdr:rowOff>
    </xdr:to>
    <xdr:grpSp>
      <xdr:nvGrpSpPr>
        <xdr:cNvPr id="126" name="Group 19"/>
        <xdr:cNvGrpSpPr>
          <a:grpSpLocks/>
        </xdr:cNvGrpSpPr>
      </xdr:nvGrpSpPr>
      <xdr:grpSpPr bwMode="auto">
        <a:xfrm>
          <a:off x="1945488" y="578806"/>
          <a:ext cx="889341" cy="1859417"/>
          <a:chOff x="255" y="863"/>
          <a:chExt cx="60" cy="119"/>
        </a:xfrm>
      </xdr:grpSpPr>
      <xdr:sp macro="" textlink="">
        <xdr:nvSpPr>
          <xdr:cNvPr id="127" name="Rectangle 10"/>
          <xdr:cNvSpPr>
            <a:spLocks noChangeArrowheads="1"/>
          </xdr:cNvSpPr>
        </xdr:nvSpPr>
        <xdr:spPr bwMode="auto">
          <a:xfrm>
            <a:off x="255" y="863"/>
            <a:ext cx="60" cy="11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8" name="Rectangle 11"/>
          <xdr:cNvSpPr>
            <a:spLocks noChangeArrowheads="1"/>
          </xdr:cNvSpPr>
        </xdr:nvSpPr>
        <xdr:spPr bwMode="auto">
          <a:xfrm>
            <a:off x="261" y="926"/>
            <a:ext cx="48" cy="50"/>
          </a:xfrm>
          <a:prstGeom prst="rect">
            <a:avLst/>
          </a:prstGeom>
          <a:solidFill>
            <a:schemeClr val="accent2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9" name="Line 12"/>
          <xdr:cNvSpPr>
            <a:spLocks noChangeShapeType="1"/>
          </xdr:cNvSpPr>
        </xdr:nvSpPr>
        <xdr:spPr bwMode="auto">
          <a:xfrm>
            <a:off x="299" y="922"/>
            <a:ext cx="15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30" name="Rectangle 13"/>
          <xdr:cNvSpPr>
            <a:spLocks noChangeArrowheads="1"/>
          </xdr:cNvSpPr>
        </xdr:nvSpPr>
        <xdr:spPr bwMode="auto">
          <a:xfrm>
            <a:off x="261" y="869"/>
            <a:ext cx="48" cy="50"/>
          </a:xfrm>
          <a:prstGeom prst="rect">
            <a:avLst/>
          </a:prstGeom>
          <a:solidFill>
            <a:schemeClr val="accent2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39</xdr:col>
      <xdr:colOff>95251</xdr:colOff>
      <xdr:row>3</xdr:row>
      <xdr:rowOff>10583</xdr:rowOff>
    </xdr:from>
    <xdr:to>
      <xdr:col>39</xdr:col>
      <xdr:colOff>981011</xdr:colOff>
      <xdr:row>12</xdr:row>
      <xdr:rowOff>147461</xdr:rowOff>
    </xdr:to>
    <xdr:grpSp>
      <xdr:nvGrpSpPr>
        <xdr:cNvPr id="2" name="Grupo 1"/>
        <xdr:cNvGrpSpPr/>
      </xdr:nvGrpSpPr>
      <xdr:grpSpPr>
        <a:xfrm>
          <a:off x="3356753" y="570724"/>
          <a:ext cx="952435" cy="1866295"/>
          <a:chOff x="3031681" y="588961"/>
          <a:chExt cx="830645" cy="1892125"/>
        </a:xfrm>
      </xdr:grpSpPr>
      <xdr:sp macro="" textlink="">
        <xdr:nvSpPr>
          <xdr:cNvPr id="132" name="Rectangle 14"/>
          <xdr:cNvSpPr>
            <a:spLocks noChangeArrowheads="1"/>
          </xdr:cNvSpPr>
        </xdr:nvSpPr>
        <xdr:spPr bwMode="auto">
          <a:xfrm>
            <a:off x="3031681" y="588961"/>
            <a:ext cx="830645" cy="189212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33" name="Rectangle 15"/>
          <xdr:cNvSpPr>
            <a:spLocks noChangeArrowheads="1"/>
          </xdr:cNvSpPr>
        </xdr:nvSpPr>
        <xdr:spPr bwMode="auto">
          <a:xfrm>
            <a:off x="3114745" y="674320"/>
            <a:ext cx="152285" cy="1749860"/>
          </a:xfrm>
          <a:prstGeom prst="rect">
            <a:avLst/>
          </a:prstGeom>
          <a:solidFill>
            <a:schemeClr val="accent2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34" name="Rectangle 16"/>
          <xdr:cNvSpPr>
            <a:spLocks noChangeArrowheads="1"/>
          </xdr:cNvSpPr>
        </xdr:nvSpPr>
        <xdr:spPr bwMode="auto">
          <a:xfrm>
            <a:off x="3363939" y="674320"/>
            <a:ext cx="152285" cy="1749860"/>
          </a:xfrm>
          <a:prstGeom prst="rect">
            <a:avLst/>
          </a:prstGeom>
          <a:solidFill>
            <a:schemeClr val="accent2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35" name="Rectangle 17"/>
          <xdr:cNvSpPr>
            <a:spLocks noChangeArrowheads="1"/>
          </xdr:cNvSpPr>
        </xdr:nvSpPr>
        <xdr:spPr bwMode="auto">
          <a:xfrm>
            <a:off x="3613132" y="674320"/>
            <a:ext cx="152285" cy="1749860"/>
          </a:xfrm>
          <a:prstGeom prst="rect">
            <a:avLst/>
          </a:prstGeom>
          <a:solidFill>
            <a:schemeClr val="accent2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36" name="Line 8"/>
          <xdr:cNvSpPr>
            <a:spLocks noChangeShapeType="1"/>
          </xdr:cNvSpPr>
        </xdr:nvSpPr>
        <xdr:spPr bwMode="auto">
          <a:xfrm>
            <a:off x="3640821" y="1527910"/>
            <a:ext cx="207661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41</xdr:col>
      <xdr:colOff>126999</xdr:colOff>
      <xdr:row>18</xdr:row>
      <xdr:rowOff>10584</xdr:rowOff>
    </xdr:from>
    <xdr:to>
      <xdr:col>41</xdr:col>
      <xdr:colOff>1016000</xdr:colOff>
      <xdr:row>27</xdr:row>
      <xdr:rowOff>178180</xdr:rowOff>
    </xdr:to>
    <xdr:grpSp>
      <xdr:nvGrpSpPr>
        <xdr:cNvPr id="137" name="Group 402"/>
        <xdr:cNvGrpSpPr>
          <a:grpSpLocks/>
        </xdr:cNvGrpSpPr>
      </xdr:nvGrpSpPr>
      <xdr:grpSpPr bwMode="auto">
        <a:xfrm>
          <a:off x="4731009" y="3538650"/>
          <a:ext cx="935483" cy="1905822"/>
          <a:chOff x="1043" y="1014"/>
          <a:chExt cx="111" cy="238"/>
        </a:xfrm>
      </xdr:grpSpPr>
      <xdr:sp macro="" textlink="">
        <xdr:nvSpPr>
          <xdr:cNvPr id="138" name="Rectangle 57"/>
          <xdr:cNvSpPr>
            <a:spLocks noChangeArrowheads="1"/>
          </xdr:cNvSpPr>
        </xdr:nvSpPr>
        <xdr:spPr bwMode="auto">
          <a:xfrm>
            <a:off x="1043" y="1014"/>
            <a:ext cx="111" cy="238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39" name="Rectangle 68"/>
          <xdr:cNvSpPr>
            <a:spLocks noChangeArrowheads="1"/>
          </xdr:cNvSpPr>
        </xdr:nvSpPr>
        <xdr:spPr bwMode="auto">
          <a:xfrm>
            <a:off x="1054" y="1026"/>
            <a:ext cx="89" cy="216"/>
          </a:xfrm>
          <a:prstGeom prst="rect">
            <a:avLst/>
          </a:prstGeom>
          <a:solidFill>
            <a:srgbClr val="FFFFFF"/>
          </a:solidFill>
          <a:ln w="9525">
            <a:solidFill>
              <a:srgbClr val="969696"/>
            </a:solidFill>
            <a:miter lim="800000"/>
            <a:headEnd/>
            <a:tailEnd/>
          </a:ln>
        </xdr:spPr>
      </xdr:sp>
      <xdr:sp macro="" textlink="">
        <xdr:nvSpPr>
          <xdr:cNvPr id="140" name="Line 60"/>
          <xdr:cNvSpPr>
            <a:spLocks noChangeShapeType="1"/>
          </xdr:cNvSpPr>
        </xdr:nvSpPr>
        <xdr:spPr bwMode="auto">
          <a:xfrm>
            <a:off x="1126" y="1134"/>
            <a:ext cx="26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43</xdr:col>
      <xdr:colOff>128516</xdr:colOff>
      <xdr:row>18</xdr:row>
      <xdr:rowOff>21972</xdr:rowOff>
    </xdr:from>
    <xdr:to>
      <xdr:col>43</xdr:col>
      <xdr:colOff>956516</xdr:colOff>
      <xdr:row>27</xdr:row>
      <xdr:rowOff>130806</xdr:rowOff>
    </xdr:to>
    <xdr:grpSp>
      <xdr:nvGrpSpPr>
        <xdr:cNvPr id="141" name="Group 83"/>
        <xdr:cNvGrpSpPr>
          <a:grpSpLocks/>
        </xdr:cNvGrpSpPr>
      </xdr:nvGrpSpPr>
      <xdr:grpSpPr bwMode="auto">
        <a:xfrm>
          <a:off x="6073130" y="3549657"/>
          <a:ext cx="889341" cy="1849346"/>
          <a:chOff x="254" y="1204"/>
          <a:chExt cx="60" cy="119"/>
        </a:xfrm>
      </xdr:grpSpPr>
      <xdr:sp macro="" textlink="">
        <xdr:nvSpPr>
          <xdr:cNvPr id="142" name="Rectangle 63"/>
          <xdr:cNvSpPr>
            <a:spLocks noChangeArrowheads="1"/>
          </xdr:cNvSpPr>
        </xdr:nvSpPr>
        <xdr:spPr bwMode="auto">
          <a:xfrm>
            <a:off x="254" y="1204"/>
            <a:ext cx="60" cy="11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3" name="Rectangle 76"/>
          <xdr:cNvSpPr>
            <a:spLocks noChangeArrowheads="1"/>
          </xdr:cNvSpPr>
        </xdr:nvSpPr>
        <xdr:spPr bwMode="auto">
          <a:xfrm>
            <a:off x="260" y="1240"/>
            <a:ext cx="48" cy="77"/>
          </a:xfrm>
          <a:prstGeom prst="rect">
            <a:avLst/>
          </a:prstGeom>
          <a:solidFill>
            <a:srgbClr val="FFFFFF"/>
          </a:solidFill>
          <a:ln w="9525">
            <a:solidFill>
              <a:srgbClr val="C0C0C0"/>
            </a:solidFill>
            <a:miter lim="800000"/>
            <a:headEnd/>
            <a:tailEnd/>
          </a:ln>
        </xdr:spPr>
      </xdr:sp>
      <xdr:sp macro="" textlink="">
        <xdr:nvSpPr>
          <xdr:cNvPr id="144" name="Rectangle 65"/>
          <xdr:cNvSpPr>
            <a:spLocks noChangeArrowheads="1"/>
          </xdr:cNvSpPr>
        </xdr:nvSpPr>
        <xdr:spPr bwMode="auto">
          <a:xfrm>
            <a:off x="260" y="1210"/>
            <a:ext cx="48" cy="26"/>
          </a:xfrm>
          <a:prstGeom prst="rect">
            <a:avLst/>
          </a:prstGeom>
          <a:solidFill>
            <a:schemeClr val="accent2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5" name="Line 66"/>
          <xdr:cNvSpPr>
            <a:spLocks noChangeShapeType="1"/>
          </xdr:cNvSpPr>
        </xdr:nvSpPr>
        <xdr:spPr bwMode="auto">
          <a:xfrm>
            <a:off x="299" y="1264"/>
            <a:ext cx="14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43</xdr:col>
      <xdr:colOff>138031</xdr:colOff>
      <xdr:row>3</xdr:row>
      <xdr:rowOff>19049</xdr:rowOff>
    </xdr:from>
    <xdr:to>
      <xdr:col>43</xdr:col>
      <xdr:colOff>966031</xdr:colOff>
      <xdr:row>12</xdr:row>
      <xdr:rowOff>149049</xdr:rowOff>
    </xdr:to>
    <xdr:grpSp>
      <xdr:nvGrpSpPr>
        <xdr:cNvPr id="146" name="Group 75"/>
        <xdr:cNvGrpSpPr>
          <a:grpSpLocks/>
        </xdr:cNvGrpSpPr>
      </xdr:nvGrpSpPr>
      <xdr:grpSpPr bwMode="auto">
        <a:xfrm>
          <a:off x="6083788" y="578809"/>
          <a:ext cx="889341" cy="1859417"/>
          <a:chOff x="11" y="1034"/>
          <a:chExt cx="60" cy="119"/>
        </a:xfrm>
      </xdr:grpSpPr>
      <xdr:grpSp>
        <xdr:nvGrpSpPr>
          <xdr:cNvPr id="147" name="Group 27"/>
          <xdr:cNvGrpSpPr>
            <a:grpSpLocks/>
          </xdr:cNvGrpSpPr>
        </xdr:nvGrpSpPr>
        <xdr:grpSpPr bwMode="auto">
          <a:xfrm>
            <a:off x="11" y="1034"/>
            <a:ext cx="60" cy="119"/>
            <a:chOff x="11" y="1034"/>
            <a:chExt cx="60" cy="119"/>
          </a:xfrm>
        </xdr:grpSpPr>
        <xdr:sp macro="" textlink="">
          <xdr:nvSpPr>
            <xdr:cNvPr id="149" name="Rectangle 22"/>
            <xdr:cNvSpPr>
              <a:spLocks noChangeArrowheads="1"/>
            </xdr:cNvSpPr>
          </xdr:nvSpPr>
          <xdr:spPr bwMode="auto">
            <a:xfrm>
              <a:off x="11" y="1034"/>
              <a:ext cx="60" cy="119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50" name="Rectangle 23"/>
            <xdr:cNvSpPr>
              <a:spLocks noChangeArrowheads="1"/>
            </xdr:cNvSpPr>
          </xdr:nvSpPr>
          <xdr:spPr bwMode="auto">
            <a:xfrm>
              <a:off x="18" y="1040"/>
              <a:ext cx="11" cy="83"/>
            </a:xfrm>
            <a:prstGeom prst="rect">
              <a:avLst/>
            </a:prstGeom>
            <a:solidFill>
              <a:schemeClr val="accent2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51" name="Rectangle 24"/>
            <xdr:cNvSpPr>
              <a:spLocks noChangeArrowheads="1"/>
            </xdr:cNvSpPr>
          </xdr:nvSpPr>
          <xdr:spPr bwMode="auto">
            <a:xfrm>
              <a:off x="36" y="1040"/>
              <a:ext cx="11" cy="83"/>
            </a:xfrm>
            <a:prstGeom prst="rect">
              <a:avLst/>
            </a:prstGeom>
            <a:solidFill>
              <a:schemeClr val="accent2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52" name="Rectangle 25"/>
            <xdr:cNvSpPr>
              <a:spLocks noChangeArrowheads="1"/>
            </xdr:cNvSpPr>
          </xdr:nvSpPr>
          <xdr:spPr bwMode="auto">
            <a:xfrm>
              <a:off x="54" y="1040"/>
              <a:ext cx="11" cy="83"/>
            </a:xfrm>
            <a:prstGeom prst="rect">
              <a:avLst/>
            </a:prstGeom>
            <a:solidFill>
              <a:schemeClr val="accent2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53" name="Line 26"/>
            <xdr:cNvSpPr>
              <a:spLocks noChangeShapeType="1"/>
            </xdr:cNvSpPr>
          </xdr:nvSpPr>
          <xdr:spPr bwMode="auto">
            <a:xfrm>
              <a:off x="56" y="1093"/>
              <a:ext cx="15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148" name="Rectangle 70"/>
          <xdr:cNvSpPr>
            <a:spLocks noChangeArrowheads="1"/>
          </xdr:cNvSpPr>
        </xdr:nvSpPr>
        <xdr:spPr bwMode="auto">
          <a:xfrm>
            <a:off x="18" y="1128"/>
            <a:ext cx="47" cy="19"/>
          </a:xfrm>
          <a:prstGeom prst="rect">
            <a:avLst/>
          </a:prstGeom>
          <a:solidFill>
            <a:srgbClr val="FFFFFF"/>
          </a:solidFill>
          <a:ln w="9525">
            <a:solidFill>
              <a:srgbClr val="C0C0C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35</xdr:col>
      <xdr:colOff>138339</xdr:colOff>
      <xdr:row>18</xdr:row>
      <xdr:rowOff>23747</xdr:rowOff>
    </xdr:from>
    <xdr:to>
      <xdr:col>35</xdr:col>
      <xdr:colOff>966339</xdr:colOff>
      <xdr:row>27</xdr:row>
      <xdr:rowOff>132581</xdr:rowOff>
    </xdr:to>
    <xdr:grpSp>
      <xdr:nvGrpSpPr>
        <xdr:cNvPr id="154" name="Group 74"/>
        <xdr:cNvGrpSpPr>
          <a:grpSpLocks/>
        </xdr:cNvGrpSpPr>
      </xdr:nvGrpSpPr>
      <xdr:grpSpPr bwMode="auto">
        <a:xfrm>
          <a:off x="477435" y="3551432"/>
          <a:ext cx="888198" cy="1849346"/>
          <a:chOff x="256" y="1033"/>
          <a:chExt cx="60" cy="119"/>
        </a:xfrm>
      </xdr:grpSpPr>
      <xdr:grpSp>
        <xdr:nvGrpSpPr>
          <xdr:cNvPr id="155" name="Group 54"/>
          <xdr:cNvGrpSpPr>
            <a:grpSpLocks/>
          </xdr:cNvGrpSpPr>
        </xdr:nvGrpSpPr>
        <xdr:grpSpPr bwMode="auto">
          <a:xfrm>
            <a:off x="256" y="1033"/>
            <a:ext cx="60" cy="119"/>
            <a:chOff x="256" y="1033"/>
            <a:chExt cx="60" cy="119"/>
          </a:xfrm>
        </xdr:grpSpPr>
        <xdr:sp macro="" textlink="">
          <xdr:nvSpPr>
            <xdr:cNvPr id="157" name="Rectangle 29"/>
            <xdr:cNvSpPr>
              <a:spLocks noChangeArrowheads="1"/>
            </xdr:cNvSpPr>
          </xdr:nvSpPr>
          <xdr:spPr bwMode="auto">
            <a:xfrm>
              <a:off x="256" y="1033"/>
              <a:ext cx="60" cy="119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58" name="Rectangle 30"/>
            <xdr:cNvSpPr>
              <a:spLocks noChangeArrowheads="1"/>
            </xdr:cNvSpPr>
          </xdr:nvSpPr>
          <xdr:spPr bwMode="auto">
            <a:xfrm>
              <a:off x="264" y="1039"/>
              <a:ext cx="11" cy="52"/>
            </a:xfrm>
            <a:prstGeom prst="rect">
              <a:avLst/>
            </a:prstGeom>
            <a:solidFill>
              <a:schemeClr val="accent2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59" name="Rectangle 31"/>
            <xdr:cNvSpPr>
              <a:spLocks noChangeArrowheads="1"/>
            </xdr:cNvSpPr>
          </xdr:nvSpPr>
          <xdr:spPr bwMode="auto">
            <a:xfrm>
              <a:off x="281" y="1039"/>
              <a:ext cx="11" cy="52"/>
            </a:xfrm>
            <a:prstGeom prst="rect">
              <a:avLst/>
            </a:prstGeom>
            <a:solidFill>
              <a:schemeClr val="accent2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60" name="Rectangle 32"/>
            <xdr:cNvSpPr>
              <a:spLocks noChangeArrowheads="1"/>
            </xdr:cNvSpPr>
          </xdr:nvSpPr>
          <xdr:spPr bwMode="auto">
            <a:xfrm>
              <a:off x="299" y="1039"/>
              <a:ext cx="10" cy="52"/>
            </a:xfrm>
            <a:prstGeom prst="rect">
              <a:avLst/>
            </a:prstGeom>
            <a:solidFill>
              <a:schemeClr val="accent2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61" name="Line 33"/>
            <xdr:cNvSpPr>
              <a:spLocks noChangeShapeType="1"/>
            </xdr:cNvSpPr>
          </xdr:nvSpPr>
          <xdr:spPr bwMode="auto">
            <a:xfrm>
              <a:off x="301" y="1091"/>
              <a:ext cx="15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156" name="Rectangle 71"/>
          <xdr:cNvSpPr>
            <a:spLocks noChangeArrowheads="1"/>
          </xdr:cNvSpPr>
        </xdr:nvSpPr>
        <xdr:spPr bwMode="auto">
          <a:xfrm>
            <a:off x="263" y="1097"/>
            <a:ext cx="46" cy="49"/>
          </a:xfrm>
          <a:prstGeom prst="rect">
            <a:avLst/>
          </a:prstGeom>
          <a:solidFill>
            <a:srgbClr val="FFFFFF"/>
          </a:solidFill>
          <a:ln w="9525">
            <a:solidFill>
              <a:srgbClr val="C0C0C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39</xdr:col>
      <xdr:colOff>126946</xdr:colOff>
      <xdr:row>18</xdr:row>
      <xdr:rowOff>21167</xdr:rowOff>
    </xdr:from>
    <xdr:to>
      <xdr:col>39</xdr:col>
      <xdr:colOff>1026583</xdr:colOff>
      <xdr:row>27</xdr:row>
      <xdr:rowOff>143546</xdr:rowOff>
    </xdr:to>
    <xdr:grpSp>
      <xdr:nvGrpSpPr>
        <xdr:cNvPr id="162" name="Group 78"/>
        <xdr:cNvGrpSpPr>
          <a:grpSpLocks/>
        </xdr:cNvGrpSpPr>
      </xdr:nvGrpSpPr>
      <xdr:grpSpPr bwMode="auto">
        <a:xfrm>
          <a:off x="3390353" y="3548852"/>
          <a:ext cx="936594" cy="1862510"/>
          <a:chOff x="846" y="1033"/>
          <a:chExt cx="60" cy="119"/>
        </a:xfrm>
      </xdr:grpSpPr>
      <xdr:grpSp>
        <xdr:nvGrpSpPr>
          <xdr:cNvPr id="163" name="Group 55"/>
          <xdr:cNvGrpSpPr>
            <a:grpSpLocks/>
          </xdr:cNvGrpSpPr>
        </xdr:nvGrpSpPr>
        <xdr:grpSpPr bwMode="auto">
          <a:xfrm>
            <a:off x="846" y="1033"/>
            <a:ext cx="60" cy="119"/>
            <a:chOff x="846" y="1033"/>
            <a:chExt cx="60" cy="119"/>
          </a:xfrm>
        </xdr:grpSpPr>
        <xdr:sp macro="" textlink="">
          <xdr:nvSpPr>
            <xdr:cNvPr id="165" name="Rectangle 49"/>
            <xdr:cNvSpPr>
              <a:spLocks noChangeArrowheads="1"/>
            </xdr:cNvSpPr>
          </xdr:nvSpPr>
          <xdr:spPr bwMode="auto">
            <a:xfrm>
              <a:off x="846" y="1033"/>
              <a:ext cx="60" cy="119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66" name="Rectangle 53"/>
            <xdr:cNvSpPr>
              <a:spLocks noChangeArrowheads="1"/>
            </xdr:cNvSpPr>
          </xdr:nvSpPr>
          <xdr:spPr bwMode="auto">
            <a:xfrm>
              <a:off x="852" y="1077"/>
              <a:ext cx="48" cy="15"/>
            </a:xfrm>
            <a:prstGeom prst="rect">
              <a:avLst/>
            </a:prstGeom>
            <a:solidFill>
              <a:schemeClr val="accent2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67" name="Rectangle 50"/>
            <xdr:cNvSpPr>
              <a:spLocks noChangeArrowheads="1"/>
            </xdr:cNvSpPr>
          </xdr:nvSpPr>
          <xdr:spPr bwMode="auto">
            <a:xfrm>
              <a:off x="852" y="1039"/>
              <a:ext cx="48" cy="14"/>
            </a:xfrm>
            <a:prstGeom prst="rect">
              <a:avLst/>
            </a:prstGeom>
            <a:solidFill>
              <a:schemeClr val="accent2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68" name="Line 51"/>
            <xdr:cNvSpPr>
              <a:spLocks noChangeShapeType="1"/>
            </xdr:cNvSpPr>
          </xdr:nvSpPr>
          <xdr:spPr bwMode="auto">
            <a:xfrm flipV="1">
              <a:off x="891" y="1093"/>
              <a:ext cx="14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69" name="Rectangle 52"/>
            <xdr:cNvSpPr>
              <a:spLocks noChangeArrowheads="1"/>
            </xdr:cNvSpPr>
          </xdr:nvSpPr>
          <xdr:spPr bwMode="auto">
            <a:xfrm>
              <a:off x="852" y="1058"/>
              <a:ext cx="48" cy="14"/>
            </a:xfrm>
            <a:prstGeom prst="rect">
              <a:avLst/>
            </a:prstGeom>
            <a:solidFill>
              <a:schemeClr val="accent2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164" name="Rectangle 77"/>
          <xdr:cNvSpPr>
            <a:spLocks noChangeArrowheads="1"/>
          </xdr:cNvSpPr>
        </xdr:nvSpPr>
        <xdr:spPr bwMode="auto">
          <a:xfrm>
            <a:off x="853" y="1097"/>
            <a:ext cx="46" cy="49"/>
          </a:xfrm>
          <a:prstGeom prst="rect">
            <a:avLst/>
          </a:prstGeom>
          <a:solidFill>
            <a:srgbClr val="FFFFFF"/>
          </a:solidFill>
          <a:ln w="9525">
            <a:solidFill>
              <a:srgbClr val="C0C0C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35</xdr:col>
      <xdr:colOff>111302</xdr:colOff>
      <xdr:row>33</xdr:row>
      <xdr:rowOff>35386</xdr:rowOff>
    </xdr:from>
    <xdr:to>
      <xdr:col>35</xdr:col>
      <xdr:colOff>939302</xdr:colOff>
      <xdr:row>42</xdr:row>
      <xdr:rowOff>144220</xdr:rowOff>
    </xdr:to>
    <xdr:grpSp>
      <xdr:nvGrpSpPr>
        <xdr:cNvPr id="170" name="Group 89"/>
        <xdr:cNvGrpSpPr>
          <a:grpSpLocks/>
        </xdr:cNvGrpSpPr>
      </xdr:nvGrpSpPr>
      <xdr:grpSpPr bwMode="auto">
        <a:xfrm>
          <a:off x="448493" y="6475991"/>
          <a:ext cx="889341" cy="1839394"/>
          <a:chOff x="530" y="1204"/>
          <a:chExt cx="60" cy="119"/>
        </a:xfrm>
      </xdr:grpSpPr>
      <xdr:sp macro="" textlink="">
        <xdr:nvSpPr>
          <xdr:cNvPr id="171" name="Rectangle 79"/>
          <xdr:cNvSpPr>
            <a:spLocks noChangeArrowheads="1"/>
          </xdr:cNvSpPr>
        </xdr:nvSpPr>
        <xdr:spPr bwMode="auto">
          <a:xfrm>
            <a:off x="530" y="1204"/>
            <a:ext cx="60" cy="11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72" name="Rectangle 80"/>
          <xdr:cNvSpPr>
            <a:spLocks noChangeArrowheads="1"/>
          </xdr:cNvSpPr>
        </xdr:nvSpPr>
        <xdr:spPr bwMode="auto">
          <a:xfrm>
            <a:off x="536" y="1240"/>
            <a:ext cx="48" cy="77"/>
          </a:xfrm>
          <a:prstGeom prst="rect">
            <a:avLst/>
          </a:prstGeom>
          <a:solidFill>
            <a:srgbClr val="FFFFFF"/>
          </a:solidFill>
          <a:ln w="9525">
            <a:solidFill>
              <a:srgbClr val="C0C0C0"/>
            </a:solidFill>
            <a:miter lim="800000"/>
            <a:headEnd/>
            <a:tailEnd/>
          </a:ln>
        </xdr:spPr>
      </xdr:sp>
      <xdr:sp macro="" textlink="">
        <xdr:nvSpPr>
          <xdr:cNvPr id="173" name="Rectangle 81"/>
          <xdr:cNvSpPr>
            <a:spLocks noChangeArrowheads="1"/>
          </xdr:cNvSpPr>
        </xdr:nvSpPr>
        <xdr:spPr bwMode="auto">
          <a:xfrm>
            <a:off x="536" y="1224"/>
            <a:ext cx="48" cy="11"/>
          </a:xfrm>
          <a:prstGeom prst="rect">
            <a:avLst/>
          </a:prstGeom>
          <a:solidFill>
            <a:schemeClr val="accent2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74" name="Line 82"/>
          <xdr:cNvSpPr>
            <a:spLocks noChangeShapeType="1"/>
          </xdr:cNvSpPr>
        </xdr:nvSpPr>
        <xdr:spPr bwMode="auto">
          <a:xfrm flipV="1">
            <a:off x="574" y="1264"/>
            <a:ext cx="15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75" name="Rectangle 88"/>
          <xdr:cNvSpPr>
            <a:spLocks noChangeArrowheads="1"/>
          </xdr:cNvSpPr>
        </xdr:nvSpPr>
        <xdr:spPr bwMode="auto">
          <a:xfrm>
            <a:off x="536" y="1209"/>
            <a:ext cx="48" cy="10"/>
          </a:xfrm>
          <a:prstGeom prst="rect">
            <a:avLst/>
          </a:prstGeom>
          <a:solidFill>
            <a:srgbClr val="FFFFFF"/>
          </a:solidFill>
          <a:ln w="9525">
            <a:solidFill>
              <a:srgbClr val="C0C0C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37</xdr:col>
      <xdr:colOff>122175</xdr:colOff>
      <xdr:row>33</xdr:row>
      <xdr:rowOff>30680</xdr:rowOff>
    </xdr:from>
    <xdr:to>
      <xdr:col>37</xdr:col>
      <xdr:colOff>950175</xdr:colOff>
      <xdr:row>42</xdr:row>
      <xdr:rowOff>139514</xdr:rowOff>
    </xdr:to>
    <xdr:grpSp>
      <xdr:nvGrpSpPr>
        <xdr:cNvPr id="176" name="Group 98"/>
        <xdr:cNvGrpSpPr>
          <a:grpSpLocks/>
        </xdr:cNvGrpSpPr>
      </xdr:nvGrpSpPr>
      <xdr:grpSpPr bwMode="auto">
        <a:xfrm>
          <a:off x="1954572" y="6471666"/>
          <a:ext cx="889341" cy="1839013"/>
          <a:chOff x="845" y="1203"/>
          <a:chExt cx="60" cy="119"/>
        </a:xfrm>
      </xdr:grpSpPr>
      <xdr:sp macro="" textlink="">
        <xdr:nvSpPr>
          <xdr:cNvPr id="177" name="Rectangle 92"/>
          <xdr:cNvSpPr>
            <a:spLocks noChangeArrowheads="1"/>
          </xdr:cNvSpPr>
        </xdr:nvSpPr>
        <xdr:spPr bwMode="auto">
          <a:xfrm>
            <a:off x="845" y="1203"/>
            <a:ext cx="60" cy="11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78" name="Rectangle 95"/>
          <xdr:cNvSpPr>
            <a:spLocks noChangeArrowheads="1"/>
          </xdr:cNvSpPr>
        </xdr:nvSpPr>
        <xdr:spPr bwMode="auto">
          <a:xfrm>
            <a:off x="852" y="1209"/>
            <a:ext cx="46" cy="52"/>
          </a:xfrm>
          <a:prstGeom prst="rect">
            <a:avLst/>
          </a:prstGeom>
          <a:solidFill>
            <a:schemeClr val="accent2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79" name="Line 96"/>
          <xdr:cNvSpPr>
            <a:spLocks noChangeShapeType="1"/>
          </xdr:cNvSpPr>
        </xdr:nvSpPr>
        <xdr:spPr bwMode="auto">
          <a:xfrm>
            <a:off x="890" y="1264"/>
            <a:ext cx="15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80" name="Rectangle 97"/>
          <xdr:cNvSpPr>
            <a:spLocks noChangeArrowheads="1"/>
          </xdr:cNvSpPr>
        </xdr:nvSpPr>
        <xdr:spPr bwMode="auto">
          <a:xfrm>
            <a:off x="852" y="1267"/>
            <a:ext cx="46" cy="49"/>
          </a:xfrm>
          <a:prstGeom prst="rect">
            <a:avLst/>
          </a:prstGeom>
          <a:solidFill>
            <a:srgbClr val="FFFFFF"/>
          </a:solidFill>
          <a:ln w="9525">
            <a:solidFill>
              <a:srgbClr val="C0C0C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39</xdr:col>
      <xdr:colOff>114559</xdr:colOff>
      <xdr:row>33</xdr:row>
      <xdr:rowOff>31750</xdr:rowOff>
    </xdr:from>
    <xdr:to>
      <xdr:col>39</xdr:col>
      <xdr:colOff>1005416</xdr:colOff>
      <xdr:row>42</xdr:row>
      <xdr:rowOff>154968</xdr:rowOff>
    </xdr:to>
    <xdr:grpSp>
      <xdr:nvGrpSpPr>
        <xdr:cNvPr id="183" name="Group 149"/>
        <xdr:cNvGrpSpPr>
          <a:grpSpLocks/>
        </xdr:cNvGrpSpPr>
      </xdr:nvGrpSpPr>
      <xdr:grpSpPr bwMode="auto">
        <a:xfrm>
          <a:off x="3378347" y="6472736"/>
          <a:ext cx="946483" cy="1853016"/>
          <a:chOff x="11" y="1373"/>
          <a:chExt cx="60" cy="119"/>
        </a:xfrm>
      </xdr:grpSpPr>
      <xdr:sp macro="" textlink="">
        <xdr:nvSpPr>
          <xdr:cNvPr id="184" name="Rectangle 132"/>
          <xdr:cNvSpPr>
            <a:spLocks noChangeArrowheads="1"/>
          </xdr:cNvSpPr>
        </xdr:nvSpPr>
        <xdr:spPr bwMode="auto">
          <a:xfrm>
            <a:off x="11" y="1373"/>
            <a:ext cx="60" cy="11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85" name="Line 135"/>
          <xdr:cNvSpPr>
            <a:spLocks noChangeShapeType="1"/>
          </xdr:cNvSpPr>
        </xdr:nvSpPr>
        <xdr:spPr bwMode="auto">
          <a:xfrm flipV="1">
            <a:off x="55" y="1434"/>
            <a:ext cx="15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86" name="Rectangle 143"/>
          <xdr:cNvSpPr>
            <a:spLocks noChangeArrowheads="1"/>
          </xdr:cNvSpPr>
        </xdr:nvSpPr>
        <xdr:spPr bwMode="auto">
          <a:xfrm>
            <a:off x="17" y="1378"/>
            <a:ext cx="48" cy="21"/>
          </a:xfrm>
          <a:prstGeom prst="rect">
            <a:avLst/>
          </a:prstGeom>
          <a:solidFill>
            <a:schemeClr val="accent2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87" name="Rectangle 144"/>
          <xdr:cNvSpPr>
            <a:spLocks noChangeArrowheads="1"/>
          </xdr:cNvSpPr>
        </xdr:nvSpPr>
        <xdr:spPr bwMode="auto">
          <a:xfrm>
            <a:off x="17" y="1407"/>
            <a:ext cx="48" cy="22"/>
          </a:xfrm>
          <a:prstGeom prst="rect">
            <a:avLst/>
          </a:prstGeom>
          <a:solidFill>
            <a:schemeClr val="accent2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88" name="Rectangle 145"/>
          <xdr:cNvSpPr>
            <a:spLocks noChangeArrowheads="1"/>
          </xdr:cNvSpPr>
        </xdr:nvSpPr>
        <xdr:spPr bwMode="auto">
          <a:xfrm>
            <a:off x="17" y="1437"/>
            <a:ext cx="48" cy="21"/>
          </a:xfrm>
          <a:prstGeom prst="rect">
            <a:avLst/>
          </a:prstGeom>
          <a:solidFill>
            <a:schemeClr val="accent2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89" name="Rectangle 146"/>
          <xdr:cNvSpPr>
            <a:spLocks noChangeArrowheads="1"/>
          </xdr:cNvSpPr>
        </xdr:nvSpPr>
        <xdr:spPr bwMode="auto">
          <a:xfrm>
            <a:off x="17" y="1465"/>
            <a:ext cx="48" cy="21"/>
          </a:xfrm>
          <a:prstGeom prst="rect">
            <a:avLst/>
          </a:prstGeom>
          <a:solidFill>
            <a:schemeClr val="accent2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35</xdr:col>
      <xdr:colOff>177892</xdr:colOff>
      <xdr:row>48</xdr:row>
      <xdr:rowOff>21109</xdr:rowOff>
    </xdr:from>
    <xdr:to>
      <xdr:col>35</xdr:col>
      <xdr:colOff>1005892</xdr:colOff>
      <xdr:row>57</xdr:row>
      <xdr:rowOff>172276</xdr:rowOff>
    </xdr:to>
    <xdr:grpSp>
      <xdr:nvGrpSpPr>
        <xdr:cNvPr id="190" name="171 Grupo"/>
        <xdr:cNvGrpSpPr>
          <a:grpSpLocks/>
        </xdr:cNvGrpSpPr>
      </xdr:nvGrpSpPr>
      <xdr:grpSpPr bwMode="auto">
        <a:xfrm>
          <a:off x="520036" y="9316747"/>
          <a:ext cx="889341" cy="1838493"/>
          <a:chOff x="469900" y="8245475"/>
          <a:chExt cx="1028700" cy="2260600"/>
        </a:xfrm>
      </xdr:grpSpPr>
      <xdr:sp macro="" textlink="">
        <xdr:nvSpPr>
          <xdr:cNvPr id="191" name="Rectangle 248"/>
          <xdr:cNvSpPr>
            <a:spLocks noChangeArrowheads="1"/>
          </xdr:cNvSpPr>
        </xdr:nvSpPr>
        <xdr:spPr bwMode="auto">
          <a:xfrm>
            <a:off x="469900" y="8245475"/>
            <a:ext cx="1028700" cy="22606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92" name="Rectangle 249"/>
          <xdr:cNvSpPr>
            <a:spLocks noChangeArrowheads="1"/>
          </xdr:cNvSpPr>
        </xdr:nvSpPr>
        <xdr:spPr bwMode="auto">
          <a:xfrm>
            <a:off x="1019175" y="8915400"/>
            <a:ext cx="381000" cy="438150"/>
          </a:xfrm>
          <a:prstGeom prst="rect">
            <a:avLst/>
          </a:prstGeom>
          <a:solidFill>
            <a:schemeClr val="accent2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93" name="Line 251"/>
          <xdr:cNvSpPr>
            <a:spLocks noChangeShapeType="1"/>
          </xdr:cNvSpPr>
        </xdr:nvSpPr>
        <xdr:spPr bwMode="auto">
          <a:xfrm>
            <a:off x="1228725" y="9407072"/>
            <a:ext cx="266700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4" name="Rectangle 252"/>
          <xdr:cNvSpPr>
            <a:spLocks noChangeArrowheads="1"/>
          </xdr:cNvSpPr>
        </xdr:nvSpPr>
        <xdr:spPr bwMode="auto">
          <a:xfrm>
            <a:off x="571500" y="8343900"/>
            <a:ext cx="381000" cy="482600"/>
          </a:xfrm>
          <a:prstGeom prst="rect">
            <a:avLst/>
          </a:prstGeom>
          <a:solidFill>
            <a:schemeClr val="accent2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95" name="Rectangle 254"/>
          <xdr:cNvSpPr>
            <a:spLocks noChangeArrowheads="1"/>
          </xdr:cNvSpPr>
        </xdr:nvSpPr>
        <xdr:spPr bwMode="auto">
          <a:xfrm>
            <a:off x="1019175" y="8343900"/>
            <a:ext cx="371475" cy="482600"/>
          </a:xfrm>
          <a:prstGeom prst="rect">
            <a:avLst/>
          </a:prstGeom>
          <a:solidFill>
            <a:schemeClr val="accent2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96" name="Rectangle 258"/>
          <xdr:cNvSpPr>
            <a:spLocks noChangeArrowheads="1"/>
          </xdr:cNvSpPr>
        </xdr:nvSpPr>
        <xdr:spPr bwMode="auto">
          <a:xfrm>
            <a:off x="561975" y="8915400"/>
            <a:ext cx="390525" cy="438150"/>
          </a:xfrm>
          <a:prstGeom prst="rect">
            <a:avLst/>
          </a:prstGeom>
          <a:solidFill>
            <a:schemeClr val="accent2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97" name="Rectangle 265"/>
          <xdr:cNvSpPr>
            <a:spLocks noChangeArrowheads="1"/>
          </xdr:cNvSpPr>
        </xdr:nvSpPr>
        <xdr:spPr bwMode="auto">
          <a:xfrm>
            <a:off x="561975" y="9448800"/>
            <a:ext cx="847725" cy="971550"/>
          </a:xfrm>
          <a:prstGeom prst="rect">
            <a:avLst/>
          </a:prstGeom>
          <a:solidFill>
            <a:srgbClr val="FFFFFF"/>
          </a:solidFill>
          <a:ln w="9525">
            <a:solidFill>
              <a:srgbClr val="C0C0C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43</xdr:col>
      <xdr:colOff>99647</xdr:colOff>
      <xdr:row>37</xdr:row>
      <xdr:rowOff>183173</xdr:rowOff>
    </xdr:from>
    <xdr:to>
      <xdr:col>43</xdr:col>
      <xdr:colOff>674077</xdr:colOff>
      <xdr:row>38</xdr:row>
      <xdr:rowOff>34435</xdr:rowOff>
    </xdr:to>
    <xdr:sp macro="" textlink="">
      <xdr:nvSpPr>
        <xdr:cNvPr id="198" name="Rectangle 225"/>
        <xdr:cNvSpPr>
          <a:spLocks noChangeArrowheads="1"/>
        </xdr:cNvSpPr>
      </xdr:nvSpPr>
      <xdr:spPr bwMode="auto">
        <a:xfrm>
          <a:off x="31570247" y="6307748"/>
          <a:ext cx="574430" cy="51287"/>
        </a:xfrm>
        <a:prstGeom prst="rect">
          <a:avLst/>
        </a:prstGeom>
        <a:solidFill>
          <a:srgbClr val="FFFFFF"/>
        </a:solidFill>
        <a:ln w="9525">
          <a:solidFill>
            <a:srgbClr val="C0C0C0"/>
          </a:solidFill>
          <a:miter lim="800000"/>
          <a:headEnd/>
          <a:tailEnd/>
        </a:ln>
      </xdr:spPr>
    </xdr:sp>
    <xdr:clientData/>
  </xdr:twoCellAnchor>
  <xdr:twoCellAnchor>
    <xdr:from>
      <xdr:col>43</xdr:col>
      <xdr:colOff>99647</xdr:colOff>
      <xdr:row>37</xdr:row>
      <xdr:rowOff>183173</xdr:rowOff>
    </xdr:from>
    <xdr:to>
      <xdr:col>43</xdr:col>
      <xdr:colOff>674077</xdr:colOff>
      <xdr:row>38</xdr:row>
      <xdr:rowOff>34435</xdr:rowOff>
    </xdr:to>
    <xdr:sp macro="" textlink="">
      <xdr:nvSpPr>
        <xdr:cNvPr id="203" name="Rectangle 225"/>
        <xdr:cNvSpPr>
          <a:spLocks noChangeArrowheads="1"/>
        </xdr:cNvSpPr>
      </xdr:nvSpPr>
      <xdr:spPr bwMode="auto">
        <a:xfrm>
          <a:off x="31570247" y="6307748"/>
          <a:ext cx="574430" cy="51287"/>
        </a:xfrm>
        <a:prstGeom prst="rect">
          <a:avLst/>
        </a:prstGeom>
        <a:solidFill>
          <a:srgbClr val="FFFFFF"/>
        </a:solidFill>
        <a:ln w="9525">
          <a:solidFill>
            <a:srgbClr val="C0C0C0"/>
          </a:solidFill>
          <a:miter lim="800000"/>
          <a:headEnd/>
          <a:tailEnd/>
        </a:ln>
      </xdr:spPr>
    </xdr:sp>
    <xdr:clientData/>
  </xdr:twoCellAnchor>
  <xdr:twoCellAnchor>
    <xdr:from>
      <xdr:col>43</xdr:col>
      <xdr:colOff>99647</xdr:colOff>
      <xdr:row>37</xdr:row>
      <xdr:rowOff>183173</xdr:rowOff>
    </xdr:from>
    <xdr:to>
      <xdr:col>43</xdr:col>
      <xdr:colOff>674077</xdr:colOff>
      <xdr:row>38</xdr:row>
      <xdr:rowOff>34435</xdr:rowOff>
    </xdr:to>
    <xdr:sp macro="" textlink="">
      <xdr:nvSpPr>
        <xdr:cNvPr id="204" name="Rectangle 225"/>
        <xdr:cNvSpPr>
          <a:spLocks noChangeArrowheads="1"/>
        </xdr:cNvSpPr>
      </xdr:nvSpPr>
      <xdr:spPr bwMode="auto">
        <a:xfrm>
          <a:off x="31570247" y="6307748"/>
          <a:ext cx="574430" cy="51287"/>
        </a:xfrm>
        <a:prstGeom prst="rect">
          <a:avLst/>
        </a:prstGeom>
        <a:solidFill>
          <a:srgbClr val="FFFFFF"/>
        </a:solidFill>
        <a:ln w="9525">
          <a:solidFill>
            <a:srgbClr val="C0C0C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112498</xdr:colOff>
      <xdr:row>48</xdr:row>
      <xdr:rowOff>28422</xdr:rowOff>
    </xdr:from>
    <xdr:to>
      <xdr:col>37</xdr:col>
      <xdr:colOff>940498</xdr:colOff>
      <xdr:row>57</xdr:row>
      <xdr:rowOff>179589</xdr:rowOff>
    </xdr:to>
    <xdr:grpSp>
      <xdr:nvGrpSpPr>
        <xdr:cNvPr id="209" name="171 Grupo"/>
        <xdr:cNvGrpSpPr>
          <a:grpSpLocks/>
        </xdr:cNvGrpSpPr>
      </xdr:nvGrpSpPr>
      <xdr:grpSpPr bwMode="auto">
        <a:xfrm>
          <a:off x="1945276" y="9323679"/>
          <a:ext cx="889341" cy="1838493"/>
          <a:chOff x="469900" y="8245475"/>
          <a:chExt cx="1028700" cy="2260600"/>
        </a:xfrm>
      </xdr:grpSpPr>
      <xdr:sp macro="" textlink="">
        <xdr:nvSpPr>
          <xdr:cNvPr id="210" name="Rectangle 248"/>
          <xdr:cNvSpPr>
            <a:spLocks noChangeArrowheads="1"/>
          </xdr:cNvSpPr>
        </xdr:nvSpPr>
        <xdr:spPr bwMode="auto">
          <a:xfrm>
            <a:off x="469900" y="8245475"/>
            <a:ext cx="1028700" cy="22606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11" name="Rectangle 249"/>
          <xdr:cNvSpPr>
            <a:spLocks noChangeArrowheads="1"/>
          </xdr:cNvSpPr>
        </xdr:nvSpPr>
        <xdr:spPr bwMode="auto">
          <a:xfrm>
            <a:off x="1012835" y="8669460"/>
            <a:ext cx="381000" cy="275340"/>
          </a:xfrm>
          <a:prstGeom prst="rect">
            <a:avLst/>
          </a:prstGeom>
          <a:solidFill>
            <a:schemeClr val="accent2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12" name="Rectangle 252"/>
          <xdr:cNvSpPr>
            <a:spLocks noChangeArrowheads="1"/>
          </xdr:cNvSpPr>
        </xdr:nvSpPr>
        <xdr:spPr bwMode="auto">
          <a:xfrm>
            <a:off x="571500" y="8343900"/>
            <a:ext cx="381000" cy="275340"/>
          </a:xfrm>
          <a:prstGeom prst="rect">
            <a:avLst/>
          </a:prstGeom>
          <a:solidFill>
            <a:schemeClr val="accent2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13" name="Rectangle 254"/>
          <xdr:cNvSpPr>
            <a:spLocks noChangeArrowheads="1"/>
          </xdr:cNvSpPr>
        </xdr:nvSpPr>
        <xdr:spPr bwMode="auto">
          <a:xfrm>
            <a:off x="1019174" y="8343900"/>
            <a:ext cx="371475" cy="275340"/>
          </a:xfrm>
          <a:prstGeom prst="rect">
            <a:avLst/>
          </a:prstGeom>
          <a:solidFill>
            <a:schemeClr val="accent2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14" name="Rectangle 258"/>
          <xdr:cNvSpPr>
            <a:spLocks noChangeArrowheads="1"/>
          </xdr:cNvSpPr>
        </xdr:nvSpPr>
        <xdr:spPr bwMode="auto">
          <a:xfrm>
            <a:off x="573809" y="8669459"/>
            <a:ext cx="390525" cy="275340"/>
          </a:xfrm>
          <a:prstGeom prst="rect">
            <a:avLst/>
          </a:prstGeom>
          <a:solidFill>
            <a:schemeClr val="accent2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15" name="Rectangle 265"/>
          <xdr:cNvSpPr>
            <a:spLocks noChangeArrowheads="1"/>
          </xdr:cNvSpPr>
        </xdr:nvSpPr>
        <xdr:spPr bwMode="auto">
          <a:xfrm>
            <a:off x="561974" y="9050942"/>
            <a:ext cx="847725" cy="1369407"/>
          </a:xfrm>
          <a:prstGeom prst="rect">
            <a:avLst/>
          </a:prstGeom>
          <a:solidFill>
            <a:srgbClr val="FFFFFF"/>
          </a:solidFill>
          <a:ln w="9525">
            <a:solidFill>
              <a:srgbClr val="C0C0C0"/>
            </a:solidFill>
            <a:miter lim="800000"/>
            <a:headEnd/>
            <a:tailEnd/>
          </a:ln>
        </xdr:spPr>
      </xdr:sp>
      <xdr:sp macro="" textlink="">
        <xdr:nvSpPr>
          <xdr:cNvPr id="216" name="Line 251"/>
          <xdr:cNvSpPr>
            <a:spLocks noChangeShapeType="1"/>
          </xdr:cNvSpPr>
        </xdr:nvSpPr>
        <xdr:spPr bwMode="auto">
          <a:xfrm>
            <a:off x="1228725" y="9407072"/>
            <a:ext cx="266700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43</xdr:col>
      <xdr:colOff>166607</xdr:colOff>
      <xdr:row>33</xdr:row>
      <xdr:rowOff>32178</xdr:rowOff>
    </xdr:from>
    <xdr:to>
      <xdr:col>43</xdr:col>
      <xdr:colOff>1025058</xdr:colOff>
      <xdr:row>42</xdr:row>
      <xdr:rowOff>141012</xdr:rowOff>
    </xdr:to>
    <xdr:grpSp>
      <xdr:nvGrpSpPr>
        <xdr:cNvPr id="6" name="Grupo 5"/>
        <xdr:cNvGrpSpPr/>
      </xdr:nvGrpSpPr>
      <xdr:grpSpPr>
        <a:xfrm>
          <a:off x="6114269" y="6473164"/>
          <a:ext cx="892360" cy="1839013"/>
          <a:chOff x="5225442" y="6689095"/>
          <a:chExt cx="858451" cy="1908000"/>
        </a:xfrm>
      </xdr:grpSpPr>
      <xdr:sp macro="" textlink="">
        <xdr:nvSpPr>
          <xdr:cNvPr id="205" name="Rectangle 151"/>
          <xdr:cNvSpPr>
            <a:spLocks noChangeArrowheads="1"/>
          </xdr:cNvSpPr>
        </xdr:nvSpPr>
        <xdr:spPr bwMode="auto">
          <a:xfrm>
            <a:off x="5225442" y="6689095"/>
            <a:ext cx="828000" cy="19080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6" name="Rectangle 225"/>
          <xdr:cNvSpPr>
            <a:spLocks noChangeArrowheads="1"/>
          </xdr:cNvSpPr>
        </xdr:nvSpPr>
        <xdr:spPr bwMode="auto">
          <a:xfrm>
            <a:off x="5297996" y="8181187"/>
            <a:ext cx="690053" cy="351096"/>
          </a:xfrm>
          <a:prstGeom prst="rect">
            <a:avLst/>
          </a:prstGeom>
          <a:solidFill>
            <a:srgbClr val="FFFFFF"/>
          </a:solidFill>
          <a:ln w="9525">
            <a:solidFill>
              <a:srgbClr val="C0C0C0"/>
            </a:solidFill>
            <a:miter lim="800000"/>
            <a:headEnd/>
            <a:tailEnd/>
          </a:ln>
        </xdr:spPr>
      </xdr:sp>
      <xdr:sp macro="" textlink="">
        <xdr:nvSpPr>
          <xdr:cNvPr id="218" name="Rectangle 230"/>
          <xdr:cNvSpPr>
            <a:spLocks noChangeArrowheads="1"/>
          </xdr:cNvSpPr>
        </xdr:nvSpPr>
        <xdr:spPr bwMode="auto">
          <a:xfrm>
            <a:off x="5327462" y="6772793"/>
            <a:ext cx="303034" cy="375190"/>
          </a:xfrm>
          <a:prstGeom prst="rect">
            <a:avLst/>
          </a:prstGeom>
          <a:solidFill>
            <a:schemeClr val="accent2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28" name="Rectangle 230"/>
          <xdr:cNvSpPr>
            <a:spLocks noChangeArrowheads="1"/>
          </xdr:cNvSpPr>
        </xdr:nvSpPr>
        <xdr:spPr bwMode="auto">
          <a:xfrm>
            <a:off x="5680946" y="6771735"/>
            <a:ext cx="303034" cy="375190"/>
          </a:xfrm>
          <a:prstGeom prst="rect">
            <a:avLst/>
          </a:prstGeom>
          <a:solidFill>
            <a:schemeClr val="accent2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29" name="Rectangle 230"/>
          <xdr:cNvSpPr>
            <a:spLocks noChangeArrowheads="1"/>
          </xdr:cNvSpPr>
        </xdr:nvSpPr>
        <xdr:spPr bwMode="auto">
          <a:xfrm>
            <a:off x="5318995" y="7218351"/>
            <a:ext cx="303034" cy="414349"/>
          </a:xfrm>
          <a:prstGeom prst="rect">
            <a:avLst/>
          </a:prstGeom>
          <a:solidFill>
            <a:schemeClr val="accent2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30" name="Rectangle 230"/>
          <xdr:cNvSpPr>
            <a:spLocks noChangeArrowheads="1"/>
          </xdr:cNvSpPr>
        </xdr:nvSpPr>
        <xdr:spPr bwMode="auto">
          <a:xfrm>
            <a:off x="5323228" y="7703608"/>
            <a:ext cx="303034" cy="393701"/>
          </a:xfrm>
          <a:prstGeom prst="rect">
            <a:avLst/>
          </a:prstGeom>
          <a:solidFill>
            <a:schemeClr val="accent2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31" name="Rectangle 230"/>
          <xdr:cNvSpPr>
            <a:spLocks noChangeArrowheads="1"/>
          </xdr:cNvSpPr>
        </xdr:nvSpPr>
        <xdr:spPr bwMode="auto">
          <a:xfrm>
            <a:off x="5678666" y="7232109"/>
            <a:ext cx="303034" cy="414349"/>
          </a:xfrm>
          <a:prstGeom prst="rect">
            <a:avLst/>
          </a:prstGeom>
          <a:solidFill>
            <a:schemeClr val="accent2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32" name="Rectangle 230"/>
          <xdr:cNvSpPr>
            <a:spLocks noChangeArrowheads="1"/>
          </xdr:cNvSpPr>
        </xdr:nvSpPr>
        <xdr:spPr bwMode="auto">
          <a:xfrm>
            <a:off x="5680864" y="7714708"/>
            <a:ext cx="303034" cy="382600"/>
          </a:xfrm>
          <a:prstGeom prst="rect">
            <a:avLst/>
          </a:prstGeom>
          <a:solidFill>
            <a:schemeClr val="accent2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33" name="Line 60"/>
          <xdr:cNvSpPr>
            <a:spLocks noChangeShapeType="1"/>
          </xdr:cNvSpPr>
        </xdr:nvSpPr>
        <xdr:spPr bwMode="auto">
          <a:xfrm>
            <a:off x="5915244" y="7628164"/>
            <a:ext cx="168649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41</xdr:col>
      <xdr:colOff>114300</xdr:colOff>
      <xdr:row>63</xdr:row>
      <xdr:rowOff>9525</xdr:rowOff>
    </xdr:from>
    <xdr:to>
      <xdr:col>41</xdr:col>
      <xdr:colOff>978300</xdr:colOff>
      <xdr:row>72</xdr:row>
      <xdr:rowOff>183975</xdr:rowOff>
    </xdr:to>
    <xdr:grpSp>
      <xdr:nvGrpSpPr>
        <xdr:cNvPr id="234" name="Group 297"/>
        <xdr:cNvGrpSpPr>
          <a:grpSpLocks/>
        </xdr:cNvGrpSpPr>
      </xdr:nvGrpSpPr>
      <xdr:grpSpPr bwMode="auto">
        <a:xfrm>
          <a:off x="4718691" y="12247639"/>
          <a:ext cx="928389" cy="1892011"/>
          <a:chOff x="250" y="1544"/>
          <a:chExt cx="65" cy="119"/>
        </a:xfrm>
      </xdr:grpSpPr>
      <xdr:sp macro="" textlink="">
        <xdr:nvSpPr>
          <xdr:cNvPr id="235" name="Rectangle 286"/>
          <xdr:cNvSpPr>
            <a:spLocks noChangeArrowheads="1"/>
          </xdr:cNvSpPr>
        </xdr:nvSpPr>
        <xdr:spPr bwMode="auto">
          <a:xfrm>
            <a:off x="255" y="1544"/>
            <a:ext cx="60" cy="11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36" name="Rectangle 290" descr="20%"/>
          <xdr:cNvSpPr>
            <a:spLocks noChangeArrowheads="1"/>
          </xdr:cNvSpPr>
        </xdr:nvSpPr>
        <xdr:spPr bwMode="auto">
          <a:xfrm>
            <a:off x="260" y="1603"/>
            <a:ext cx="50" cy="41"/>
          </a:xfrm>
          <a:prstGeom prst="rect">
            <a:avLst/>
          </a:prstGeom>
          <a:pattFill prst="pct20">
            <a:fgClr>
              <a:srgbClr val="969696"/>
            </a:fgClr>
            <a:bgClr>
              <a:srgbClr val="FFFFFF"/>
            </a:bgClr>
          </a:patt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37" name="Line 288"/>
          <xdr:cNvSpPr>
            <a:spLocks noChangeShapeType="1"/>
          </xdr:cNvSpPr>
        </xdr:nvSpPr>
        <xdr:spPr bwMode="auto">
          <a:xfrm>
            <a:off x="299" y="1603"/>
            <a:ext cx="15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8" name="Rectangle 289" descr="20%"/>
          <xdr:cNvSpPr>
            <a:spLocks noChangeArrowheads="1"/>
          </xdr:cNvSpPr>
        </xdr:nvSpPr>
        <xdr:spPr bwMode="auto">
          <a:xfrm>
            <a:off x="260" y="1548"/>
            <a:ext cx="50" cy="51"/>
          </a:xfrm>
          <a:prstGeom prst="rect">
            <a:avLst/>
          </a:prstGeom>
          <a:pattFill prst="pct20">
            <a:fgClr>
              <a:srgbClr val="969696"/>
            </a:fgClr>
            <a:bgClr>
              <a:srgbClr val="FFFFFF"/>
            </a:bgClr>
          </a:patt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39" name="Rectangle 291"/>
          <xdr:cNvSpPr>
            <a:spLocks noChangeArrowheads="1"/>
          </xdr:cNvSpPr>
        </xdr:nvSpPr>
        <xdr:spPr bwMode="auto">
          <a:xfrm>
            <a:off x="260" y="1647"/>
            <a:ext cx="50" cy="12"/>
          </a:xfrm>
          <a:prstGeom prst="rect">
            <a:avLst/>
          </a:prstGeom>
          <a:solidFill>
            <a:srgbClr val="FFFFFF"/>
          </a:solidFill>
          <a:ln w="9525">
            <a:solidFill>
              <a:srgbClr val="C0C0C0"/>
            </a:solidFill>
            <a:miter lim="800000"/>
            <a:headEnd/>
            <a:tailEnd/>
          </a:ln>
        </xdr:spPr>
      </xdr:sp>
      <xdr:sp macro="" textlink="">
        <xdr:nvSpPr>
          <xdr:cNvPr id="240" name="Rectangle 292"/>
          <xdr:cNvSpPr>
            <a:spLocks noChangeArrowheads="1"/>
          </xdr:cNvSpPr>
        </xdr:nvSpPr>
        <xdr:spPr bwMode="auto">
          <a:xfrm>
            <a:off x="250" y="1544"/>
            <a:ext cx="3" cy="11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41" name="Line 293"/>
          <xdr:cNvSpPr>
            <a:spLocks noChangeShapeType="1"/>
          </xdr:cNvSpPr>
        </xdr:nvSpPr>
        <xdr:spPr bwMode="auto">
          <a:xfrm flipV="1">
            <a:off x="254" y="1555"/>
            <a:ext cx="0" cy="9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2" name="Line 294"/>
          <xdr:cNvSpPr>
            <a:spLocks noChangeShapeType="1"/>
          </xdr:cNvSpPr>
        </xdr:nvSpPr>
        <xdr:spPr bwMode="auto">
          <a:xfrm flipV="1">
            <a:off x="254" y="1594"/>
            <a:ext cx="0" cy="9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3" name="Line 296"/>
          <xdr:cNvSpPr>
            <a:spLocks noChangeShapeType="1"/>
          </xdr:cNvSpPr>
        </xdr:nvSpPr>
        <xdr:spPr bwMode="auto">
          <a:xfrm flipV="1">
            <a:off x="254" y="1643"/>
            <a:ext cx="0" cy="9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37</xdr:col>
      <xdr:colOff>115354</xdr:colOff>
      <xdr:row>62</xdr:row>
      <xdr:rowOff>256930</xdr:rowOff>
    </xdr:from>
    <xdr:to>
      <xdr:col>37</xdr:col>
      <xdr:colOff>1005416</xdr:colOff>
      <xdr:row>72</xdr:row>
      <xdr:rowOff>31752</xdr:rowOff>
    </xdr:to>
    <xdr:pic>
      <xdr:nvPicPr>
        <xdr:cNvPr id="244" name="Imagen 24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6354" y="12650013"/>
          <a:ext cx="890062" cy="1838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37</xdr:col>
      <xdr:colOff>110173</xdr:colOff>
      <xdr:row>18</xdr:row>
      <xdr:rowOff>19389</xdr:rowOff>
    </xdr:from>
    <xdr:to>
      <xdr:col>37</xdr:col>
      <xdr:colOff>938173</xdr:colOff>
      <xdr:row>27</xdr:row>
      <xdr:rowOff>128223</xdr:rowOff>
    </xdr:to>
    <xdr:grpSp>
      <xdr:nvGrpSpPr>
        <xdr:cNvPr id="4" name="Grupo 3"/>
        <xdr:cNvGrpSpPr/>
      </xdr:nvGrpSpPr>
      <xdr:grpSpPr>
        <a:xfrm>
          <a:off x="1942951" y="3547074"/>
          <a:ext cx="888198" cy="1849727"/>
          <a:chOff x="1765142" y="3674608"/>
          <a:chExt cx="828000" cy="1918584"/>
        </a:xfrm>
      </xdr:grpSpPr>
      <xdr:grpSp>
        <xdr:nvGrpSpPr>
          <xdr:cNvPr id="118" name="Group 73"/>
          <xdr:cNvGrpSpPr>
            <a:grpSpLocks/>
          </xdr:cNvGrpSpPr>
        </xdr:nvGrpSpPr>
        <xdr:grpSpPr bwMode="auto">
          <a:xfrm>
            <a:off x="1765142" y="3674608"/>
            <a:ext cx="828000" cy="1918584"/>
            <a:chOff x="529" y="1033"/>
            <a:chExt cx="60" cy="119"/>
          </a:xfrm>
        </xdr:grpSpPr>
        <xdr:sp macro="" textlink="">
          <xdr:nvSpPr>
            <xdr:cNvPr id="119" name="Rectangle 41"/>
            <xdr:cNvSpPr>
              <a:spLocks noChangeArrowheads="1"/>
            </xdr:cNvSpPr>
          </xdr:nvSpPr>
          <xdr:spPr bwMode="auto">
            <a:xfrm>
              <a:off x="529" y="1033"/>
              <a:ext cx="60" cy="119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20" name="Rectangle 72"/>
            <xdr:cNvSpPr>
              <a:spLocks noChangeArrowheads="1"/>
            </xdr:cNvSpPr>
          </xdr:nvSpPr>
          <xdr:spPr bwMode="auto">
            <a:xfrm>
              <a:off x="536" y="1069"/>
              <a:ext cx="46" cy="7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  <xdr:sp macro="" textlink="">
          <xdr:nvSpPr>
            <xdr:cNvPr id="121" name="Line 45"/>
            <xdr:cNvSpPr>
              <a:spLocks noChangeShapeType="1"/>
            </xdr:cNvSpPr>
          </xdr:nvSpPr>
          <xdr:spPr bwMode="auto">
            <a:xfrm>
              <a:off x="574" y="1091"/>
              <a:ext cx="15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246" name="Rectangle 44"/>
          <xdr:cNvSpPr>
            <a:spLocks noChangeArrowheads="1"/>
          </xdr:cNvSpPr>
        </xdr:nvSpPr>
        <xdr:spPr bwMode="auto">
          <a:xfrm>
            <a:off x="2105464" y="3776823"/>
            <a:ext cx="144000" cy="434381"/>
          </a:xfrm>
          <a:prstGeom prst="rect">
            <a:avLst/>
          </a:prstGeom>
          <a:solidFill>
            <a:schemeClr val="accent2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47" name="Rectangle 44"/>
          <xdr:cNvSpPr>
            <a:spLocks noChangeArrowheads="1"/>
          </xdr:cNvSpPr>
        </xdr:nvSpPr>
        <xdr:spPr bwMode="auto">
          <a:xfrm>
            <a:off x="1876864" y="3776823"/>
            <a:ext cx="144000" cy="434381"/>
          </a:xfrm>
          <a:prstGeom prst="rect">
            <a:avLst/>
          </a:prstGeom>
          <a:solidFill>
            <a:schemeClr val="accent2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48" name="Rectangle 44"/>
          <xdr:cNvSpPr>
            <a:spLocks noChangeArrowheads="1"/>
          </xdr:cNvSpPr>
        </xdr:nvSpPr>
        <xdr:spPr bwMode="auto">
          <a:xfrm>
            <a:off x="2350733" y="3776823"/>
            <a:ext cx="144000" cy="434381"/>
          </a:xfrm>
          <a:prstGeom prst="rect">
            <a:avLst/>
          </a:prstGeom>
          <a:solidFill>
            <a:schemeClr val="accent2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41</xdr:col>
      <xdr:colOff>150601</xdr:colOff>
      <xdr:row>33</xdr:row>
      <xdr:rowOff>21166</xdr:rowOff>
    </xdr:from>
    <xdr:to>
      <xdr:col>41</xdr:col>
      <xdr:colOff>984250</xdr:colOff>
      <xdr:row>42</xdr:row>
      <xdr:rowOff>133724</xdr:rowOff>
    </xdr:to>
    <xdr:grpSp>
      <xdr:nvGrpSpPr>
        <xdr:cNvPr id="5" name="Grupo 4"/>
        <xdr:cNvGrpSpPr/>
      </xdr:nvGrpSpPr>
      <xdr:grpSpPr>
        <a:xfrm>
          <a:off x="4756516" y="6462533"/>
          <a:ext cx="896514" cy="1842737"/>
          <a:chOff x="4103069" y="6604467"/>
          <a:chExt cx="831257" cy="1881949"/>
        </a:xfrm>
      </xdr:grpSpPr>
      <xdr:sp macro="" textlink="">
        <xdr:nvSpPr>
          <xdr:cNvPr id="207" name="Rectangle 151"/>
          <xdr:cNvSpPr>
            <a:spLocks noChangeArrowheads="1"/>
          </xdr:cNvSpPr>
        </xdr:nvSpPr>
        <xdr:spPr bwMode="auto">
          <a:xfrm>
            <a:off x="4103069" y="6604467"/>
            <a:ext cx="831257" cy="188194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19" name="Rectangle 230"/>
          <xdr:cNvSpPr>
            <a:spLocks noChangeArrowheads="1"/>
          </xdr:cNvSpPr>
        </xdr:nvSpPr>
        <xdr:spPr bwMode="auto">
          <a:xfrm>
            <a:off x="4189478" y="7870746"/>
            <a:ext cx="288000" cy="499604"/>
          </a:xfrm>
          <a:prstGeom prst="rect">
            <a:avLst/>
          </a:prstGeom>
          <a:solidFill>
            <a:schemeClr val="accent2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49" name="Rectangle 230"/>
          <xdr:cNvSpPr>
            <a:spLocks noChangeArrowheads="1"/>
          </xdr:cNvSpPr>
        </xdr:nvSpPr>
        <xdr:spPr bwMode="auto">
          <a:xfrm>
            <a:off x="4526191" y="7866432"/>
            <a:ext cx="288000" cy="499604"/>
          </a:xfrm>
          <a:prstGeom prst="rect">
            <a:avLst/>
          </a:prstGeom>
          <a:solidFill>
            <a:schemeClr val="accent2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50" name="Rectangle 230"/>
          <xdr:cNvSpPr>
            <a:spLocks noChangeArrowheads="1"/>
          </xdr:cNvSpPr>
        </xdr:nvSpPr>
        <xdr:spPr bwMode="auto">
          <a:xfrm>
            <a:off x="4182151" y="7297538"/>
            <a:ext cx="288000" cy="497405"/>
          </a:xfrm>
          <a:prstGeom prst="rect">
            <a:avLst/>
          </a:prstGeom>
          <a:solidFill>
            <a:schemeClr val="accent2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52" name="Rectangle 230"/>
          <xdr:cNvSpPr>
            <a:spLocks noChangeArrowheads="1"/>
          </xdr:cNvSpPr>
        </xdr:nvSpPr>
        <xdr:spPr bwMode="auto">
          <a:xfrm>
            <a:off x="4183209" y="6699742"/>
            <a:ext cx="288000" cy="497406"/>
          </a:xfrm>
          <a:prstGeom prst="rect">
            <a:avLst/>
          </a:prstGeom>
          <a:solidFill>
            <a:schemeClr val="accent2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53" name="Rectangle 230"/>
          <xdr:cNvSpPr>
            <a:spLocks noChangeArrowheads="1"/>
          </xdr:cNvSpPr>
        </xdr:nvSpPr>
        <xdr:spPr bwMode="auto">
          <a:xfrm>
            <a:off x="4515526" y="6695427"/>
            <a:ext cx="288000" cy="497406"/>
          </a:xfrm>
          <a:prstGeom prst="rect">
            <a:avLst/>
          </a:prstGeom>
          <a:solidFill>
            <a:schemeClr val="accent2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51" name="Rectangle 230"/>
          <xdr:cNvSpPr>
            <a:spLocks noChangeArrowheads="1"/>
          </xdr:cNvSpPr>
        </xdr:nvSpPr>
        <xdr:spPr bwMode="auto">
          <a:xfrm>
            <a:off x="4525051" y="7298352"/>
            <a:ext cx="288000" cy="497405"/>
          </a:xfrm>
          <a:prstGeom prst="rect">
            <a:avLst/>
          </a:prstGeom>
          <a:solidFill>
            <a:schemeClr val="accent2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27" name="Line 60"/>
          <xdr:cNvSpPr>
            <a:spLocks noChangeShapeType="1"/>
          </xdr:cNvSpPr>
        </xdr:nvSpPr>
        <xdr:spPr bwMode="auto">
          <a:xfrm>
            <a:off x="4769721" y="7575057"/>
            <a:ext cx="111499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41</xdr:col>
      <xdr:colOff>120387</xdr:colOff>
      <xdr:row>3</xdr:row>
      <xdr:rowOff>35982</xdr:rowOff>
    </xdr:from>
    <xdr:to>
      <xdr:col>41</xdr:col>
      <xdr:colOff>947064</xdr:colOff>
      <xdr:row>12</xdr:row>
      <xdr:rowOff>165982</xdr:rowOff>
    </xdr:to>
    <xdr:grpSp>
      <xdr:nvGrpSpPr>
        <xdr:cNvPr id="3" name="Grupo 2"/>
        <xdr:cNvGrpSpPr/>
      </xdr:nvGrpSpPr>
      <xdr:grpSpPr>
        <a:xfrm>
          <a:off x="4724397" y="594980"/>
          <a:ext cx="888399" cy="1859798"/>
          <a:chOff x="4110303" y="598221"/>
          <a:chExt cx="826677" cy="1915938"/>
        </a:xfrm>
      </xdr:grpSpPr>
      <xdr:sp macro="" textlink="">
        <xdr:nvSpPr>
          <xdr:cNvPr id="181" name="Rectangle 100"/>
          <xdr:cNvSpPr>
            <a:spLocks noChangeArrowheads="1"/>
          </xdr:cNvSpPr>
        </xdr:nvSpPr>
        <xdr:spPr bwMode="auto">
          <a:xfrm>
            <a:off x="4110303" y="598221"/>
            <a:ext cx="826677" cy="1915938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82" name="Rectangle 101"/>
          <xdr:cNvSpPr>
            <a:spLocks noChangeArrowheads="1"/>
          </xdr:cNvSpPr>
        </xdr:nvSpPr>
        <xdr:spPr bwMode="auto">
          <a:xfrm>
            <a:off x="4187149" y="660767"/>
            <a:ext cx="260498" cy="1789540"/>
          </a:xfrm>
          <a:prstGeom prst="rect">
            <a:avLst/>
          </a:prstGeom>
          <a:solidFill>
            <a:schemeClr val="accent2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99" name="Line 8"/>
          <xdr:cNvSpPr>
            <a:spLocks noChangeShapeType="1"/>
          </xdr:cNvSpPr>
        </xdr:nvSpPr>
        <xdr:spPr bwMode="auto">
          <a:xfrm>
            <a:off x="4710926" y="1569241"/>
            <a:ext cx="203691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70380</xdr:colOff>
      <xdr:row>2</xdr:row>
      <xdr:rowOff>29633</xdr:rowOff>
    </xdr:from>
    <xdr:to>
      <xdr:col>35</xdr:col>
      <xdr:colOff>994834</xdr:colOff>
      <xdr:row>11</xdr:row>
      <xdr:rowOff>116417</xdr:rowOff>
    </xdr:to>
    <xdr:grpSp>
      <xdr:nvGrpSpPr>
        <xdr:cNvPr id="6" name="Group 18"/>
        <xdr:cNvGrpSpPr>
          <a:grpSpLocks/>
        </xdr:cNvGrpSpPr>
      </xdr:nvGrpSpPr>
      <xdr:grpSpPr bwMode="auto">
        <a:xfrm>
          <a:off x="904389" y="414570"/>
          <a:ext cx="992653" cy="1814111"/>
          <a:chOff x="12" y="864"/>
          <a:chExt cx="82" cy="97"/>
        </a:xfrm>
      </xdr:grpSpPr>
      <xdr:sp macro="" textlink="">
        <xdr:nvSpPr>
          <xdr:cNvPr id="7" name="Rectangle 4"/>
          <xdr:cNvSpPr>
            <a:spLocks noChangeArrowheads="1"/>
          </xdr:cNvSpPr>
        </xdr:nvSpPr>
        <xdr:spPr bwMode="auto">
          <a:xfrm>
            <a:off x="12" y="864"/>
            <a:ext cx="82" cy="97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" name="Rectangle 5"/>
          <xdr:cNvSpPr>
            <a:spLocks noChangeArrowheads="1"/>
          </xdr:cNvSpPr>
        </xdr:nvSpPr>
        <xdr:spPr bwMode="auto">
          <a:xfrm>
            <a:off x="19" y="868"/>
            <a:ext cx="68" cy="88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9" name="Line 9"/>
          <xdr:cNvSpPr>
            <a:spLocks noChangeShapeType="1"/>
          </xdr:cNvSpPr>
        </xdr:nvSpPr>
        <xdr:spPr bwMode="auto">
          <a:xfrm>
            <a:off x="77" y="913"/>
            <a:ext cx="15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37</xdr:col>
      <xdr:colOff>97896</xdr:colOff>
      <xdr:row>2</xdr:row>
      <xdr:rowOff>20104</xdr:rowOff>
    </xdr:from>
    <xdr:to>
      <xdr:col>37</xdr:col>
      <xdr:colOff>1026584</xdr:colOff>
      <xdr:row>11</xdr:row>
      <xdr:rowOff>137583</xdr:rowOff>
    </xdr:to>
    <xdr:grpSp>
      <xdr:nvGrpSpPr>
        <xdr:cNvPr id="10" name="Group 19"/>
        <xdr:cNvGrpSpPr>
          <a:grpSpLocks/>
        </xdr:cNvGrpSpPr>
      </xdr:nvGrpSpPr>
      <xdr:grpSpPr bwMode="auto">
        <a:xfrm>
          <a:off x="2376530" y="405422"/>
          <a:ext cx="885254" cy="1843663"/>
          <a:chOff x="255" y="863"/>
          <a:chExt cx="60" cy="119"/>
        </a:xfrm>
      </xdr:grpSpPr>
      <xdr:sp macro="" textlink="">
        <xdr:nvSpPr>
          <xdr:cNvPr id="11" name="Rectangle 10"/>
          <xdr:cNvSpPr>
            <a:spLocks noChangeArrowheads="1"/>
          </xdr:cNvSpPr>
        </xdr:nvSpPr>
        <xdr:spPr bwMode="auto">
          <a:xfrm>
            <a:off x="255" y="863"/>
            <a:ext cx="60" cy="11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" name="Rectangle 11"/>
          <xdr:cNvSpPr>
            <a:spLocks noChangeArrowheads="1"/>
          </xdr:cNvSpPr>
        </xdr:nvSpPr>
        <xdr:spPr bwMode="auto">
          <a:xfrm>
            <a:off x="261" y="926"/>
            <a:ext cx="48" cy="50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3" name="Line 12"/>
          <xdr:cNvSpPr>
            <a:spLocks noChangeShapeType="1"/>
          </xdr:cNvSpPr>
        </xdr:nvSpPr>
        <xdr:spPr bwMode="auto">
          <a:xfrm>
            <a:off x="299" y="922"/>
            <a:ext cx="15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4" name="Rectangle 13"/>
          <xdr:cNvSpPr>
            <a:spLocks noChangeArrowheads="1"/>
          </xdr:cNvSpPr>
        </xdr:nvSpPr>
        <xdr:spPr bwMode="auto">
          <a:xfrm>
            <a:off x="261" y="869"/>
            <a:ext cx="48" cy="50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39</xdr:col>
      <xdr:colOff>88897</xdr:colOff>
      <xdr:row>2</xdr:row>
      <xdr:rowOff>9521</xdr:rowOff>
    </xdr:from>
    <xdr:to>
      <xdr:col>39</xdr:col>
      <xdr:colOff>1026582</xdr:colOff>
      <xdr:row>11</xdr:row>
      <xdr:rowOff>116417</xdr:rowOff>
    </xdr:to>
    <xdr:grpSp>
      <xdr:nvGrpSpPr>
        <xdr:cNvPr id="15" name="Group 20"/>
        <xdr:cNvGrpSpPr>
          <a:grpSpLocks/>
        </xdr:cNvGrpSpPr>
      </xdr:nvGrpSpPr>
      <xdr:grpSpPr bwMode="auto">
        <a:xfrm>
          <a:off x="3624196" y="395220"/>
          <a:ext cx="895394" cy="1833461"/>
          <a:chOff x="528" y="864"/>
          <a:chExt cx="60" cy="133"/>
        </a:xfrm>
      </xdr:grpSpPr>
      <xdr:sp macro="" textlink="">
        <xdr:nvSpPr>
          <xdr:cNvPr id="16" name="Rectangle 14"/>
          <xdr:cNvSpPr>
            <a:spLocks noChangeArrowheads="1"/>
          </xdr:cNvSpPr>
        </xdr:nvSpPr>
        <xdr:spPr bwMode="auto">
          <a:xfrm>
            <a:off x="528" y="864"/>
            <a:ext cx="60" cy="133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7" name="Rectangle 15"/>
          <xdr:cNvSpPr>
            <a:spLocks noChangeArrowheads="1"/>
          </xdr:cNvSpPr>
        </xdr:nvSpPr>
        <xdr:spPr bwMode="auto">
          <a:xfrm>
            <a:off x="535" y="870"/>
            <a:ext cx="11" cy="123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8" name="Rectangle 16"/>
          <xdr:cNvSpPr>
            <a:spLocks noChangeArrowheads="1"/>
          </xdr:cNvSpPr>
        </xdr:nvSpPr>
        <xdr:spPr bwMode="auto">
          <a:xfrm>
            <a:off x="553" y="870"/>
            <a:ext cx="11" cy="123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9" name="Rectangle 17"/>
          <xdr:cNvSpPr>
            <a:spLocks noChangeArrowheads="1"/>
          </xdr:cNvSpPr>
        </xdr:nvSpPr>
        <xdr:spPr bwMode="auto">
          <a:xfrm>
            <a:off x="571" y="870"/>
            <a:ext cx="11" cy="123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" name="Line 8"/>
          <xdr:cNvSpPr>
            <a:spLocks noChangeShapeType="1"/>
          </xdr:cNvSpPr>
        </xdr:nvSpPr>
        <xdr:spPr bwMode="auto">
          <a:xfrm>
            <a:off x="573" y="930"/>
            <a:ext cx="15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41</xdr:col>
      <xdr:colOff>89165</xdr:colOff>
      <xdr:row>17</xdr:row>
      <xdr:rowOff>25690</xdr:rowOff>
    </xdr:from>
    <xdr:to>
      <xdr:col>41</xdr:col>
      <xdr:colOff>941917</xdr:colOff>
      <xdr:row>26</xdr:row>
      <xdr:rowOff>137583</xdr:rowOff>
    </xdr:to>
    <xdr:grpSp>
      <xdr:nvGrpSpPr>
        <xdr:cNvPr id="21" name="Group 402"/>
        <xdr:cNvGrpSpPr>
          <a:grpSpLocks/>
        </xdr:cNvGrpSpPr>
      </xdr:nvGrpSpPr>
      <xdr:grpSpPr bwMode="auto">
        <a:xfrm>
          <a:off x="4882272" y="3289971"/>
          <a:ext cx="896186" cy="1822202"/>
          <a:chOff x="1043" y="1014"/>
          <a:chExt cx="111" cy="238"/>
        </a:xfrm>
      </xdr:grpSpPr>
      <xdr:sp macro="" textlink="">
        <xdr:nvSpPr>
          <xdr:cNvPr id="22" name="Rectangle 57"/>
          <xdr:cNvSpPr>
            <a:spLocks noChangeArrowheads="1"/>
          </xdr:cNvSpPr>
        </xdr:nvSpPr>
        <xdr:spPr bwMode="auto">
          <a:xfrm>
            <a:off x="1043" y="1014"/>
            <a:ext cx="111" cy="238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3" name="Rectangle 68"/>
          <xdr:cNvSpPr>
            <a:spLocks noChangeArrowheads="1"/>
          </xdr:cNvSpPr>
        </xdr:nvSpPr>
        <xdr:spPr bwMode="auto">
          <a:xfrm>
            <a:off x="1054" y="1026"/>
            <a:ext cx="89" cy="216"/>
          </a:xfrm>
          <a:prstGeom prst="rect">
            <a:avLst/>
          </a:prstGeom>
          <a:solidFill>
            <a:srgbClr val="FFFFFF"/>
          </a:solidFill>
          <a:ln w="9525">
            <a:solidFill>
              <a:srgbClr val="969696"/>
            </a:solidFill>
            <a:miter lim="800000"/>
            <a:headEnd/>
            <a:tailEnd/>
          </a:ln>
        </xdr:spPr>
      </xdr:sp>
      <xdr:sp macro="" textlink="">
        <xdr:nvSpPr>
          <xdr:cNvPr id="24" name="Line 60"/>
          <xdr:cNvSpPr>
            <a:spLocks noChangeShapeType="1"/>
          </xdr:cNvSpPr>
        </xdr:nvSpPr>
        <xdr:spPr bwMode="auto">
          <a:xfrm>
            <a:off x="1126" y="1134"/>
            <a:ext cx="26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43</xdr:col>
      <xdr:colOff>92798</xdr:colOff>
      <xdr:row>17</xdr:row>
      <xdr:rowOff>21973</xdr:rowOff>
    </xdr:from>
    <xdr:to>
      <xdr:col>43</xdr:col>
      <xdr:colOff>876300</xdr:colOff>
      <xdr:row>26</xdr:row>
      <xdr:rowOff>114300</xdr:rowOff>
    </xdr:to>
    <xdr:grpSp>
      <xdr:nvGrpSpPr>
        <xdr:cNvPr id="25" name="Group 83"/>
        <xdr:cNvGrpSpPr>
          <a:grpSpLocks/>
        </xdr:cNvGrpSpPr>
      </xdr:nvGrpSpPr>
      <xdr:grpSpPr bwMode="auto">
        <a:xfrm>
          <a:off x="6144856" y="3286635"/>
          <a:ext cx="842176" cy="1803017"/>
          <a:chOff x="254" y="1204"/>
          <a:chExt cx="60" cy="119"/>
        </a:xfrm>
      </xdr:grpSpPr>
      <xdr:sp macro="" textlink="">
        <xdr:nvSpPr>
          <xdr:cNvPr id="26" name="Rectangle 63"/>
          <xdr:cNvSpPr>
            <a:spLocks noChangeArrowheads="1"/>
          </xdr:cNvSpPr>
        </xdr:nvSpPr>
        <xdr:spPr bwMode="auto">
          <a:xfrm>
            <a:off x="254" y="1204"/>
            <a:ext cx="60" cy="11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7" name="Rectangle 76"/>
          <xdr:cNvSpPr>
            <a:spLocks noChangeArrowheads="1"/>
          </xdr:cNvSpPr>
        </xdr:nvSpPr>
        <xdr:spPr bwMode="auto">
          <a:xfrm>
            <a:off x="260" y="1240"/>
            <a:ext cx="48" cy="77"/>
          </a:xfrm>
          <a:prstGeom prst="rect">
            <a:avLst/>
          </a:prstGeom>
          <a:solidFill>
            <a:srgbClr val="FFFFFF"/>
          </a:solidFill>
          <a:ln w="9525">
            <a:solidFill>
              <a:srgbClr val="C0C0C0"/>
            </a:solidFill>
            <a:miter lim="800000"/>
            <a:headEnd/>
            <a:tailEnd/>
          </a:ln>
        </xdr:spPr>
      </xdr:sp>
      <xdr:sp macro="" textlink="">
        <xdr:nvSpPr>
          <xdr:cNvPr id="28" name="Rectangle 65"/>
          <xdr:cNvSpPr>
            <a:spLocks noChangeArrowheads="1"/>
          </xdr:cNvSpPr>
        </xdr:nvSpPr>
        <xdr:spPr bwMode="auto">
          <a:xfrm>
            <a:off x="260" y="1210"/>
            <a:ext cx="48" cy="26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9" name="Line 66"/>
          <xdr:cNvSpPr>
            <a:spLocks noChangeShapeType="1"/>
          </xdr:cNvSpPr>
        </xdr:nvSpPr>
        <xdr:spPr bwMode="auto">
          <a:xfrm>
            <a:off x="299" y="1264"/>
            <a:ext cx="14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43</xdr:col>
      <xdr:colOff>69764</xdr:colOff>
      <xdr:row>2</xdr:row>
      <xdr:rowOff>9523</xdr:rowOff>
    </xdr:from>
    <xdr:to>
      <xdr:col>43</xdr:col>
      <xdr:colOff>1037167</xdr:colOff>
      <xdr:row>11</xdr:row>
      <xdr:rowOff>179917</xdr:rowOff>
    </xdr:to>
    <xdr:grpSp>
      <xdr:nvGrpSpPr>
        <xdr:cNvPr id="30" name="Group 75"/>
        <xdr:cNvGrpSpPr>
          <a:grpSpLocks/>
        </xdr:cNvGrpSpPr>
      </xdr:nvGrpSpPr>
      <xdr:grpSpPr bwMode="auto">
        <a:xfrm>
          <a:off x="6119917" y="395222"/>
          <a:ext cx="916349" cy="1894292"/>
          <a:chOff x="11" y="1034"/>
          <a:chExt cx="60" cy="119"/>
        </a:xfrm>
      </xdr:grpSpPr>
      <xdr:grpSp>
        <xdr:nvGrpSpPr>
          <xdr:cNvPr id="31" name="Group 27"/>
          <xdr:cNvGrpSpPr>
            <a:grpSpLocks/>
          </xdr:cNvGrpSpPr>
        </xdr:nvGrpSpPr>
        <xdr:grpSpPr bwMode="auto">
          <a:xfrm>
            <a:off x="11" y="1034"/>
            <a:ext cx="60" cy="119"/>
            <a:chOff x="11" y="1034"/>
            <a:chExt cx="60" cy="119"/>
          </a:xfrm>
        </xdr:grpSpPr>
        <xdr:sp macro="" textlink="">
          <xdr:nvSpPr>
            <xdr:cNvPr id="33" name="Rectangle 22"/>
            <xdr:cNvSpPr>
              <a:spLocks noChangeArrowheads="1"/>
            </xdr:cNvSpPr>
          </xdr:nvSpPr>
          <xdr:spPr bwMode="auto">
            <a:xfrm>
              <a:off x="11" y="1034"/>
              <a:ext cx="60" cy="119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34" name="Rectangle 23"/>
            <xdr:cNvSpPr>
              <a:spLocks noChangeArrowheads="1"/>
            </xdr:cNvSpPr>
          </xdr:nvSpPr>
          <xdr:spPr bwMode="auto">
            <a:xfrm>
              <a:off x="18" y="1040"/>
              <a:ext cx="11" cy="83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35" name="Rectangle 24"/>
            <xdr:cNvSpPr>
              <a:spLocks noChangeArrowheads="1"/>
            </xdr:cNvSpPr>
          </xdr:nvSpPr>
          <xdr:spPr bwMode="auto">
            <a:xfrm>
              <a:off x="36" y="1040"/>
              <a:ext cx="11" cy="83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36" name="Rectangle 25"/>
            <xdr:cNvSpPr>
              <a:spLocks noChangeArrowheads="1"/>
            </xdr:cNvSpPr>
          </xdr:nvSpPr>
          <xdr:spPr bwMode="auto">
            <a:xfrm>
              <a:off x="54" y="1040"/>
              <a:ext cx="11" cy="83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37" name="Line 26"/>
            <xdr:cNvSpPr>
              <a:spLocks noChangeShapeType="1"/>
            </xdr:cNvSpPr>
          </xdr:nvSpPr>
          <xdr:spPr bwMode="auto">
            <a:xfrm>
              <a:off x="56" y="1093"/>
              <a:ext cx="15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32" name="Rectangle 70"/>
          <xdr:cNvSpPr>
            <a:spLocks noChangeArrowheads="1"/>
          </xdr:cNvSpPr>
        </xdr:nvSpPr>
        <xdr:spPr bwMode="auto">
          <a:xfrm>
            <a:off x="18" y="1128"/>
            <a:ext cx="47" cy="19"/>
          </a:xfrm>
          <a:prstGeom prst="rect">
            <a:avLst/>
          </a:prstGeom>
          <a:solidFill>
            <a:srgbClr val="FFFFFF"/>
          </a:solidFill>
          <a:ln w="9525">
            <a:solidFill>
              <a:srgbClr val="C0C0C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35</xdr:col>
      <xdr:colOff>83571</xdr:colOff>
      <xdr:row>17</xdr:row>
      <xdr:rowOff>35651</xdr:rowOff>
    </xdr:from>
    <xdr:to>
      <xdr:col>35</xdr:col>
      <xdr:colOff>994835</xdr:colOff>
      <xdr:row>26</xdr:row>
      <xdr:rowOff>95250</xdr:rowOff>
    </xdr:to>
    <xdr:grpSp>
      <xdr:nvGrpSpPr>
        <xdr:cNvPr id="38" name="Group 74"/>
        <xdr:cNvGrpSpPr>
          <a:grpSpLocks/>
        </xdr:cNvGrpSpPr>
      </xdr:nvGrpSpPr>
      <xdr:grpSpPr bwMode="auto">
        <a:xfrm>
          <a:off x="918342" y="3299551"/>
          <a:ext cx="978701" cy="1771813"/>
          <a:chOff x="256" y="1033"/>
          <a:chExt cx="60" cy="119"/>
        </a:xfrm>
      </xdr:grpSpPr>
      <xdr:grpSp>
        <xdr:nvGrpSpPr>
          <xdr:cNvPr id="39" name="Group 54"/>
          <xdr:cNvGrpSpPr>
            <a:grpSpLocks/>
          </xdr:cNvGrpSpPr>
        </xdr:nvGrpSpPr>
        <xdr:grpSpPr bwMode="auto">
          <a:xfrm>
            <a:off x="256" y="1033"/>
            <a:ext cx="60" cy="119"/>
            <a:chOff x="256" y="1033"/>
            <a:chExt cx="60" cy="119"/>
          </a:xfrm>
        </xdr:grpSpPr>
        <xdr:sp macro="" textlink="">
          <xdr:nvSpPr>
            <xdr:cNvPr id="41" name="Rectangle 29"/>
            <xdr:cNvSpPr>
              <a:spLocks noChangeArrowheads="1"/>
            </xdr:cNvSpPr>
          </xdr:nvSpPr>
          <xdr:spPr bwMode="auto">
            <a:xfrm>
              <a:off x="256" y="1033"/>
              <a:ext cx="60" cy="119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2" name="Rectangle 30"/>
            <xdr:cNvSpPr>
              <a:spLocks noChangeArrowheads="1"/>
            </xdr:cNvSpPr>
          </xdr:nvSpPr>
          <xdr:spPr bwMode="auto">
            <a:xfrm>
              <a:off x="264" y="1039"/>
              <a:ext cx="11" cy="52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3" name="Rectangle 31"/>
            <xdr:cNvSpPr>
              <a:spLocks noChangeArrowheads="1"/>
            </xdr:cNvSpPr>
          </xdr:nvSpPr>
          <xdr:spPr bwMode="auto">
            <a:xfrm>
              <a:off x="281" y="1039"/>
              <a:ext cx="11" cy="52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4" name="Rectangle 32"/>
            <xdr:cNvSpPr>
              <a:spLocks noChangeArrowheads="1"/>
            </xdr:cNvSpPr>
          </xdr:nvSpPr>
          <xdr:spPr bwMode="auto">
            <a:xfrm>
              <a:off x="299" y="1039"/>
              <a:ext cx="10" cy="52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5" name="Line 33"/>
            <xdr:cNvSpPr>
              <a:spLocks noChangeShapeType="1"/>
            </xdr:cNvSpPr>
          </xdr:nvSpPr>
          <xdr:spPr bwMode="auto">
            <a:xfrm>
              <a:off x="301" y="1091"/>
              <a:ext cx="15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40" name="Rectangle 71"/>
          <xdr:cNvSpPr>
            <a:spLocks noChangeArrowheads="1"/>
          </xdr:cNvSpPr>
        </xdr:nvSpPr>
        <xdr:spPr bwMode="auto">
          <a:xfrm>
            <a:off x="263" y="1097"/>
            <a:ext cx="46" cy="49"/>
          </a:xfrm>
          <a:prstGeom prst="rect">
            <a:avLst/>
          </a:prstGeom>
          <a:solidFill>
            <a:srgbClr val="FFFFFF"/>
          </a:solidFill>
          <a:ln w="9525">
            <a:solidFill>
              <a:srgbClr val="C0C0C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39</xdr:col>
      <xdr:colOff>89109</xdr:colOff>
      <xdr:row>17</xdr:row>
      <xdr:rowOff>36033</xdr:rowOff>
    </xdr:from>
    <xdr:to>
      <xdr:col>39</xdr:col>
      <xdr:colOff>973666</xdr:colOff>
      <xdr:row>26</xdr:row>
      <xdr:rowOff>63500</xdr:rowOff>
    </xdr:to>
    <xdr:grpSp>
      <xdr:nvGrpSpPr>
        <xdr:cNvPr id="46" name="Group 78"/>
        <xdr:cNvGrpSpPr>
          <a:grpSpLocks/>
        </xdr:cNvGrpSpPr>
      </xdr:nvGrpSpPr>
      <xdr:grpSpPr bwMode="auto">
        <a:xfrm>
          <a:off x="3624408" y="3299933"/>
          <a:ext cx="899416" cy="1739300"/>
          <a:chOff x="846" y="1033"/>
          <a:chExt cx="60" cy="119"/>
        </a:xfrm>
      </xdr:grpSpPr>
      <xdr:grpSp>
        <xdr:nvGrpSpPr>
          <xdr:cNvPr id="47" name="Group 55"/>
          <xdr:cNvGrpSpPr>
            <a:grpSpLocks/>
          </xdr:cNvGrpSpPr>
        </xdr:nvGrpSpPr>
        <xdr:grpSpPr bwMode="auto">
          <a:xfrm>
            <a:off x="846" y="1033"/>
            <a:ext cx="60" cy="119"/>
            <a:chOff x="846" y="1033"/>
            <a:chExt cx="60" cy="119"/>
          </a:xfrm>
        </xdr:grpSpPr>
        <xdr:sp macro="" textlink="">
          <xdr:nvSpPr>
            <xdr:cNvPr id="49" name="Rectangle 49"/>
            <xdr:cNvSpPr>
              <a:spLocks noChangeArrowheads="1"/>
            </xdr:cNvSpPr>
          </xdr:nvSpPr>
          <xdr:spPr bwMode="auto">
            <a:xfrm>
              <a:off x="846" y="1033"/>
              <a:ext cx="60" cy="119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50" name="Rectangle 53"/>
            <xdr:cNvSpPr>
              <a:spLocks noChangeArrowheads="1"/>
            </xdr:cNvSpPr>
          </xdr:nvSpPr>
          <xdr:spPr bwMode="auto">
            <a:xfrm>
              <a:off x="852" y="1077"/>
              <a:ext cx="48" cy="15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51" name="Rectangle 50"/>
            <xdr:cNvSpPr>
              <a:spLocks noChangeArrowheads="1"/>
            </xdr:cNvSpPr>
          </xdr:nvSpPr>
          <xdr:spPr bwMode="auto">
            <a:xfrm>
              <a:off x="852" y="1039"/>
              <a:ext cx="48" cy="14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52" name="Line 51"/>
            <xdr:cNvSpPr>
              <a:spLocks noChangeShapeType="1"/>
            </xdr:cNvSpPr>
          </xdr:nvSpPr>
          <xdr:spPr bwMode="auto">
            <a:xfrm flipV="1">
              <a:off x="891" y="1093"/>
              <a:ext cx="14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53" name="Rectangle 52"/>
            <xdr:cNvSpPr>
              <a:spLocks noChangeArrowheads="1"/>
            </xdr:cNvSpPr>
          </xdr:nvSpPr>
          <xdr:spPr bwMode="auto">
            <a:xfrm>
              <a:off x="852" y="1058"/>
              <a:ext cx="48" cy="14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48" name="Rectangle 77"/>
          <xdr:cNvSpPr>
            <a:spLocks noChangeArrowheads="1"/>
          </xdr:cNvSpPr>
        </xdr:nvSpPr>
        <xdr:spPr bwMode="auto">
          <a:xfrm>
            <a:off x="853" y="1097"/>
            <a:ext cx="46" cy="49"/>
          </a:xfrm>
          <a:prstGeom prst="rect">
            <a:avLst/>
          </a:prstGeom>
          <a:solidFill>
            <a:srgbClr val="FFFFFF"/>
          </a:solidFill>
          <a:ln w="9525">
            <a:solidFill>
              <a:srgbClr val="C0C0C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35</xdr:col>
      <xdr:colOff>90663</xdr:colOff>
      <xdr:row>32</xdr:row>
      <xdr:rowOff>54433</xdr:rowOff>
    </xdr:from>
    <xdr:to>
      <xdr:col>35</xdr:col>
      <xdr:colOff>1005416</xdr:colOff>
      <xdr:row>41</xdr:row>
      <xdr:rowOff>84666</xdr:rowOff>
    </xdr:to>
    <xdr:grpSp>
      <xdr:nvGrpSpPr>
        <xdr:cNvPr id="54" name="Group 89"/>
        <xdr:cNvGrpSpPr>
          <a:grpSpLocks/>
        </xdr:cNvGrpSpPr>
      </xdr:nvGrpSpPr>
      <xdr:grpSpPr bwMode="auto">
        <a:xfrm>
          <a:off x="926577" y="6198947"/>
          <a:ext cx="983333" cy="1768482"/>
          <a:chOff x="530" y="1204"/>
          <a:chExt cx="60" cy="119"/>
        </a:xfrm>
      </xdr:grpSpPr>
      <xdr:sp macro="" textlink="">
        <xdr:nvSpPr>
          <xdr:cNvPr id="55" name="Rectangle 79"/>
          <xdr:cNvSpPr>
            <a:spLocks noChangeArrowheads="1"/>
          </xdr:cNvSpPr>
        </xdr:nvSpPr>
        <xdr:spPr bwMode="auto">
          <a:xfrm>
            <a:off x="530" y="1204"/>
            <a:ext cx="60" cy="11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6" name="Rectangle 80"/>
          <xdr:cNvSpPr>
            <a:spLocks noChangeArrowheads="1"/>
          </xdr:cNvSpPr>
        </xdr:nvSpPr>
        <xdr:spPr bwMode="auto">
          <a:xfrm>
            <a:off x="536" y="1240"/>
            <a:ext cx="48" cy="77"/>
          </a:xfrm>
          <a:prstGeom prst="rect">
            <a:avLst/>
          </a:prstGeom>
          <a:solidFill>
            <a:srgbClr val="FFFFFF"/>
          </a:solidFill>
          <a:ln w="9525">
            <a:solidFill>
              <a:srgbClr val="C0C0C0"/>
            </a:solidFill>
            <a:miter lim="800000"/>
            <a:headEnd/>
            <a:tailEnd/>
          </a:ln>
        </xdr:spPr>
      </xdr:sp>
      <xdr:sp macro="" textlink="">
        <xdr:nvSpPr>
          <xdr:cNvPr id="57" name="Rectangle 81"/>
          <xdr:cNvSpPr>
            <a:spLocks noChangeArrowheads="1"/>
          </xdr:cNvSpPr>
        </xdr:nvSpPr>
        <xdr:spPr bwMode="auto">
          <a:xfrm>
            <a:off x="536" y="1224"/>
            <a:ext cx="48" cy="11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8" name="Line 82"/>
          <xdr:cNvSpPr>
            <a:spLocks noChangeShapeType="1"/>
          </xdr:cNvSpPr>
        </xdr:nvSpPr>
        <xdr:spPr bwMode="auto">
          <a:xfrm flipV="1">
            <a:off x="574" y="1264"/>
            <a:ext cx="15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9" name="Rectangle 88"/>
          <xdr:cNvSpPr>
            <a:spLocks noChangeArrowheads="1"/>
          </xdr:cNvSpPr>
        </xdr:nvSpPr>
        <xdr:spPr bwMode="auto">
          <a:xfrm>
            <a:off x="536" y="1209"/>
            <a:ext cx="48" cy="10"/>
          </a:xfrm>
          <a:prstGeom prst="rect">
            <a:avLst/>
          </a:prstGeom>
          <a:solidFill>
            <a:srgbClr val="FFFFFF"/>
          </a:solidFill>
          <a:ln w="9525">
            <a:solidFill>
              <a:srgbClr val="C0C0C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37</xdr:col>
      <xdr:colOff>140961</xdr:colOff>
      <xdr:row>32</xdr:row>
      <xdr:rowOff>43644</xdr:rowOff>
    </xdr:from>
    <xdr:to>
      <xdr:col>37</xdr:col>
      <xdr:colOff>963082</xdr:colOff>
      <xdr:row>41</xdr:row>
      <xdr:rowOff>31750</xdr:rowOff>
    </xdr:to>
    <xdr:grpSp>
      <xdr:nvGrpSpPr>
        <xdr:cNvPr id="60" name="Group 98"/>
        <xdr:cNvGrpSpPr>
          <a:grpSpLocks/>
        </xdr:cNvGrpSpPr>
      </xdr:nvGrpSpPr>
      <xdr:grpSpPr bwMode="auto">
        <a:xfrm>
          <a:off x="2423786" y="6188539"/>
          <a:ext cx="841171" cy="1728260"/>
          <a:chOff x="845" y="1203"/>
          <a:chExt cx="60" cy="119"/>
        </a:xfrm>
      </xdr:grpSpPr>
      <xdr:sp macro="" textlink="">
        <xdr:nvSpPr>
          <xdr:cNvPr id="61" name="Rectangle 92"/>
          <xdr:cNvSpPr>
            <a:spLocks noChangeArrowheads="1"/>
          </xdr:cNvSpPr>
        </xdr:nvSpPr>
        <xdr:spPr bwMode="auto">
          <a:xfrm>
            <a:off x="845" y="1203"/>
            <a:ext cx="60" cy="11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2" name="Rectangle 95"/>
          <xdr:cNvSpPr>
            <a:spLocks noChangeArrowheads="1"/>
          </xdr:cNvSpPr>
        </xdr:nvSpPr>
        <xdr:spPr bwMode="auto">
          <a:xfrm>
            <a:off x="852" y="1209"/>
            <a:ext cx="46" cy="52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3" name="Line 96"/>
          <xdr:cNvSpPr>
            <a:spLocks noChangeShapeType="1"/>
          </xdr:cNvSpPr>
        </xdr:nvSpPr>
        <xdr:spPr bwMode="auto">
          <a:xfrm>
            <a:off x="890" y="1264"/>
            <a:ext cx="15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4" name="Rectangle 97"/>
          <xdr:cNvSpPr>
            <a:spLocks noChangeArrowheads="1"/>
          </xdr:cNvSpPr>
        </xdr:nvSpPr>
        <xdr:spPr bwMode="auto">
          <a:xfrm>
            <a:off x="852" y="1267"/>
            <a:ext cx="46" cy="49"/>
          </a:xfrm>
          <a:prstGeom prst="rect">
            <a:avLst/>
          </a:prstGeom>
          <a:solidFill>
            <a:srgbClr val="FFFFFF"/>
          </a:solidFill>
          <a:ln w="9525">
            <a:solidFill>
              <a:srgbClr val="C0C0C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41</xdr:col>
      <xdr:colOff>105039</xdr:colOff>
      <xdr:row>2</xdr:row>
      <xdr:rowOff>14814</xdr:rowOff>
    </xdr:from>
    <xdr:to>
      <xdr:col>41</xdr:col>
      <xdr:colOff>973666</xdr:colOff>
      <xdr:row>11</xdr:row>
      <xdr:rowOff>105834</xdr:rowOff>
    </xdr:to>
    <xdr:sp macro="" textlink="">
      <xdr:nvSpPr>
        <xdr:cNvPr id="65" name="Rectangle 100"/>
        <xdr:cNvSpPr>
          <a:spLocks noChangeArrowheads="1"/>
        </xdr:cNvSpPr>
      </xdr:nvSpPr>
      <xdr:spPr bwMode="auto">
        <a:xfrm>
          <a:off x="4899289" y="416981"/>
          <a:ext cx="868627" cy="18584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177123</xdr:colOff>
      <xdr:row>2</xdr:row>
      <xdr:rowOff>72598</xdr:rowOff>
    </xdr:from>
    <xdr:to>
      <xdr:col>41</xdr:col>
      <xdr:colOff>457200</xdr:colOff>
      <xdr:row>10</xdr:row>
      <xdr:rowOff>183696</xdr:rowOff>
    </xdr:to>
    <xdr:sp macro="" textlink="">
      <xdr:nvSpPr>
        <xdr:cNvPr id="66" name="Rectangle 101"/>
        <xdr:cNvSpPr>
          <a:spLocks noChangeArrowheads="1"/>
        </xdr:cNvSpPr>
      </xdr:nvSpPr>
      <xdr:spPr bwMode="auto">
        <a:xfrm>
          <a:off x="23589573" y="472648"/>
          <a:ext cx="280077" cy="1682723"/>
        </a:xfrm>
        <a:prstGeom prst="rect">
          <a:avLst/>
        </a:prstGeom>
        <a:solidFill>
          <a:schemeClr val="bg1">
            <a:lumMod val="75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39</xdr:col>
      <xdr:colOff>169855</xdr:colOff>
      <xdr:row>32</xdr:row>
      <xdr:rowOff>56714</xdr:rowOff>
    </xdr:from>
    <xdr:to>
      <xdr:col>39</xdr:col>
      <xdr:colOff>1000124</xdr:colOff>
      <xdr:row>41</xdr:row>
      <xdr:rowOff>144991</xdr:rowOff>
    </xdr:to>
    <xdr:grpSp>
      <xdr:nvGrpSpPr>
        <xdr:cNvPr id="67" name="Group 149"/>
        <xdr:cNvGrpSpPr>
          <a:grpSpLocks/>
        </xdr:cNvGrpSpPr>
      </xdr:nvGrpSpPr>
      <xdr:grpSpPr bwMode="auto">
        <a:xfrm>
          <a:off x="3712393" y="6201228"/>
          <a:ext cx="809314" cy="1825764"/>
          <a:chOff x="11" y="1373"/>
          <a:chExt cx="60" cy="119"/>
        </a:xfrm>
      </xdr:grpSpPr>
      <xdr:sp macro="" textlink="">
        <xdr:nvSpPr>
          <xdr:cNvPr id="68" name="Rectangle 132"/>
          <xdr:cNvSpPr>
            <a:spLocks noChangeArrowheads="1"/>
          </xdr:cNvSpPr>
        </xdr:nvSpPr>
        <xdr:spPr bwMode="auto">
          <a:xfrm>
            <a:off x="11" y="1373"/>
            <a:ext cx="60" cy="11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9" name="Line 135"/>
          <xdr:cNvSpPr>
            <a:spLocks noChangeShapeType="1"/>
          </xdr:cNvSpPr>
        </xdr:nvSpPr>
        <xdr:spPr bwMode="auto">
          <a:xfrm flipV="1">
            <a:off x="55" y="1434"/>
            <a:ext cx="15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0" name="Rectangle 143"/>
          <xdr:cNvSpPr>
            <a:spLocks noChangeArrowheads="1"/>
          </xdr:cNvSpPr>
        </xdr:nvSpPr>
        <xdr:spPr bwMode="auto">
          <a:xfrm>
            <a:off x="17" y="1378"/>
            <a:ext cx="48" cy="21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1" name="Rectangle 144"/>
          <xdr:cNvSpPr>
            <a:spLocks noChangeArrowheads="1"/>
          </xdr:cNvSpPr>
        </xdr:nvSpPr>
        <xdr:spPr bwMode="auto">
          <a:xfrm>
            <a:off x="17" y="1407"/>
            <a:ext cx="48" cy="22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2" name="Rectangle 145"/>
          <xdr:cNvSpPr>
            <a:spLocks noChangeArrowheads="1"/>
          </xdr:cNvSpPr>
        </xdr:nvSpPr>
        <xdr:spPr bwMode="auto">
          <a:xfrm>
            <a:off x="17" y="1437"/>
            <a:ext cx="48" cy="21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3" name="Rectangle 146"/>
          <xdr:cNvSpPr>
            <a:spLocks noChangeArrowheads="1"/>
          </xdr:cNvSpPr>
        </xdr:nvSpPr>
        <xdr:spPr bwMode="auto">
          <a:xfrm>
            <a:off x="17" y="1465"/>
            <a:ext cx="48" cy="21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35</xdr:col>
      <xdr:colOff>207262</xdr:colOff>
      <xdr:row>47</xdr:row>
      <xdr:rowOff>57381</xdr:rowOff>
    </xdr:from>
    <xdr:to>
      <xdr:col>35</xdr:col>
      <xdr:colOff>1003300</xdr:colOff>
      <xdr:row>56</xdr:row>
      <xdr:rowOff>137584</xdr:rowOff>
    </xdr:to>
    <xdr:grpSp>
      <xdr:nvGrpSpPr>
        <xdr:cNvPr id="74" name="171 Grupo"/>
        <xdr:cNvGrpSpPr>
          <a:grpSpLocks/>
        </xdr:cNvGrpSpPr>
      </xdr:nvGrpSpPr>
      <xdr:grpSpPr bwMode="auto">
        <a:xfrm>
          <a:off x="1052320" y="9109687"/>
          <a:ext cx="854331" cy="1785559"/>
          <a:chOff x="469900" y="8245475"/>
          <a:chExt cx="1028700" cy="2260600"/>
        </a:xfrm>
      </xdr:grpSpPr>
      <xdr:sp macro="" textlink="">
        <xdr:nvSpPr>
          <xdr:cNvPr id="75" name="Rectangle 248"/>
          <xdr:cNvSpPr>
            <a:spLocks noChangeArrowheads="1"/>
          </xdr:cNvSpPr>
        </xdr:nvSpPr>
        <xdr:spPr bwMode="auto">
          <a:xfrm>
            <a:off x="469900" y="8245475"/>
            <a:ext cx="1028700" cy="22606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6" name="Rectangle 249"/>
          <xdr:cNvSpPr>
            <a:spLocks noChangeArrowheads="1"/>
          </xdr:cNvSpPr>
        </xdr:nvSpPr>
        <xdr:spPr bwMode="auto">
          <a:xfrm>
            <a:off x="1019175" y="8915400"/>
            <a:ext cx="381000" cy="438150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7" name="Line 251"/>
          <xdr:cNvSpPr>
            <a:spLocks noChangeShapeType="1"/>
          </xdr:cNvSpPr>
        </xdr:nvSpPr>
        <xdr:spPr bwMode="auto">
          <a:xfrm>
            <a:off x="1228725" y="9407072"/>
            <a:ext cx="266700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8" name="Rectangle 252"/>
          <xdr:cNvSpPr>
            <a:spLocks noChangeArrowheads="1"/>
          </xdr:cNvSpPr>
        </xdr:nvSpPr>
        <xdr:spPr bwMode="auto">
          <a:xfrm>
            <a:off x="571500" y="8343900"/>
            <a:ext cx="381000" cy="482600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9" name="Rectangle 254"/>
          <xdr:cNvSpPr>
            <a:spLocks noChangeArrowheads="1"/>
          </xdr:cNvSpPr>
        </xdr:nvSpPr>
        <xdr:spPr bwMode="auto">
          <a:xfrm>
            <a:off x="1019175" y="8343900"/>
            <a:ext cx="371475" cy="482600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0" name="Rectangle 258"/>
          <xdr:cNvSpPr>
            <a:spLocks noChangeArrowheads="1"/>
          </xdr:cNvSpPr>
        </xdr:nvSpPr>
        <xdr:spPr bwMode="auto">
          <a:xfrm>
            <a:off x="561975" y="8915400"/>
            <a:ext cx="390525" cy="438150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1" name="Rectangle 265"/>
          <xdr:cNvSpPr>
            <a:spLocks noChangeArrowheads="1"/>
          </xdr:cNvSpPr>
        </xdr:nvSpPr>
        <xdr:spPr bwMode="auto">
          <a:xfrm>
            <a:off x="561975" y="9448800"/>
            <a:ext cx="847725" cy="971550"/>
          </a:xfrm>
          <a:prstGeom prst="rect">
            <a:avLst/>
          </a:prstGeom>
          <a:solidFill>
            <a:srgbClr val="FFFFFF"/>
          </a:solidFill>
          <a:ln w="9525">
            <a:solidFill>
              <a:srgbClr val="C0C0C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41</xdr:col>
      <xdr:colOff>683622</xdr:colOff>
      <xdr:row>6</xdr:row>
      <xdr:rowOff>148777</xdr:rowOff>
    </xdr:from>
    <xdr:to>
      <xdr:col>41</xdr:col>
      <xdr:colOff>830160</xdr:colOff>
      <xdr:row>6</xdr:row>
      <xdr:rowOff>149509</xdr:rowOff>
    </xdr:to>
    <xdr:sp macro="" textlink="">
      <xdr:nvSpPr>
        <xdr:cNvPr id="86" name="Line 8"/>
        <xdr:cNvSpPr>
          <a:spLocks noChangeShapeType="1"/>
        </xdr:cNvSpPr>
      </xdr:nvSpPr>
      <xdr:spPr bwMode="auto">
        <a:xfrm flipV="1">
          <a:off x="4988922" y="1348927"/>
          <a:ext cx="146538" cy="732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79809</xdr:colOff>
      <xdr:row>47</xdr:row>
      <xdr:rowOff>25391</xdr:rowOff>
    </xdr:from>
    <xdr:to>
      <xdr:col>37</xdr:col>
      <xdr:colOff>973667</xdr:colOff>
      <xdr:row>56</xdr:row>
      <xdr:rowOff>148165</xdr:rowOff>
    </xdr:to>
    <xdr:grpSp>
      <xdr:nvGrpSpPr>
        <xdr:cNvPr id="93" name="171 Grupo"/>
        <xdr:cNvGrpSpPr>
          <a:grpSpLocks/>
        </xdr:cNvGrpSpPr>
      </xdr:nvGrpSpPr>
      <xdr:grpSpPr bwMode="auto">
        <a:xfrm>
          <a:off x="2357681" y="9078840"/>
          <a:ext cx="908336" cy="1826225"/>
          <a:chOff x="469900" y="8245475"/>
          <a:chExt cx="1028700" cy="2260600"/>
        </a:xfrm>
      </xdr:grpSpPr>
      <xdr:sp macro="" textlink="">
        <xdr:nvSpPr>
          <xdr:cNvPr id="94" name="Rectangle 248"/>
          <xdr:cNvSpPr>
            <a:spLocks noChangeArrowheads="1"/>
          </xdr:cNvSpPr>
        </xdr:nvSpPr>
        <xdr:spPr bwMode="auto">
          <a:xfrm>
            <a:off x="469900" y="8245475"/>
            <a:ext cx="1028700" cy="22606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95" name="Rectangle 249"/>
          <xdr:cNvSpPr>
            <a:spLocks noChangeArrowheads="1"/>
          </xdr:cNvSpPr>
        </xdr:nvSpPr>
        <xdr:spPr bwMode="auto">
          <a:xfrm>
            <a:off x="1012835" y="8669460"/>
            <a:ext cx="381000" cy="275340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96" name="Rectangle 252"/>
          <xdr:cNvSpPr>
            <a:spLocks noChangeArrowheads="1"/>
          </xdr:cNvSpPr>
        </xdr:nvSpPr>
        <xdr:spPr bwMode="auto">
          <a:xfrm>
            <a:off x="571500" y="8343900"/>
            <a:ext cx="381000" cy="275340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97" name="Rectangle 254"/>
          <xdr:cNvSpPr>
            <a:spLocks noChangeArrowheads="1"/>
          </xdr:cNvSpPr>
        </xdr:nvSpPr>
        <xdr:spPr bwMode="auto">
          <a:xfrm>
            <a:off x="1019174" y="8343900"/>
            <a:ext cx="371475" cy="275340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98" name="Rectangle 258"/>
          <xdr:cNvSpPr>
            <a:spLocks noChangeArrowheads="1"/>
          </xdr:cNvSpPr>
        </xdr:nvSpPr>
        <xdr:spPr bwMode="auto">
          <a:xfrm>
            <a:off x="573809" y="8669459"/>
            <a:ext cx="390525" cy="275340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99" name="Rectangle 265"/>
          <xdr:cNvSpPr>
            <a:spLocks noChangeArrowheads="1"/>
          </xdr:cNvSpPr>
        </xdr:nvSpPr>
        <xdr:spPr bwMode="auto">
          <a:xfrm>
            <a:off x="561974" y="9050942"/>
            <a:ext cx="847725" cy="1369407"/>
          </a:xfrm>
          <a:prstGeom prst="rect">
            <a:avLst/>
          </a:prstGeom>
          <a:solidFill>
            <a:srgbClr val="FFFFFF"/>
          </a:solidFill>
          <a:ln w="9525">
            <a:solidFill>
              <a:srgbClr val="C0C0C0"/>
            </a:solidFill>
            <a:miter lim="800000"/>
            <a:headEnd/>
            <a:tailEnd/>
          </a:ln>
        </xdr:spPr>
      </xdr:sp>
      <xdr:sp macro="" textlink="">
        <xdr:nvSpPr>
          <xdr:cNvPr id="100" name="Line 251"/>
          <xdr:cNvSpPr>
            <a:spLocks noChangeShapeType="1"/>
          </xdr:cNvSpPr>
        </xdr:nvSpPr>
        <xdr:spPr bwMode="auto">
          <a:xfrm>
            <a:off x="1228725" y="9407072"/>
            <a:ext cx="266700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37</xdr:col>
      <xdr:colOff>139277</xdr:colOff>
      <xdr:row>17</xdr:row>
      <xdr:rowOff>51403</xdr:rowOff>
    </xdr:from>
    <xdr:to>
      <xdr:col>37</xdr:col>
      <xdr:colOff>984251</xdr:colOff>
      <xdr:row>26</xdr:row>
      <xdr:rowOff>21167</xdr:rowOff>
    </xdr:to>
    <xdr:grpSp>
      <xdr:nvGrpSpPr>
        <xdr:cNvPr id="82" name="Grupo 81"/>
        <xdr:cNvGrpSpPr/>
      </xdr:nvGrpSpPr>
      <xdr:grpSpPr>
        <a:xfrm>
          <a:off x="2422102" y="3314922"/>
          <a:ext cx="844974" cy="1683883"/>
          <a:chOff x="2207260" y="3438069"/>
          <a:chExt cx="720000" cy="1824245"/>
        </a:xfrm>
      </xdr:grpSpPr>
      <xdr:grpSp>
        <xdr:nvGrpSpPr>
          <xdr:cNvPr id="2" name="Group 73"/>
          <xdr:cNvGrpSpPr>
            <a:grpSpLocks/>
          </xdr:cNvGrpSpPr>
        </xdr:nvGrpSpPr>
        <xdr:grpSpPr bwMode="auto">
          <a:xfrm>
            <a:off x="2207260" y="3438069"/>
            <a:ext cx="720000" cy="1824245"/>
            <a:chOff x="529" y="1033"/>
            <a:chExt cx="60" cy="119"/>
          </a:xfrm>
        </xdr:grpSpPr>
        <xdr:sp macro="" textlink="">
          <xdr:nvSpPr>
            <xdr:cNvPr id="3" name="Rectangle 41"/>
            <xdr:cNvSpPr>
              <a:spLocks noChangeArrowheads="1"/>
            </xdr:cNvSpPr>
          </xdr:nvSpPr>
          <xdr:spPr bwMode="auto">
            <a:xfrm>
              <a:off x="529" y="1033"/>
              <a:ext cx="60" cy="119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" name="Rectangle 72"/>
            <xdr:cNvSpPr>
              <a:spLocks noChangeArrowheads="1"/>
            </xdr:cNvSpPr>
          </xdr:nvSpPr>
          <xdr:spPr bwMode="auto">
            <a:xfrm>
              <a:off x="536" y="1068"/>
              <a:ext cx="46" cy="7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C0C0C0"/>
              </a:solidFill>
              <a:miter lim="800000"/>
              <a:headEnd/>
              <a:tailEnd/>
            </a:ln>
          </xdr:spPr>
        </xdr:sp>
        <xdr:sp macro="" textlink="">
          <xdr:nvSpPr>
            <xdr:cNvPr id="5" name="Line 45"/>
            <xdr:cNvSpPr>
              <a:spLocks noChangeShapeType="1"/>
            </xdr:cNvSpPr>
          </xdr:nvSpPr>
          <xdr:spPr bwMode="auto">
            <a:xfrm>
              <a:off x="574" y="1091"/>
              <a:ext cx="15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101" name="Rectangle 44"/>
          <xdr:cNvSpPr>
            <a:spLocks noChangeArrowheads="1"/>
          </xdr:cNvSpPr>
        </xdr:nvSpPr>
        <xdr:spPr bwMode="auto">
          <a:xfrm>
            <a:off x="2300991" y="3529438"/>
            <a:ext cx="132000" cy="376863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4" name="Rectangle 44"/>
          <xdr:cNvSpPr>
            <a:spLocks noChangeArrowheads="1"/>
          </xdr:cNvSpPr>
        </xdr:nvSpPr>
        <xdr:spPr bwMode="auto">
          <a:xfrm>
            <a:off x="2491491" y="3529437"/>
            <a:ext cx="132000" cy="376863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5" name="Rectangle 44"/>
          <xdr:cNvSpPr>
            <a:spLocks noChangeArrowheads="1"/>
          </xdr:cNvSpPr>
        </xdr:nvSpPr>
        <xdr:spPr bwMode="auto">
          <a:xfrm>
            <a:off x="2680933" y="3528379"/>
            <a:ext cx="132000" cy="376863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41</xdr:col>
      <xdr:colOff>126261</xdr:colOff>
      <xdr:row>32</xdr:row>
      <xdr:rowOff>36530</xdr:rowOff>
    </xdr:from>
    <xdr:to>
      <xdr:col>41</xdr:col>
      <xdr:colOff>949325</xdr:colOff>
      <xdr:row>41</xdr:row>
      <xdr:rowOff>123825</xdr:rowOff>
    </xdr:to>
    <xdr:grpSp>
      <xdr:nvGrpSpPr>
        <xdr:cNvPr id="83" name="Grupo 82"/>
        <xdr:cNvGrpSpPr/>
      </xdr:nvGrpSpPr>
      <xdr:grpSpPr>
        <a:xfrm>
          <a:off x="4922416" y="6181806"/>
          <a:ext cx="853925" cy="1824782"/>
          <a:chOff x="4431560" y="6428864"/>
          <a:chExt cx="725141" cy="1828286"/>
        </a:xfrm>
      </xdr:grpSpPr>
      <xdr:sp macro="" textlink="">
        <xdr:nvSpPr>
          <xdr:cNvPr id="91" name="Rectangle 151"/>
          <xdr:cNvSpPr>
            <a:spLocks noChangeArrowheads="1"/>
          </xdr:cNvSpPr>
        </xdr:nvSpPr>
        <xdr:spPr bwMode="auto">
          <a:xfrm>
            <a:off x="4431560" y="6428864"/>
            <a:ext cx="720000" cy="182828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19" name="Rectangle 230"/>
          <xdr:cNvSpPr>
            <a:spLocks noChangeArrowheads="1"/>
          </xdr:cNvSpPr>
        </xdr:nvSpPr>
        <xdr:spPr bwMode="auto">
          <a:xfrm>
            <a:off x="4498498" y="7650437"/>
            <a:ext cx="269303" cy="514803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0" name="Rectangle 230"/>
          <xdr:cNvSpPr>
            <a:spLocks noChangeArrowheads="1"/>
          </xdr:cNvSpPr>
        </xdr:nvSpPr>
        <xdr:spPr bwMode="auto">
          <a:xfrm>
            <a:off x="4489403" y="7040336"/>
            <a:ext cx="277491" cy="527503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1" name="Rectangle 230"/>
          <xdr:cNvSpPr>
            <a:spLocks noChangeArrowheads="1"/>
          </xdr:cNvSpPr>
        </xdr:nvSpPr>
        <xdr:spPr bwMode="auto">
          <a:xfrm>
            <a:off x="4485322" y="6483398"/>
            <a:ext cx="273362" cy="501196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2" name="Rectangle 230"/>
          <xdr:cNvSpPr>
            <a:spLocks noChangeArrowheads="1"/>
          </xdr:cNvSpPr>
        </xdr:nvSpPr>
        <xdr:spPr bwMode="auto">
          <a:xfrm>
            <a:off x="4807310" y="6486119"/>
            <a:ext cx="291167" cy="501196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3" name="Rectangle 230"/>
          <xdr:cNvSpPr>
            <a:spLocks noChangeArrowheads="1"/>
          </xdr:cNvSpPr>
        </xdr:nvSpPr>
        <xdr:spPr bwMode="auto">
          <a:xfrm>
            <a:off x="4809123" y="7049407"/>
            <a:ext cx="291167" cy="527503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4" name="Rectangle 230"/>
          <xdr:cNvSpPr>
            <a:spLocks noChangeArrowheads="1"/>
          </xdr:cNvSpPr>
        </xdr:nvSpPr>
        <xdr:spPr bwMode="auto">
          <a:xfrm>
            <a:off x="4809148" y="7653134"/>
            <a:ext cx="291167" cy="514803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11" name="Line 60"/>
          <xdr:cNvSpPr>
            <a:spLocks noChangeShapeType="1"/>
          </xdr:cNvSpPr>
        </xdr:nvSpPr>
        <xdr:spPr bwMode="auto">
          <a:xfrm>
            <a:off x="4988052" y="7392637"/>
            <a:ext cx="168649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43</xdr:col>
      <xdr:colOff>88866</xdr:colOff>
      <xdr:row>32</xdr:row>
      <xdr:rowOff>40225</xdr:rowOff>
    </xdr:from>
    <xdr:to>
      <xdr:col>43</xdr:col>
      <xdr:colOff>1037168</xdr:colOff>
      <xdr:row>41</xdr:row>
      <xdr:rowOff>158750</xdr:rowOff>
    </xdr:to>
    <xdr:grpSp>
      <xdr:nvGrpSpPr>
        <xdr:cNvPr id="84" name="Grupo 83"/>
        <xdr:cNvGrpSpPr/>
      </xdr:nvGrpSpPr>
      <xdr:grpSpPr>
        <a:xfrm>
          <a:off x="6139781" y="6185501"/>
          <a:ext cx="896486" cy="1854488"/>
          <a:chOff x="5483040" y="6298150"/>
          <a:chExt cx="741460" cy="1787011"/>
        </a:xfrm>
      </xdr:grpSpPr>
      <xdr:sp macro="" textlink="">
        <xdr:nvSpPr>
          <xdr:cNvPr id="89" name="Rectangle 151"/>
          <xdr:cNvSpPr>
            <a:spLocks noChangeArrowheads="1"/>
          </xdr:cNvSpPr>
        </xdr:nvSpPr>
        <xdr:spPr bwMode="auto">
          <a:xfrm>
            <a:off x="5483040" y="6298150"/>
            <a:ext cx="720000" cy="178701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90" name="Rectangle 225"/>
          <xdr:cNvSpPr>
            <a:spLocks noChangeArrowheads="1"/>
          </xdr:cNvSpPr>
        </xdr:nvSpPr>
        <xdr:spPr bwMode="auto">
          <a:xfrm>
            <a:off x="5560639" y="7723236"/>
            <a:ext cx="574430" cy="271300"/>
          </a:xfrm>
          <a:prstGeom prst="rect">
            <a:avLst/>
          </a:prstGeom>
          <a:solidFill>
            <a:srgbClr val="FFFFFF"/>
          </a:solidFill>
          <a:ln w="9525">
            <a:solidFill>
              <a:srgbClr val="C0C0C0"/>
            </a:solidFill>
            <a:miter lim="800000"/>
            <a:headEnd/>
            <a:tailEnd/>
          </a:ln>
        </xdr:spPr>
      </xdr:sp>
      <xdr:sp macro="" textlink="">
        <xdr:nvSpPr>
          <xdr:cNvPr id="102" name="Rectangle 230"/>
          <xdr:cNvSpPr>
            <a:spLocks noChangeArrowheads="1"/>
          </xdr:cNvSpPr>
        </xdr:nvSpPr>
        <xdr:spPr bwMode="auto">
          <a:xfrm>
            <a:off x="5532195" y="6376285"/>
            <a:ext cx="274504" cy="360828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6" name="Rectangle 230"/>
          <xdr:cNvSpPr>
            <a:spLocks noChangeArrowheads="1"/>
          </xdr:cNvSpPr>
        </xdr:nvSpPr>
        <xdr:spPr bwMode="auto">
          <a:xfrm>
            <a:off x="5857800" y="6383871"/>
            <a:ext cx="274504" cy="360828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7" name="Rectangle 230"/>
          <xdr:cNvSpPr>
            <a:spLocks noChangeArrowheads="1"/>
          </xdr:cNvSpPr>
        </xdr:nvSpPr>
        <xdr:spPr bwMode="auto">
          <a:xfrm>
            <a:off x="5538821" y="6797960"/>
            <a:ext cx="274504" cy="380055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8" name="Rectangle 230"/>
          <xdr:cNvSpPr>
            <a:spLocks noChangeArrowheads="1"/>
          </xdr:cNvSpPr>
        </xdr:nvSpPr>
        <xdr:spPr bwMode="auto">
          <a:xfrm>
            <a:off x="5542134" y="7230755"/>
            <a:ext cx="274504" cy="388337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9" name="Rectangle 230"/>
          <xdr:cNvSpPr>
            <a:spLocks noChangeArrowheads="1"/>
          </xdr:cNvSpPr>
        </xdr:nvSpPr>
        <xdr:spPr bwMode="auto">
          <a:xfrm>
            <a:off x="5859921" y="6804586"/>
            <a:ext cx="274504" cy="380055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30" name="Rectangle 230"/>
          <xdr:cNvSpPr>
            <a:spLocks noChangeArrowheads="1"/>
          </xdr:cNvSpPr>
        </xdr:nvSpPr>
        <xdr:spPr bwMode="auto">
          <a:xfrm>
            <a:off x="5862315" y="7229099"/>
            <a:ext cx="274504" cy="388337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17" name="Line 60"/>
          <xdr:cNvSpPr>
            <a:spLocks noChangeShapeType="1"/>
          </xdr:cNvSpPr>
        </xdr:nvSpPr>
        <xdr:spPr bwMode="auto">
          <a:xfrm>
            <a:off x="6055851" y="7244329"/>
            <a:ext cx="168649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3176</xdr:colOff>
      <xdr:row>1</xdr:row>
      <xdr:rowOff>211666</xdr:rowOff>
    </xdr:from>
    <xdr:to>
      <xdr:col>2</xdr:col>
      <xdr:colOff>726912</xdr:colOff>
      <xdr:row>4</xdr:row>
      <xdr:rowOff>76200</xdr:rowOff>
    </xdr:to>
    <xdr:pic>
      <xdr:nvPicPr>
        <xdr:cNvPr id="2" name="Imagen 9" descr="1200px-Logo_Banco_Galicia.sv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76" y="706966"/>
          <a:ext cx="2247736" cy="674159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85725</xdr:colOff>
      <xdr:row>15</xdr:row>
      <xdr:rowOff>127408</xdr:rowOff>
    </xdr:from>
    <xdr:to>
      <xdr:col>2</xdr:col>
      <xdr:colOff>628650</xdr:colOff>
      <xdr:row>18</xdr:row>
      <xdr:rowOff>11103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4470808"/>
          <a:ext cx="2066925" cy="683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85726</xdr:colOff>
      <xdr:row>8</xdr:row>
      <xdr:rowOff>257175</xdr:rowOff>
    </xdr:from>
    <xdr:to>
      <xdr:col>3</xdr:col>
      <xdr:colOff>329742</xdr:colOff>
      <xdr:row>11</xdr:row>
      <xdr:rowOff>19050</xdr:rowOff>
    </xdr:to>
    <xdr:pic>
      <xdr:nvPicPr>
        <xdr:cNvPr id="4" name="Imagen 3" descr="Banco Macro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6" y="2476500"/>
          <a:ext cx="253001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142875</xdr:rowOff>
    </xdr:from>
    <xdr:to>
      <xdr:col>6</xdr:col>
      <xdr:colOff>409575</xdr:colOff>
      <xdr:row>16</xdr:row>
      <xdr:rowOff>0</xdr:rowOff>
    </xdr:to>
    <xdr:grpSp>
      <xdr:nvGrpSpPr>
        <xdr:cNvPr id="2" name="Grupo 1"/>
        <xdr:cNvGrpSpPr/>
      </xdr:nvGrpSpPr>
      <xdr:grpSpPr>
        <a:xfrm>
          <a:off x="0" y="790575"/>
          <a:ext cx="4981575" cy="3095625"/>
          <a:chOff x="0" y="0"/>
          <a:chExt cx="5705475" cy="3310255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5705475" cy="3310255"/>
          </a:xfrm>
          <a:prstGeom prst="rect">
            <a:avLst/>
          </a:prstGeom>
        </xdr:spPr>
      </xdr:pic>
      <xdr:sp macro="" textlink="">
        <xdr:nvSpPr>
          <xdr:cNvPr id="4" name="Rectángulo 3"/>
          <xdr:cNvSpPr/>
        </xdr:nvSpPr>
        <xdr:spPr>
          <a:xfrm>
            <a:off x="3362325" y="647700"/>
            <a:ext cx="781050" cy="4286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s-AR" sz="1800" b="1">
                <a:solidFill>
                  <a:srgbClr val="000000"/>
                </a:solidFill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25%</a:t>
            </a:r>
            <a:endParaRPr lang="es-AR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" name="Rectángulo 4"/>
          <xdr:cNvSpPr/>
        </xdr:nvSpPr>
        <xdr:spPr>
          <a:xfrm>
            <a:off x="3409950" y="1228725"/>
            <a:ext cx="781050" cy="4286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s-AR" sz="1800" b="1">
                <a:solidFill>
                  <a:srgbClr val="000000"/>
                </a:solidFill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30%</a:t>
            </a:r>
            <a:endParaRPr lang="es-AR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" name="Rectángulo 5"/>
          <xdr:cNvSpPr/>
        </xdr:nvSpPr>
        <xdr:spPr>
          <a:xfrm>
            <a:off x="3409950" y="1866900"/>
            <a:ext cx="781050" cy="4286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s-AR" sz="1800" b="1">
                <a:solidFill>
                  <a:srgbClr val="000000"/>
                </a:solidFill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35%</a:t>
            </a:r>
            <a:endParaRPr lang="es-AR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" name="Rectángulo 6"/>
          <xdr:cNvSpPr/>
        </xdr:nvSpPr>
        <xdr:spPr>
          <a:xfrm>
            <a:off x="3409950" y="2514600"/>
            <a:ext cx="781050" cy="4286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800"/>
              </a:spcAft>
            </a:pPr>
            <a:r>
              <a:rPr lang="es-AR" sz="1800" b="1">
                <a:solidFill>
                  <a:srgbClr val="000000"/>
                </a:solidFill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40%</a:t>
            </a:r>
            <a:endParaRPr lang="es-AR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45</xdr:row>
      <xdr:rowOff>38099</xdr:rowOff>
    </xdr:from>
    <xdr:to>
      <xdr:col>6</xdr:col>
      <xdr:colOff>390525</xdr:colOff>
      <xdr:row>65</xdr:row>
      <xdr:rowOff>177402</xdr:rowOff>
    </xdr:to>
    <xdr:pic>
      <xdr:nvPicPr>
        <xdr:cNvPr id="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76525" y="5572124"/>
          <a:ext cx="2714625" cy="3949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990600</xdr:colOff>
      <xdr:row>48</xdr:row>
      <xdr:rowOff>114300</xdr:rowOff>
    </xdr:from>
    <xdr:to>
      <xdr:col>8</xdr:col>
      <xdr:colOff>571500</xdr:colOff>
      <xdr:row>56</xdr:row>
      <xdr:rowOff>9525</xdr:rowOff>
    </xdr:to>
    <xdr:pic>
      <xdr:nvPicPr>
        <xdr:cNvPr id="41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91225" y="6315075"/>
          <a:ext cx="1419225" cy="1419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246135</xdr:colOff>
      <xdr:row>225</xdr:row>
      <xdr:rowOff>51954</xdr:rowOff>
    </xdr:from>
    <xdr:to>
      <xdr:col>27</xdr:col>
      <xdr:colOff>823697</xdr:colOff>
      <xdr:row>225</xdr:row>
      <xdr:rowOff>571202</xdr:rowOff>
    </xdr:to>
    <xdr:pic>
      <xdr:nvPicPr>
        <xdr:cNvPr id="5" name="6 Imagen" descr="C:\Users\Usuario\Desktop\Arcen Aluminio\herrero corrediza sin guia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8166" y="933017"/>
          <a:ext cx="577562" cy="51924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29</xdr:col>
      <xdr:colOff>404865</xdr:colOff>
      <xdr:row>225</xdr:row>
      <xdr:rowOff>38459</xdr:rowOff>
    </xdr:from>
    <xdr:to>
      <xdr:col>29</xdr:col>
      <xdr:colOff>915751</xdr:colOff>
      <xdr:row>225</xdr:row>
      <xdr:rowOff>607096</xdr:rowOff>
    </xdr:to>
    <xdr:pic>
      <xdr:nvPicPr>
        <xdr:cNvPr id="6" name="7 Imagen" descr="C:\Users\Usuario\Desktop\Arcen Aluminio\kisspng-mosquito-control-household-insect-repellents-primo-5ba2f629ec4636.4883996115374065059678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42" y="1339435"/>
          <a:ext cx="510886" cy="56863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31</xdr:col>
      <xdr:colOff>209550</xdr:colOff>
      <xdr:row>224</xdr:row>
      <xdr:rowOff>610466</xdr:rowOff>
    </xdr:from>
    <xdr:to>
      <xdr:col>31</xdr:col>
      <xdr:colOff>873701</xdr:colOff>
      <xdr:row>226</xdr:row>
      <xdr:rowOff>149369</xdr:rowOff>
    </xdr:to>
    <xdr:pic>
      <xdr:nvPicPr>
        <xdr:cNvPr id="7" name="8 Imagen" descr="C:\Users\Usuario\Desktop\Arcen Aluminio\Corrediza con Reja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8550" y="43749191"/>
          <a:ext cx="664151" cy="90097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28</xdr:col>
      <xdr:colOff>228738</xdr:colOff>
      <xdr:row>225</xdr:row>
      <xdr:rowOff>47625</xdr:rowOff>
    </xdr:from>
    <xdr:to>
      <xdr:col>28</xdr:col>
      <xdr:colOff>847725</xdr:colOff>
      <xdr:row>225</xdr:row>
      <xdr:rowOff>609601</xdr:rowOff>
    </xdr:to>
    <xdr:pic>
      <xdr:nvPicPr>
        <xdr:cNvPr id="309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981463" y="1123950"/>
          <a:ext cx="618987" cy="561976"/>
        </a:xfrm>
        <a:prstGeom prst="rect">
          <a:avLst/>
        </a:prstGeom>
        <a:noFill/>
      </xdr:spPr>
    </xdr:pic>
    <xdr:clientData/>
  </xdr:twoCellAnchor>
  <xdr:twoCellAnchor editAs="oneCell">
    <xdr:from>
      <xdr:col>30</xdr:col>
      <xdr:colOff>214312</xdr:colOff>
      <xdr:row>225</xdr:row>
      <xdr:rowOff>40050</xdr:rowOff>
    </xdr:from>
    <xdr:to>
      <xdr:col>30</xdr:col>
      <xdr:colOff>981075</xdr:colOff>
      <xdr:row>225</xdr:row>
      <xdr:rowOff>592493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1597937" y="43902675"/>
          <a:ext cx="766763" cy="552443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381000</xdr:colOff>
      <xdr:row>57</xdr:row>
      <xdr:rowOff>19050</xdr:rowOff>
    </xdr:from>
    <xdr:to>
      <xdr:col>2</xdr:col>
      <xdr:colOff>692944</xdr:colOff>
      <xdr:row>57</xdr:row>
      <xdr:rowOff>631031</xdr:rowOff>
    </xdr:to>
    <xdr:pic>
      <xdr:nvPicPr>
        <xdr:cNvPr id="5" name="1 Imagen" descr="C:\Users\Usuario\Desktop\Arcen Aluminio\herrero raja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21438" y="11401425"/>
          <a:ext cx="311944" cy="61198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267230</xdr:colOff>
      <xdr:row>57</xdr:row>
      <xdr:rowOff>46302</xdr:rowOff>
    </xdr:from>
    <xdr:to>
      <xdr:col>3</xdr:col>
      <xdr:colOff>779198</xdr:colOff>
      <xdr:row>57</xdr:row>
      <xdr:rowOff>605895</xdr:rowOff>
    </xdr:to>
    <xdr:pic>
      <xdr:nvPicPr>
        <xdr:cNvPr id="6" name="2 Imagen" descr="C:\Users\Usuario\Desktop\Arcen Aluminio\kisspng-mosquito-control-household-insect-repellents-primo-5ba2f629ec4636.4883996115374065059678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5897" y="1527969"/>
          <a:ext cx="511968" cy="55959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218547</xdr:colOff>
      <xdr:row>56</xdr:row>
      <xdr:rowOff>369092</xdr:rowOff>
    </xdr:from>
    <xdr:to>
      <xdr:col>4</xdr:col>
      <xdr:colOff>816241</xdr:colOff>
      <xdr:row>58</xdr:row>
      <xdr:rowOff>166687</xdr:rowOff>
    </xdr:to>
    <xdr:pic>
      <xdr:nvPicPr>
        <xdr:cNvPr id="7" name="3 Imagen" descr="C:\Users\Usuario\Desktop\Arcen Aluminio\Corrediza con Reja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7880" y="1363925"/>
          <a:ext cx="597694" cy="93001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1091141</xdr:colOff>
      <xdr:row>82</xdr:row>
      <xdr:rowOff>21167</xdr:rowOff>
    </xdr:from>
    <xdr:to>
      <xdr:col>5</xdr:col>
      <xdr:colOff>572188</xdr:colOff>
      <xdr:row>90</xdr:row>
      <xdr:rowOff>8467</xdr:rowOff>
    </xdr:to>
    <xdr:pic>
      <xdr:nvPicPr>
        <xdr:cNvPr id="8" name="Imagen 9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969808" y="6963834"/>
          <a:ext cx="1682380" cy="162771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35073</xdr:colOff>
      <xdr:row>15</xdr:row>
      <xdr:rowOff>31296</xdr:rowOff>
    </xdr:from>
    <xdr:to>
      <xdr:col>37</xdr:col>
      <xdr:colOff>745548</xdr:colOff>
      <xdr:row>24</xdr:row>
      <xdr:rowOff>100921</xdr:rowOff>
    </xdr:to>
    <xdr:grpSp>
      <xdr:nvGrpSpPr>
        <xdr:cNvPr id="2" name="Group 73"/>
        <xdr:cNvGrpSpPr>
          <a:grpSpLocks/>
        </xdr:cNvGrpSpPr>
      </xdr:nvGrpSpPr>
      <xdr:grpSpPr bwMode="auto">
        <a:xfrm>
          <a:off x="2044848" y="2898321"/>
          <a:ext cx="710475" cy="1803175"/>
          <a:chOff x="529" y="1033"/>
          <a:chExt cx="60" cy="119"/>
        </a:xfrm>
      </xdr:grpSpPr>
      <xdr:sp macro="" textlink="">
        <xdr:nvSpPr>
          <xdr:cNvPr id="3" name="Rectangle 41"/>
          <xdr:cNvSpPr>
            <a:spLocks noChangeArrowheads="1"/>
          </xdr:cNvSpPr>
        </xdr:nvSpPr>
        <xdr:spPr bwMode="auto">
          <a:xfrm>
            <a:off x="529" y="1033"/>
            <a:ext cx="60" cy="11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" name="Rectangle 72"/>
          <xdr:cNvSpPr>
            <a:spLocks noChangeArrowheads="1"/>
          </xdr:cNvSpPr>
        </xdr:nvSpPr>
        <xdr:spPr bwMode="auto">
          <a:xfrm>
            <a:off x="536" y="1069"/>
            <a:ext cx="46" cy="77"/>
          </a:xfrm>
          <a:prstGeom prst="rect">
            <a:avLst/>
          </a:prstGeom>
          <a:solidFill>
            <a:srgbClr val="FFFFFF"/>
          </a:solidFill>
          <a:ln w="9525">
            <a:solidFill>
              <a:srgbClr val="C0C0C0"/>
            </a:solidFill>
            <a:miter lim="800000"/>
            <a:headEnd/>
            <a:tailEnd/>
          </a:ln>
        </xdr:spPr>
      </xdr:sp>
      <xdr:sp macro="" textlink="">
        <xdr:nvSpPr>
          <xdr:cNvPr id="8" name="Line 45"/>
          <xdr:cNvSpPr>
            <a:spLocks noChangeShapeType="1"/>
          </xdr:cNvSpPr>
        </xdr:nvSpPr>
        <xdr:spPr bwMode="auto">
          <a:xfrm>
            <a:off x="574" y="1091"/>
            <a:ext cx="15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35</xdr:col>
      <xdr:colOff>59390</xdr:colOff>
      <xdr:row>2</xdr:row>
      <xdr:rowOff>12782</xdr:rowOff>
    </xdr:from>
    <xdr:to>
      <xdr:col>35</xdr:col>
      <xdr:colOff>779390</xdr:colOff>
      <xdr:row>11</xdr:row>
      <xdr:rowOff>96680</xdr:rowOff>
    </xdr:to>
    <xdr:grpSp>
      <xdr:nvGrpSpPr>
        <xdr:cNvPr id="9" name="Group 18"/>
        <xdr:cNvGrpSpPr>
          <a:grpSpLocks/>
        </xdr:cNvGrpSpPr>
      </xdr:nvGrpSpPr>
      <xdr:grpSpPr bwMode="auto">
        <a:xfrm>
          <a:off x="735665" y="403307"/>
          <a:ext cx="720000" cy="1798398"/>
          <a:chOff x="12" y="864"/>
          <a:chExt cx="82" cy="97"/>
        </a:xfrm>
      </xdr:grpSpPr>
      <xdr:sp macro="" textlink="">
        <xdr:nvSpPr>
          <xdr:cNvPr id="10" name="Rectangle 4"/>
          <xdr:cNvSpPr>
            <a:spLocks noChangeArrowheads="1"/>
          </xdr:cNvSpPr>
        </xdr:nvSpPr>
        <xdr:spPr bwMode="auto">
          <a:xfrm>
            <a:off x="12" y="864"/>
            <a:ext cx="82" cy="97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1" name="Rectangle 5"/>
          <xdr:cNvSpPr>
            <a:spLocks noChangeArrowheads="1"/>
          </xdr:cNvSpPr>
        </xdr:nvSpPr>
        <xdr:spPr bwMode="auto">
          <a:xfrm>
            <a:off x="19" y="868"/>
            <a:ext cx="68" cy="88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" name="Line 9"/>
          <xdr:cNvSpPr>
            <a:spLocks noChangeShapeType="1"/>
          </xdr:cNvSpPr>
        </xdr:nvSpPr>
        <xdr:spPr bwMode="auto">
          <a:xfrm>
            <a:off x="77" y="913"/>
            <a:ext cx="15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37</xdr:col>
      <xdr:colOff>53934</xdr:colOff>
      <xdr:row>2</xdr:row>
      <xdr:rowOff>12779</xdr:rowOff>
    </xdr:from>
    <xdr:to>
      <xdr:col>37</xdr:col>
      <xdr:colOff>754884</xdr:colOff>
      <xdr:row>11</xdr:row>
      <xdr:rowOff>96677</xdr:rowOff>
    </xdr:to>
    <xdr:grpSp>
      <xdr:nvGrpSpPr>
        <xdr:cNvPr id="13" name="Group 19"/>
        <xdr:cNvGrpSpPr>
          <a:grpSpLocks/>
        </xdr:cNvGrpSpPr>
      </xdr:nvGrpSpPr>
      <xdr:grpSpPr bwMode="auto">
        <a:xfrm>
          <a:off x="2063709" y="403304"/>
          <a:ext cx="700950" cy="1798398"/>
          <a:chOff x="255" y="863"/>
          <a:chExt cx="60" cy="119"/>
        </a:xfrm>
      </xdr:grpSpPr>
      <xdr:sp macro="" textlink="">
        <xdr:nvSpPr>
          <xdr:cNvPr id="14" name="Rectangle 10"/>
          <xdr:cNvSpPr>
            <a:spLocks noChangeArrowheads="1"/>
          </xdr:cNvSpPr>
        </xdr:nvSpPr>
        <xdr:spPr bwMode="auto">
          <a:xfrm>
            <a:off x="255" y="863"/>
            <a:ext cx="60" cy="11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5" name="Rectangle 11"/>
          <xdr:cNvSpPr>
            <a:spLocks noChangeArrowheads="1"/>
          </xdr:cNvSpPr>
        </xdr:nvSpPr>
        <xdr:spPr bwMode="auto">
          <a:xfrm>
            <a:off x="261" y="926"/>
            <a:ext cx="48" cy="5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6" name="Line 12"/>
          <xdr:cNvSpPr>
            <a:spLocks noChangeShapeType="1"/>
          </xdr:cNvSpPr>
        </xdr:nvSpPr>
        <xdr:spPr bwMode="auto">
          <a:xfrm>
            <a:off x="299" y="922"/>
            <a:ext cx="15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7" name="Rectangle 13"/>
          <xdr:cNvSpPr>
            <a:spLocks noChangeArrowheads="1"/>
          </xdr:cNvSpPr>
        </xdr:nvSpPr>
        <xdr:spPr bwMode="auto">
          <a:xfrm>
            <a:off x="261" y="869"/>
            <a:ext cx="48" cy="5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39</xdr:col>
      <xdr:colOff>66919</xdr:colOff>
      <xdr:row>2</xdr:row>
      <xdr:rowOff>24177</xdr:rowOff>
    </xdr:from>
    <xdr:to>
      <xdr:col>39</xdr:col>
      <xdr:colOff>777394</xdr:colOff>
      <xdr:row>11</xdr:row>
      <xdr:rowOff>108075</xdr:rowOff>
    </xdr:to>
    <xdr:grpSp>
      <xdr:nvGrpSpPr>
        <xdr:cNvPr id="18" name="Group 20"/>
        <xdr:cNvGrpSpPr>
          <a:grpSpLocks/>
        </xdr:cNvGrpSpPr>
      </xdr:nvGrpSpPr>
      <xdr:grpSpPr bwMode="auto">
        <a:xfrm>
          <a:off x="3153019" y="414702"/>
          <a:ext cx="710475" cy="1798398"/>
          <a:chOff x="528" y="864"/>
          <a:chExt cx="60" cy="133"/>
        </a:xfrm>
      </xdr:grpSpPr>
      <xdr:sp macro="" textlink="">
        <xdr:nvSpPr>
          <xdr:cNvPr id="19" name="Rectangle 14"/>
          <xdr:cNvSpPr>
            <a:spLocks noChangeArrowheads="1"/>
          </xdr:cNvSpPr>
        </xdr:nvSpPr>
        <xdr:spPr bwMode="auto">
          <a:xfrm>
            <a:off x="528" y="864"/>
            <a:ext cx="60" cy="133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" name="Rectangle 15"/>
          <xdr:cNvSpPr>
            <a:spLocks noChangeArrowheads="1"/>
          </xdr:cNvSpPr>
        </xdr:nvSpPr>
        <xdr:spPr bwMode="auto">
          <a:xfrm>
            <a:off x="535" y="870"/>
            <a:ext cx="11" cy="123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1" name="Rectangle 16"/>
          <xdr:cNvSpPr>
            <a:spLocks noChangeArrowheads="1"/>
          </xdr:cNvSpPr>
        </xdr:nvSpPr>
        <xdr:spPr bwMode="auto">
          <a:xfrm>
            <a:off x="553" y="870"/>
            <a:ext cx="11" cy="123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2" name="Rectangle 17"/>
          <xdr:cNvSpPr>
            <a:spLocks noChangeArrowheads="1"/>
          </xdr:cNvSpPr>
        </xdr:nvSpPr>
        <xdr:spPr bwMode="auto">
          <a:xfrm>
            <a:off x="571" y="870"/>
            <a:ext cx="11" cy="123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3" name="Line 8"/>
          <xdr:cNvSpPr>
            <a:spLocks noChangeShapeType="1"/>
          </xdr:cNvSpPr>
        </xdr:nvSpPr>
        <xdr:spPr bwMode="auto">
          <a:xfrm>
            <a:off x="573" y="930"/>
            <a:ext cx="15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41</xdr:col>
      <xdr:colOff>73534</xdr:colOff>
      <xdr:row>15</xdr:row>
      <xdr:rowOff>25691</xdr:rowOff>
    </xdr:from>
    <xdr:to>
      <xdr:col>41</xdr:col>
      <xdr:colOff>774484</xdr:colOff>
      <xdr:row>24</xdr:row>
      <xdr:rowOff>95316</xdr:rowOff>
    </xdr:to>
    <xdr:grpSp>
      <xdr:nvGrpSpPr>
        <xdr:cNvPr id="24" name="Group 402"/>
        <xdr:cNvGrpSpPr>
          <a:grpSpLocks/>
        </xdr:cNvGrpSpPr>
      </xdr:nvGrpSpPr>
      <xdr:grpSpPr bwMode="auto">
        <a:xfrm>
          <a:off x="4245484" y="2892716"/>
          <a:ext cx="700950" cy="1803175"/>
          <a:chOff x="1043" y="1014"/>
          <a:chExt cx="111" cy="238"/>
        </a:xfrm>
      </xdr:grpSpPr>
      <xdr:sp macro="" textlink="">
        <xdr:nvSpPr>
          <xdr:cNvPr id="25" name="Rectangle 57"/>
          <xdr:cNvSpPr>
            <a:spLocks noChangeArrowheads="1"/>
          </xdr:cNvSpPr>
        </xdr:nvSpPr>
        <xdr:spPr bwMode="auto">
          <a:xfrm>
            <a:off x="1043" y="1014"/>
            <a:ext cx="111" cy="238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6" name="Rectangle 68"/>
          <xdr:cNvSpPr>
            <a:spLocks noChangeArrowheads="1"/>
          </xdr:cNvSpPr>
        </xdr:nvSpPr>
        <xdr:spPr bwMode="auto">
          <a:xfrm>
            <a:off x="1054" y="1026"/>
            <a:ext cx="89" cy="216"/>
          </a:xfrm>
          <a:prstGeom prst="rect">
            <a:avLst/>
          </a:prstGeom>
          <a:solidFill>
            <a:srgbClr val="FFFFFF"/>
          </a:solidFill>
          <a:ln w="9525">
            <a:solidFill>
              <a:srgbClr val="969696"/>
            </a:solidFill>
            <a:miter lim="800000"/>
            <a:headEnd/>
            <a:tailEnd/>
          </a:ln>
        </xdr:spPr>
      </xdr:sp>
      <xdr:sp macro="" textlink="">
        <xdr:nvSpPr>
          <xdr:cNvPr id="27" name="Line 60"/>
          <xdr:cNvSpPr>
            <a:spLocks noChangeShapeType="1"/>
          </xdr:cNvSpPr>
        </xdr:nvSpPr>
        <xdr:spPr bwMode="auto">
          <a:xfrm>
            <a:off x="1126" y="1134"/>
            <a:ext cx="26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43</xdr:col>
      <xdr:colOff>48836</xdr:colOff>
      <xdr:row>15</xdr:row>
      <xdr:rowOff>21973</xdr:rowOff>
    </xdr:from>
    <xdr:to>
      <xdr:col>43</xdr:col>
      <xdr:colOff>759311</xdr:colOff>
      <xdr:row>24</xdr:row>
      <xdr:rowOff>86307</xdr:rowOff>
    </xdr:to>
    <xdr:grpSp>
      <xdr:nvGrpSpPr>
        <xdr:cNvPr id="28" name="Group 83"/>
        <xdr:cNvGrpSpPr>
          <a:grpSpLocks/>
        </xdr:cNvGrpSpPr>
      </xdr:nvGrpSpPr>
      <xdr:grpSpPr bwMode="auto">
        <a:xfrm>
          <a:off x="5306636" y="2888998"/>
          <a:ext cx="710475" cy="1797884"/>
          <a:chOff x="254" y="1204"/>
          <a:chExt cx="60" cy="119"/>
        </a:xfrm>
      </xdr:grpSpPr>
      <xdr:sp macro="" textlink="">
        <xdr:nvSpPr>
          <xdr:cNvPr id="29" name="Rectangle 63"/>
          <xdr:cNvSpPr>
            <a:spLocks noChangeArrowheads="1"/>
          </xdr:cNvSpPr>
        </xdr:nvSpPr>
        <xdr:spPr bwMode="auto">
          <a:xfrm>
            <a:off x="254" y="1204"/>
            <a:ext cx="60" cy="11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0" name="Rectangle 76"/>
          <xdr:cNvSpPr>
            <a:spLocks noChangeArrowheads="1"/>
          </xdr:cNvSpPr>
        </xdr:nvSpPr>
        <xdr:spPr bwMode="auto">
          <a:xfrm>
            <a:off x="260" y="1240"/>
            <a:ext cx="48" cy="77"/>
          </a:xfrm>
          <a:prstGeom prst="rect">
            <a:avLst/>
          </a:prstGeom>
          <a:solidFill>
            <a:srgbClr val="FFFFFF"/>
          </a:solidFill>
          <a:ln w="9525">
            <a:solidFill>
              <a:srgbClr val="C0C0C0"/>
            </a:solidFill>
            <a:miter lim="800000"/>
            <a:headEnd/>
            <a:tailEnd/>
          </a:ln>
        </xdr:spPr>
      </xdr:sp>
      <xdr:sp macro="" textlink="">
        <xdr:nvSpPr>
          <xdr:cNvPr id="31" name="Rectangle 65"/>
          <xdr:cNvSpPr>
            <a:spLocks noChangeArrowheads="1"/>
          </xdr:cNvSpPr>
        </xdr:nvSpPr>
        <xdr:spPr bwMode="auto">
          <a:xfrm>
            <a:off x="260" y="1210"/>
            <a:ext cx="48" cy="2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2" name="Line 66"/>
          <xdr:cNvSpPr>
            <a:spLocks noChangeShapeType="1"/>
          </xdr:cNvSpPr>
        </xdr:nvSpPr>
        <xdr:spPr bwMode="auto">
          <a:xfrm>
            <a:off x="299" y="1264"/>
            <a:ext cx="14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43</xdr:col>
      <xdr:colOff>62440</xdr:colOff>
      <xdr:row>2</xdr:row>
      <xdr:rowOff>16851</xdr:rowOff>
    </xdr:from>
    <xdr:to>
      <xdr:col>43</xdr:col>
      <xdr:colOff>782440</xdr:colOff>
      <xdr:row>11</xdr:row>
      <xdr:rowOff>100749</xdr:rowOff>
    </xdr:to>
    <xdr:grpSp>
      <xdr:nvGrpSpPr>
        <xdr:cNvPr id="33" name="Group 75"/>
        <xdr:cNvGrpSpPr>
          <a:grpSpLocks/>
        </xdr:cNvGrpSpPr>
      </xdr:nvGrpSpPr>
      <xdr:grpSpPr bwMode="auto">
        <a:xfrm>
          <a:off x="5320240" y="407376"/>
          <a:ext cx="720000" cy="1798398"/>
          <a:chOff x="11" y="1034"/>
          <a:chExt cx="60" cy="119"/>
        </a:xfrm>
      </xdr:grpSpPr>
      <xdr:grpSp>
        <xdr:nvGrpSpPr>
          <xdr:cNvPr id="34" name="Group 27"/>
          <xdr:cNvGrpSpPr>
            <a:grpSpLocks/>
          </xdr:cNvGrpSpPr>
        </xdr:nvGrpSpPr>
        <xdr:grpSpPr bwMode="auto">
          <a:xfrm>
            <a:off x="11" y="1034"/>
            <a:ext cx="60" cy="119"/>
            <a:chOff x="11" y="1034"/>
            <a:chExt cx="60" cy="119"/>
          </a:xfrm>
        </xdr:grpSpPr>
        <xdr:sp macro="" textlink="">
          <xdr:nvSpPr>
            <xdr:cNvPr id="36" name="Rectangle 22"/>
            <xdr:cNvSpPr>
              <a:spLocks noChangeArrowheads="1"/>
            </xdr:cNvSpPr>
          </xdr:nvSpPr>
          <xdr:spPr bwMode="auto">
            <a:xfrm>
              <a:off x="11" y="1034"/>
              <a:ext cx="60" cy="119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37" name="Rectangle 23"/>
            <xdr:cNvSpPr>
              <a:spLocks noChangeArrowheads="1"/>
            </xdr:cNvSpPr>
          </xdr:nvSpPr>
          <xdr:spPr bwMode="auto">
            <a:xfrm>
              <a:off x="18" y="1040"/>
              <a:ext cx="11" cy="83"/>
            </a:xfrm>
            <a:prstGeom prst="rect">
              <a:avLst/>
            </a:prstGeom>
            <a:solidFill>
              <a:schemeClr val="accent1">
                <a:lumMod val="40000"/>
                <a:lumOff val="60000"/>
              </a:schemeClr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38" name="Rectangle 24"/>
            <xdr:cNvSpPr>
              <a:spLocks noChangeArrowheads="1"/>
            </xdr:cNvSpPr>
          </xdr:nvSpPr>
          <xdr:spPr bwMode="auto">
            <a:xfrm>
              <a:off x="36" y="1040"/>
              <a:ext cx="11" cy="83"/>
            </a:xfrm>
            <a:prstGeom prst="rect">
              <a:avLst/>
            </a:prstGeom>
            <a:solidFill>
              <a:schemeClr val="accent1">
                <a:lumMod val="40000"/>
                <a:lumOff val="60000"/>
              </a:schemeClr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39" name="Rectangle 25"/>
            <xdr:cNvSpPr>
              <a:spLocks noChangeArrowheads="1"/>
            </xdr:cNvSpPr>
          </xdr:nvSpPr>
          <xdr:spPr bwMode="auto">
            <a:xfrm>
              <a:off x="54" y="1040"/>
              <a:ext cx="11" cy="83"/>
            </a:xfrm>
            <a:prstGeom prst="rect">
              <a:avLst/>
            </a:prstGeom>
            <a:solidFill>
              <a:schemeClr val="accent1">
                <a:lumMod val="40000"/>
                <a:lumOff val="60000"/>
              </a:schemeClr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0" name="Line 26"/>
            <xdr:cNvSpPr>
              <a:spLocks noChangeShapeType="1"/>
            </xdr:cNvSpPr>
          </xdr:nvSpPr>
          <xdr:spPr bwMode="auto">
            <a:xfrm>
              <a:off x="56" y="1093"/>
              <a:ext cx="15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35" name="Rectangle 70"/>
          <xdr:cNvSpPr>
            <a:spLocks noChangeArrowheads="1"/>
          </xdr:cNvSpPr>
        </xdr:nvSpPr>
        <xdr:spPr bwMode="auto">
          <a:xfrm>
            <a:off x="18" y="1128"/>
            <a:ext cx="47" cy="19"/>
          </a:xfrm>
          <a:prstGeom prst="rect">
            <a:avLst/>
          </a:prstGeom>
          <a:solidFill>
            <a:srgbClr val="FFFFFF"/>
          </a:solidFill>
          <a:ln w="9525">
            <a:solidFill>
              <a:srgbClr val="C0C0C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35</xdr:col>
      <xdr:colOff>36679</xdr:colOff>
      <xdr:row>15</xdr:row>
      <xdr:rowOff>21000</xdr:rowOff>
    </xdr:from>
    <xdr:to>
      <xdr:col>35</xdr:col>
      <xdr:colOff>756679</xdr:colOff>
      <xdr:row>24</xdr:row>
      <xdr:rowOff>90625</xdr:rowOff>
    </xdr:to>
    <xdr:grpSp>
      <xdr:nvGrpSpPr>
        <xdr:cNvPr id="41" name="Group 74"/>
        <xdr:cNvGrpSpPr>
          <a:grpSpLocks/>
        </xdr:cNvGrpSpPr>
      </xdr:nvGrpSpPr>
      <xdr:grpSpPr bwMode="auto">
        <a:xfrm>
          <a:off x="712954" y="2888025"/>
          <a:ext cx="720000" cy="1803175"/>
          <a:chOff x="256" y="1033"/>
          <a:chExt cx="60" cy="119"/>
        </a:xfrm>
      </xdr:grpSpPr>
      <xdr:grpSp>
        <xdr:nvGrpSpPr>
          <xdr:cNvPr id="42" name="Group 54"/>
          <xdr:cNvGrpSpPr>
            <a:grpSpLocks/>
          </xdr:cNvGrpSpPr>
        </xdr:nvGrpSpPr>
        <xdr:grpSpPr bwMode="auto">
          <a:xfrm>
            <a:off x="256" y="1033"/>
            <a:ext cx="60" cy="119"/>
            <a:chOff x="256" y="1033"/>
            <a:chExt cx="60" cy="119"/>
          </a:xfrm>
        </xdr:grpSpPr>
        <xdr:sp macro="" textlink="">
          <xdr:nvSpPr>
            <xdr:cNvPr id="44" name="Rectangle 29"/>
            <xdr:cNvSpPr>
              <a:spLocks noChangeArrowheads="1"/>
            </xdr:cNvSpPr>
          </xdr:nvSpPr>
          <xdr:spPr bwMode="auto">
            <a:xfrm>
              <a:off x="256" y="1033"/>
              <a:ext cx="60" cy="119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5" name="Rectangle 30"/>
            <xdr:cNvSpPr>
              <a:spLocks noChangeArrowheads="1"/>
            </xdr:cNvSpPr>
          </xdr:nvSpPr>
          <xdr:spPr bwMode="auto">
            <a:xfrm>
              <a:off x="264" y="1039"/>
              <a:ext cx="11" cy="52"/>
            </a:xfrm>
            <a:prstGeom prst="rect">
              <a:avLst/>
            </a:prstGeom>
            <a:solidFill>
              <a:schemeClr val="accent1">
                <a:lumMod val="40000"/>
                <a:lumOff val="60000"/>
              </a:schemeClr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6" name="Rectangle 31"/>
            <xdr:cNvSpPr>
              <a:spLocks noChangeArrowheads="1"/>
            </xdr:cNvSpPr>
          </xdr:nvSpPr>
          <xdr:spPr bwMode="auto">
            <a:xfrm>
              <a:off x="281" y="1039"/>
              <a:ext cx="11" cy="52"/>
            </a:xfrm>
            <a:prstGeom prst="rect">
              <a:avLst/>
            </a:prstGeom>
            <a:solidFill>
              <a:schemeClr val="accent1">
                <a:lumMod val="40000"/>
                <a:lumOff val="60000"/>
              </a:schemeClr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7" name="Rectangle 32"/>
            <xdr:cNvSpPr>
              <a:spLocks noChangeArrowheads="1"/>
            </xdr:cNvSpPr>
          </xdr:nvSpPr>
          <xdr:spPr bwMode="auto">
            <a:xfrm>
              <a:off x="299" y="1039"/>
              <a:ext cx="10" cy="52"/>
            </a:xfrm>
            <a:prstGeom prst="rect">
              <a:avLst/>
            </a:prstGeom>
            <a:solidFill>
              <a:schemeClr val="accent1">
                <a:lumMod val="40000"/>
                <a:lumOff val="60000"/>
              </a:schemeClr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8" name="Line 33"/>
            <xdr:cNvSpPr>
              <a:spLocks noChangeShapeType="1"/>
            </xdr:cNvSpPr>
          </xdr:nvSpPr>
          <xdr:spPr bwMode="auto">
            <a:xfrm>
              <a:off x="301" y="1091"/>
              <a:ext cx="15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43" name="Rectangle 71"/>
          <xdr:cNvSpPr>
            <a:spLocks noChangeArrowheads="1"/>
          </xdr:cNvSpPr>
        </xdr:nvSpPr>
        <xdr:spPr bwMode="auto">
          <a:xfrm>
            <a:off x="263" y="1097"/>
            <a:ext cx="46" cy="49"/>
          </a:xfrm>
          <a:prstGeom prst="rect">
            <a:avLst/>
          </a:prstGeom>
          <a:solidFill>
            <a:srgbClr val="FFFFFF"/>
          </a:solidFill>
          <a:ln w="9525">
            <a:solidFill>
              <a:srgbClr val="C0C0C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39</xdr:col>
      <xdr:colOff>43195</xdr:colOff>
      <xdr:row>15</xdr:row>
      <xdr:rowOff>36035</xdr:rowOff>
    </xdr:from>
    <xdr:to>
      <xdr:col>39</xdr:col>
      <xdr:colOff>744145</xdr:colOff>
      <xdr:row>24</xdr:row>
      <xdr:rowOff>105660</xdr:rowOff>
    </xdr:to>
    <xdr:grpSp>
      <xdr:nvGrpSpPr>
        <xdr:cNvPr id="49" name="Group 78"/>
        <xdr:cNvGrpSpPr>
          <a:grpSpLocks/>
        </xdr:cNvGrpSpPr>
      </xdr:nvGrpSpPr>
      <xdr:grpSpPr bwMode="auto">
        <a:xfrm>
          <a:off x="3129295" y="2903060"/>
          <a:ext cx="700950" cy="1803175"/>
          <a:chOff x="846" y="1033"/>
          <a:chExt cx="60" cy="119"/>
        </a:xfrm>
      </xdr:grpSpPr>
      <xdr:grpSp>
        <xdr:nvGrpSpPr>
          <xdr:cNvPr id="50" name="Group 55"/>
          <xdr:cNvGrpSpPr>
            <a:grpSpLocks/>
          </xdr:cNvGrpSpPr>
        </xdr:nvGrpSpPr>
        <xdr:grpSpPr bwMode="auto">
          <a:xfrm>
            <a:off x="846" y="1033"/>
            <a:ext cx="60" cy="119"/>
            <a:chOff x="846" y="1033"/>
            <a:chExt cx="60" cy="119"/>
          </a:xfrm>
        </xdr:grpSpPr>
        <xdr:sp macro="" textlink="">
          <xdr:nvSpPr>
            <xdr:cNvPr id="52" name="Rectangle 49"/>
            <xdr:cNvSpPr>
              <a:spLocks noChangeArrowheads="1"/>
            </xdr:cNvSpPr>
          </xdr:nvSpPr>
          <xdr:spPr bwMode="auto">
            <a:xfrm>
              <a:off x="846" y="1033"/>
              <a:ext cx="60" cy="119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53" name="Rectangle 53"/>
            <xdr:cNvSpPr>
              <a:spLocks noChangeArrowheads="1"/>
            </xdr:cNvSpPr>
          </xdr:nvSpPr>
          <xdr:spPr bwMode="auto">
            <a:xfrm>
              <a:off x="852" y="1077"/>
              <a:ext cx="48" cy="15"/>
            </a:xfrm>
            <a:prstGeom prst="rect">
              <a:avLst/>
            </a:prstGeom>
            <a:solidFill>
              <a:schemeClr val="accent1">
                <a:lumMod val="40000"/>
                <a:lumOff val="60000"/>
              </a:schemeClr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54" name="Rectangle 50"/>
            <xdr:cNvSpPr>
              <a:spLocks noChangeArrowheads="1"/>
            </xdr:cNvSpPr>
          </xdr:nvSpPr>
          <xdr:spPr bwMode="auto">
            <a:xfrm>
              <a:off x="852" y="1039"/>
              <a:ext cx="48" cy="14"/>
            </a:xfrm>
            <a:prstGeom prst="rect">
              <a:avLst/>
            </a:prstGeom>
            <a:solidFill>
              <a:schemeClr val="accent1">
                <a:lumMod val="40000"/>
                <a:lumOff val="60000"/>
              </a:schemeClr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55" name="Line 51"/>
            <xdr:cNvSpPr>
              <a:spLocks noChangeShapeType="1"/>
            </xdr:cNvSpPr>
          </xdr:nvSpPr>
          <xdr:spPr bwMode="auto">
            <a:xfrm flipV="1">
              <a:off x="891" y="1093"/>
              <a:ext cx="14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56" name="Rectangle 52"/>
            <xdr:cNvSpPr>
              <a:spLocks noChangeArrowheads="1"/>
            </xdr:cNvSpPr>
          </xdr:nvSpPr>
          <xdr:spPr bwMode="auto">
            <a:xfrm>
              <a:off x="852" y="1058"/>
              <a:ext cx="48" cy="14"/>
            </a:xfrm>
            <a:prstGeom prst="rect">
              <a:avLst/>
            </a:prstGeom>
            <a:solidFill>
              <a:schemeClr val="accent1">
                <a:lumMod val="40000"/>
                <a:lumOff val="60000"/>
              </a:schemeClr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51" name="Rectangle 77"/>
          <xdr:cNvSpPr>
            <a:spLocks noChangeArrowheads="1"/>
          </xdr:cNvSpPr>
        </xdr:nvSpPr>
        <xdr:spPr bwMode="auto">
          <a:xfrm>
            <a:off x="853" y="1097"/>
            <a:ext cx="46" cy="49"/>
          </a:xfrm>
          <a:prstGeom prst="rect">
            <a:avLst/>
          </a:prstGeom>
          <a:solidFill>
            <a:srgbClr val="FFFFFF"/>
          </a:solidFill>
          <a:ln w="9525">
            <a:solidFill>
              <a:srgbClr val="C0C0C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35</xdr:col>
      <xdr:colOff>66883</xdr:colOff>
      <xdr:row>28</xdr:row>
      <xdr:rowOff>20732</xdr:rowOff>
    </xdr:from>
    <xdr:to>
      <xdr:col>35</xdr:col>
      <xdr:colOff>786883</xdr:colOff>
      <xdr:row>37</xdr:row>
      <xdr:rowOff>76925</xdr:rowOff>
    </xdr:to>
    <xdr:grpSp>
      <xdr:nvGrpSpPr>
        <xdr:cNvPr id="57" name="Group 89"/>
        <xdr:cNvGrpSpPr>
          <a:grpSpLocks/>
        </xdr:cNvGrpSpPr>
      </xdr:nvGrpSpPr>
      <xdr:grpSpPr bwMode="auto">
        <a:xfrm>
          <a:off x="743158" y="5383307"/>
          <a:ext cx="720000" cy="1808793"/>
          <a:chOff x="530" y="1204"/>
          <a:chExt cx="60" cy="119"/>
        </a:xfrm>
      </xdr:grpSpPr>
      <xdr:sp macro="" textlink="">
        <xdr:nvSpPr>
          <xdr:cNvPr id="58" name="Rectangle 79"/>
          <xdr:cNvSpPr>
            <a:spLocks noChangeArrowheads="1"/>
          </xdr:cNvSpPr>
        </xdr:nvSpPr>
        <xdr:spPr bwMode="auto">
          <a:xfrm>
            <a:off x="530" y="1204"/>
            <a:ext cx="60" cy="11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9" name="Rectangle 80"/>
          <xdr:cNvSpPr>
            <a:spLocks noChangeArrowheads="1"/>
          </xdr:cNvSpPr>
        </xdr:nvSpPr>
        <xdr:spPr bwMode="auto">
          <a:xfrm>
            <a:off x="536" y="1240"/>
            <a:ext cx="48" cy="77"/>
          </a:xfrm>
          <a:prstGeom prst="rect">
            <a:avLst/>
          </a:prstGeom>
          <a:solidFill>
            <a:srgbClr val="FFFFFF"/>
          </a:solidFill>
          <a:ln w="9525">
            <a:solidFill>
              <a:srgbClr val="C0C0C0"/>
            </a:solidFill>
            <a:miter lim="800000"/>
            <a:headEnd/>
            <a:tailEnd/>
          </a:ln>
        </xdr:spPr>
      </xdr:sp>
      <xdr:sp macro="" textlink="">
        <xdr:nvSpPr>
          <xdr:cNvPr id="60" name="Rectangle 81"/>
          <xdr:cNvSpPr>
            <a:spLocks noChangeArrowheads="1"/>
          </xdr:cNvSpPr>
        </xdr:nvSpPr>
        <xdr:spPr bwMode="auto">
          <a:xfrm>
            <a:off x="536" y="1224"/>
            <a:ext cx="48" cy="1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1" name="Line 82"/>
          <xdr:cNvSpPr>
            <a:spLocks noChangeShapeType="1"/>
          </xdr:cNvSpPr>
        </xdr:nvSpPr>
        <xdr:spPr bwMode="auto">
          <a:xfrm flipV="1">
            <a:off x="574" y="1264"/>
            <a:ext cx="15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2" name="Rectangle 88"/>
          <xdr:cNvSpPr>
            <a:spLocks noChangeArrowheads="1"/>
          </xdr:cNvSpPr>
        </xdr:nvSpPr>
        <xdr:spPr bwMode="auto">
          <a:xfrm>
            <a:off x="536" y="1209"/>
            <a:ext cx="48" cy="10"/>
          </a:xfrm>
          <a:prstGeom prst="rect">
            <a:avLst/>
          </a:prstGeom>
          <a:solidFill>
            <a:srgbClr val="FFFFFF"/>
          </a:solidFill>
          <a:ln w="9525">
            <a:solidFill>
              <a:srgbClr val="C0C0C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37</xdr:col>
      <xdr:colOff>53121</xdr:colOff>
      <xdr:row>28</xdr:row>
      <xdr:rowOff>33061</xdr:rowOff>
    </xdr:from>
    <xdr:to>
      <xdr:col>37</xdr:col>
      <xdr:colOff>773121</xdr:colOff>
      <xdr:row>37</xdr:row>
      <xdr:rowOff>70936</xdr:rowOff>
    </xdr:to>
    <xdr:grpSp>
      <xdr:nvGrpSpPr>
        <xdr:cNvPr id="63" name="Group 98"/>
        <xdr:cNvGrpSpPr>
          <a:grpSpLocks/>
        </xdr:cNvGrpSpPr>
      </xdr:nvGrpSpPr>
      <xdr:grpSpPr bwMode="auto">
        <a:xfrm>
          <a:off x="2062896" y="5395636"/>
          <a:ext cx="720000" cy="1790475"/>
          <a:chOff x="845" y="1203"/>
          <a:chExt cx="60" cy="119"/>
        </a:xfrm>
      </xdr:grpSpPr>
      <xdr:sp macro="" textlink="">
        <xdr:nvSpPr>
          <xdr:cNvPr id="64" name="Rectangle 92"/>
          <xdr:cNvSpPr>
            <a:spLocks noChangeArrowheads="1"/>
          </xdr:cNvSpPr>
        </xdr:nvSpPr>
        <xdr:spPr bwMode="auto">
          <a:xfrm>
            <a:off x="845" y="1203"/>
            <a:ext cx="60" cy="11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5" name="Rectangle 95"/>
          <xdr:cNvSpPr>
            <a:spLocks noChangeArrowheads="1"/>
          </xdr:cNvSpPr>
        </xdr:nvSpPr>
        <xdr:spPr bwMode="auto">
          <a:xfrm>
            <a:off x="852" y="1209"/>
            <a:ext cx="46" cy="52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6" name="Line 96"/>
          <xdr:cNvSpPr>
            <a:spLocks noChangeShapeType="1"/>
          </xdr:cNvSpPr>
        </xdr:nvSpPr>
        <xdr:spPr bwMode="auto">
          <a:xfrm>
            <a:off x="890" y="1264"/>
            <a:ext cx="15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7" name="Rectangle 97"/>
          <xdr:cNvSpPr>
            <a:spLocks noChangeArrowheads="1"/>
          </xdr:cNvSpPr>
        </xdr:nvSpPr>
        <xdr:spPr bwMode="auto">
          <a:xfrm>
            <a:off x="852" y="1267"/>
            <a:ext cx="46" cy="49"/>
          </a:xfrm>
          <a:prstGeom prst="rect">
            <a:avLst/>
          </a:prstGeom>
          <a:solidFill>
            <a:srgbClr val="FFFFFF"/>
          </a:solidFill>
          <a:ln w="9525">
            <a:solidFill>
              <a:srgbClr val="C0C0C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41</xdr:col>
      <xdr:colOff>61078</xdr:colOff>
      <xdr:row>2</xdr:row>
      <xdr:rowOff>22142</xdr:rowOff>
    </xdr:from>
    <xdr:to>
      <xdr:col>41</xdr:col>
      <xdr:colOff>752503</xdr:colOff>
      <xdr:row>11</xdr:row>
      <xdr:rowOff>106040</xdr:rowOff>
    </xdr:to>
    <xdr:sp macro="" textlink="">
      <xdr:nvSpPr>
        <xdr:cNvPr id="68" name="Rectangle 100"/>
        <xdr:cNvSpPr>
          <a:spLocks noChangeArrowheads="1"/>
        </xdr:cNvSpPr>
      </xdr:nvSpPr>
      <xdr:spPr bwMode="auto">
        <a:xfrm>
          <a:off x="4230097" y="410469"/>
          <a:ext cx="691425" cy="179839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116675</xdr:colOff>
      <xdr:row>2</xdr:row>
      <xdr:rowOff>79925</xdr:rowOff>
    </xdr:from>
    <xdr:to>
      <xdr:col>41</xdr:col>
      <xdr:colOff>605272</xdr:colOff>
      <xdr:row>11</xdr:row>
      <xdr:rowOff>29031</xdr:rowOff>
    </xdr:to>
    <xdr:sp macro="" textlink="">
      <xdr:nvSpPr>
        <xdr:cNvPr id="69" name="Rectangle 101"/>
        <xdr:cNvSpPr>
          <a:spLocks noChangeArrowheads="1"/>
        </xdr:cNvSpPr>
      </xdr:nvSpPr>
      <xdr:spPr bwMode="auto">
        <a:xfrm>
          <a:off x="4285694" y="468252"/>
          <a:ext cx="488597" cy="166360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39</xdr:col>
      <xdr:colOff>47752</xdr:colOff>
      <xdr:row>28</xdr:row>
      <xdr:rowOff>24967</xdr:rowOff>
    </xdr:from>
    <xdr:to>
      <xdr:col>39</xdr:col>
      <xdr:colOff>767752</xdr:colOff>
      <xdr:row>37</xdr:row>
      <xdr:rowOff>62842</xdr:rowOff>
    </xdr:to>
    <xdr:grpSp>
      <xdr:nvGrpSpPr>
        <xdr:cNvPr id="71" name="Group 149"/>
        <xdr:cNvGrpSpPr>
          <a:grpSpLocks/>
        </xdr:cNvGrpSpPr>
      </xdr:nvGrpSpPr>
      <xdr:grpSpPr bwMode="auto">
        <a:xfrm>
          <a:off x="3133852" y="5387542"/>
          <a:ext cx="720000" cy="1790475"/>
          <a:chOff x="11" y="1373"/>
          <a:chExt cx="60" cy="119"/>
        </a:xfrm>
      </xdr:grpSpPr>
      <xdr:sp macro="" textlink="">
        <xdr:nvSpPr>
          <xdr:cNvPr id="72" name="Rectangle 132"/>
          <xdr:cNvSpPr>
            <a:spLocks noChangeArrowheads="1"/>
          </xdr:cNvSpPr>
        </xdr:nvSpPr>
        <xdr:spPr bwMode="auto">
          <a:xfrm>
            <a:off x="11" y="1373"/>
            <a:ext cx="60" cy="11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3" name="Line 135"/>
          <xdr:cNvSpPr>
            <a:spLocks noChangeShapeType="1"/>
          </xdr:cNvSpPr>
        </xdr:nvSpPr>
        <xdr:spPr bwMode="auto">
          <a:xfrm flipV="1">
            <a:off x="55" y="1434"/>
            <a:ext cx="15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4" name="Rectangle 143"/>
          <xdr:cNvSpPr>
            <a:spLocks noChangeArrowheads="1"/>
          </xdr:cNvSpPr>
        </xdr:nvSpPr>
        <xdr:spPr bwMode="auto">
          <a:xfrm>
            <a:off x="17" y="1378"/>
            <a:ext cx="48" cy="2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5" name="Rectangle 144"/>
          <xdr:cNvSpPr>
            <a:spLocks noChangeArrowheads="1"/>
          </xdr:cNvSpPr>
        </xdr:nvSpPr>
        <xdr:spPr bwMode="auto">
          <a:xfrm>
            <a:off x="17" y="1407"/>
            <a:ext cx="48" cy="22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6" name="Rectangle 145"/>
          <xdr:cNvSpPr>
            <a:spLocks noChangeArrowheads="1"/>
          </xdr:cNvSpPr>
        </xdr:nvSpPr>
        <xdr:spPr bwMode="auto">
          <a:xfrm>
            <a:off x="17" y="1437"/>
            <a:ext cx="48" cy="2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7" name="Rectangle 146"/>
          <xdr:cNvSpPr>
            <a:spLocks noChangeArrowheads="1"/>
          </xdr:cNvSpPr>
        </xdr:nvSpPr>
        <xdr:spPr bwMode="auto">
          <a:xfrm>
            <a:off x="17" y="1465"/>
            <a:ext cx="48" cy="2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35</xdr:col>
      <xdr:colOff>61790</xdr:colOff>
      <xdr:row>41</xdr:row>
      <xdr:rowOff>22373</xdr:rowOff>
    </xdr:from>
    <xdr:to>
      <xdr:col>35</xdr:col>
      <xdr:colOff>781790</xdr:colOff>
      <xdr:row>50</xdr:row>
      <xdr:rowOff>100546</xdr:rowOff>
    </xdr:to>
    <xdr:grpSp>
      <xdr:nvGrpSpPr>
        <xdr:cNvPr id="78" name="171 Grupo"/>
        <xdr:cNvGrpSpPr>
          <a:grpSpLocks/>
        </xdr:cNvGrpSpPr>
      </xdr:nvGrpSpPr>
      <xdr:grpSpPr bwMode="auto">
        <a:xfrm>
          <a:off x="738065" y="7899548"/>
          <a:ext cx="720000" cy="1802198"/>
          <a:chOff x="469900" y="8245475"/>
          <a:chExt cx="1028700" cy="2260600"/>
        </a:xfrm>
      </xdr:grpSpPr>
      <xdr:sp macro="" textlink="">
        <xdr:nvSpPr>
          <xdr:cNvPr id="79" name="Rectangle 248"/>
          <xdr:cNvSpPr>
            <a:spLocks noChangeArrowheads="1"/>
          </xdr:cNvSpPr>
        </xdr:nvSpPr>
        <xdr:spPr bwMode="auto">
          <a:xfrm>
            <a:off x="469900" y="8245475"/>
            <a:ext cx="1028700" cy="22606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0" name="Rectangle 249"/>
          <xdr:cNvSpPr>
            <a:spLocks noChangeArrowheads="1"/>
          </xdr:cNvSpPr>
        </xdr:nvSpPr>
        <xdr:spPr bwMode="auto">
          <a:xfrm>
            <a:off x="1019175" y="8915400"/>
            <a:ext cx="381000" cy="43815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1" name="Line 251"/>
          <xdr:cNvSpPr>
            <a:spLocks noChangeShapeType="1"/>
          </xdr:cNvSpPr>
        </xdr:nvSpPr>
        <xdr:spPr bwMode="auto">
          <a:xfrm>
            <a:off x="1228725" y="9407072"/>
            <a:ext cx="266700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2" name="Rectangle 252"/>
          <xdr:cNvSpPr>
            <a:spLocks noChangeArrowheads="1"/>
          </xdr:cNvSpPr>
        </xdr:nvSpPr>
        <xdr:spPr bwMode="auto">
          <a:xfrm>
            <a:off x="571500" y="8343900"/>
            <a:ext cx="381000" cy="48260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3" name="Rectangle 254"/>
          <xdr:cNvSpPr>
            <a:spLocks noChangeArrowheads="1"/>
          </xdr:cNvSpPr>
        </xdr:nvSpPr>
        <xdr:spPr bwMode="auto">
          <a:xfrm>
            <a:off x="1019175" y="8343900"/>
            <a:ext cx="371475" cy="48260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4" name="Rectangle 258"/>
          <xdr:cNvSpPr>
            <a:spLocks noChangeArrowheads="1"/>
          </xdr:cNvSpPr>
        </xdr:nvSpPr>
        <xdr:spPr bwMode="auto">
          <a:xfrm>
            <a:off x="561975" y="8915400"/>
            <a:ext cx="390525" cy="43815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5" name="Rectangle 265"/>
          <xdr:cNvSpPr>
            <a:spLocks noChangeArrowheads="1"/>
          </xdr:cNvSpPr>
        </xdr:nvSpPr>
        <xdr:spPr bwMode="auto">
          <a:xfrm>
            <a:off x="561975" y="9448800"/>
            <a:ext cx="847725" cy="971550"/>
          </a:xfrm>
          <a:prstGeom prst="rect">
            <a:avLst/>
          </a:prstGeom>
          <a:solidFill>
            <a:srgbClr val="FFFFFF"/>
          </a:solidFill>
          <a:ln w="9525">
            <a:solidFill>
              <a:srgbClr val="C0C0C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43</xdr:col>
      <xdr:colOff>99647</xdr:colOff>
      <xdr:row>32</xdr:row>
      <xdr:rowOff>183173</xdr:rowOff>
    </xdr:from>
    <xdr:to>
      <xdr:col>43</xdr:col>
      <xdr:colOff>674077</xdr:colOff>
      <xdr:row>33</xdr:row>
      <xdr:rowOff>34435</xdr:rowOff>
    </xdr:to>
    <xdr:sp macro="" textlink="">
      <xdr:nvSpPr>
        <xdr:cNvPr id="90" name="Rectangle 225"/>
        <xdr:cNvSpPr>
          <a:spLocks noChangeArrowheads="1"/>
        </xdr:cNvSpPr>
      </xdr:nvSpPr>
      <xdr:spPr bwMode="auto">
        <a:xfrm>
          <a:off x="31004609" y="6711461"/>
          <a:ext cx="574430" cy="188301"/>
        </a:xfrm>
        <a:prstGeom prst="rect">
          <a:avLst/>
        </a:prstGeom>
        <a:solidFill>
          <a:srgbClr val="FFFFFF"/>
        </a:solidFill>
        <a:ln w="9525">
          <a:solidFill>
            <a:srgbClr val="C0C0C0"/>
          </a:solidFill>
          <a:miter lim="800000"/>
          <a:headEnd/>
          <a:tailEnd/>
        </a:ln>
      </xdr:spPr>
    </xdr:sp>
    <xdr:clientData/>
  </xdr:twoCellAnchor>
  <xdr:twoCellAnchor>
    <xdr:from>
      <xdr:col>39</xdr:col>
      <xdr:colOff>35829</xdr:colOff>
      <xdr:row>41</xdr:row>
      <xdr:rowOff>18423</xdr:rowOff>
    </xdr:from>
    <xdr:to>
      <xdr:col>39</xdr:col>
      <xdr:colOff>755829</xdr:colOff>
      <xdr:row>50</xdr:row>
      <xdr:rowOff>93897</xdr:rowOff>
    </xdr:to>
    <xdr:grpSp>
      <xdr:nvGrpSpPr>
        <xdr:cNvPr id="92" name="Group 402"/>
        <xdr:cNvGrpSpPr>
          <a:grpSpLocks/>
        </xdr:cNvGrpSpPr>
      </xdr:nvGrpSpPr>
      <xdr:grpSpPr bwMode="auto">
        <a:xfrm>
          <a:off x="3121929" y="7895598"/>
          <a:ext cx="720000" cy="1799499"/>
          <a:chOff x="1043" y="1014"/>
          <a:chExt cx="111" cy="238"/>
        </a:xfrm>
      </xdr:grpSpPr>
      <xdr:sp macro="" textlink="">
        <xdr:nvSpPr>
          <xdr:cNvPr id="93" name="Rectangle 57"/>
          <xdr:cNvSpPr>
            <a:spLocks noChangeArrowheads="1"/>
          </xdr:cNvSpPr>
        </xdr:nvSpPr>
        <xdr:spPr bwMode="auto">
          <a:xfrm>
            <a:off x="1043" y="1014"/>
            <a:ext cx="111" cy="238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94" name="Rectangle 68"/>
          <xdr:cNvSpPr>
            <a:spLocks noChangeArrowheads="1"/>
          </xdr:cNvSpPr>
        </xdr:nvSpPr>
        <xdr:spPr bwMode="auto">
          <a:xfrm>
            <a:off x="1054" y="1026"/>
            <a:ext cx="89" cy="216"/>
          </a:xfrm>
          <a:prstGeom prst="rect">
            <a:avLst/>
          </a:prstGeom>
          <a:solidFill>
            <a:srgbClr val="FFFFFF"/>
          </a:solidFill>
          <a:ln w="9525">
            <a:solidFill>
              <a:srgbClr val="969696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41</xdr:col>
      <xdr:colOff>643141</xdr:colOff>
      <xdr:row>6</xdr:row>
      <xdr:rowOff>148777</xdr:rowOff>
    </xdr:from>
    <xdr:to>
      <xdr:col>41</xdr:col>
      <xdr:colOff>789679</xdr:colOff>
      <xdr:row>6</xdr:row>
      <xdr:rowOff>149509</xdr:rowOff>
    </xdr:to>
    <xdr:sp macro="" textlink="">
      <xdr:nvSpPr>
        <xdr:cNvPr id="96" name="Line 8"/>
        <xdr:cNvSpPr>
          <a:spLocks noChangeShapeType="1"/>
        </xdr:cNvSpPr>
      </xdr:nvSpPr>
      <xdr:spPr bwMode="auto">
        <a:xfrm flipV="1">
          <a:off x="30964391" y="1312944"/>
          <a:ext cx="146538" cy="732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746771</xdr:colOff>
      <xdr:row>54</xdr:row>
      <xdr:rowOff>40481</xdr:rowOff>
    </xdr:from>
    <xdr:to>
      <xdr:col>38</xdr:col>
      <xdr:colOff>1017438</xdr:colOff>
      <xdr:row>54</xdr:row>
      <xdr:rowOff>40481</xdr:rowOff>
    </xdr:to>
    <xdr:sp macro="" textlink="">
      <xdr:nvSpPr>
        <xdr:cNvPr id="106" name="Line 251"/>
        <xdr:cNvSpPr>
          <a:spLocks noChangeShapeType="1"/>
        </xdr:cNvSpPr>
      </xdr:nvSpPr>
      <xdr:spPr bwMode="auto">
        <a:xfrm>
          <a:off x="2156471" y="11918156"/>
          <a:ext cx="270667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99647</xdr:colOff>
      <xdr:row>32</xdr:row>
      <xdr:rowOff>183173</xdr:rowOff>
    </xdr:from>
    <xdr:to>
      <xdr:col>43</xdr:col>
      <xdr:colOff>674077</xdr:colOff>
      <xdr:row>33</xdr:row>
      <xdr:rowOff>34435</xdr:rowOff>
    </xdr:to>
    <xdr:sp macro="" textlink="">
      <xdr:nvSpPr>
        <xdr:cNvPr id="124" name="Rectangle 225"/>
        <xdr:cNvSpPr>
          <a:spLocks noChangeArrowheads="1"/>
        </xdr:cNvSpPr>
      </xdr:nvSpPr>
      <xdr:spPr bwMode="auto">
        <a:xfrm>
          <a:off x="30985860" y="6674180"/>
          <a:ext cx="574430" cy="184637"/>
        </a:xfrm>
        <a:prstGeom prst="rect">
          <a:avLst/>
        </a:prstGeom>
        <a:solidFill>
          <a:srgbClr val="FFFFFF"/>
        </a:solidFill>
        <a:ln w="9525">
          <a:solidFill>
            <a:srgbClr val="C0C0C0"/>
          </a:solidFill>
          <a:miter lim="800000"/>
          <a:headEnd/>
          <a:tailEnd/>
        </a:ln>
      </xdr:spPr>
    </xdr:sp>
    <xdr:clientData/>
  </xdr:twoCellAnchor>
  <xdr:twoCellAnchor>
    <xdr:from>
      <xdr:col>43</xdr:col>
      <xdr:colOff>99647</xdr:colOff>
      <xdr:row>32</xdr:row>
      <xdr:rowOff>183173</xdr:rowOff>
    </xdr:from>
    <xdr:to>
      <xdr:col>43</xdr:col>
      <xdr:colOff>674077</xdr:colOff>
      <xdr:row>33</xdr:row>
      <xdr:rowOff>34435</xdr:rowOff>
    </xdr:to>
    <xdr:sp macro="" textlink="">
      <xdr:nvSpPr>
        <xdr:cNvPr id="132" name="Rectangle 225"/>
        <xdr:cNvSpPr>
          <a:spLocks noChangeArrowheads="1"/>
        </xdr:cNvSpPr>
      </xdr:nvSpPr>
      <xdr:spPr bwMode="auto">
        <a:xfrm>
          <a:off x="30985860" y="6674180"/>
          <a:ext cx="574430" cy="184637"/>
        </a:xfrm>
        <a:prstGeom prst="rect">
          <a:avLst/>
        </a:prstGeom>
        <a:solidFill>
          <a:srgbClr val="FFFFFF"/>
        </a:solidFill>
        <a:ln w="9525">
          <a:solidFill>
            <a:srgbClr val="C0C0C0"/>
          </a:solidFill>
          <a:miter lim="800000"/>
          <a:headEnd/>
          <a:tailEnd/>
        </a:ln>
      </xdr:spPr>
    </xdr:sp>
    <xdr:clientData/>
  </xdr:twoCellAnchor>
  <xdr:twoCellAnchor>
    <xdr:from>
      <xdr:col>43</xdr:col>
      <xdr:colOff>56541</xdr:colOff>
      <xdr:row>28</xdr:row>
      <xdr:rowOff>22653</xdr:rowOff>
    </xdr:from>
    <xdr:to>
      <xdr:col>43</xdr:col>
      <xdr:colOff>776541</xdr:colOff>
      <xdr:row>37</xdr:row>
      <xdr:rowOff>60528</xdr:rowOff>
    </xdr:to>
    <xdr:sp macro="" textlink="">
      <xdr:nvSpPr>
        <xdr:cNvPr id="139" name="Rectangle 151"/>
        <xdr:cNvSpPr>
          <a:spLocks noChangeArrowheads="1"/>
        </xdr:cNvSpPr>
      </xdr:nvSpPr>
      <xdr:spPr bwMode="auto">
        <a:xfrm>
          <a:off x="5247666" y="5392372"/>
          <a:ext cx="720000" cy="18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43</xdr:col>
      <xdr:colOff>110206</xdr:colOff>
      <xdr:row>35</xdr:row>
      <xdr:rowOff>123267</xdr:rowOff>
    </xdr:from>
    <xdr:to>
      <xdr:col>43</xdr:col>
      <xdr:colOff>708371</xdr:colOff>
      <xdr:row>36</xdr:row>
      <xdr:rowOff>188098</xdr:rowOff>
    </xdr:to>
    <xdr:sp macro="" textlink="">
      <xdr:nvSpPr>
        <xdr:cNvPr id="140" name="Rectangle 225"/>
        <xdr:cNvSpPr>
          <a:spLocks noChangeArrowheads="1"/>
        </xdr:cNvSpPr>
      </xdr:nvSpPr>
      <xdr:spPr bwMode="auto">
        <a:xfrm>
          <a:off x="5308935" y="6894822"/>
          <a:ext cx="598165" cy="256931"/>
        </a:xfrm>
        <a:prstGeom prst="rect">
          <a:avLst/>
        </a:prstGeom>
        <a:solidFill>
          <a:srgbClr val="FFFFFF"/>
        </a:solidFill>
        <a:ln w="9525">
          <a:solidFill>
            <a:srgbClr val="C0C0C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65934</xdr:colOff>
      <xdr:row>28</xdr:row>
      <xdr:rowOff>15365</xdr:rowOff>
    </xdr:from>
    <xdr:to>
      <xdr:col>41</xdr:col>
      <xdr:colOff>785934</xdr:colOff>
      <xdr:row>37</xdr:row>
      <xdr:rowOff>53240</xdr:rowOff>
    </xdr:to>
    <xdr:sp macro="" textlink="">
      <xdr:nvSpPr>
        <xdr:cNvPr id="147" name="Rectangle 151"/>
        <xdr:cNvSpPr>
          <a:spLocks noChangeArrowheads="1"/>
        </xdr:cNvSpPr>
      </xdr:nvSpPr>
      <xdr:spPr bwMode="auto">
        <a:xfrm>
          <a:off x="4221215" y="5385084"/>
          <a:ext cx="720000" cy="18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39</xdr:col>
      <xdr:colOff>639883</xdr:colOff>
      <xdr:row>45</xdr:row>
      <xdr:rowOff>160630</xdr:rowOff>
    </xdr:from>
    <xdr:to>
      <xdr:col>39</xdr:col>
      <xdr:colOff>826550</xdr:colOff>
      <xdr:row>45</xdr:row>
      <xdr:rowOff>160630</xdr:rowOff>
    </xdr:to>
    <xdr:sp macro="" textlink="">
      <xdr:nvSpPr>
        <xdr:cNvPr id="155" name="Line 251"/>
        <xdr:cNvSpPr>
          <a:spLocks noChangeShapeType="1"/>
        </xdr:cNvSpPr>
      </xdr:nvSpPr>
      <xdr:spPr bwMode="auto">
        <a:xfrm>
          <a:off x="29820673" y="8836000"/>
          <a:ext cx="186667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38703</xdr:colOff>
      <xdr:row>41</xdr:row>
      <xdr:rowOff>15868</xdr:rowOff>
    </xdr:from>
    <xdr:to>
      <xdr:col>37</xdr:col>
      <xdr:colOff>758703</xdr:colOff>
      <xdr:row>50</xdr:row>
      <xdr:rowOff>91342</xdr:rowOff>
    </xdr:to>
    <xdr:grpSp>
      <xdr:nvGrpSpPr>
        <xdr:cNvPr id="156" name="171 Grupo"/>
        <xdr:cNvGrpSpPr>
          <a:grpSpLocks/>
        </xdr:cNvGrpSpPr>
      </xdr:nvGrpSpPr>
      <xdr:grpSpPr bwMode="auto">
        <a:xfrm>
          <a:off x="2048478" y="7893043"/>
          <a:ext cx="720000" cy="1799499"/>
          <a:chOff x="469900" y="8245475"/>
          <a:chExt cx="1028700" cy="2260600"/>
        </a:xfrm>
      </xdr:grpSpPr>
      <xdr:sp macro="" textlink="">
        <xdr:nvSpPr>
          <xdr:cNvPr id="157" name="Rectangle 248"/>
          <xdr:cNvSpPr>
            <a:spLocks noChangeArrowheads="1"/>
          </xdr:cNvSpPr>
        </xdr:nvSpPr>
        <xdr:spPr bwMode="auto">
          <a:xfrm>
            <a:off x="469900" y="8245475"/>
            <a:ext cx="1028700" cy="22606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58" name="Rectangle 249"/>
          <xdr:cNvSpPr>
            <a:spLocks noChangeArrowheads="1"/>
          </xdr:cNvSpPr>
        </xdr:nvSpPr>
        <xdr:spPr bwMode="auto">
          <a:xfrm>
            <a:off x="1012835" y="8669460"/>
            <a:ext cx="381000" cy="27534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60" name="Rectangle 252"/>
          <xdr:cNvSpPr>
            <a:spLocks noChangeArrowheads="1"/>
          </xdr:cNvSpPr>
        </xdr:nvSpPr>
        <xdr:spPr bwMode="auto">
          <a:xfrm>
            <a:off x="571500" y="8343900"/>
            <a:ext cx="381000" cy="27534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61" name="Rectangle 254"/>
          <xdr:cNvSpPr>
            <a:spLocks noChangeArrowheads="1"/>
          </xdr:cNvSpPr>
        </xdr:nvSpPr>
        <xdr:spPr bwMode="auto">
          <a:xfrm>
            <a:off x="1019174" y="8343900"/>
            <a:ext cx="371475" cy="27534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62" name="Rectangle 258"/>
          <xdr:cNvSpPr>
            <a:spLocks noChangeArrowheads="1"/>
          </xdr:cNvSpPr>
        </xdr:nvSpPr>
        <xdr:spPr bwMode="auto">
          <a:xfrm>
            <a:off x="573809" y="8669459"/>
            <a:ext cx="390525" cy="27534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63" name="Rectangle 265"/>
          <xdr:cNvSpPr>
            <a:spLocks noChangeArrowheads="1"/>
          </xdr:cNvSpPr>
        </xdr:nvSpPr>
        <xdr:spPr bwMode="auto">
          <a:xfrm>
            <a:off x="561974" y="9050942"/>
            <a:ext cx="847725" cy="1369407"/>
          </a:xfrm>
          <a:prstGeom prst="rect">
            <a:avLst/>
          </a:prstGeom>
          <a:solidFill>
            <a:srgbClr val="FFFFFF"/>
          </a:solidFill>
          <a:ln w="9525">
            <a:solidFill>
              <a:srgbClr val="C0C0C0"/>
            </a:solidFill>
            <a:miter lim="800000"/>
            <a:headEnd/>
            <a:tailEnd/>
          </a:ln>
        </xdr:spPr>
      </xdr:sp>
      <xdr:sp macro="" textlink="">
        <xdr:nvSpPr>
          <xdr:cNvPr id="159" name="Line 251"/>
          <xdr:cNvSpPr>
            <a:spLocks noChangeShapeType="1"/>
          </xdr:cNvSpPr>
        </xdr:nvSpPr>
        <xdr:spPr bwMode="auto">
          <a:xfrm>
            <a:off x="1228725" y="9407072"/>
            <a:ext cx="266700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37</xdr:col>
      <xdr:colOff>132466</xdr:colOff>
      <xdr:row>15</xdr:row>
      <xdr:rowOff>132188</xdr:rowOff>
    </xdr:from>
    <xdr:to>
      <xdr:col>37</xdr:col>
      <xdr:colOff>264466</xdr:colOff>
      <xdr:row>17</xdr:row>
      <xdr:rowOff>102651</xdr:rowOff>
    </xdr:to>
    <xdr:sp macro="" textlink="">
      <xdr:nvSpPr>
        <xdr:cNvPr id="176" name="Rectangle 44"/>
        <xdr:cNvSpPr>
          <a:spLocks noChangeArrowheads="1"/>
        </xdr:cNvSpPr>
      </xdr:nvSpPr>
      <xdr:spPr bwMode="auto">
        <a:xfrm>
          <a:off x="2227966" y="3001594"/>
          <a:ext cx="132000" cy="351463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43</xdr:col>
      <xdr:colOff>98911</xdr:colOff>
      <xdr:row>28</xdr:row>
      <xdr:rowOff>122869</xdr:rowOff>
    </xdr:from>
    <xdr:to>
      <xdr:col>43</xdr:col>
      <xdr:colOff>401945</xdr:colOff>
      <xdr:row>30</xdr:row>
      <xdr:rowOff>95893</xdr:rowOff>
    </xdr:to>
    <xdr:sp macro="" textlink="">
      <xdr:nvSpPr>
        <xdr:cNvPr id="178" name="Rectangle 230"/>
        <xdr:cNvSpPr>
          <a:spLocks noChangeArrowheads="1"/>
        </xdr:cNvSpPr>
      </xdr:nvSpPr>
      <xdr:spPr bwMode="auto">
        <a:xfrm>
          <a:off x="5317608" y="5486948"/>
          <a:ext cx="303034" cy="354024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148514</xdr:colOff>
      <xdr:row>34</xdr:row>
      <xdr:rowOff>35719</xdr:rowOff>
    </xdr:from>
    <xdr:to>
      <xdr:col>41</xdr:col>
      <xdr:colOff>423972</xdr:colOff>
      <xdr:row>36</xdr:row>
      <xdr:rowOff>118953</xdr:rowOff>
    </xdr:to>
    <xdr:sp macro="" textlink="">
      <xdr:nvSpPr>
        <xdr:cNvPr id="188" name="Rectangle 230"/>
        <xdr:cNvSpPr>
          <a:spLocks noChangeArrowheads="1"/>
        </xdr:cNvSpPr>
      </xdr:nvSpPr>
      <xdr:spPr bwMode="auto">
        <a:xfrm>
          <a:off x="4303795" y="6572250"/>
          <a:ext cx="275458" cy="47614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322965</xdr:colOff>
      <xdr:row>15</xdr:row>
      <xdr:rowOff>132187</xdr:rowOff>
    </xdr:from>
    <xdr:to>
      <xdr:col>37</xdr:col>
      <xdr:colOff>454965</xdr:colOff>
      <xdr:row>17</xdr:row>
      <xdr:rowOff>102650</xdr:rowOff>
    </xdr:to>
    <xdr:sp macro="" textlink="">
      <xdr:nvSpPr>
        <xdr:cNvPr id="189" name="Rectangle 44"/>
        <xdr:cNvSpPr>
          <a:spLocks noChangeArrowheads="1"/>
        </xdr:cNvSpPr>
      </xdr:nvSpPr>
      <xdr:spPr bwMode="auto">
        <a:xfrm>
          <a:off x="2418465" y="3001593"/>
          <a:ext cx="132000" cy="351463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524314</xdr:colOff>
      <xdr:row>15</xdr:row>
      <xdr:rowOff>131129</xdr:rowOff>
    </xdr:from>
    <xdr:to>
      <xdr:col>37</xdr:col>
      <xdr:colOff>656314</xdr:colOff>
      <xdr:row>17</xdr:row>
      <xdr:rowOff>101592</xdr:rowOff>
    </xdr:to>
    <xdr:sp macro="" textlink="">
      <xdr:nvSpPr>
        <xdr:cNvPr id="190" name="Rectangle 44"/>
        <xdr:cNvSpPr>
          <a:spLocks noChangeArrowheads="1"/>
        </xdr:cNvSpPr>
      </xdr:nvSpPr>
      <xdr:spPr bwMode="auto">
        <a:xfrm>
          <a:off x="2619814" y="3000535"/>
          <a:ext cx="132000" cy="351463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141502</xdr:colOff>
      <xdr:row>31</xdr:row>
      <xdr:rowOff>88239</xdr:rowOff>
    </xdr:from>
    <xdr:to>
      <xdr:col>41</xdr:col>
      <xdr:colOff>416960</xdr:colOff>
      <xdr:row>33</xdr:row>
      <xdr:rowOff>171472</xdr:rowOff>
    </xdr:to>
    <xdr:sp macro="" textlink="">
      <xdr:nvSpPr>
        <xdr:cNvPr id="191" name="Rectangle 230"/>
        <xdr:cNvSpPr>
          <a:spLocks noChangeArrowheads="1"/>
        </xdr:cNvSpPr>
      </xdr:nvSpPr>
      <xdr:spPr bwMode="auto">
        <a:xfrm>
          <a:off x="4296783" y="6029458"/>
          <a:ext cx="275458" cy="476139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135152</xdr:colOff>
      <xdr:row>28</xdr:row>
      <xdr:rowOff>124222</xdr:rowOff>
    </xdr:from>
    <xdr:to>
      <xdr:col>41</xdr:col>
      <xdr:colOff>410610</xdr:colOff>
      <xdr:row>31</xdr:row>
      <xdr:rowOff>27539</xdr:rowOff>
    </xdr:to>
    <xdr:sp macro="" textlink="">
      <xdr:nvSpPr>
        <xdr:cNvPr id="192" name="Rectangle 230"/>
        <xdr:cNvSpPr>
          <a:spLocks noChangeArrowheads="1"/>
        </xdr:cNvSpPr>
      </xdr:nvSpPr>
      <xdr:spPr bwMode="auto">
        <a:xfrm>
          <a:off x="4290433" y="5493941"/>
          <a:ext cx="275458" cy="474817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447137</xdr:colOff>
      <xdr:row>28</xdr:row>
      <xdr:rowOff>132528</xdr:rowOff>
    </xdr:from>
    <xdr:to>
      <xdr:col>41</xdr:col>
      <xdr:colOff>722595</xdr:colOff>
      <xdr:row>31</xdr:row>
      <xdr:rowOff>35845</xdr:rowOff>
    </xdr:to>
    <xdr:sp macro="" textlink="">
      <xdr:nvSpPr>
        <xdr:cNvPr id="193" name="Rectangle 230"/>
        <xdr:cNvSpPr>
          <a:spLocks noChangeArrowheads="1"/>
        </xdr:cNvSpPr>
      </xdr:nvSpPr>
      <xdr:spPr bwMode="auto">
        <a:xfrm>
          <a:off x="4623098" y="5496607"/>
          <a:ext cx="275458" cy="474817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451370</xdr:colOff>
      <xdr:row>31</xdr:row>
      <xdr:rowOff>86944</xdr:rowOff>
    </xdr:from>
    <xdr:to>
      <xdr:col>41</xdr:col>
      <xdr:colOff>726828</xdr:colOff>
      <xdr:row>33</xdr:row>
      <xdr:rowOff>170177</xdr:rowOff>
    </xdr:to>
    <xdr:sp macro="" textlink="">
      <xdr:nvSpPr>
        <xdr:cNvPr id="194" name="Rectangle 230"/>
        <xdr:cNvSpPr>
          <a:spLocks noChangeArrowheads="1"/>
        </xdr:cNvSpPr>
      </xdr:nvSpPr>
      <xdr:spPr bwMode="auto">
        <a:xfrm>
          <a:off x="4627331" y="6022523"/>
          <a:ext cx="275458" cy="474259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471967</xdr:colOff>
      <xdr:row>34</xdr:row>
      <xdr:rowOff>42333</xdr:rowOff>
    </xdr:from>
    <xdr:to>
      <xdr:col>41</xdr:col>
      <xdr:colOff>747425</xdr:colOff>
      <xdr:row>36</xdr:row>
      <xdr:rowOff>125567</xdr:rowOff>
    </xdr:to>
    <xdr:sp macro="" textlink="">
      <xdr:nvSpPr>
        <xdr:cNvPr id="195" name="Rectangle 230"/>
        <xdr:cNvSpPr>
          <a:spLocks noChangeArrowheads="1"/>
        </xdr:cNvSpPr>
      </xdr:nvSpPr>
      <xdr:spPr bwMode="auto">
        <a:xfrm>
          <a:off x="4627248" y="6578864"/>
          <a:ext cx="275458" cy="47614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665911</xdr:colOff>
      <xdr:row>32</xdr:row>
      <xdr:rowOff>187320</xdr:rowOff>
    </xdr:from>
    <xdr:to>
      <xdr:col>41</xdr:col>
      <xdr:colOff>834560</xdr:colOff>
      <xdr:row>32</xdr:row>
      <xdr:rowOff>187320</xdr:rowOff>
    </xdr:to>
    <xdr:sp macro="" textlink="">
      <xdr:nvSpPr>
        <xdr:cNvPr id="174" name="Line 60"/>
        <xdr:cNvSpPr>
          <a:spLocks noChangeShapeType="1"/>
        </xdr:cNvSpPr>
      </xdr:nvSpPr>
      <xdr:spPr bwMode="auto">
        <a:xfrm>
          <a:off x="30987161" y="6325653"/>
          <a:ext cx="168649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102133</xdr:colOff>
      <xdr:row>30</xdr:row>
      <xdr:rowOff>169359</xdr:rowOff>
    </xdr:from>
    <xdr:to>
      <xdr:col>43</xdr:col>
      <xdr:colOff>405167</xdr:colOff>
      <xdr:row>32</xdr:row>
      <xdr:rowOff>181541</xdr:rowOff>
    </xdr:to>
    <xdr:sp macro="" textlink="">
      <xdr:nvSpPr>
        <xdr:cNvPr id="197" name="Rectangle 230"/>
        <xdr:cNvSpPr>
          <a:spLocks noChangeArrowheads="1"/>
        </xdr:cNvSpPr>
      </xdr:nvSpPr>
      <xdr:spPr bwMode="auto">
        <a:xfrm>
          <a:off x="5320830" y="5914438"/>
          <a:ext cx="303034" cy="393182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43</xdr:col>
      <xdr:colOff>98030</xdr:colOff>
      <xdr:row>33</xdr:row>
      <xdr:rowOff>41776</xdr:rowOff>
    </xdr:from>
    <xdr:to>
      <xdr:col>43</xdr:col>
      <xdr:colOff>401064</xdr:colOff>
      <xdr:row>35</xdr:row>
      <xdr:rowOff>43893</xdr:rowOff>
    </xdr:to>
    <xdr:sp macro="" textlink="">
      <xdr:nvSpPr>
        <xdr:cNvPr id="198" name="Rectangle 230"/>
        <xdr:cNvSpPr>
          <a:spLocks noChangeArrowheads="1"/>
        </xdr:cNvSpPr>
      </xdr:nvSpPr>
      <xdr:spPr bwMode="auto">
        <a:xfrm>
          <a:off x="5316727" y="6368381"/>
          <a:ext cx="303034" cy="40317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43</xdr:col>
      <xdr:colOff>436797</xdr:colOff>
      <xdr:row>28</xdr:row>
      <xdr:rowOff>124875</xdr:rowOff>
    </xdr:from>
    <xdr:to>
      <xdr:col>43</xdr:col>
      <xdr:colOff>739831</xdr:colOff>
      <xdr:row>30</xdr:row>
      <xdr:rowOff>97899</xdr:rowOff>
    </xdr:to>
    <xdr:sp macro="" textlink="">
      <xdr:nvSpPr>
        <xdr:cNvPr id="120" name="Rectangle 230"/>
        <xdr:cNvSpPr>
          <a:spLocks noChangeArrowheads="1"/>
        </xdr:cNvSpPr>
      </xdr:nvSpPr>
      <xdr:spPr bwMode="auto">
        <a:xfrm>
          <a:off x="5655494" y="5488954"/>
          <a:ext cx="303034" cy="354024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43</xdr:col>
      <xdr:colOff>440020</xdr:colOff>
      <xdr:row>30</xdr:row>
      <xdr:rowOff>171365</xdr:rowOff>
    </xdr:from>
    <xdr:to>
      <xdr:col>43</xdr:col>
      <xdr:colOff>743054</xdr:colOff>
      <xdr:row>32</xdr:row>
      <xdr:rowOff>183547</xdr:rowOff>
    </xdr:to>
    <xdr:sp macro="" textlink="">
      <xdr:nvSpPr>
        <xdr:cNvPr id="121" name="Rectangle 230"/>
        <xdr:cNvSpPr>
          <a:spLocks noChangeArrowheads="1"/>
        </xdr:cNvSpPr>
      </xdr:nvSpPr>
      <xdr:spPr bwMode="auto">
        <a:xfrm>
          <a:off x="5658717" y="5916444"/>
          <a:ext cx="303034" cy="393182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43</xdr:col>
      <xdr:colOff>435917</xdr:colOff>
      <xdr:row>33</xdr:row>
      <xdr:rowOff>38768</xdr:rowOff>
    </xdr:from>
    <xdr:to>
      <xdr:col>43</xdr:col>
      <xdr:colOff>738951</xdr:colOff>
      <xdr:row>35</xdr:row>
      <xdr:rowOff>40885</xdr:rowOff>
    </xdr:to>
    <xdr:sp macro="" textlink="">
      <xdr:nvSpPr>
        <xdr:cNvPr id="122" name="Rectangle 230"/>
        <xdr:cNvSpPr>
          <a:spLocks noChangeArrowheads="1"/>
        </xdr:cNvSpPr>
      </xdr:nvSpPr>
      <xdr:spPr bwMode="auto">
        <a:xfrm>
          <a:off x="5654614" y="6365373"/>
          <a:ext cx="303034" cy="40317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43</xdr:col>
      <xdr:colOff>682736</xdr:colOff>
      <xdr:row>32</xdr:row>
      <xdr:rowOff>174960</xdr:rowOff>
    </xdr:from>
    <xdr:to>
      <xdr:col>43</xdr:col>
      <xdr:colOff>794235</xdr:colOff>
      <xdr:row>32</xdr:row>
      <xdr:rowOff>174960</xdr:rowOff>
    </xdr:to>
    <xdr:sp macro="" textlink="">
      <xdr:nvSpPr>
        <xdr:cNvPr id="148" name="Line 60"/>
        <xdr:cNvSpPr>
          <a:spLocks noChangeShapeType="1"/>
        </xdr:cNvSpPr>
      </xdr:nvSpPr>
      <xdr:spPr bwMode="auto">
        <a:xfrm>
          <a:off x="5901433" y="6301039"/>
          <a:ext cx="111499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86361</xdr:colOff>
      <xdr:row>17</xdr:row>
      <xdr:rowOff>31295</xdr:rowOff>
    </xdr:from>
    <xdr:to>
      <xdr:col>37</xdr:col>
      <xdr:colOff>806361</xdr:colOff>
      <xdr:row>26</xdr:row>
      <xdr:rowOff>108858</xdr:rowOff>
    </xdr:to>
    <xdr:grpSp>
      <xdr:nvGrpSpPr>
        <xdr:cNvPr id="118" name="Group 73"/>
        <xdr:cNvGrpSpPr>
          <a:grpSpLocks/>
        </xdr:cNvGrpSpPr>
      </xdr:nvGrpSpPr>
      <xdr:grpSpPr bwMode="auto">
        <a:xfrm>
          <a:off x="1924686" y="3298370"/>
          <a:ext cx="720000" cy="1801588"/>
          <a:chOff x="529" y="1033"/>
          <a:chExt cx="60" cy="119"/>
        </a:xfrm>
      </xdr:grpSpPr>
      <xdr:sp macro="" textlink="">
        <xdr:nvSpPr>
          <xdr:cNvPr id="119" name="Rectangle 41"/>
          <xdr:cNvSpPr>
            <a:spLocks noChangeArrowheads="1"/>
          </xdr:cNvSpPr>
        </xdr:nvSpPr>
        <xdr:spPr bwMode="auto">
          <a:xfrm>
            <a:off x="529" y="1033"/>
            <a:ext cx="60" cy="11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0" name="Rectangle 72"/>
          <xdr:cNvSpPr>
            <a:spLocks noChangeArrowheads="1"/>
          </xdr:cNvSpPr>
        </xdr:nvSpPr>
        <xdr:spPr bwMode="auto">
          <a:xfrm>
            <a:off x="536" y="1069"/>
            <a:ext cx="46" cy="77"/>
          </a:xfrm>
          <a:prstGeom prst="rect">
            <a:avLst/>
          </a:prstGeom>
          <a:solidFill>
            <a:srgbClr val="FFFFFF"/>
          </a:solidFill>
          <a:ln w="9525">
            <a:solidFill>
              <a:srgbClr val="C0C0C0"/>
            </a:solidFill>
            <a:miter lim="800000"/>
            <a:headEnd/>
            <a:tailEnd/>
          </a:ln>
        </xdr:spPr>
      </xdr:sp>
      <xdr:sp macro="" textlink="">
        <xdr:nvSpPr>
          <xdr:cNvPr id="121" name="Line 45"/>
          <xdr:cNvSpPr>
            <a:spLocks noChangeShapeType="1"/>
          </xdr:cNvSpPr>
        </xdr:nvSpPr>
        <xdr:spPr bwMode="auto">
          <a:xfrm>
            <a:off x="574" y="1091"/>
            <a:ext cx="15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35</xdr:col>
      <xdr:colOff>118005</xdr:colOff>
      <xdr:row>2</xdr:row>
      <xdr:rowOff>20109</xdr:rowOff>
    </xdr:from>
    <xdr:to>
      <xdr:col>35</xdr:col>
      <xdr:colOff>838005</xdr:colOff>
      <xdr:row>11</xdr:row>
      <xdr:rowOff>104007</xdr:rowOff>
    </xdr:to>
    <xdr:grpSp>
      <xdr:nvGrpSpPr>
        <xdr:cNvPr id="122" name="Group 18"/>
        <xdr:cNvGrpSpPr>
          <a:grpSpLocks/>
        </xdr:cNvGrpSpPr>
      </xdr:nvGrpSpPr>
      <xdr:grpSpPr bwMode="auto">
        <a:xfrm>
          <a:off x="880005" y="401109"/>
          <a:ext cx="710475" cy="1798398"/>
          <a:chOff x="12" y="864"/>
          <a:chExt cx="82" cy="97"/>
        </a:xfrm>
      </xdr:grpSpPr>
      <xdr:sp macro="" textlink="">
        <xdr:nvSpPr>
          <xdr:cNvPr id="123" name="Rectangle 4"/>
          <xdr:cNvSpPr>
            <a:spLocks noChangeArrowheads="1"/>
          </xdr:cNvSpPr>
        </xdr:nvSpPr>
        <xdr:spPr bwMode="auto">
          <a:xfrm>
            <a:off x="12" y="864"/>
            <a:ext cx="82" cy="97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4" name="Rectangle 5"/>
          <xdr:cNvSpPr>
            <a:spLocks noChangeArrowheads="1"/>
          </xdr:cNvSpPr>
        </xdr:nvSpPr>
        <xdr:spPr bwMode="auto">
          <a:xfrm>
            <a:off x="19" y="868"/>
            <a:ext cx="68" cy="88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5" name="Line 9"/>
          <xdr:cNvSpPr>
            <a:spLocks noChangeShapeType="1"/>
          </xdr:cNvSpPr>
        </xdr:nvSpPr>
        <xdr:spPr bwMode="auto">
          <a:xfrm>
            <a:off x="77" y="913"/>
            <a:ext cx="15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37</xdr:col>
      <xdr:colOff>97896</xdr:colOff>
      <xdr:row>2</xdr:row>
      <xdr:rowOff>20106</xdr:rowOff>
    </xdr:from>
    <xdr:to>
      <xdr:col>37</xdr:col>
      <xdr:colOff>817896</xdr:colOff>
      <xdr:row>11</xdr:row>
      <xdr:rowOff>104004</xdr:rowOff>
    </xdr:to>
    <xdr:grpSp>
      <xdr:nvGrpSpPr>
        <xdr:cNvPr id="126" name="Group 19"/>
        <xdr:cNvGrpSpPr>
          <a:grpSpLocks/>
        </xdr:cNvGrpSpPr>
      </xdr:nvGrpSpPr>
      <xdr:grpSpPr bwMode="auto">
        <a:xfrm>
          <a:off x="1936221" y="401106"/>
          <a:ext cx="720000" cy="1798398"/>
          <a:chOff x="255" y="863"/>
          <a:chExt cx="60" cy="119"/>
        </a:xfrm>
      </xdr:grpSpPr>
      <xdr:sp macro="" textlink="">
        <xdr:nvSpPr>
          <xdr:cNvPr id="127" name="Rectangle 10"/>
          <xdr:cNvSpPr>
            <a:spLocks noChangeArrowheads="1"/>
          </xdr:cNvSpPr>
        </xdr:nvSpPr>
        <xdr:spPr bwMode="auto">
          <a:xfrm>
            <a:off x="255" y="863"/>
            <a:ext cx="60" cy="11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8" name="Rectangle 11"/>
          <xdr:cNvSpPr>
            <a:spLocks noChangeArrowheads="1"/>
          </xdr:cNvSpPr>
        </xdr:nvSpPr>
        <xdr:spPr bwMode="auto">
          <a:xfrm>
            <a:off x="261" y="926"/>
            <a:ext cx="48" cy="50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9" name="Line 12"/>
          <xdr:cNvSpPr>
            <a:spLocks noChangeShapeType="1"/>
          </xdr:cNvSpPr>
        </xdr:nvSpPr>
        <xdr:spPr bwMode="auto">
          <a:xfrm>
            <a:off x="299" y="922"/>
            <a:ext cx="15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30" name="Rectangle 13"/>
          <xdr:cNvSpPr>
            <a:spLocks noChangeArrowheads="1"/>
          </xdr:cNvSpPr>
        </xdr:nvSpPr>
        <xdr:spPr bwMode="auto">
          <a:xfrm>
            <a:off x="261" y="869"/>
            <a:ext cx="48" cy="50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39</xdr:col>
      <xdr:colOff>88899</xdr:colOff>
      <xdr:row>2</xdr:row>
      <xdr:rowOff>9523</xdr:rowOff>
    </xdr:from>
    <xdr:to>
      <xdr:col>39</xdr:col>
      <xdr:colOff>808899</xdr:colOff>
      <xdr:row>11</xdr:row>
      <xdr:rowOff>93421</xdr:rowOff>
    </xdr:to>
    <xdr:grpSp>
      <xdr:nvGrpSpPr>
        <xdr:cNvPr id="131" name="Group 20"/>
        <xdr:cNvGrpSpPr>
          <a:grpSpLocks/>
        </xdr:cNvGrpSpPr>
      </xdr:nvGrpSpPr>
      <xdr:grpSpPr bwMode="auto">
        <a:xfrm>
          <a:off x="3003549" y="390523"/>
          <a:ext cx="720000" cy="1798398"/>
          <a:chOff x="528" y="864"/>
          <a:chExt cx="60" cy="133"/>
        </a:xfrm>
      </xdr:grpSpPr>
      <xdr:sp macro="" textlink="">
        <xdr:nvSpPr>
          <xdr:cNvPr id="132" name="Rectangle 14"/>
          <xdr:cNvSpPr>
            <a:spLocks noChangeArrowheads="1"/>
          </xdr:cNvSpPr>
        </xdr:nvSpPr>
        <xdr:spPr bwMode="auto">
          <a:xfrm>
            <a:off x="528" y="864"/>
            <a:ext cx="60" cy="133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33" name="Rectangle 15"/>
          <xdr:cNvSpPr>
            <a:spLocks noChangeArrowheads="1"/>
          </xdr:cNvSpPr>
        </xdr:nvSpPr>
        <xdr:spPr bwMode="auto">
          <a:xfrm>
            <a:off x="535" y="870"/>
            <a:ext cx="11" cy="123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34" name="Rectangle 16"/>
          <xdr:cNvSpPr>
            <a:spLocks noChangeArrowheads="1"/>
          </xdr:cNvSpPr>
        </xdr:nvSpPr>
        <xdr:spPr bwMode="auto">
          <a:xfrm>
            <a:off x="553" y="870"/>
            <a:ext cx="11" cy="123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35" name="Rectangle 17"/>
          <xdr:cNvSpPr>
            <a:spLocks noChangeArrowheads="1"/>
          </xdr:cNvSpPr>
        </xdr:nvSpPr>
        <xdr:spPr bwMode="auto">
          <a:xfrm>
            <a:off x="571" y="870"/>
            <a:ext cx="11" cy="123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36" name="Line 8"/>
          <xdr:cNvSpPr>
            <a:spLocks noChangeShapeType="1"/>
          </xdr:cNvSpPr>
        </xdr:nvSpPr>
        <xdr:spPr bwMode="auto">
          <a:xfrm>
            <a:off x="573" y="930"/>
            <a:ext cx="15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41</xdr:col>
      <xdr:colOff>95515</xdr:colOff>
      <xdr:row>17</xdr:row>
      <xdr:rowOff>25690</xdr:rowOff>
    </xdr:from>
    <xdr:to>
      <xdr:col>41</xdr:col>
      <xdr:colOff>815515</xdr:colOff>
      <xdr:row>26</xdr:row>
      <xdr:rowOff>103253</xdr:rowOff>
    </xdr:to>
    <xdr:grpSp>
      <xdr:nvGrpSpPr>
        <xdr:cNvPr id="137" name="Group 402"/>
        <xdr:cNvGrpSpPr>
          <a:grpSpLocks/>
        </xdr:cNvGrpSpPr>
      </xdr:nvGrpSpPr>
      <xdr:grpSpPr bwMode="auto">
        <a:xfrm>
          <a:off x="4086490" y="3292765"/>
          <a:ext cx="720000" cy="1801588"/>
          <a:chOff x="1043" y="1014"/>
          <a:chExt cx="111" cy="238"/>
        </a:xfrm>
      </xdr:grpSpPr>
      <xdr:sp macro="" textlink="">
        <xdr:nvSpPr>
          <xdr:cNvPr id="138" name="Rectangle 57"/>
          <xdr:cNvSpPr>
            <a:spLocks noChangeArrowheads="1"/>
          </xdr:cNvSpPr>
        </xdr:nvSpPr>
        <xdr:spPr bwMode="auto">
          <a:xfrm>
            <a:off x="1043" y="1014"/>
            <a:ext cx="111" cy="238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39" name="Rectangle 68"/>
          <xdr:cNvSpPr>
            <a:spLocks noChangeArrowheads="1"/>
          </xdr:cNvSpPr>
        </xdr:nvSpPr>
        <xdr:spPr bwMode="auto">
          <a:xfrm>
            <a:off x="1054" y="1026"/>
            <a:ext cx="89" cy="216"/>
          </a:xfrm>
          <a:prstGeom prst="rect">
            <a:avLst/>
          </a:prstGeom>
          <a:solidFill>
            <a:srgbClr val="FFFFFF"/>
          </a:solidFill>
          <a:ln w="9525">
            <a:solidFill>
              <a:srgbClr val="969696"/>
            </a:solidFill>
            <a:miter lim="800000"/>
            <a:headEnd/>
            <a:tailEnd/>
          </a:ln>
        </xdr:spPr>
      </xdr:sp>
      <xdr:sp macro="" textlink="">
        <xdr:nvSpPr>
          <xdr:cNvPr id="140" name="Line 60"/>
          <xdr:cNvSpPr>
            <a:spLocks noChangeShapeType="1"/>
          </xdr:cNvSpPr>
        </xdr:nvSpPr>
        <xdr:spPr bwMode="auto">
          <a:xfrm>
            <a:off x="1126" y="1134"/>
            <a:ext cx="26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43</xdr:col>
      <xdr:colOff>92798</xdr:colOff>
      <xdr:row>17</xdr:row>
      <xdr:rowOff>21973</xdr:rowOff>
    </xdr:from>
    <xdr:to>
      <xdr:col>43</xdr:col>
      <xdr:colOff>812798</xdr:colOff>
      <xdr:row>26</xdr:row>
      <xdr:rowOff>99536</xdr:rowOff>
    </xdr:to>
    <xdr:grpSp>
      <xdr:nvGrpSpPr>
        <xdr:cNvPr id="141" name="Group 83"/>
        <xdr:cNvGrpSpPr>
          <a:grpSpLocks/>
        </xdr:cNvGrpSpPr>
      </xdr:nvGrpSpPr>
      <xdr:grpSpPr bwMode="auto">
        <a:xfrm>
          <a:off x="5160098" y="3289048"/>
          <a:ext cx="720000" cy="1801588"/>
          <a:chOff x="254" y="1204"/>
          <a:chExt cx="60" cy="119"/>
        </a:xfrm>
      </xdr:grpSpPr>
      <xdr:sp macro="" textlink="">
        <xdr:nvSpPr>
          <xdr:cNvPr id="142" name="Rectangle 63"/>
          <xdr:cNvSpPr>
            <a:spLocks noChangeArrowheads="1"/>
          </xdr:cNvSpPr>
        </xdr:nvSpPr>
        <xdr:spPr bwMode="auto">
          <a:xfrm>
            <a:off x="254" y="1204"/>
            <a:ext cx="60" cy="11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3" name="Rectangle 76"/>
          <xdr:cNvSpPr>
            <a:spLocks noChangeArrowheads="1"/>
          </xdr:cNvSpPr>
        </xdr:nvSpPr>
        <xdr:spPr bwMode="auto">
          <a:xfrm>
            <a:off x="260" y="1240"/>
            <a:ext cx="48" cy="77"/>
          </a:xfrm>
          <a:prstGeom prst="rect">
            <a:avLst/>
          </a:prstGeom>
          <a:solidFill>
            <a:srgbClr val="FFFFFF"/>
          </a:solidFill>
          <a:ln w="9525">
            <a:solidFill>
              <a:srgbClr val="C0C0C0"/>
            </a:solidFill>
            <a:miter lim="800000"/>
            <a:headEnd/>
            <a:tailEnd/>
          </a:ln>
        </xdr:spPr>
      </xdr:sp>
      <xdr:sp macro="" textlink="">
        <xdr:nvSpPr>
          <xdr:cNvPr id="144" name="Rectangle 65"/>
          <xdr:cNvSpPr>
            <a:spLocks noChangeArrowheads="1"/>
          </xdr:cNvSpPr>
        </xdr:nvSpPr>
        <xdr:spPr bwMode="auto">
          <a:xfrm>
            <a:off x="260" y="1210"/>
            <a:ext cx="48" cy="26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5" name="Line 66"/>
          <xdr:cNvSpPr>
            <a:spLocks noChangeShapeType="1"/>
          </xdr:cNvSpPr>
        </xdr:nvSpPr>
        <xdr:spPr bwMode="auto">
          <a:xfrm>
            <a:off x="299" y="1264"/>
            <a:ext cx="14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43</xdr:col>
      <xdr:colOff>69766</xdr:colOff>
      <xdr:row>2</xdr:row>
      <xdr:rowOff>9524</xdr:rowOff>
    </xdr:from>
    <xdr:to>
      <xdr:col>43</xdr:col>
      <xdr:colOff>789766</xdr:colOff>
      <xdr:row>11</xdr:row>
      <xdr:rowOff>93422</xdr:rowOff>
    </xdr:to>
    <xdr:grpSp>
      <xdr:nvGrpSpPr>
        <xdr:cNvPr id="146" name="Group 75"/>
        <xdr:cNvGrpSpPr>
          <a:grpSpLocks/>
        </xdr:cNvGrpSpPr>
      </xdr:nvGrpSpPr>
      <xdr:grpSpPr bwMode="auto">
        <a:xfrm>
          <a:off x="5137066" y="390524"/>
          <a:ext cx="720000" cy="1798398"/>
          <a:chOff x="11" y="1034"/>
          <a:chExt cx="60" cy="119"/>
        </a:xfrm>
      </xdr:grpSpPr>
      <xdr:grpSp>
        <xdr:nvGrpSpPr>
          <xdr:cNvPr id="147" name="Group 27"/>
          <xdr:cNvGrpSpPr>
            <a:grpSpLocks/>
          </xdr:cNvGrpSpPr>
        </xdr:nvGrpSpPr>
        <xdr:grpSpPr bwMode="auto">
          <a:xfrm>
            <a:off x="11" y="1034"/>
            <a:ext cx="60" cy="119"/>
            <a:chOff x="11" y="1034"/>
            <a:chExt cx="60" cy="119"/>
          </a:xfrm>
        </xdr:grpSpPr>
        <xdr:sp macro="" textlink="">
          <xdr:nvSpPr>
            <xdr:cNvPr id="149" name="Rectangle 22"/>
            <xdr:cNvSpPr>
              <a:spLocks noChangeArrowheads="1"/>
            </xdr:cNvSpPr>
          </xdr:nvSpPr>
          <xdr:spPr bwMode="auto">
            <a:xfrm>
              <a:off x="11" y="1034"/>
              <a:ext cx="60" cy="119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50" name="Rectangle 23"/>
            <xdr:cNvSpPr>
              <a:spLocks noChangeArrowheads="1"/>
            </xdr:cNvSpPr>
          </xdr:nvSpPr>
          <xdr:spPr bwMode="auto">
            <a:xfrm>
              <a:off x="18" y="1040"/>
              <a:ext cx="11" cy="83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51" name="Rectangle 24"/>
            <xdr:cNvSpPr>
              <a:spLocks noChangeArrowheads="1"/>
            </xdr:cNvSpPr>
          </xdr:nvSpPr>
          <xdr:spPr bwMode="auto">
            <a:xfrm>
              <a:off x="36" y="1040"/>
              <a:ext cx="11" cy="83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52" name="Rectangle 25"/>
            <xdr:cNvSpPr>
              <a:spLocks noChangeArrowheads="1"/>
            </xdr:cNvSpPr>
          </xdr:nvSpPr>
          <xdr:spPr bwMode="auto">
            <a:xfrm>
              <a:off x="54" y="1040"/>
              <a:ext cx="11" cy="83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53" name="Line 26"/>
            <xdr:cNvSpPr>
              <a:spLocks noChangeShapeType="1"/>
            </xdr:cNvSpPr>
          </xdr:nvSpPr>
          <xdr:spPr bwMode="auto">
            <a:xfrm>
              <a:off x="56" y="1093"/>
              <a:ext cx="15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148" name="Rectangle 70"/>
          <xdr:cNvSpPr>
            <a:spLocks noChangeArrowheads="1"/>
          </xdr:cNvSpPr>
        </xdr:nvSpPr>
        <xdr:spPr bwMode="auto">
          <a:xfrm>
            <a:off x="18" y="1128"/>
            <a:ext cx="47" cy="19"/>
          </a:xfrm>
          <a:prstGeom prst="rect">
            <a:avLst/>
          </a:prstGeom>
          <a:solidFill>
            <a:srgbClr val="FFFFFF"/>
          </a:solidFill>
          <a:ln w="9525">
            <a:solidFill>
              <a:srgbClr val="C0C0C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35</xdr:col>
      <xdr:colOff>102621</xdr:colOff>
      <xdr:row>17</xdr:row>
      <xdr:rowOff>35653</xdr:rowOff>
    </xdr:from>
    <xdr:to>
      <xdr:col>35</xdr:col>
      <xdr:colOff>822621</xdr:colOff>
      <xdr:row>26</xdr:row>
      <xdr:rowOff>113216</xdr:rowOff>
    </xdr:to>
    <xdr:grpSp>
      <xdr:nvGrpSpPr>
        <xdr:cNvPr id="154" name="Group 74"/>
        <xdr:cNvGrpSpPr>
          <a:grpSpLocks/>
        </xdr:cNvGrpSpPr>
      </xdr:nvGrpSpPr>
      <xdr:grpSpPr bwMode="auto">
        <a:xfrm>
          <a:off x="864621" y="3302728"/>
          <a:ext cx="720000" cy="1801588"/>
          <a:chOff x="256" y="1033"/>
          <a:chExt cx="60" cy="119"/>
        </a:xfrm>
      </xdr:grpSpPr>
      <xdr:grpSp>
        <xdr:nvGrpSpPr>
          <xdr:cNvPr id="155" name="Group 54"/>
          <xdr:cNvGrpSpPr>
            <a:grpSpLocks/>
          </xdr:cNvGrpSpPr>
        </xdr:nvGrpSpPr>
        <xdr:grpSpPr bwMode="auto">
          <a:xfrm>
            <a:off x="256" y="1033"/>
            <a:ext cx="60" cy="119"/>
            <a:chOff x="256" y="1033"/>
            <a:chExt cx="60" cy="119"/>
          </a:xfrm>
        </xdr:grpSpPr>
        <xdr:sp macro="" textlink="">
          <xdr:nvSpPr>
            <xdr:cNvPr id="157" name="Rectangle 29"/>
            <xdr:cNvSpPr>
              <a:spLocks noChangeArrowheads="1"/>
            </xdr:cNvSpPr>
          </xdr:nvSpPr>
          <xdr:spPr bwMode="auto">
            <a:xfrm>
              <a:off x="256" y="1033"/>
              <a:ext cx="60" cy="119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58" name="Rectangle 30"/>
            <xdr:cNvSpPr>
              <a:spLocks noChangeArrowheads="1"/>
            </xdr:cNvSpPr>
          </xdr:nvSpPr>
          <xdr:spPr bwMode="auto">
            <a:xfrm>
              <a:off x="264" y="1039"/>
              <a:ext cx="11" cy="5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59" name="Rectangle 31"/>
            <xdr:cNvSpPr>
              <a:spLocks noChangeArrowheads="1"/>
            </xdr:cNvSpPr>
          </xdr:nvSpPr>
          <xdr:spPr bwMode="auto">
            <a:xfrm>
              <a:off x="281" y="1039"/>
              <a:ext cx="11" cy="5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60" name="Rectangle 32"/>
            <xdr:cNvSpPr>
              <a:spLocks noChangeArrowheads="1"/>
            </xdr:cNvSpPr>
          </xdr:nvSpPr>
          <xdr:spPr bwMode="auto">
            <a:xfrm>
              <a:off x="299" y="1039"/>
              <a:ext cx="10" cy="5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61" name="Line 33"/>
            <xdr:cNvSpPr>
              <a:spLocks noChangeShapeType="1"/>
            </xdr:cNvSpPr>
          </xdr:nvSpPr>
          <xdr:spPr bwMode="auto">
            <a:xfrm>
              <a:off x="301" y="1091"/>
              <a:ext cx="15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156" name="Rectangle 71"/>
          <xdr:cNvSpPr>
            <a:spLocks noChangeArrowheads="1"/>
          </xdr:cNvSpPr>
        </xdr:nvSpPr>
        <xdr:spPr bwMode="auto">
          <a:xfrm>
            <a:off x="263" y="1097"/>
            <a:ext cx="46" cy="49"/>
          </a:xfrm>
          <a:prstGeom prst="rect">
            <a:avLst/>
          </a:prstGeom>
          <a:solidFill>
            <a:srgbClr val="FFFFFF"/>
          </a:solidFill>
          <a:ln w="9525">
            <a:solidFill>
              <a:srgbClr val="C0C0C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39</xdr:col>
      <xdr:colOff>101810</xdr:colOff>
      <xdr:row>17</xdr:row>
      <xdr:rowOff>36034</xdr:rowOff>
    </xdr:from>
    <xdr:to>
      <xdr:col>39</xdr:col>
      <xdr:colOff>821810</xdr:colOff>
      <xdr:row>26</xdr:row>
      <xdr:rowOff>113597</xdr:rowOff>
    </xdr:to>
    <xdr:grpSp>
      <xdr:nvGrpSpPr>
        <xdr:cNvPr id="162" name="Group 78"/>
        <xdr:cNvGrpSpPr>
          <a:grpSpLocks/>
        </xdr:cNvGrpSpPr>
      </xdr:nvGrpSpPr>
      <xdr:grpSpPr bwMode="auto">
        <a:xfrm>
          <a:off x="3016460" y="3303109"/>
          <a:ext cx="720000" cy="1801588"/>
          <a:chOff x="846" y="1033"/>
          <a:chExt cx="60" cy="119"/>
        </a:xfrm>
      </xdr:grpSpPr>
      <xdr:grpSp>
        <xdr:nvGrpSpPr>
          <xdr:cNvPr id="163" name="Group 55"/>
          <xdr:cNvGrpSpPr>
            <a:grpSpLocks/>
          </xdr:cNvGrpSpPr>
        </xdr:nvGrpSpPr>
        <xdr:grpSpPr bwMode="auto">
          <a:xfrm>
            <a:off x="846" y="1033"/>
            <a:ext cx="60" cy="119"/>
            <a:chOff x="846" y="1033"/>
            <a:chExt cx="60" cy="119"/>
          </a:xfrm>
        </xdr:grpSpPr>
        <xdr:sp macro="" textlink="">
          <xdr:nvSpPr>
            <xdr:cNvPr id="165" name="Rectangle 49"/>
            <xdr:cNvSpPr>
              <a:spLocks noChangeArrowheads="1"/>
            </xdr:cNvSpPr>
          </xdr:nvSpPr>
          <xdr:spPr bwMode="auto">
            <a:xfrm>
              <a:off x="846" y="1033"/>
              <a:ext cx="60" cy="119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66" name="Rectangle 53"/>
            <xdr:cNvSpPr>
              <a:spLocks noChangeArrowheads="1"/>
            </xdr:cNvSpPr>
          </xdr:nvSpPr>
          <xdr:spPr bwMode="auto">
            <a:xfrm>
              <a:off x="852" y="1077"/>
              <a:ext cx="48" cy="15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67" name="Rectangle 50"/>
            <xdr:cNvSpPr>
              <a:spLocks noChangeArrowheads="1"/>
            </xdr:cNvSpPr>
          </xdr:nvSpPr>
          <xdr:spPr bwMode="auto">
            <a:xfrm>
              <a:off x="852" y="1039"/>
              <a:ext cx="48" cy="14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68" name="Line 51"/>
            <xdr:cNvSpPr>
              <a:spLocks noChangeShapeType="1"/>
            </xdr:cNvSpPr>
          </xdr:nvSpPr>
          <xdr:spPr bwMode="auto">
            <a:xfrm flipV="1">
              <a:off x="891" y="1093"/>
              <a:ext cx="14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69" name="Rectangle 52"/>
            <xdr:cNvSpPr>
              <a:spLocks noChangeArrowheads="1"/>
            </xdr:cNvSpPr>
          </xdr:nvSpPr>
          <xdr:spPr bwMode="auto">
            <a:xfrm>
              <a:off x="852" y="1058"/>
              <a:ext cx="48" cy="14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164" name="Rectangle 77"/>
          <xdr:cNvSpPr>
            <a:spLocks noChangeArrowheads="1"/>
          </xdr:cNvSpPr>
        </xdr:nvSpPr>
        <xdr:spPr bwMode="auto">
          <a:xfrm>
            <a:off x="853" y="1097"/>
            <a:ext cx="46" cy="49"/>
          </a:xfrm>
          <a:prstGeom prst="rect">
            <a:avLst/>
          </a:prstGeom>
          <a:solidFill>
            <a:srgbClr val="FFFFFF"/>
          </a:solidFill>
          <a:ln w="9525">
            <a:solidFill>
              <a:srgbClr val="C0C0C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35</xdr:col>
      <xdr:colOff>87490</xdr:colOff>
      <xdr:row>32</xdr:row>
      <xdr:rowOff>35386</xdr:rowOff>
    </xdr:from>
    <xdr:to>
      <xdr:col>35</xdr:col>
      <xdr:colOff>807490</xdr:colOff>
      <xdr:row>41</xdr:row>
      <xdr:rowOff>57386</xdr:rowOff>
    </xdr:to>
    <xdr:grpSp>
      <xdr:nvGrpSpPr>
        <xdr:cNvPr id="170" name="Group 89"/>
        <xdr:cNvGrpSpPr>
          <a:grpSpLocks/>
        </xdr:cNvGrpSpPr>
      </xdr:nvGrpSpPr>
      <xdr:grpSpPr bwMode="auto">
        <a:xfrm>
          <a:off x="849490" y="6179011"/>
          <a:ext cx="720000" cy="1803175"/>
          <a:chOff x="530" y="1204"/>
          <a:chExt cx="60" cy="119"/>
        </a:xfrm>
      </xdr:grpSpPr>
      <xdr:sp macro="" textlink="">
        <xdr:nvSpPr>
          <xdr:cNvPr id="171" name="Rectangle 79"/>
          <xdr:cNvSpPr>
            <a:spLocks noChangeArrowheads="1"/>
          </xdr:cNvSpPr>
        </xdr:nvSpPr>
        <xdr:spPr bwMode="auto">
          <a:xfrm>
            <a:off x="530" y="1204"/>
            <a:ext cx="60" cy="11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72" name="Rectangle 80"/>
          <xdr:cNvSpPr>
            <a:spLocks noChangeArrowheads="1"/>
          </xdr:cNvSpPr>
        </xdr:nvSpPr>
        <xdr:spPr bwMode="auto">
          <a:xfrm>
            <a:off x="536" y="1240"/>
            <a:ext cx="48" cy="77"/>
          </a:xfrm>
          <a:prstGeom prst="rect">
            <a:avLst/>
          </a:prstGeom>
          <a:solidFill>
            <a:srgbClr val="FFFFFF"/>
          </a:solidFill>
          <a:ln w="9525">
            <a:solidFill>
              <a:srgbClr val="C0C0C0"/>
            </a:solidFill>
            <a:miter lim="800000"/>
            <a:headEnd/>
            <a:tailEnd/>
          </a:ln>
        </xdr:spPr>
      </xdr:sp>
      <xdr:sp macro="" textlink="">
        <xdr:nvSpPr>
          <xdr:cNvPr id="173" name="Rectangle 81"/>
          <xdr:cNvSpPr>
            <a:spLocks noChangeArrowheads="1"/>
          </xdr:cNvSpPr>
        </xdr:nvSpPr>
        <xdr:spPr bwMode="auto">
          <a:xfrm>
            <a:off x="536" y="1224"/>
            <a:ext cx="48" cy="11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74" name="Line 82"/>
          <xdr:cNvSpPr>
            <a:spLocks noChangeShapeType="1"/>
          </xdr:cNvSpPr>
        </xdr:nvSpPr>
        <xdr:spPr bwMode="auto">
          <a:xfrm flipV="1">
            <a:off x="574" y="1264"/>
            <a:ext cx="15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75" name="Rectangle 88"/>
          <xdr:cNvSpPr>
            <a:spLocks noChangeArrowheads="1"/>
          </xdr:cNvSpPr>
        </xdr:nvSpPr>
        <xdr:spPr bwMode="auto">
          <a:xfrm>
            <a:off x="536" y="1209"/>
            <a:ext cx="48" cy="10"/>
          </a:xfrm>
          <a:prstGeom prst="rect">
            <a:avLst/>
          </a:prstGeom>
          <a:solidFill>
            <a:srgbClr val="FFFFFF"/>
          </a:solidFill>
          <a:ln w="9525">
            <a:solidFill>
              <a:srgbClr val="C0C0C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37</xdr:col>
      <xdr:colOff>100745</xdr:colOff>
      <xdr:row>32</xdr:row>
      <xdr:rowOff>33061</xdr:rowOff>
    </xdr:from>
    <xdr:to>
      <xdr:col>37</xdr:col>
      <xdr:colOff>820745</xdr:colOff>
      <xdr:row>41</xdr:row>
      <xdr:rowOff>55061</xdr:rowOff>
    </xdr:to>
    <xdr:grpSp>
      <xdr:nvGrpSpPr>
        <xdr:cNvPr id="176" name="Group 98"/>
        <xdr:cNvGrpSpPr>
          <a:grpSpLocks/>
        </xdr:cNvGrpSpPr>
      </xdr:nvGrpSpPr>
      <xdr:grpSpPr bwMode="auto">
        <a:xfrm>
          <a:off x="1939070" y="6176686"/>
          <a:ext cx="720000" cy="1803175"/>
          <a:chOff x="845" y="1203"/>
          <a:chExt cx="60" cy="119"/>
        </a:xfrm>
      </xdr:grpSpPr>
      <xdr:sp macro="" textlink="">
        <xdr:nvSpPr>
          <xdr:cNvPr id="177" name="Rectangle 92"/>
          <xdr:cNvSpPr>
            <a:spLocks noChangeArrowheads="1"/>
          </xdr:cNvSpPr>
        </xdr:nvSpPr>
        <xdr:spPr bwMode="auto">
          <a:xfrm>
            <a:off x="845" y="1203"/>
            <a:ext cx="60" cy="11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78" name="Rectangle 95"/>
          <xdr:cNvSpPr>
            <a:spLocks noChangeArrowheads="1"/>
          </xdr:cNvSpPr>
        </xdr:nvSpPr>
        <xdr:spPr bwMode="auto">
          <a:xfrm>
            <a:off x="852" y="1209"/>
            <a:ext cx="46" cy="52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79" name="Line 96"/>
          <xdr:cNvSpPr>
            <a:spLocks noChangeShapeType="1"/>
          </xdr:cNvSpPr>
        </xdr:nvSpPr>
        <xdr:spPr bwMode="auto">
          <a:xfrm>
            <a:off x="890" y="1264"/>
            <a:ext cx="15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80" name="Rectangle 97"/>
          <xdr:cNvSpPr>
            <a:spLocks noChangeArrowheads="1"/>
          </xdr:cNvSpPr>
        </xdr:nvSpPr>
        <xdr:spPr bwMode="auto">
          <a:xfrm>
            <a:off x="852" y="1267"/>
            <a:ext cx="46" cy="49"/>
          </a:xfrm>
          <a:prstGeom prst="rect">
            <a:avLst/>
          </a:prstGeom>
          <a:solidFill>
            <a:srgbClr val="FFFFFF"/>
          </a:solidFill>
          <a:ln w="9525">
            <a:solidFill>
              <a:srgbClr val="C0C0C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41</xdr:col>
      <xdr:colOff>105040</xdr:colOff>
      <xdr:row>2</xdr:row>
      <xdr:rowOff>14815</xdr:rowOff>
    </xdr:from>
    <xdr:to>
      <xdr:col>41</xdr:col>
      <xdr:colOff>825040</xdr:colOff>
      <xdr:row>11</xdr:row>
      <xdr:rowOff>98713</xdr:rowOff>
    </xdr:to>
    <xdr:sp macro="" textlink="">
      <xdr:nvSpPr>
        <xdr:cNvPr id="181" name="Rectangle 100"/>
        <xdr:cNvSpPr>
          <a:spLocks noChangeArrowheads="1"/>
        </xdr:cNvSpPr>
      </xdr:nvSpPr>
      <xdr:spPr bwMode="auto">
        <a:xfrm>
          <a:off x="30423115" y="405340"/>
          <a:ext cx="720000" cy="179839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153311</xdr:colOff>
      <xdr:row>2</xdr:row>
      <xdr:rowOff>72598</xdr:rowOff>
    </xdr:from>
    <xdr:to>
      <xdr:col>41</xdr:col>
      <xdr:colOff>514351</xdr:colOff>
      <xdr:row>11</xdr:row>
      <xdr:rowOff>21704</xdr:rowOff>
    </xdr:to>
    <xdr:sp macro="" textlink="">
      <xdr:nvSpPr>
        <xdr:cNvPr id="182" name="Rectangle 101"/>
        <xdr:cNvSpPr>
          <a:spLocks noChangeArrowheads="1"/>
        </xdr:cNvSpPr>
      </xdr:nvSpPr>
      <xdr:spPr bwMode="auto">
        <a:xfrm>
          <a:off x="25023086" y="453598"/>
          <a:ext cx="361040" cy="166360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39</xdr:col>
      <xdr:colOff>89423</xdr:colOff>
      <xdr:row>32</xdr:row>
      <xdr:rowOff>24966</xdr:rowOff>
    </xdr:from>
    <xdr:to>
      <xdr:col>39</xdr:col>
      <xdr:colOff>809423</xdr:colOff>
      <xdr:row>41</xdr:row>
      <xdr:rowOff>46966</xdr:rowOff>
    </xdr:to>
    <xdr:grpSp>
      <xdr:nvGrpSpPr>
        <xdr:cNvPr id="183" name="Group 149"/>
        <xdr:cNvGrpSpPr>
          <a:grpSpLocks/>
        </xdr:cNvGrpSpPr>
      </xdr:nvGrpSpPr>
      <xdr:grpSpPr bwMode="auto">
        <a:xfrm>
          <a:off x="3004073" y="6168591"/>
          <a:ext cx="720000" cy="1803175"/>
          <a:chOff x="11" y="1373"/>
          <a:chExt cx="60" cy="119"/>
        </a:xfrm>
      </xdr:grpSpPr>
      <xdr:sp macro="" textlink="">
        <xdr:nvSpPr>
          <xdr:cNvPr id="184" name="Rectangle 132"/>
          <xdr:cNvSpPr>
            <a:spLocks noChangeArrowheads="1"/>
          </xdr:cNvSpPr>
        </xdr:nvSpPr>
        <xdr:spPr bwMode="auto">
          <a:xfrm>
            <a:off x="11" y="1373"/>
            <a:ext cx="60" cy="11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85" name="Line 135"/>
          <xdr:cNvSpPr>
            <a:spLocks noChangeShapeType="1"/>
          </xdr:cNvSpPr>
        </xdr:nvSpPr>
        <xdr:spPr bwMode="auto">
          <a:xfrm flipV="1">
            <a:off x="55" y="1434"/>
            <a:ext cx="15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86" name="Rectangle 143"/>
          <xdr:cNvSpPr>
            <a:spLocks noChangeArrowheads="1"/>
          </xdr:cNvSpPr>
        </xdr:nvSpPr>
        <xdr:spPr bwMode="auto">
          <a:xfrm>
            <a:off x="17" y="1378"/>
            <a:ext cx="48" cy="21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87" name="Rectangle 144"/>
          <xdr:cNvSpPr>
            <a:spLocks noChangeArrowheads="1"/>
          </xdr:cNvSpPr>
        </xdr:nvSpPr>
        <xdr:spPr bwMode="auto">
          <a:xfrm>
            <a:off x="17" y="1407"/>
            <a:ext cx="48" cy="22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88" name="Rectangle 145"/>
          <xdr:cNvSpPr>
            <a:spLocks noChangeArrowheads="1"/>
          </xdr:cNvSpPr>
        </xdr:nvSpPr>
        <xdr:spPr bwMode="auto">
          <a:xfrm>
            <a:off x="17" y="1437"/>
            <a:ext cx="48" cy="21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89" name="Rectangle 146"/>
          <xdr:cNvSpPr>
            <a:spLocks noChangeArrowheads="1"/>
          </xdr:cNvSpPr>
        </xdr:nvSpPr>
        <xdr:spPr bwMode="auto">
          <a:xfrm>
            <a:off x="17" y="1465"/>
            <a:ext cx="48" cy="21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35</xdr:col>
      <xdr:colOff>108837</xdr:colOff>
      <xdr:row>47</xdr:row>
      <xdr:rowOff>15048</xdr:rowOff>
    </xdr:from>
    <xdr:to>
      <xdr:col>35</xdr:col>
      <xdr:colOff>828837</xdr:colOff>
      <xdr:row>56</xdr:row>
      <xdr:rowOff>68798</xdr:rowOff>
    </xdr:to>
    <xdr:grpSp>
      <xdr:nvGrpSpPr>
        <xdr:cNvPr id="190" name="171 Grupo"/>
        <xdr:cNvGrpSpPr>
          <a:grpSpLocks/>
        </xdr:cNvGrpSpPr>
      </xdr:nvGrpSpPr>
      <xdr:grpSpPr bwMode="auto">
        <a:xfrm>
          <a:off x="870837" y="9082848"/>
          <a:ext cx="720000" cy="1806350"/>
          <a:chOff x="469900" y="8245475"/>
          <a:chExt cx="1028700" cy="2260600"/>
        </a:xfrm>
      </xdr:grpSpPr>
      <xdr:sp macro="" textlink="">
        <xdr:nvSpPr>
          <xdr:cNvPr id="191" name="Rectangle 248"/>
          <xdr:cNvSpPr>
            <a:spLocks noChangeArrowheads="1"/>
          </xdr:cNvSpPr>
        </xdr:nvSpPr>
        <xdr:spPr bwMode="auto">
          <a:xfrm>
            <a:off x="469900" y="8245475"/>
            <a:ext cx="1028700" cy="22606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92" name="Rectangle 249"/>
          <xdr:cNvSpPr>
            <a:spLocks noChangeArrowheads="1"/>
          </xdr:cNvSpPr>
        </xdr:nvSpPr>
        <xdr:spPr bwMode="auto">
          <a:xfrm>
            <a:off x="1019175" y="8915400"/>
            <a:ext cx="381000" cy="438150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93" name="Line 251"/>
          <xdr:cNvSpPr>
            <a:spLocks noChangeShapeType="1"/>
          </xdr:cNvSpPr>
        </xdr:nvSpPr>
        <xdr:spPr bwMode="auto">
          <a:xfrm>
            <a:off x="1228725" y="9407072"/>
            <a:ext cx="266700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4" name="Rectangle 252"/>
          <xdr:cNvSpPr>
            <a:spLocks noChangeArrowheads="1"/>
          </xdr:cNvSpPr>
        </xdr:nvSpPr>
        <xdr:spPr bwMode="auto">
          <a:xfrm>
            <a:off x="571500" y="8343900"/>
            <a:ext cx="381000" cy="482600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95" name="Rectangle 254"/>
          <xdr:cNvSpPr>
            <a:spLocks noChangeArrowheads="1"/>
          </xdr:cNvSpPr>
        </xdr:nvSpPr>
        <xdr:spPr bwMode="auto">
          <a:xfrm>
            <a:off x="1019175" y="8343900"/>
            <a:ext cx="371475" cy="482600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96" name="Rectangle 258"/>
          <xdr:cNvSpPr>
            <a:spLocks noChangeArrowheads="1"/>
          </xdr:cNvSpPr>
        </xdr:nvSpPr>
        <xdr:spPr bwMode="auto">
          <a:xfrm>
            <a:off x="561975" y="8915400"/>
            <a:ext cx="390525" cy="438150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97" name="Rectangle 265"/>
          <xdr:cNvSpPr>
            <a:spLocks noChangeArrowheads="1"/>
          </xdr:cNvSpPr>
        </xdr:nvSpPr>
        <xdr:spPr bwMode="auto">
          <a:xfrm>
            <a:off x="561975" y="9448800"/>
            <a:ext cx="847725" cy="971550"/>
          </a:xfrm>
          <a:prstGeom prst="rect">
            <a:avLst/>
          </a:prstGeom>
          <a:solidFill>
            <a:srgbClr val="FFFFFF"/>
          </a:solidFill>
          <a:ln w="9525">
            <a:solidFill>
              <a:srgbClr val="C0C0C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43</xdr:col>
      <xdr:colOff>99647</xdr:colOff>
      <xdr:row>36</xdr:row>
      <xdr:rowOff>183173</xdr:rowOff>
    </xdr:from>
    <xdr:to>
      <xdr:col>43</xdr:col>
      <xdr:colOff>674077</xdr:colOff>
      <xdr:row>37</xdr:row>
      <xdr:rowOff>34435</xdr:rowOff>
    </xdr:to>
    <xdr:sp macro="" textlink="">
      <xdr:nvSpPr>
        <xdr:cNvPr id="198" name="Rectangle 225"/>
        <xdr:cNvSpPr>
          <a:spLocks noChangeArrowheads="1"/>
        </xdr:cNvSpPr>
      </xdr:nvSpPr>
      <xdr:spPr bwMode="auto">
        <a:xfrm>
          <a:off x="31570247" y="6307748"/>
          <a:ext cx="574430" cy="51287"/>
        </a:xfrm>
        <a:prstGeom prst="rect">
          <a:avLst/>
        </a:prstGeom>
        <a:solidFill>
          <a:srgbClr val="FFFFFF"/>
        </a:solidFill>
        <a:ln w="9525">
          <a:solidFill>
            <a:srgbClr val="C0C0C0"/>
          </a:solidFill>
          <a:miter lim="800000"/>
          <a:headEnd/>
          <a:tailEnd/>
        </a:ln>
      </xdr:spPr>
    </xdr:sp>
    <xdr:clientData/>
  </xdr:twoCellAnchor>
  <xdr:twoCellAnchor>
    <xdr:from>
      <xdr:col>39</xdr:col>
      <xdr:colOff>111028</xdr:colOff>
      <xdr:row>47</xdr:row>
      <xdr:rowOff>18423</xdr:rowOff>
    </xdr:from>
    <xdr:to>
      <xdr:col>39</xdr:col>
      <xdr:colOff>831028</xdr:colOff>
      <xdr:row>56</xdr:row>
      <xdr:rowOff>72173</xdr:rowOff>
    </xdr:to>
    <xdr:grpSp>
      <xdr:nvGrpSpPr>
        <xdr:cNvPr id="199" name="Group 402"/>
        <xdr:cNvGrpSpPr>
          <a:grpSpLocks/>
        </xdr:cNvGrpSpPr>
      </xdr:nvGrpSpPr>
      <xdr:grpSpPr bwMode="auto">
        <a:xfrm>
          <a:off x="3025678" y="9086223"/>
          <a:ext cx="720000" cy="1806350"/>
          <a:chOff x="1043" y="1014"/>
          <a:chExt cx="111" cy="238"/>
        </a:xfrm>
      </xdr:grpSpPr>
      <xdr:sp macro="" textlink="">
        <xdr:nvSpPr>
          <xdr:cNvPr id="200" name="Rectangle 57"/>
          <xdr:cNvSpPr>
            <a:spLocks noChangeArrowheads="1"/>
          </xdr:cNvSpPr>
        </xdr:nvSpPr>
        <xdr:spPr bwMode="auto">
          <a:xfrm>
            <a:off x="1043" y="1014"/>
            <a:ext cx="111" cy="238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1" name="Rectangle 68"/>
          <xdr:cNvSpPr>
            <a:spLocks noChangeArrowheads="1"/>
          </xdr:cNvSpPr>
        </xdr:nvSpPr>
        <xdr:spPr bwMode="auto">
          <a:xfrm>
            <a:off x="1054" y="1026"/>
            <a:ext cx="89" cy="216"/>
          </a:xfrm>
          <a:prstGeom prst="rect">
            <a:avLst/>
          </a:prstGeom>
          <a:solidFill>
            <a:srgbClr val="FFFFFF"/>
          </a:solidFill>
          <a:ln w="9525">
            <a:solidFill>
              <a:srgbClr val="969696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41</xdr:col>
      <xdr:colOff>643141</xdr:colOff>
      <xdr:row>6</xdr:row>
      <xdr:rowOff>148777</xdr:rowOff>
    </xdr:from>
    <xdr:to>
      <xdr:col>41</xdr:col>
      <xdr:colOff>789679</xdr:colOff>
      <xdr:row>6</xdr:row>
      <xdr:rowOff>149509</xdr:rowOff>
    </xdr:to>
    <xdr:sp macro="" textlink="">
      <xdr:nvSpPr>
        <xdr:cNvPr id="202" name="Line 8"/>
        <xdr:cNvSpPr>
          <a:spLocks noChangeShapeType="1"/>
        </xdr:cNvSpPr>
      </xdr:nvSpPr>
      <xdr:spPr bwMode="auto">
        <a:xfrm flipV="1">
          <a:off x="30961216" y="1301302"/>
          <a:ext cx="146538" cy="732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99647</xdr:colOff>
      <xdr:row>36</xdr:row>
      <xdr:rowOff>183173</xdr:rowOff>
    </xdr:from>
    <xdr:to>
      <xdr:col>43</xdr:col>
      <xdr:colOff>674077</xdr:colOff>
      <xdr:row>37</xdr:row>
      <xdr:rowOff>34435</xdr:rowOff>
    </xdr:to>
    <xdr:sp macro="" textlink="">
      <xdr:nvSpPr>
        <xdr:cNvPr id="203" name="Rectangle 225"/>
        <xdr:cNvSpPr>
          <a:spLocks noChangeArrowheads="1"/>
        </xdr:cNvSpPr>
      </xdr:nvSpPr>
      <xdr:spPr bwMode="auto">
        <a:xfrm>
          <a:off x="31570247" y="6307748"/>
          <a:ext cx="574430" cy="51287"/>
        </a:xfrm>
        <a:prstGeom prst="rect">
          <a:avLst/>
        </a:prstGeom>
        <a:solidFill>
          <a:srgbClr val="FFFFFF"/>
        </a:solidFill>
        <a:ln w="9525">
          <a:solidFill>
            <a:srgbClr val="C0C0C0"/>
          </a:solidFill>
          <a:miter lim="800000"/>
          <a:headEnd/>
          <a:tailEnd/>
        </a:ln>
      </xdr:spPr>
    </xdr:sp>
    <xdr:clientData/>
  </xdr:twoCellAnchor>
  <xdr:twoCellAnchor>
    <xdr:from>
      <xdr:col>43</xdr:col>
      <xdr:colOff>99647</xdr:colOff>
      <xdr:row>36</xdr:row>
      <xdr:rowOff>183173</xdr:rowOff>
    </xdr:from>
    <xdr:to>
      <xdr:col>43</xdr:col>
      <xdr:colOff>674077</xdr:colOff>
      <xdr:row>37</xdr:row>
      <xdr:rowOff>34435</xdr:rowOff>
    </xdr:to>
    <xdr:sp macro="" textlink="">
      <xdr:nvSpPr>
        <xdr:cNvPr id="204" name="Rectangle 225"/>
        <xdr:cNvSpPr>
          <a:spLocks noChangeArrowheads="1"/>
        </xdr:cNvSpPr>
      </xdr:nvSpPr>
      <xdr:spPr bwMode="auto">
        <a:xfrm>
          <a:off x="31570247" y="6307748"/>
          <a:ext cx="574430" cy="51287"/>
        </a:xfrm>
        <a:prstGeom prst="rect">
          <a:avLst/>
        </a:prstGeom>
        <a:solidFill>
          <a:srgbClr val="FFFFFF"/>
        </a:solidFill>
        <a:ln w="9525">
          <a:solidFill>
            <a:srgbClr val="C0C0C0"/>
          </a:solidFill>
          <a:miter lim="800000"/>
          <a:headEnd/>
          <a:tailEnd/>
        </a:ln>
      </xdr:spPr>
    </xdr:sp>
    <xdr:clientData/>
  </xdr:twoCellAnchor>
  <xdr:twoCellAnchor>
    <xdr:from>
      <xdr:col>43</xdr:col>
      <xdr:colOff>113692</xdr:colOff>
      <xdr:row>32</xdr:row>
      <xdr:rowOff>32178</xdr:rowOff>
    </xdr:from>
    <xdr:to>
      <xdr:col>43</xdr:col>
      <xdr:colOff>833692</xdr:colOff>
      <xdr:row>41</xdr:row>
      <xdr:rowOff>54178</xdr:rowOff>
    </xdr:to>
    <xdr:sp macro="" textlink="">
      <xdr:nvSpPr>
        <xdr:cNvPr id="205" name="Rectangle 151"/>
        <xdr:cNvSpPr>
          <a:spLocks noChangeArrowheads="1"/>
        </xdr:cNvSpPr>
      </xdr:nvSpPr>
      <xdr:spPr bwMode="auto">
        <a:xfrm>
          <a:off x="31990692" y="6167866"/>
          <a:ext cx="720000" cy="18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43</xdr:col>
      <xdr:colOff>200534</xdr:colOff>
      <xdr:row>39</xdr:row>
      <xdr:rowOff>127270</xdr:rowOff>
    </xdr:from>
    <xdr:to>
      <xdr:col>43</xdr:col>
      <xdr:colOff>774964</xdr:colOff>
      <xdr:row>41</xdr:row>
      <xdr:rowOff>19050</xdr:rowOff>
    </xdr:to>
    <xdr:sp macro="" textlink="">
      <xdr:nvSpPr>
        <xdr:cNvPr id="206" name="Rectangle 225"/>
        <xdr:cNvSpPr>
          <a:spLocks noChangeArrowheads="1"/>
        </xdr:cNvSpPr>
      </xdr:nvSpPr>
      <xdr:spPr bwMode="auto">
        <a:xfrm>
          <a:off x="31975934" y="6823345"/>
          <a:ext cx="574430" cy="272780"/>
        </a:xfrm>
        <a:prstGeom prst="rect">
          <a:avLst/>
        </a:prstGeom>
        <a:solidFill>
          <a:srgbClr val="FFFFFF"/>
        </a:solidFill>
        <a:ln w="9525">
          <a:solidFill>
            <a:srgbClr val="C0C0C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113560</xdr:colOff>
      <xdr:row>32</xdr:row>
      <xdr:rowOff>15365</xdr:rowOff>
    </xdr:from>
    <xdr:to>
      <xdr:col>41</xdr:col>
      <xdr:colOff>833560</xdr:colOff>
      <xdr:row>41</xdr:row>
      <xdr:rowOff>37365</xdr:rowOff>
    </xdr:to>
    <xdr:sp macro="" textlink="">
      <xdr:nvSpPr>
        <xdr:cNvPr id="207" name="Rectangle 151"/>
        <xdr:cNvSpPr>
          <a:spLocks noChangeArrowheads="1"/>
        </xdr:cNvSpPr>
      </xdr:nvSpPr>
      <xdr:spPr bwMode="auto">
        <a:xfrm>
          <a:off x="30831685" y="6151053"/>
          <a:ext cx="720000" cy="18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39</xdr:col>
      <xdr:colOff>639883</xdr:colOff>
      <xdr:row>51</xdr:row>
      <xdr:rowOff>160630</xdr:rowOff>
    </xdr:from>
    <xdr:to>
      <xdr:col>39</xdr:col>
      <xdr:colOff>826550</xdr:colOff>
      <xdr:row>51</xdr:row>
      <xdr:rowOff>160630</xdr:rowOff>
    </xdr:to>
    <xdr:sp macro="" textlink="">
      <xdr:nvSpPr>
        <xdr:cNvPr id="208" name="Line 251"/>
        <xdr:cNvSpPr>
          <a:spLocks noChangeShapeType="1"/>
        </xdr:cNvSpPr>
      </xdr:nvSpPr>
      <xdr:spPr bwMode="auto">
        <a:xfrm>
          <a:off x="29814958" y="8809330"/>
          <a:ext cx="186667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98860</xdr:colOff>
      <xdr:row>47</xdr:row>
      <xdr:rowOff>15868</xdr:rowOff>
    </xdr:from>
    <xdr:to>
      <xdr:col>37</xdr:col>
      <xdr:colOff>818860</xdr:colOff>
      <xdr:row>56</xdr:row>
      <xdr:rowOff>69618</xdr:rowOff>
    </xdr:to>
    <xdr:grpSp>
      <xdr:nvGrpSpPr>
        <xdr:cNvPr id="209" name="171 Grupo"/>
        <xdr:cNvGrpSpPr>
          <a:grpSpLocks/>
        </xdr:cNvGrpSpPr>
      </xdr:nvGrpSpPr>
      <xdr:grpSpPr bwMode="auto">
        <a:xfrm>
          <a:off x="1937185" y="9083668"/>
          <a:ext cx="720000" cy="1806350"/>
          <a:chOff x="469900" y="8245475"/>
          <a:chExt cx="1028700" cy="2260600"/>
        </a:xfrm>
      </xdr:grpSpPr>
      <xdr:sp macro="" textlink="">
        <xdr:nvSpPr>
          <xdr:cNvPr id="210" name="Rectangle 248"/>
          <xdr:cNvSpPr>
            <a:spLocks noChangeArrowheads="1"/>
          </xdr:cNvSpPr>
        </xdr:nvSpPr>
        <xdr:spPr bwMode="auto">
          <a:xfrm>
            <a:off x="469900" y="8245475"/>
            <a:ext cx="1028700" cy="22606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11" name="Rectangle 249"/>
          <xdr:cNvSpPr>
            <a:spLocks noChangeArrowheads="1"/>
          </xdr:cNvSpPr>
        </xdr:nvSpPr>
        <xdr:spPr bwMode="auto">
          <a:xfrm>
            <a:off x="1012835" y="8669460"/>
            <a:ext cx="381000" cy="275340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12" name="Rectangle 252"/>
          <xdr:cNvSpPr>
            <a:spLocks noChangeArrowheads="1"/>
          </xdr:cNvSpPr>
        </xdr:nvSpPr>
        <xdr:spPr bwMode="auto">
          <a:xfrm>
            <a:off x="571500" y="8343900"/>
            <a:ext cx="381000" cy="275340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13" name="Rectangle 254"/>
          <xdr:cNvSpPr>
            <a:spLocks noChangeArrowheads="1"/>
          </xdr:cNvSpPr>
        </xdr:nvSpPr>
        <xdr:spPr bwMode="auto">
          <a:xfrm>
            <a:off x="1019174" y="8343900"/>
            <a:ext cx="371475" cy="275340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14" name="Rectangle 258"/>
          <xdr:cNvSpPr>
            <a:spLocks noChangeArrowheads="1"/>
          </xdr:cNvSpPr>
        </xdr:nvSpPr>
        <xdr:spPr bwMode="auto">
          <a:xfrm>
            <a:off x="573809" y="8669459"/>
            <a:ext cx="390525" cy="275340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15" name="Rectangle 265"/>
          <xdr:cNvSpPr>
            <a:spLocks noChangeArrowheads="1"/>
          </xdr:cNvSpPr>
        </xdr:nvSpPr>
        <xdr:spPr bwMode="auto">
          <a:xfrm>
            <a:off x="561974" y="9050942"/>
            <a:ext cx="847725" cy="1369407"/>
          </a:xfrm>
          <a:prstGeom prst="rect">
            <a:avLst/>
          </a:prstGeom>
          <a:solidFill>
            <a:srgbClr val="FFFFFF"/>
          </a:solidFill>
          <a:ln w="9525">
            <a:solidFill>
              <a:srgbClr val="C0C0C0"/>
            </a:solidFill>
            <a:miter lim="800000"/>
            <a:headEnd/>
            <a:tailEnd/>
          </a:ln>
        </xdr:spPr>
      </xdr:sp>
      <xdr:sp macro="" textlink="">
        <xdr:nvSpPr>
          <xdr:cNvPr id="216" name="Line 251"/>
          <xdr:cNvSpPr>
            <a:spLocks noChangeShapeType="1"/>
          </xdr:cNvSpPr>
        </xdr:nvSpPr>
        <xdr:spPr bwMode="auto">
          <a:xfrm>
            <a:off x="1228725" y="9407072"/>
            <a:ext cx="266700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37</xdr:col>
      <xdr:colOff>180091</xdr:colOff>
      <xdr:row>17</xdr:row>
      <xdr:rowOff>132188</xdr:rowOff>
    </xdr:from>
    <xdr:to>
      <xdr:col>37</xdr:col>
      <xdr:colOff>312091</xdr:colOff>
      <xdr:row>19</xdr:row>
      <xdr:rowOff>102651</xdr:rowOff>
    </xdr:to>
    <xdr:sp macro="" textlink="">
      <xdr:nvSpPr>
        <xdr:cNvPr id="217" name="Rectangle 44"/>
        <xdr:cNvSpPr>
          <a:spLocks noChangeArrowheads="1"/>
        </xdr:cNvSpPr>
      </xdr:nvSpPr>
      <xdr:spPr bwMode="auto">
        <a:xfrm>
          <a:off x="28221691" y="2999213"/>
          <a:ext cx="132000" cy="35146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43</xdr:col>
      <xdr:colOff>152050</xdr:colOff>
      <xdr:row>32</xdr:row>
      <xdr:rowOff>106351</xdr:rowOff>
    </xdr:from>
    <xdr:to>
      <xdr:col>43</xdr:col>
      <xdr:colOff>455084</xdr:colOff>
      <xdr:row>34</xdr:row>
      <xdr:rowOff>79375</xdr:rowOff>
    </xdr:to>
    <xdr:sp macro="" textlink="">
      <xdr:nvSpPr>
        <xdr:cNvPr id="218" name="Rectangle 230"/>
        <xdr:cNvSpPr>
          <a:spLocks noChangeArrowheads="1"/>
        </xdr:cNvSpPr>
      </xdr:nvSpPr>
      <xdr:spPr bwMode="auto">
        <a:xfrm>
          <a:off x="31622650" y="5468926"/>
          <a:ext cx="303034" cy="354024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178279</xdr:colOff>
      <xdr:row>38</xdr:row>
      <xdr:rowOff>47625</xdr:rowOff>
    </xdr:from>
    <xdr:to>
      <xdr:col>41</xdr:col>
      <xdr:colOff>453737</xdr:colOff>
      <xdr:row>40</xdr:row>
      <xdr:rowOff>130859</xdr:rowOff>
    </xdr:to>
    <xdr:sp macro="" textlink="">
      <xdr:nvSpPr>
        <xdr:cNvPr id="219" name="Rectangle 230"/>
        <xdr:cNvSpPr>
          <a:spLocks noChangeArrowheads="1"/>
        </xdr:cNvSpPr>
      </xdr:nvSpPr>
      <xdr:spPr bwMode="auto">
        <a:xfrm>
          <a:off x="30496354" y="6572250"/>
          <a:ext cx="275458" cy="473759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370591</xdr:colOff>
      <xdr:row>17</xdr:row>
      <xdr:rowOff>132187</xdr:rowOff>
    </xdr:from>
    <xdr:to>
      <xdr:col>37</xdr:col>
      <xdr:colOff>502591</xdr:colOff>
      <xdr:row>19</xdr:row>
      <xdr:rowOff>102650</xdr:rowOff>
    </xdr:to>
    <xdr:sp macro="" textlink="">
      <xdr:nvSpPr>
        <xdr:cNvPr id="220" name="Rectangle 44"/>
        <xdr:cNvSpPr>
          <a:spLocks noChangeArrowheads="1"/>
        </xdr:cNvSpPr>
      </xdr:nvSpPr>
      <xdr:spPr bwMode="auto">
        <a:xfrm>
          <a:off x="28412191" y="2999212"/>
          <a:ext cx="132000" cy="35146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560033</xdr:colOff>
      <xdr:row>17</xdr:row>
      <xdr:rowOff>131129</xdr:rowOff>
    </xdr:from>
    <xdr:to>
      <xdr:col>37</xdr:col>
      <xdr:colOff>692033</xdr:colOff>
      <xdr:row>19</xdr:row>
      <xdr:rowOff>101592</xdr:rowOff>
    </xdr:to>
    <xdr:sp macro="" textlink="">
      <xdr:nvSpPr>
        <xdr:cNvPr id="221" name="Rectangle 44"/>
        <xdr:cNvSpPr>
          <a:spLocks noChangeArrowheads="1"/>
        </xdr:cNvSpPr>
      </xdr:nvSpPr>
      <xdr:spPr bwMode="auto">
        <a:xfrm>
          <a:off x="28601633" y="2998154"/>
          <a:ext cx="132000" cy="35146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177221</xdr:colOff>
      <xdr:row>35</xdr:row>
      <xdr:rowOff>94192</xdr:rowOff>
    </xdr:from>
    <xdr:to>
      <xdr:col>41</xdr:col>
      <xdr:colOff>452679</xdr:colOff>
      <xdr:row>37</xdr:row>
      <xdr:rowOff>177425</xdr:rowOff>
    </xdr:to>
    <xdr:sp macro="" textlink="">
      <xdr:nvSpPr>
        <xdr:cNvPr id="222" name="Rectangle 230"/>
        <xdr:cNvSpPr>
          <a:spLocks noChangeArrowheads="1"/>
        </xdr:cNvSpPr>
      </xdr:nvSpPr>
      <xdr:spPr bwMode="auto">
        <a:xfrm>
          <a:off x="30495296" y="6028267"/>
          <a:ext cx="275458" cy="473758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170871</xdr:colOff>
      <xdr:row>32</xdr:row>
      <xdr:rowOff>130175</xdr:rowOff>
    </xdr:from>
    <xdr:to>
      <xdr:col>41</xdr:col>
      <xdr:colOff>446329</xdr:colOff>
      <xdr:row>35</xdr:row>
      <xdr:rowOff>33492</xdr:rowOff>
    </xdr:to>
    <xdr:sp macro="" textlink="">
      <xdr:nvSpPr>
        <xdr:cNvPr id="223" name="Rectangle 230"/>
        <xdr:cNvSpPr>
          <a:spLocks noChangeArrowheads="1"/>
        </xdr:cNvSpPr>
      </xdr:nvSpPr>
      <xdr:spPr bwMode="auto">
        <a:xfrm>
          <a:off x="30746121" y="5484586"/>
          <a:ext cx="275458" cy="47481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497896</xdr:colOff>
      <xdr:row>32</xdr:row>
      <xdr:rowOff>134408</xdr:rowOff>
    </xdr:from>
    <xdr:to>
      <xdr:col>41</xdr:col>
      <xdr:colOff>773354</xdr:colOff>
      <xdr:row>35</xdr:row>
      <xdr:rowOff>37725</xdr:rowOff>
    </xdr:to>
    <xdr:sp macro="" textlink="">
      <xdr:nvSpPr>
        <xdr:cNvPr id="224" name="Rectangle 230"/>
        <xdr:cNvSpPr>
          <a:spLocks noChangeArrowheads="1"/>
        </xdr:cNvSpPr>
      </xdr:nvSpPr>
      <xdr:spPr bwMode="auto">
        <a:xfrm>
          <a:off x="30815971" y="5496983"/>
          <a:ext cx="275458" cy="47481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502129</xdr:colOff>
      <xdr:row>35</xdr:row>
      <xdr:rowOff>91016</xdr:rowOff>
    </xdr:from>
    <xdr:to>
      <xdr:col>41</xdr:col>
      <xdr:colOff>777587</xdr:colOff>
      <xdr:row>37</xdr:row>
      <xdr:rowOff>174249</xdr:rowOff>
    </xdr:to>
    <xdr:sp macro="" textlink="">
      <xdr:nvSpPr>
        <xdr:cNvPr id="225" name="Rectangle 230"/>
        <xdr:cNvSpPr>
          <a:spLocks noChangeArrowheads="1"/>
        </xdr:cNvSpPr>
      </xdr:nvSpPr>
      <xdr:spPr bwMode="auto">
        <a:xfrm>
          <a:off x="30820204" y="6025091"/>
          <a:ext cx="275458" cy="473758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509387</xdr:colOff>
      <xdr:row>38</xdr:row>
      <xdr:rowOff>49136</xdr:rowOff>
    </xdr:from>
    <xdr:to>
      <xdr:col>41</xdr:col>
      <xdr:colOff>784845</xdr:colOff>
      <xdr:row>40</xdr:row>
      <xdr:rowOff>132370</xdr:rowOff>
    </xdr:to>
    <xdr:sp macro="" textlink="">
      <xdr:nvSpPr>
        <xdr:cNvPr id="226" name="Rectangle 230"/>
        <xdr:cNvSpPr>
          <a:spLocks noChangeArrowheads="1"/>
        </xdr:cNvSpPr>
      </xdr:nvSpPr>
      <xdr:spPr bwMode="auto">
        <a:xfrm>
          <a:off x="31084637" y="6546547"/>
          <a:ext cx="275458" cy="464234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665911</xdr:colOff>
      <xdr:row>36</xdr:row>
      <xdr:rowOff>187320</xdr:rowOff>
    </xdr:from>
    <xdr:to>
      <xdr:col>41</xdr:col>
      <xdr:colOff>834560</xdr:colOff>
      <xdr:row>36</xdr:row>
      <xdr:rowOff>187320</xdr:rowOff>
    </xdr:to>
    <xdr:sp macro="" textlink="">
      <xdr:nvSpPr>
        <xdr:cNvPr id="227" name="Line 60"/>
        <xdr:cNvSpPr>
          <a:spLocks noChangeShapeType="1"/>
        </xdr:cNvSpPr>
      </xdr:nvSpPr>
      <xdr:spPr bwMode="auto">
        <a:xfrm>
          <a:off x="30983986" y="6311895"/>
          <a:ext cx="168649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489658</xdr:colOff>
      <xdr:row>32</xdr:row>
      <xdr:rowOff>105293</xdr:rowOff>
    </xdr:from>
    <xdr:to>
      <xdr:col>43</xdr:col>
      <xdr:colOff>792692</xdr:colOff>
      <xdr:row>34</xdr:row>
      <xdr:rowOff>78317</xdr:rowOff>
    </xdr:to>
    <xdr:sp macro="" textlink="">
      <xdr:nvSpPr>
        <xdr:cNvPr id="228" name="Rectangle 230"/>
        <xdr:cNvSpPr>
          <a:spLocks noChangeArrowheads="1"/>
        </xdr:cNvSpPr>
      </xdr:nvSpPr>
      <xdr:spPr bwMode="auto">
        <a:xfrm>
          <a:off x="31960258" y="5467868"/>
          <a:ext cx="303034" cy="354024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43</xdr:col>
      <xdr:colOff>155224</xdr:colOff>
      <xdr:row>34</xdr:row>
      <xdr:rowOff>130693</xdr:rowOff>
    </xdr:from>
    <xdr:to>
      <xdr:col>43</xdr:col>
      <xdr:colOff>458258</xdr:colOff>
      <xdr:row>36</xdr:row>
      <xdr:rowOff>142875</xdr:rowOff>
    </xdr:to>
    <xdr:sp macro="" textlink="">
      <xdr:nvSpPr>
        <xdr:cNvPr id="229" name="Rectangle 230"/>
        <xdr:cNvSpPr>
          <a:spLocks noChangeArrowheads="1"/>
        </xdr:cNvSpPr>
      </xdr:nvSpPr>
      <xdr:spPr bwMode="auto">
        <a:xfrm>
          <a:off x="31625824" y="5874268"/>
          <a:ext cx="303034" cy="393182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43</xdr:col>
      <xdr:colOff>159457</xdr:colOff>
      <xdr:row>37</xdr:row>
      <xdr:rowOff>31750</xdr:rowOff>
    </xdr:from>
    <xdr:to>
      <xdr:col>43</xdr:col>
      <xdr:colOff>462491</xdr:colOff>
      <xdr:row>39</xdr:row>
      <xdr:rowOff>33867</xdr:rowOff>
    </xdr:to>
    <xdr:sp macro="" textlink="">
      <xdr:nvSpPr>
        <xdr:cNvPr id="230" name="Rectangle 230"/>
        <xdr:cNvSpPr>
          <a:spLocks noChangeArrowheads="1"/>
        </xdr:cNvSpPr>
      </xdr:nvSpPr>
      <xdr:spPr bwMode="auto">
        <a:xfrm>
          <a:off x="31630057" y="6356350"/>
          <a:ext cx="303034" cy="40216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43</xdr:col>
      <xdr:colOff>492832</xdr:colOff>
      <xdr:row>34</xdr:row>
      <xdr:rowOff>134926</xdr:rowOff>
    </xdr:from>
    <xdr:to>
      <xdr:col>43</xdr:col>
      <xdr:colOff>795866</xdr:colOff>
      <xdr:row>36</xdr:row>
      <xdr:rowOff>147108</xdr:rowOff>
    </xdr:to>
    <xdr:sp macro="" textlink="">
      <xdr:nvSpPr>
        <xdr:cNvPr id="231" name="Rectangle 230"/>
        <xdr:cNvSpPr>
          <a:spLocks noChangeArrowheads="1"/>
        </xdr:cNvSpPr>
      </xdr:nvSpPr>
      <xdr:spPr bwMode="auto">
        <a:xfrm>
          <a:off x="32224689" y="5870337"/>
          <a:ext cx="303034" cy="393182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43</xdr:col>
      <xdr:colOff>491774</xdr:colOff>
      <xdr:row>37</xdr:row>
      <xdr:rowOff>33325</xdr:rowOff>
    </xdr:from>
    <xdr:to>
      <xdr:col>43</xdr:col>
      <xdr:colOff>794808</xdr:colOff>
      <xdr:row>39</xdr:row>
      <xdr:rowOff>24341</xdr:rowOff>
    </xdr:to>
    <xdr:sp macro="" textlink="">
      <xdr:nvSpPr>
        <xdr:cNvPr id="232" name="Rectangle 230"/>
        <xdr:cNvSpPr>
          <a:spLocks noChangeArrowheads="1"/>
        </xdr:cNvSpPr>
      </xdr:nvSpPr>
      <xdr:spPr bwMode="auto">
        <a:xfrm>
          <a:off x="31962374" y="6357925"/>
          <a:ext cx="303034" cy="39106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43</xdr:col>
      <xdr:colOff>660619</xdr:colOff>
      <xdr:row>36</xdr:row>
      <xdr:rowOff>166914</xdr:rowOff>
    </xdr:from>
    <xdr:to>
      <xdr:col>43</xdr:col>
      <xdr:colOff>829268</xdr:colOff>
      <xdr:row>36</xdr:row>
      <xdr:rowOff>166914</xdr:rowOff>
    </xdr:to>
    <xdr:sp macro="" textlink="">
      <xdr:nvSpPr>
        <xdr:cNvPr id="233" name="Line 60"/>
        <xdr:cNvSpPr>
          <a:spLocks noChangeShapeType="1"/>
        </xdr:cNvSpPr>
      </xdr:nvSpPr>
      <xdr:spPr bwMode="auto">
        <a:xfrm>
          <a:off x="32131219" y="6291489"/>
          <a:ext cx="168649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150813</xdr:colOff>
      <xdr:row>224</xdr:row>
      <xdr:rowOff>79376</xdr:rowOff>
    </xdr:from>
    <xdr:to>
      <xdr:col>27</xdr:col>
      <xdr:colOff>878466</xdr:colOff>
      <xdr:row>224</xdr:row>
      <xdr:rowOff>539750</xdr:rowOff>
    </xdr:to>
    <xdr:pic>
      <xdr:nvPicPr>
        <xdr:cNvPr id="2" name="6 Imagen" descr="C:\Users\Usuario\Desktop\Arcen Aluminio\herrero corrediza sin guia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31188" y="43346689"/>
          <a:ext cx="727653" cy="4603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29</xdr:col>
      <xdr:colOff>250032</xdr:colOff>
      <xdr:row>224</xdr:row>
      <xdr:rowOff>38976</xdr:rowOff>
    </xdr:from>
    <xdr:to>
      <xdr:col>29</xdr:col>
      <xdr:colOff>795121</xdr:colOff>
      <xdr:row>224</xdr:row>
      <xdr:rowOff>593158</xdr:rowOff>
    </xdr:to>
    <xdr:pic>
      <xdr:nvPicPr>
        <xdr:cNvPr id="3" name="7 Imagen" descr="C:\Users\Usuario\Desktop\Arcen Aluminio\kisspng-mosquito-control-household-insect-repellents-primo-5ba2f629ec4636.4883996115374065059678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33407" y="43396776"/>
          <a:ext cx="545089" cy="55418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31</xdr:col>
      <xdr:colOff>82777</xdr:colOff>
      <xdr:row>223</xdr:row>
      <xdr:rowOff>581025</xdr:rowOff>
    </xdr:from>
    <xdr:to>
      <xdr:col>31</xdr:col>
      <xdr:colOff>1085850</xdr:colOff>
      <xdr:row>225</xdr:row>
      <xdr:rowOff>176324</xdr:rowOff>
    </xdr:to>
    <xdr:pic>
      <xdr:nvPicPr>
        <xdr:cNvPr id="4" name="8 Imagen" descr="C:\Users\Usuario\Desktop\Arcen Aluminio\Corrediza con Reja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80702" y="43853100"/>
          <a:ext cx="1003073" cy="9573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28</xdr:col>
      <xdr:colOff>241906</xdr:colOff>
      <xdr:row>224</xdr:row>
      <xdr:rowOff>71059</xdr:rowOff>
    </xdr:from>
    <xdr:to>
      <xdr:col>28</xdr:col>
      <xdr:colOff>908655</xdr:colOff>
      <xdr:row>224</xdr:row>
      <xdr:rowOff>554538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633739" y="1383392"/>
          <a:ext cx="666749" cy="483479"/>
        </a:xfrm>
        <a:prstGeom prst="rect">
          <a:avLst/>
        </a:prstGeom>
        <a:noFill/>
      </xdr:spPr>
    </xdr:pic>
    <xdr:clientData/>
  </xdr:twoCellAnchor>
  <xdr:twoCellAnchor editAs="oneCell">
    <xdr:from>
      <xdr:col>30</xdr:col>
      <xdr:colOff>161925</xdr:colOff>
      <xdr:row>224</xdr:row>
      <xdr:rowOff>38100</xdr:rowOff>
    </xdr:from>
    <xdr:to>
      <xdr:col>30</xdr:col>
      <xdr:colOff>928688</xdr:colOff>
      <xdr:row>224</xdr:row>
      <xdr:rowOff>590543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0564475" y="43786425"/>
          <a:ext cx="766763" cy="552443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2" name="Tabla16" displayName="Tabla16" ref="AA225:AF266" totalsRowShown="0" headerRowDxfId="299" dataDxfId="297" headerRowBorderDxfId="298" tableBorderDxfId="296" dataCellStyle="Moneda">
  <autoFilter ref="AA225:AF266"/>
  <tableColumns count="6">
    <tableColumn id="1" name="Medidas" dataDxfId="295"/>
    <tableColumn id="2" name="Sin Guia" dataDxfId="294" dataCellStyle="Moneda"/>
    <tableColumn id="3" name="Con Guia" dataDxfId="293" dataCellStyle="Moneda"/>
    <tableColumn id="4" name="Adicional Mosquitero" dataDxfId="292" dataCellStyle="Moneda"/>
    <tableColumn id="7" name="Adicional Repartido       (4 Vidrios)" dataDxfId="291" dataCellStyle="Moneda">
      <calculatedColumnFormula>+L154</calculatedColumnFormula>
    </tableColumn>
    <tableColumn id="5" name="Adicional Reja" dataDxfId="290" dataCellStyle="Moneda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24" name="Tabla162536384153" displayName="Tabla162536384153" ref="AD5:AH22" totalsRowShown="0" headerRowDxfId="220" dataDxfId="218" headerRowBorderDxfId="219" tableBorderDxfId="217" dataCellStyle="Moneda">
  <autoFilter ref="AD5:AH22"/>
  <tableColumns count="5">
    <tableColumn id="1" name="Medidas" dataDxfId="216"/>
    <tableColumn id="2" name="1 Hoja V/3mm" dataDxfId="215" dataCellStyle="Moneda">
      <calculatedColumnFormula>+S6</calculatedColumnFormula>
    </tableColumn>
    <tableColumn id="4" name="1 Hoja         V/4-9-4" dataDxfId="214" dataCellStyle="Moneda">
      <calculatedColumnFormula>+V6</calculatedColumnFormula>
    </tableColumn>
    <tableColumn id="5" name="1 Hoja      V/3+3" dataDxfId="213" dataCellStyle="Moneda">
      <calculatedColumnFormula>+Y6</calculatedColumnFormula>
    </tableColumn>
    <tableColumn id="10" name="Adicional Guia" dataDxfId="212" dataCellStyle="Moneda"/>
  </tableColumns>
  <tableStyleInfo name="TableStyleMedium14" showFirstColumn="0" showLastColumn="0" showRowStripes="1" showColumnStripes="0"/>
</table>
</file>

<file path=xl/tables/table11.xml><?xml version="1.0" encoding="utf-8"?>
<table xmlns="http://schemas.openxmlformats.org/spreadsheetml/2006/main" id="25" name="Tabla16253638414354" displayName="Tabla16253638414354" ref="AD23:AH40" totalsRowShown="0" headerRowDxfId="211" dataDxfId="209" headerRowBorderDxfId="210" tableBorderDxfId="208" dataCellStyle="Moneda">
  <autoFilter ref="AD23:AH40"/>
  <tableColumns count="5">
    <tableColumn id="1" name="Medidas" dataDxfId="207"/>
    <tableColumn id="3" name="2 Hojas V/3mm" dataDxfId="206" dataCellStyle="Moneda">
      <calculatedColumnFormula>T23</calculatedColumnFormula>
    </tableColumn>
    <tableColumn id="7" name="2 Hojas         V/4-9-4" dataDxfId="205" dataCellStyle="Moneda">
      <calculatedColumnFormula>+W23</calculatedColumnFormula>
    </tableColumn>
    <tableColumn id="10" name="2 Hojas    V/3+3" dataDxfId="204" dataCellStyle="Moneda">
      <calculatedColumnFormula>+Z23</calculatedColumnFormula>
    </tableColumn>
    <tableColumn id="2" name="Adicional Guia" dataDxfId="203" dataCellStyle="Moneda"/>
  </tableColumns>
  <tableStyleInfo name="TableStyleMedium14" showFirstColumn="0" showLastColumn="0" showRowStripes="1" showColumnStripes="0"/>
</table>
</file>

<file path=xl/tables/table12.xml><?xml version="1.0" encoding="utf-8"?>
<table xmlns="http://schemas.openxmlformats.org/spreadsheetml/2006/main" id="16" name="Tabla1625363841435417" displayName="Tabla1625363841435417" ref="AD41:AH59" totalsRowShown="0" headerRowDxfId="202" dataDxfId="200" headerRowBorderDxfId="201" tableBorderDxfId="199" dataCellStyle="Moneda">
  <autoFilter ref="AD41:AH59"/>
  <tableColumns count="5">
    <tableColumn id="1" name="Medidas" dataDxfId="198"/>
    <tableColumn id="3" name="3 Hojas V/3mm" dataDxfId="197" dataCellStyle="Moneda">
      <calculatedColumnFormula>+U34</calculatedColumnFormula>
    </tableColumn>
    <tableColumn id="7" name="3 Hojas         V/4-9-4" dataDxfId="196" dataCellStyle="Moneda">
      <calculatedColumnFormula>+X34</calculatedColumnFormula>
    </tableColumn>
    <tableColumn id="10" name="3 Hojas    V/3+3" dataDxfId="195" dataCellStyle="Moneda">
      <calculatedColumnFormula>AA34</calculatedColumnFormula>
    </tableColumn>
    <tableColumn id="2" name="Adicional Guia" dataDxfId="194" dataCellStyle="Moneda"/>
  </tableColumns>
  <tableStyleInfo name="TableStyleMedium14" showFirstColumn="0" showLastColumn="0" showRowStripes="1" showColumnStripes="0"/>
</table>
</file>

<file path=xl/tables/table13.xml><?xml version="1.0" encoding="utf-8"?>
<table xmlns="http://schemas.openxmlformats.org/spreadsheetml/2006/main" id="27" name="Tabla162536384151058" displayName="Tabla162536384151058" ref="O5:R21" totalsRowShown="0" headerRowDxfId="193" dataDxfId="191" headerRowBorderDxfId="192" tableBorderDxfId="190" dataCellStyle="Moneda">
  <autoFilter ref="O5:R21"/>
  <tableColumns count="4">
    <tableColumn id="1" name="Medidas" dataDxfId="189"/>
    <tableColumn id="2" name="1 Hoja V/3mm" dataDxfId="188" dataCellStyle="Moneda"/>
    <tableColumn id="4" name="1 Hojas      V/4-9-4" dataDxfId="187" dataCellStyle="Moneda"/>
    <tableColumn id="5" name="1 Hoja    V/3+3" dataDxfId="186" dataCellStyle="Moneda"/>
  </tableColumns>
  <tableStyleInfo name="TableStyleMedium14" showFirstColumn="0" showLastColumn="0" showRowStripes="1" showColumnStripes="0"/>
</table>
</file>

<file path=xl/tables/table14.xml><?xml version="1.0" encoding="utf-8"?>
<table xmlns="http://schemas.openxmlformats.org/spreadsheetml/2006/main" id="28" name="Tabla16253638415" displayName="Tabla16253638415" ref="O26:S42" totalsRowShown="0" headerRowDxfId="185" dataDxfId="183" headerRowBorderDxfId="184" tableBorderDxfId="182" dataCellStyle="Moneda">
  <autoFilter ref="O26:S42"/>
  <tableColumns count="5">
    <tableColumn id="1" name="Medidas" dataDxfId="181"/>
    <tableColumn id="2" name="1 Hoja V/3mm" dataDxfId="180" dataCellStyle="Moneda"/>
    <tableColumn id="4" name="1 Hojas      V/4-9-4" dataDxfId="179" dataCellStyle="Moneda"/>
    <tableColumn id="5" name="1 Hoja    V/3+3" dataDxfId="178" dataCellStyle="Moneda"/>
    <tableColumn id="10" name="Adicional Guia" dataDxfId="177" dataCellStyle="Moneda"/>
  </tableColumns>
  <tableStyleInfo name="TableStyleMedium14" showFirstColumn="0" showLastColumn="0" showRowStripes="1" showColumnStripes="0"/>
</table>
</file>

<file path=xl/tables/table15.xml><?xml version="1.0" encoding="utf-8"?>
<table xmlns="http://schemas.openxmlformats.org/spreadsheetml/2006/main" id="29" name="Tabla16123056" displayName="Tabla16123056" ref="M5:Q45" totalsRowShown="0" headerRowDxfId="176" dataDxfId="174" headerRowBorderDxfId="175" tableBorderDxfId="173" dataCellStyle="Moneda">
  <autoFilter ref="M5:Q45"/>
  <tableColumns count="5">
    <tableColumn id="1" name="Medidas" dataDxfId="172"/>
    <tableColumn id="2" name="V/3mm" dataDxfId="171" dataCellStyle="Moneda">
      <calculatedColumnFormula>+I6</calculatedColumnFormula>
    </tableColumn>
    <tableColumn id="3" name="V/4-9-4" dataDxfId="170" dataCellStyle="Moneda">
      <calculatedColumnFormula>+J6</calculatedColumnFormula>
    </tableColumn>
    <tableColumn id="6" name="V/3+3" dataDxfId="169" dataCellStyle="Moneda">
      <calculatedColumnFormula>+K6</calculatedColumnFormula>
    </tableColumn>
    <tableColumn id="4" name="Adicional Guia" dataDxfId="168" dataCellStyle="Moneda">
      <calculatedColumnFormula>+'MODENA CLASICA CORREDIZA'!#REF!</calculatedColumnFormula>
    </tableColumn>
  </tableColumns>
  <tableStyleInfo name="TableStyleMedium14" showFirstColumn="0" showLastColumn="0" showRowStripes="1" showColumnStripes="0"/>
</table>
</file>

<file path=xl/tables/table16.xml><?xml version="1.0" encoding="utf-8"?>
<table xmlns="http://schemas.openxmlformats.org/spreadsheetml/2006/main" id="1" name="Tabla162" displayName="Tabla162" ref="AA224:AF265" totalsRowShown="0" headerRowDxfId="167" dataDxfId="165" headerRowBorderDxfId="166" tableBorderDxfId="164" dataCellStyle="Moneda">
  <autoFilter ref="AA224:AF265"/>
  <tableColumns count="6">
    <tableColumn id="1" name="Medidas" dataDxfId="163"/>
    <tableColumn id="2" name="Sin Guia" dataDxfId="162" dataCellStyle="Moneda"/>
    <tableColumn id="3" name="Con Guia" dataDxfId="161" dataCellStyle="Moneda"/>
    <tableColumn id="4" name="Adicional Mosquitero" dataDxfId="160" dataCellStyle="Moneda"/>
    <tableColumn id="6" name="Adicional Repartido        (4 Vidrios)" dataDxfId="159" dataCellStyle="Moneda">
      <calculatedColumnFormula>+M154</calculatedColumnFormula>
    </tableColumn>
    <tableColumn id="5" name="Adicional Reja" dataDxfId="158" dataCellStyle="Moneda"/>
  </tableColumns>
  <tableStyleInfo name="TableStyleMedium10" showFirstColumn="0" showLastColumn="0" showRowStripes="1" showColumnStripes="0"/>
</table>
</file>

<file path=xl/tables/table17.xml><?xml version="1.0" encoding="utf-8"?>
<table xmlns="http://schemas.openxmlformats.org/spreadsheetml/2006/main" id="4" name="Tabla167862655" displayName="Tabla167862655" ref="AA268:AF273" totalsRowShown="0" headerRowDxfId="157" dataDxfId="155" headerRowBorderDxfId="156" tableBorderDxfId="154" dataCellStyle="Moneda">
  <autoFilter ref="AA268:AF273"/>
  <tableColumns count="6">
    <tableColumn id="1" name="Medidas" dataDxfId="153"/>
    <tableColumn id="2" name="Sin Guia" dataDxfId="152" dataCellStyle="Moneda">
      <calculatedColumnFormula>+H67</calculatedColumnFormula>
    </tableColumn>
    <tableColumn id="3" name="Con Guia" dataDxfId="151" dataCellStyle="Moneda">
      <calculatedColumnFormula>+U67</calculatedColumnFormula>
    </tableColumn>
    <tableColumn id="4" name="Adicional Mosquitero" dataDxfId="150" dataCellStyle="Moneda">
      <calculatedColumnFormula>+U93</calculatedColumnFormula>
    </tableColumn>
    <tableColumn id="6" name="Adicional Repartido            (6 Vidrios)" dataDxfId="149" dataCellStyle="Moneda">
      <calculatedColumnFormula>+M215</calculatedColumnFormula>
    </tableColumn>
    <tableColumn id="5" name="Reja de Abrir p/Balcon" dataDxfId="148" dataCellStyle="Moneda">
      <calculatedColumnFormula>+Rejas!N6</calculatedColumnFormula>
    </tableColumn>
  </tableColumns>
  <tableStyleInfo name="TableStyleMedium10" showFirstColumn="0" showLastColumn="0" showRowStripes="1" showColumnStripes="0"/>
</table>
</file>

<file path=xl/tables/table18.xml><?xml version="1.0" encoding="utf-8"?>
<table xmlns="http://schemas.openxmlformats.org/spreadsheetml/2006/main" id="8" name="Tabla1678914199" displayName="Tabla1678914199" ref="W156:AA196" totalsRowShown="0" headerRowDxfId="147" dataDxfId="145" headerRowBorderDxfId="146" tableBorderDxfId="144" dataCellStyle="Moneda">
  <autoFilter ref="W156:AA196"/>
  <tableColumns count="5">
    <tableColumn id="1" name="Medidas" dataDxfId="143"/>
    <tableColumn id="2" name="2 Hojas" dataDxfId="142" dataCellStyle="Moneda">
      <calculatedColumnFormula>+H6</calculatedColumnFormula>
    </tableColumn>
    <tableColumn id="4" name="3 Hojas" dataDxfId="141" dataCellStyle="Moneda">
      <calculatedColumnFormula>+T6</calculatedColumnFormula>
    </tableColumn>
    <tableColumn id="3" name="2 Hojas2" dataDxfId="140" dataCellStyle="Moneda">
      <calculatedColumnFormula>+H83</calculatedColumnFormula>
    </tableColumn>
    <tableColumn id="5" name="3 Hojas3" dataDxfId="139" dataCellStyle="Moneda">
      <calculatedColumnFormula>+V6</calculatedColumnFormula>
    </tableColumn>
  </tableColumns>
  <tableStyleInfo name="TableStyleMedium10" showFirstColumn="0" showLastColumn="0" showRowStripes="1" showColumnStripes="0"/>
</table>
</file>

<file path=xl/tables/table19.xml><?xml version="1.0" encoding="utf-8"?>
<table xmlns="http://schemas.openxmlformats.org/spreadsheetml/2006/main" id="13" name="Tabla17216914" displayName="Tabla17216914" ref="W199:AA204" totalsRowShown="0" headerRowDxfId="138" headerRowBorderDxfId="137" tableBorderDxfId="136">
  <autoFilter ref="W199:AA204"/>
  <tableColumns count="5">
    <tableColumn id="1" name="Medidas" dataDxfId="135"/>
    <tableColumn id="2" name="2 Hojas" dataDxfId="134" dataCellStyle="Moneda"/>
    <tableColumn id="3" name="3 Hojas" dataDxfId="133" dataCellStyle="Moneda">
      <calculatedColumnFormula>+T67</calculatedColumnFormula>
    </tableColumn>
    <tableColumn id="4" name="2 Hojas2" dataDxfId="132" dataCellStyle="Moneda"/>
    <tableColumn id="5" name="3 Hojas3" dataDxfId="131" dataCellStyle="Moneda">
      <calculatedColumnFormula>+T144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3" name="Tabla16786265" displayName="Tabla16786265" ref="AA269:AF274" totalsRowShown="0" headerRowDxfId="289" dataDxfId="287" headerRowBorderDxfId="288" tableBorderDxfId="286" dataCellStyle="Moneda">
  <autoFilter ref="AA269:AF274"/>
  <tableColumns count="6">
    <tableColumn id="1" name="Medidas" dataDxfId="285"/>
    <tableColumn id="2" name="Sin Guia" dataDxfId="284" dataCellStyle="Moneda">
      <calculatedColumnFormula>+H67</calculatedColumnFormula>
    </tableColumn>
    <tableColumn id="3" name="Con Guia" dataDxfId="283" dataCellStyle="Moneda">
      <calculatedColumnFormula>T67</calculatedColumnFormula>
    </tableColumn>
    <tableColumn id="4" name="Adicional Mosquitero" dataDxfId="282" dataCellStyle="Moneda">
      <calculatedColumnFormula>+T93</calculatedColumnFormula>
    </tableColumn>
    <tableColumn id="6" name="Adicional Repartido     (6 Vidrios)" dataDxfId="281" dataCellStyle="Moneda">
      <calculatedColumnFormula>+L215</calculatedColumnFormula>
    </tableColumn>
    <tableColumn id="5" name="Reja de Abrir p/Balcon" dataDxfId="280" dataCellStyle="Moneda">
      <calculatedColumnFormula>+Rejas!N6</calculatedColumnFormula>
    </tableColumn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id="14" name="Tabla167891115" displayName="Tabla167891115" ref="X62:AA84" totalsRowShown="0" headerRowDxfId="130" dataDxfId="128" headerRowBorderDxfId="129" tableBorderDxfId="127" dataCellStyle="Moneda">
  <autoFilter ref="X62:AA84"/>
  <tableColumns count="4">
    <tableColumn id="1" name="Medidas" dataDxfId="126"/>
    <tableColumn id="2" name="Sin Guia" dataDxfId="125" dataCellStyle="Moneda"/>
    <tableColumn id="4" name="Adicional Mosquitero" dataDxfId="124" dataCellStyle="Moneda">
      <calculatedColumnFormula>+'HERR CORREDIZA'!U105</calculatedColumnFormula>
    </tableColumn>
    <tableColumn id="5" name="Adicional Reja" dataDxfId="123" dataCellStyle="Moneda"/>
  </tableColumns>
  <tableStyleInfo name="TableStyleMedium10" showFirstColumn="0" showLastColumn="0" showRowStripes="1" showColumnStripes="0"/>
</table>
</file>

<file path=xl/tables/table21.xml><?xml version="1.0" encoding="utf-8"?>
<table xmlns="http://schemas.openxmlformats.org/spreadsheetml/2006/main" id="15" name="Tabla16789101126616" displayName="Tabla16789101126616" ref="X90:Y102" totalsRowShown="0" headerRowDxfId="122" dataDxfId="120" headerRowBorderDxfId="121" tableBorderDxfId="119" dataCellStyle="Moneda">
  <autoFilter ref="X90:Y102"/>
  <tableColumns count="2">
    <tableColumn id="1" name="Medidas" dataDxfId="118"/>
    <tableColumn id="2" name="Sin Guia" dataDxfId="117" dataCellStyle="Moneda">
      <calculatedColumnFormula>+H33</calculatedColumnFormula>
    </tableColumn>
  </tableColumns>
  <tableStyleInfo name="TableStyleMedium10" showFirstColumn="0" showLastColumn="0" showRowStripes="1" showColumnStripes="0"/>
</table>
</file>

<file path=xl/tables/table22.xml><?xml version="1.0" encoding="utf-8"?>
<table xmlns="http://schemas.openxmlformats.org/spreadsheetml/2006/main" id="17" name="Tabla16121318" displayName="Tabla16121318" ref="L5:O45" totalsRowShown="0" headerRowDxfId="116" dataDxfId="114" headerRowBorderDxfId="115" tableBorderDxfId="113" dataCellStyle="Moneda">
  <autoFilter ref="L5:O45"/>
  <tableColumns count="4">
    <tableColumn id="1" name="Medidas" dataDxfId="112"/>
    <tableColumn id="2" name="Sin Guia" dataDxfId="111" dataCellStyle="Moneda">
      <calculatedColumnFormula>+H6</calculatedColumnFormula>
    </tableColumn>
    <tableColumn id="3" name="Con Guia" dataDxfId="110" dataCellStyle="Moneda">
      <calculatedColumnFormula>(+'HERR CORREDIZA'!K6+H6)</calculatedColumnFormula>
    </tableColumn>
    <tableColumn id="4" name="Adicional Reja" dataDxfId="109" dataCellStyle="Moneda">
      <calculatedColumnFormula>+Rejas!F6</calculatedColumnFormula>
    </tableColumn>
  </tableColumns>
  <tableStyleInfo name="TableStyleMedium10" showFirstColumn="0" showLastColumn="0" showRowStripes="1" showColumnStripes="0"/>
</table>
</file>

<file path=xl/tables/table23.xml><?xml version="1.0" encoding="utf-8"?>
<table xmlns="http://schemas.openxmlformats.org/spreadsheetml/2006/main" id="36" name="Tabla1612305627837" displayName="Tabla1612305627837" ref="B6:E23" totalsRowShown="0" headerRowDxfId="108" dataDxfId="106" headerRowBorderDxfId="107" tableBorderDxfId="105" dataCellStyle="Moneda">
  <autoFilter ref="B6:E23"/>
  <tableColumns count="4">
    <tableColumn id="1" name="Medidas" dataDxfId="104"/>
    <tableColumn id="2" name="Hoja de Abrir" dataDxfId="103" dataCellStyle="Moneda">
      <calculatedColumnFormula>+#REF!</calculatedColumnFormula>
    </tableColumn>
    <tableColumn id="3" name="Paño Fijo" dataDxfId="102" dataCellStyle="Moneda">
      <calculatedColumnFormula>+#REF!</calculatedColumnFormula>
    </tableColumn>
    <tableColumn id="6" name="V/3mm" dataDxfId="101" dataCellStyle="Moneda">
      <calculatedColumnFormula>(I35+D79+I58)</calculatedColumnFormula>
    </tableColumn>
  </tableColumns>
  <tableStyleInfo name="TableStyleMedium10" showFirstColumn="0" showLastColumn="0" showRowStripes="1" showColumnStripes="0"/>
</table>
</file>

<file path=xl/tables/table24.xml><?xml version="1.0" encoding="utf-8"?>
<table xmlns="http://schemas.openxmlformats.org/spreadsheetml/2006/main" id="18" name="Tabla161219" displayName="Tabla161219" ref="V212:AA252" totalsRowShown="0" headerRowDxfId="100" dataDxfId="98" headerRowBorderDxfId="99" tableBorderDxfId="97" dataCellStyle="Moneda">
  <autoFilter ref="V212:AA252"/>
  <tableColumns count="6">
    <tableColumn id="1" name="Medidas" dataDxfId="96"/>
    <tableColumn id="2" name="V/3MM" dataDxfId="95" dataCellStyle="Moneda">
      <calculatedColumnFormula>+I6</calculatedColumnFormula>
    </tableColumn>
    <tableColumn id="3" name="V/4-9-4" dataDxfId="94" dataCellStyle="Moneda">
      <calculatedColumnFormula>+J6</calculatedColumnFormula>
    </tableColumn>
    <tableColumn id="4" name="V/3+3" dataDxfId="93" dataCellStyle="Moneda">
      <calculatedColumnFormula>+K6</calculatedColumnFormula>
    </tableColumn>
    <tableColumn id="5" name="Adicional Mosquitero" dataDxfId="92" dataCellStyle="Moneda">
      <calculatedColumnFormula>+H80</calculatedColumnFormula>
    </tableColumn>
    <tableColumn id="7" name="Adicional Guia" dataDxfId="91" dataCellStyle="Moneda">
      <calculatedColumnFormula>+M6</calculatedColumnFormula>
    </tableColumn>
  </tableColumns>
  <tableStyleInfo name="TableStyleMedium4" showFirstColumn="0" showLastColumn="0" showRowStripes="1" showColumnStripes="0"/>
</table>
</file>

<file path=xl/tables/table25.xml><?xml version="1.0" encoding="utf-8"?>
<table xmlns="http://schemas.openxmlformats.org/spreadsheetml/2006/main" id="19" name="Tabla167862651320" displayName="Tabla167862651320" ref="V255:AA260" totalsRowShown="0" headerRowDxfId="90" dataDxfId="88" headerRowBorderDxfId="89" tableBorderDxfId="87" dataCellStyle="Moneda">
  <autoFilter ref="V255:AA260"/>
  <tableColumns count="6">
    <tableColumn id="1" name="Medidas" dataDxfId="86"/>
    <tableColumn id="2" name="V/3MM" dataDxfId="85" dataCellStyle="Moneda">
      <calculatedColumnFormula>+I67</calculatedColumnFormula>
    </tableColumn>
    <tableColumn id="3" name="V/4-9-4" dataDxfId="84" dataCellStyle="Moneda">
      <calculatedColumnFormula>+J67</calculatedColumnFormula>
    </tableColumn>
    <tableColumn id="4" name="V/3+3" dataDxfId="83" dataCellStyle="Moneda">
      <calculatedColumnFormula>+K67</calculatedColumnFormula>
    </tableColumn>
    <tableColumn id="5" name="Adicional Mosquitero" dataDxfId="82" dataCellStyle="Moneda">
      <calculatedColumnFormula>+T80</calculatedColumnFormula>
    </tableColumn>
    <tableColumn id="6" name="Adicional Guia" dataDxfId="81" dataCellStyle="Moneda">
      <calculatedColumnFormula>+M67</calculatedColumnFormula>
    </tableColumn>
  </tableColumns>
  <tableStyleInfo name="TableStyleMedium4" showFirstColumn="0" showLastColumn="0" showRowStripes="1" showColumnStripes="0"/>
</table>
</file>

<file path=xl/tables/table26.xml><?xml version="1.0" encoding="utf-8"?>
<table xmlns="http://schemas.openxmlformats.org/spreadsheetml/2006/main" id="20" name="Tabla16253638415321" displayName="Tabla16253638415321" ref="AD7:AH24" totalsRowShown="0" headerRowDxfId="80" dataDxfId="78" headerRowBorderDxfId="79" tableBorderDxfId="77" dataCellStyle="Moneda">
  <autoFilter ref="AD7:AH24"/>
  <tableColumns count="5">
    <tableColumn id="1" name="Medidas" dataDxfId="76"/>
    <tableColumn id="2" name="1 Hoja V/3mm" dataDxfId="75" dataCellStyle="Moneda">
      <calculatedColumnFormula>+S8</calculatedColumnFormula>
    </tableColumn>
    <tableColumn id="4" name="1 Hoja V/4-9-4" dataDxfId="74" dataCellStyle="Moneda">
      <calculatedColumnFormula>+V8</calculatedColumnFormula>
    </tableColumn>
    <tableColumn id="5" name="1 Hoja  V/3+3" dataDxfId="73" dataCellStyle="Moneda">
      <calculatedColumnFormula>+Y8</calculatedColumnFormula>
    </tableColumn>
    <tableColumn id="10" name="Adicional Guia" dataDxfId="72" dataCellStyle="Moneda">
      <calculatedColumnFormula>+'MODENA CORREDIZA'!M13</calculatedColumnFormula>
    </tableColumn>
  </tableColumns>
  <tableStyleInfo name="TableStyleMedium4" showFirstColumn="0" showLastColumn="0" showRowStripes="1" showColumnStripes="0"/>
</table>
</file>

<file path=xl/tables/table27.xml><?xml version="1.0" encoding="utf-8"?>
<table xmlns="http://schemas.openxmlformats.org/spreadsheetml/2006/main" id="21" name="Tabla1625363841435422" displayName="Tabla1625363841435422" ref="AD25:AH42" totalsRowShown="0" headerRowDxfId="71" dataDxfId="69" headerRowBorderDxfId="70" tableBorderDxfId="68" dataCellStyle="Moneda">
  <autoFilter ref="AD25:AH42"/>
  <tableColumns count="5">
    <tableColumn id="1" name="Medidas" dataDxfId="67" dataCellStyle="Moneda"/>
    <tableColumn id="3" name="2 Hojas V/3mm" dataDxfId="66" dataCellStyle="Moneda">
      <calculatedColumnFormula>+T25</calculatedColumnFormula>
    </tableColumn>
    <tableColumn id="7" name="2 Hojas V/4-9-4" dataDxfId="65" dataCellStyle="Moneda">
      <calculatedColumnFormula>+W25</calculatedColumnFormula>
    </tableColumn>
    <tableColumn id="10" name="2 Hojas V/3+3" dataDxfId="64" dataCellStyle="Moneda">
      <calculatedColumnFormula>+Z25</calculatedColumnFormula>
    </tableColumn>
    <tableColumn id="2" name="Adicional Guia" dataDxfId="63" dataCellStyle="Moneda">
      <calculatedColumnFormula>+'MODENA CORREDIZA'!M28</calculatedColumnFormula>
    </tableColumn>
  </tableColumns>
  <tableStyleInfo name="TableStyleMedium4" showFirstColumn="0" showLastColumn="0" showRowStripes="1" showColumnStripes="0"/>
</table>
</file>

<file path=xl/tables/table28.xml><?xml version="1.0" encoding="utf-8"?>
<table xmlns="http://schemas.openxmlformats.org/spreadsheetml/2006/main" id="31" name="Tabla162536384143541732" displayName="Tabla162536384143541732" ref="AD43:AH61" totalsRowShown="0" headerRowDxfId="62" dataDxfId="60" headerRowBorderDxfId="61" tableBorderDxfId="59" dataCellStyle="Moneda">
  <autoFilter ref="AD43:AH61"/>
  <tableColumns count="5">
    <tableColumn id="1" name="Medidas" dataDxfId="58"/>
    <tableColumn id="3" name="3 Hojas V/3mm" dataDxfId="57" dataCellStyle="Moneda">
      <calculatedColumnFormula>+U36</calculatedColumnFormula>
    </tableColumn>
    <tableColumn id="7" name="3 Hojas V/4-9-4" dataDxfId="56" dataCellStyle="Moneda">
      <calculatedColumnFormula>+X36</calculatedColumnFormula>
    </tableColumn>
    <tableColumn id="10" name="3 Hojas V/3+3" dataDxfId="55" dataCellStyle="Moneda">
      <calculatedColumnFormula>+AA36</calculatedColumnFormula>
    </tableColumn>
    <tableColumn id="2" name="Adicional Guia" dataDxfId="54" dataCellStyle="Moneda"/>
  </tableColumns>
  <tableStyleInfo name="TableStyleMedium11" showFirstColumn="0" showLastColumn="0" showRowStripes="1" showColumnStripes="0"/>
</table>
</file>

<file path=xl/tables/table29.xml><?xml version="1.0" encoding="utf-8"?>
<table xmlns="http://schemas.openxmlformats.org/spreadsheetml/2006/main" id="22" name="Tabla16253638415105823" displayName="Tabla16253638415105823" ref="N39:Q55" totalsRowShown="0" headerRowDxfId="53" dataDxfId="51" headerRowBorderDxfId="52" tableBorderDxfId="50" dataCellStyle="Moneda">
  <autoFilter ref="N39:Q55"/>
  <tableColumns count="4">
    <tableColumn id="1" name="Medidas" dataDxfId="49"/>
    <tableColumn id="2" name="1 Hoja V/3mm" dataDxfId="48" dataCellStyle="Moneda">
      <calculatedColumnFormula>+I58</calculatedColumnFormula>
    </tableColumn>
    <tableColumn id="4" name="1 Hojas V/4-9-4" dataDxfId="47" dataCellStyle="Moneda">
      <calculatedColumnFormula>+J58</calculatedColumnFormula>
    </tableColumn>
    <tableColumn id="5" name="1 Hoja V/3+3" dataDxfId="46" dataCellStyle="Moneda">
      <calculatedColumnFormula>+K58</calculatedColumnFormula>
    </tableColumn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2" name="Tabla167891419" displayName="Tabla167891419" ref="Y157:AC197" totalsRowShown="0" headerRowDxfId="279" dataDxfId="277" headerRowBorderDxfId="278" tableBorderDxfId="276" dataCellStyle="Moneda">
  <autoFilter ref="Y157:AC197"/>
  <tableColumns count="5">
    <tableColumn id="1" name="Medidas" dataDxfId="275"/>
    <tableColumn id="2" name="2 Hojas" dataDxfId="274" dataCellStyle="Moneda">
      <calculatedColumnFormula>+H6</calculatedColumnFormula>
    </tableColumn>
    <tableColumn id="4" name="3 Hojas" dataDxfId="273" dataCellStyle="Moneda"/>
    <tableColumn id="3" name="2 Hojas2" dataDxfId="272" dataCellStyle="Moneda">
      <calculatedColumnFormula>+H83</calculatedColumnFormula>
    </tableColumn>
    <tableColumn id="5" name="3 Hojas3" dataDxfId="271" dataCellStyle="Moneda">
      <calculatedColumnFormula>+V6</calculatedColumnFormula>
    </tableColumn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id="23" name="Tabla1625363841524" displayName="Tabla1625363841524" ref="N81:R92" totalsRowShown="0" headerRowDxfId="45" dataDxfId="43" headerRowBorderDxfId="44" tableBorderDxfId="42" dataCellStyle="Moneda">
  <autoFilter ref="N81:R92"/>
  <tableColumns count="5">
    <tableColumn id="1" name="Medidas" dataDxfId="41"/>
    <tableColumn id="2" name="1 Hoja V/4mm" dataDxfId="40" dataCellStyle="Moneda">
      <calculatedColumnFormula>+I13</calculatedColumnFormula>
    </tableColumn>
    <tableColumn id="4" name="1 Hojas V/4-9-4" dataDxfId="39" dataCellStyle="Moneda">
      <calculatedColumnFormula>+J13</calculatedColumnFormula>
    </tableColumn>
    <tableColumn id="5" name="1 Hoja V/3+3" dataDxfId="38" dataCellStyle="Moneda">
      <calculatedColumnFormula>+K13</calculatedColumnFormula>
    </tableColumn>
    <tableColumn id="10" name="Adicional Guia" dataDxfId="37" dataCellStyle="Moneda"/>
  </tableColumns>
  <tableStyleInfo name="TableStyleMedium4" showFirstColumn="0" showLastColumn="0" showRowStripes="1" showColumnStripes="0"/>
</table>
</file>

<file path=xl/tables/table31.xml><?xml version="1.0" encoding="utf-8"?>
<table xmlns="http://schemas.openxmlformats.org/spreadsheetml/2006/main" id="30" name="Tabla1625363841510582331" displayName="Tabla1625363841510582331" ref="N60:Q76" totalsRowShown="0" headerRowDxfId="36" dataDxfId="34" headerRowBorderDxfId="35" tableBorderDxfId="33" dataCellStyle="Moneda">
  <autoFilter ref="N60:Q76"/>
  <tableColumns count="4">
    <tableColumn id="1" name="Medidas" dataDxfId="32"/>
    <tableColumn id="2" name="1 Hoja V/4mm" dataDxfId="31" dataCellStyle="Moneda">
      <calculatedColumnFormula>+I36</calculatedColumnFormula>
    </tableColumn>
    <tableColumn id="4" name="1 Hojas V/4-9-4" dataDxfId="30" dataCellStyle="Moneda">
      <calculatedColumnFormula>+J36</calculatedColumnFormula>
    </tableColumn>
    <tableColumn id="5" name="1 Hoja V/3+3" dataDxfId="29" dataCellStyle="Moneda">
      <calculatedColumnFormula>K36</calculatedColumnFormula>
    </tableColumn>
  </tableColumns>
  <tableStyleInfo name="TableStyleMedium4" showFirstColumn="0" showLastColumn="0" showRowStripes="1" showColumnStripes="0"/>
</table>
</file>

<file path=xl/tables/table32.xml><?xml version="1.0" encoding="utf-8"?>
<table xmlns="http://schemas.openxmlformats.org/spreadsheetml/2006/main" id="26" name="Tabla1612305627" displayName="Tabla1612305627" ref="M5:Q45" totalsRowShown="0" headerRowDxfId="28" dataDxfId="26" headerRowBorderDxfId="27" tableBorderDxfId="25" dataCellStyle="Moneda">
  <autoFilter ref="M5:Q45"/>
  <tableColumns count="5">
    <tableColumn id="1" name="Medidas" dataDxfId="24"/>
    <tableColumn id="2" name="V/3mm" dataDxfId="23" dataCellStyle="Moneda">
      <calculatedColumnFormula>+I6</calculatedColumnFormula>
    </tableColumn>
    <tableColumn id="3" name="V/4-9-4" dataDxfId="22" dataCellStyle="Moneda">
      <calculatedColumnFormula>+J6</calculatedColumnFormula>
    </tableColumn>
    <tableColumn id="6" name="V/3+3" dataDxfId="21" dataCellStyle="Moneda">
      <calculatedColumnFormula>+K6</calculatedColumnFormula>
    </tableColumn>
    <tableColumn id="4" name="Adicional Guia" dataDxfId="20" dataCellStyle="Moneda">
      <calculatedColumnFormula>+'MODENA CORREDIZA'!M6</calculatedColumnFormula>
    </tableColumn>
  </tableColumns>
  <tableStyleInfo name="TableStyleMedium4" showFirstColumn="0" showLastColumn="0" showRowStripes="1" showColumnStripes="0"/>
</table>
</file>

<file path=xl/tables/table33.xml><?xml version="1.0" encoding="utf-8"?>
<table xmlns="http://schemas.openxmlformats.org/spreadsheetml/2006/main" id="7" name="Tabla16123056278" displayName="Tabla16123056278" ref="M5:R22" totalsRowShown="0" headerRowDxfId="19" dataDxfId="17" headerRowBorderDxfId="18" tableBorderDxfId="16" dataCellStyle="Moneda">
  <autoFilter ref="M5:R22"/>
  <tableColumns count="6">
    <tableColumn id="1" name="Medidas" dataDxfId="15"/>
    <tableColumn id="2" name="Hoja de Abrir" dataDxfId="14" dataCellStyle="Moneda">
      <calculatedColumnFormula>+I6</calculatedColumnFormula>
    </tableColumn>
    <tableColumn id="3" name="Paño Fijo" dataDxfId="13" dataCellStyle="Moneda">
      <calculatedColumnFormula>+J6</calculatedColumnFormula>
    </tableColumn>
    <tableColumn id="6" name="V/3mm" dataDxfId="12" dataCellStyle="Moneda">
      <calculatedColumnFormula>(I6+F17+S58)</calculatedColumnFormula>
    </tableColumn>
    <tableColumn id="4" name="V/4-9-4" dataDxfId="11" dataCellStyle="Moneda">
      <calculatedColumnFormula>(J6+F31+V58)</calculatedColumnFormula>
    </tableColumn>
    <tableColumn id="8" name="V/3+3" dataDxfId="10" dataCellStyle="Moneda">
      <calculatedColumnFormula>(K6+G31+Y58)</calculatedColumnFormula>
    </tableColumn>
  </tableColumns>
  <tableStyleInfo name="TableStyleMedium4" showFirstColumn="0" showLastColumn="0" showRowStripes="1" showColumnStripes="0"/>
</table>
</file>

<file path=xl/tables/table34.xml><?xml version="1.0" encoding="utf-8"?>
<table xmlns="http://schemas.openxmlformats.org/spreadsheetml/2006/main" id="9" name="Tabla1612305627810" displayName="Tabla1612305627810" ref="M29:R46" totalsRowShown="0" headerRowDxfId="9" dataDxfId="7" headerRowBorderDxfId="8" tableBorderDxfId="6" dataCellStyle="Moneda">
  <autoFilter ref="M29:R46"/>
  <tableColumns count="6">
    <tableColumn id="1" name="Medidas" dataDxfId="5"/>
    <tableColumn id="2" name="Hoja de Abrir" dataDxfId="4" dataCellStyle="Moneda">
      <calculatedColumnFormula>+I30</calculatedColumnFormula>
    </tableColumn>
    <tableColumn id="3" name="Paño Fijo" dataDxfId="3" dataCellStyle="Moneda">
      <calculatedColumnFormula>+J30</calculatedColumnFormula>
    </tableColumn>
    <tableColumn id="6" name="V/3mm" dataDxfId="2" dataCellStyle="Moneda">
      <calculatedColumnFormula>(I83+F31+I6)</calculatedColumnFormula>
    </tableColumn>
    <tableColumn id="4" name="V/4-9-4" dataDxfId="1" dataCellStyle="Moneda"/>
    <tableColumn id="8" name="V/3+3" dataDxfId="0" dataCellStyle="Moneda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33" name="Tabla172169" displayName="Tabla172169" ref="Y200:AC205" totalsRowShown="0" headerRowDxfId="270" headerRowBorderDxfId="269" tableBorderDxfId="268">
  <autoFilter ref="Y200:AC205"/>
  <tableColumns count="5">
    <tableColumn id="1" name="Medidas" dataDxfId="267"/>
    <tableColumn id="2" name="2 Hojas" dataDxfId="266" dataCellStyle="Moneda"/>
    <tableColumn id="3" name="3 Hojas" dataDxfId="265" dataCellStyle="Moneda">
      <calculatedColumnFormula>+T67</calculatedColumnFormula>
    </tableColumn>
    <tableColumn id="4" name="2 Hojas2" dataDxfId="264" dataCellStyle="Moneda"/>
    <tableColumn id="5" name="3 Hojas3" dataDxfId="263" dataCellStyle="Moneda">
      <calculatedColumnFormula>+T144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a1678911" displayName="Tabla1678911" ref="B57:E79" totalsRowShown="0" headerRowDxfId="262" dataDxfId="260" headerRowBorderDxfId="261" tableBorderDxfId="259" dataCellStyle="Moneda">
  <autoFilter ref="B57:E79"/>
  <tableColumns count="4">
    <tableColumn id="1" name="Medidas" dataDxfId="258"/>
    <tableColumn id="2" name="Sin Guia" dataDxfId="257" dataCellStyle="Moneda"/>
    <tableColumn id="4" name="Adicional Mosquitero" dataDxfId="256" dataCellStyle="Moneda">
      <calculatedColumnFormula>+'HERR PREMIUM CORREDIZA'!T104</calculatedColumnFormula>
    </tableColumn>
    <tableColumn id="5" name="Adicional Reja" dataDxfId="255" dataCellStyle="Moneda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a167891011266" displayName="Tabla167891011266" ref="B85:C97" totalsRowShown="0" headerRowDxfId="254" dataDxfId="252" headerRowBorderDxfId="253" tableBorderDxfId="251" dataCellStyle="Moneda">
  <autoFilter ref="B85:C97"/>
  <tableColumns count="2">
    <tableColumn id="1" name="Medidas" dataDxfId="250"/>
    <tableColumn id="2" name="Sin Guia" dataDxfId="249" dataCellStyle="Moneda">
      <calculatedColumnFormula>+H38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0" name="Tabla161213" displayName="Tabla161213" ref="V78:Y118" totalsRowShown="0" headerRowDxfId="248" dataDxfId="246" headerRowBorderDxfId="247" tableBorderDxfId="245" dataCellStyle="Moneda">
  <autoFilter ref="V78:Y118"/>
  <tableColumns count="4">
    <tableColumn id="1" name="Medidas" dataDxfId="244"/>
    <tableColumn id="2" name="Sin Guia" dataDxfId="243" dataCellStyle="Moneda"/>
    <tableColumn id="3" name="Con Guia" dataDxfId="242" dataCellStyle="Moneda">
      <calculatedColumnFormula>+R6</calculatedColumnFormula>
    </tableColumn>
    <tableColumn id="4" name="Adicional Reja" dataDxfId="241" dataCellStyle="Moneda">
      <calculatedColumnFormula>+Rejas!F6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1" name="Tabla1612" displayName="Tabla1612" ref="AA212:AF252" totalsRowShown="0" headerRowDxfId="240" dataDxfId="238" headerRowBorderDxfId="239" tableBorderDxfId="237" dataCellStyle="Moneda">
  <autoFilter ref="AA212:AF252"/>
  <tableColumns count="6">
    <tableColumn id="1" name="Medidas" dataDxfId="236"/>
    <tableColumn id="2" name="V/3MM" dataDxfId="235" dataCellStyle="Moneda"/>
    <tableColumn id="3" name="V/4-9-4" dataDxfId="234" dataCellStyle="Moneda"/>
    <tableColumn id="4" name="V/3+3" dataDxfId="233" dataCellStyle="Moneda"/>
    <tableColumn id="5" name="Adicional Mosquitero" dataDxfId="232" dataCellStyle="Moneda">
      <calculatedColumnFormula>+H80</calculatedColumnFormula>
    </tableColumn>
    <tableColumn id="7" name="Adicional Guia" dataDxfId="231" dataCellStyle="Moneda">
      <calculatedColumnFormula>+#REF!</calculatedColumnFormula>
    </tableColumn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id="12" name="Tabla1678626513" displayName="Tabla1678626513" ref="AA255:AF260" totalsRowShown="0" headerRowDxfId="230" dataDxfId="228" headerRowBorderDxfId="229" tableBorderDxfId="227" dataCellStyle="Moneda">
  <autoFilter ref="AA255:AF260"/>
  <tableColumns count="6">
    <tableColumn id="1" name="Medidas" dataDxfId="226"/>
    <tableColumn id="2" name="V/3MM" dataDxfId="225" dataCellStyle="Moneda">
      <calculatedColumnFormula>+I67</calculatedColumnFormula>
    </tableColumn>
    <tableColumn id="3" name="V/4-9-4" dataDxfId="224" dataCellStyle="Moneda">
      <calculatedColumnFormula>+J67</calculatedColumnFormula>
    </tableColumn>
    <tableColumn id="4" name="V/3+3" dataDxfId="223" dataCellStyle="Moneda">
      <calculatedColumnFormula>+K67</calculatedColumnFormula>
    </tableColumn>
    <tableColumn id="5" name="Adicional Mosquitero" dataDxfId="222" dataCellStyle="Moneda">
      <calculatedColumnFormula>+T80</calculatedColumnFormula>
    </tableColumn>
    <tableColumn id="6" name="Adicional Guia" dataDxfId="221" dataCellStyle="Moneda">
      <calculatedColumnFormula>+M67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rcenaluminio.com.ar/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4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4.bin"/><Relationship Id="rId4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info@arcenaluminio.com.ar" TargetMode="External"/><Relationship Id="rId1" Type="http://schemas.openxmlformats.org/officeDocument/2006/relationships/hyperlink" Target="mailto:info@arcenaluminio.com.ar" TargetMode="External"/><Relationship Id="rId4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0.bin"/><Relationship Id="rId4" Type="http://schemas.openxmlformats.org/officeDocument/2006/relationships/table" Target="../tables/table17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2.bin"/><Relationship Id="rId4" Type="http://schemas.openxmlformats.org/officeDocument/2006/relationships/table" Target="../tables/table21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27.bin"/><Relationship Id="rId4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28.bin"/><Relationship Id="rId4" Type="http://schemas.openxmlformats.org/officeDocument/2006/relationships/table" Target="../tables/table3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43"/>
  <sheetViews>
    <sheetView tabSelected="1" showRuler="0" workbookViewId="0">
      <selection activeCell="E7" sqref="E7"/>
    </sheetView>
  </sheetViews>
  <sheetFormatPr baseColWidth="10" defaultRowHeight="15"/>
  <cols>
    <col min="1" max="1" width="7.85546875" customWidth="1"/>
    <col min="2" max="2" width="6.28515625" customWidth="1"/>
    <col min="8" max="8" width="23.85546875" bestFit="1" customWidth="1"/>
  </cols>
  <sheetData>
    <row r="2" spans="2:8">
      <c r="G2" s="1" t="s">
        <v>1056</v>
      </c>
      <c r="H2" s="509" t="s">
        <v>1057</v>
      </c>
    </row>
    <row r="3" spans="2:8" ht="31.5">
      <c r="B3" s="510" t="s">
        <v>1055</v>
      </c>
    </row>
    <row r="37" spans="3:3" ht="18.75">
      <c r="C37" s="511" t="s">
        <v>745</v>
      </c>
    </row>
    <row r="38" spans="3:3" ht="18.75">
      <c r="C38" s="511"/>
    </row>
    <row r="39" spans="3:3" ht="18.75">
      <c r="C39" s="512" t="s">
        <v>746</v>
      </c>
    </row>
    <row r="40" spans="3:3" ht="18.75">
      <c r="C40" s="512"/>
    </row>
    <row r="41" spans="3:3" ht="18.75">
      <c r="C41" s="511" t="s">
        <v>747</v>
      </c>
    </row>
    <row r="42" spans="3:3" ht="18.75">
      <c r="C42" s="513"/>
    </row>
    <row r="43" spans="3:3" ht="18.75">
      <c r="C43" s="658" t="s">
        <v>748</v>
      </c>
    </row>
  </sheetData>
  <hyperlinks>
    <hyperlink ref="C43" r:id="rId1" display="http://www.arcenaluminio.com.ar/"/>
  </hyperlinks>
  <pageMargins left="0.70866141732283472" right="0.70866141732283472" top="0.74803149606299213" bottom="0.74803149606299213" header="0.31496062992125984" footer="0.31496062992125984"/>
  <pageSetup scale="94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7"/>
  <sheetViews>
    <sheetView topLeftCell="A74" zoomScale="90" zoomScaleNormal="90" workbookViewId="0">
      <selection activeCell="H83" sqref="H83"/>
    </sheetView>
  </sheetViews>
  <sheetFormatPr baseColWidth="10" defaultRowHeight="15"/>
  <cols>
    <col min="2" max="2" width="15.28515625" customWidth="1"/>
    <col min="3" max="5" width="16.5703125" customWidth="1"/>
    <col min="6" max="6" width="14.5703125" customWidth="1"/>
    <col min="7" max="7" width="11.140625" bestFit="1" customWidth="1"/>
    <col min="8" max="8" width="5.42578125" customWidth="1"/>
  </cols>
  <sheetData>
    <row r="1" spans="1:20" ht="15.75" hidden="1" thickBot="1"/>
    <row r="2" spans="1:20" ht="15.75" hidden="1" customHeight="1" thickBot="1">
      <c r="A2" s="32"/>
      <c r="B2" s="32"/>
      <c r="C2" s="867">
        <v>1.6</v>
      </c>
      <c r="D2" s="868"/>
      <c r="E2" s="869"/>
      <c r="F2" s="546">
        <v>2</v>
      </c>
      <c r="G2" s="32"/>
      <c r="H2" s="46" t="s">
        <v>163</v>
      </c>
      <c r="M2" s="32"/>
      <c r="N2" s="32"/>
      <c r="O2" s="801">
        <v>0.3</v>
      </c>
      <c r="P2" s="802"/>
      <c r="Q2" s="803"/>
      <c r="R2" s="61">
        <v>1</v>
      </c>
      <c r="S2" s="32"/>
      <c r="T2" s="46" t="s">
        <v>163</v>
      </c>
    </row>
    <row r="3" spans="1:20" ht="15.75" hidden="1" customHeight="1" thickBot="1">
      <c r="A3" s="792" t="s">
        <v>183</v>
      </c>
      <c r="B3" s="793"/>
      <c r="C3" s="793"/>
      <c r="D3" s="793"/>
      <c r="E3" s="793"/>
      <c r="F3" s="793"/>
      <c r="G3" s="793"/>
      <c r="H3" s="794"/>
      <c r="M3" s="792" t="s">
        <v>184</v>
      </c>
      <c r="N3" s="793"/>
      <c r="O3" s="793"/>
      <c r="P3" s="793"/>
      <c r="Q3" s="793"/>
      <c r="R3" s="793"/>
      <c r="S3" s="793"/>
      <c r="T3" s="794"/>
    </row>
    <row r="4" spans="1:20" ht="15.75" hidden="1" thickBot="1">
      <c r="A4" s="36" t="s">
        <v>116</v>
      </c>
      <c r="B4" s="36" t="s">
        <v>117</v>
      </c>
      <c r="C4" s="36" t="s">
        <v>162</v>
      </c>
      <c r="D4" s="36" t="s">
        <v>119</v>
      </c>
      <c r="E4" s="36" t="s">
        <v>120</v>
      </c>
      <c r="F4" s="36" t="s">
        <v>118</v>
      </c>
      <c r="G4" s="36" t="s">
        <v>121</v>
      </c>
      <c r="H4" s="36" t="s">
        <v>122</v>
      </c>
      <c r="M4" s="36" t="s">
        <v>116</v>
      </c>
      <c r="N4" s="36" t="s">
        <v>117</v>
      </c>
      <c r="O4" s="36" t="s">
        <v>162</v>
      </c>
      <c r="P4" s="36" t="s">
        <v>119</v>
      </c>
      <c r="Q4" s="36" t="s">
        <v>120</v>
      </c>
      <c r="R4" s="36" t="s">
        <v>118</v>
      </c>
      <c r="S4" s="36" t="s">
        <v>121</v>
      </c>
      <c r="T4" s="36" t="s">
        <v>122</v>
      </c>
    </row>
    <row r="5" spans="1:20" ht="15.75" hidden="1" customHeight="1" thickBot="1">
      <c r="A5" s="795"/>
      <c r="B5" s="796"/>
      <c r="C5" s="796"/>
      <c r="D5" s="796"/>
      <c r="E5" s="796"/>
      <c r="F5" s="796"/>
      <c r="G5" s="796"/>
      <c r="H5" s="797"/>
      <c r="M5" s="795"/>
      <c r="N5" s="796"/>
      <c r="O5" s="796"/>
      <c r="P5" s="796"/>
      <c r="Q5" s="796"/>
      <c r="R5" s="796"/>
      <c r="S5" s="796"/>
      <c r="T5" s="797"/>
    </row>
    <row r="6" spans="1:20" ht="15.75" hidden="1" thickBot="1">
      <c r="A6" s="40">
        <v>0.3</v>
      </c>
      <c r="B6" s="41">
        <v>0.4</v>
      </c>
      <c r="C6" s="47">
        <f>((((A6*2)+(B6*2))*MATERIALES!$C$13)+((A6*2)*MATERIALES!$C$6)+((B6*2)*MATERIALES!$C$15))*MATERIALES!$F$2</f>
        <v>807.46848</v>
      </c>
      <c r="D6" s="58">
        <f>(4*MATERIALES!$C$137)+(4*MATERIALES!$C$174)+((8*4)*MATERIALES!$C$145)+(((B6*2)+(A6*2))*MATERIALES!$C$149)+(4*MATERIALES!$C$148)+(((A6*5)*2)*MATERIALES!$C$147)+(4*MATERIALES!$C$146)+(1*MATERIALES!$C$151)+(((A6*2)+(B6*2))*MATERIALES!$C$141)+(2*MATERIALES!$C$161)</f>
        <v>811.55984000000012</v>
      </c>
      <c r="E6" s="74"/>
      <c r="F6" s="54">
        <f>(A6*B6)*MATERIALES!$D$82</f>
        <v>63.599999999999994</v>
      </c>
      <c r="G6" s="47">
        <f>SUM(C6:F6)</f>
        <v>1682.62832</v>
      </c>
      <c r="H6" s="49">
        <f>(SUM(C6:E6)*$C$2)+(F6*$F$2)</f>
        <v>2717.6453120000001</v>
      </c>
      <c r="M6" s="65">
        <v>0.4</v>
      </c>
      <c r="N6" s="66">
        <v>0.4</v>
      </c>
      <c r="O6" s="58">
        <f>((((M6*2)+(N6*2))*MATERIALES!$C$13)+((M6*2)*MATERIALES!$C$6)+((N6*2)*MATERIALES!$C$15))*MATERIALES!$F$2</f>
        <v>922.52160000000015</v>
      </c>
      <c r="P6" s="58">
        <f>(4*MATERIALES!$C$137)+(4*MATERIALES!$C$174)+((8*4)*MATERIALES!$C$145)+(((N6*2)+(M6*2))*MATERIALES!$C$149)+(4*MATERIALES!$C$148)+(((M6*5)*2)*MATERIALES!$C$147)+(4*MATERIALES!$C$146)+(1*MATERIALES!$C$155)+(((M6*2)+(N6*2))*MATERIALES!$C$141)+(2*MATERIALES!$C$161)</f>
        <v>862.01855999999998</v>
      </c>
      <c r="Q6" s="74"/>
      <c r="R6" s="54">
        <f>(M6*N6)*MATERIALES!$D$82</f>
        <v>84.800000000000011</v>
      </c>
      <c r="S6" s="58">
        <f>SUM(O6:R6)</f>
        <v>1869.34016</v>
      </c>
      <c r="T6" s="67">
        <f>(SUM(O6:Q6)*1.3)+(R6*2)</f>
        <v>2489.5022079999999</v>
      </c>
    </row>
    <row r="7" spans="1:20" ht="15.75" hidden="1" thickBot="1">
      <c r="A7" s="42">
        <v>0.3</v>
      </c>
      <c r="B7" s="37">
        <v>0.6</v>
      </c>
      <c r="C7" s="38">
        <f>((((A7*2)+(B7*2))*MATERIALES!$C$13)+((A7*2)*MATERIALES!$C$6)+((B7*2)*MATERIALES!$C$15))*MATERIALES!$F$2</f>
        <v>1038.6230399999999</v>
      </c>
      <c r="D7" s="59">
        <f>(4*MATERIALES!$C$137)+(4*MATERIALES!$C$174)+((8*4)*MATERIALES!$C$145)+(((B7*2)+(A7*2))*MATERIALES!$C$149)+(4*MATERIALES!$C$148)+(((A7*5)*2)*MATERIALES!$C$147)+(4*MATERIALES!$C$146)+(1*MATERIALES!$C$151)+(((A7*2)+(B7*2))*MATERIALES!$C$141)+(2*MATERIALES!$C$161)</f>
        <v>825.11728000000016</v>
      </c>
      <c r="E7" s="75"/>
      <c r="F7" s="55">
        <f>(A7*B7)*MATERIALES!$D$82</f>
        <v>95.399999999999991</v>
      </c>
      <c r="G7" s="38">
        <f t="shared" ref="G7:G30" si="0">SUM(C7:F7)</f>
        <v>1959.1403200000002</v>
      </c>
      <c r="H7" s="49">
        <f t="shared" ref="H7:H30" si="1">(SUM(C7:E7)*$C$2)+(F7*$F$2)</f>
        <v>3172.7845120000006</v>
      </c>
      <c r="I7">
        <v>2144.2399999999998</v>
      </c>
      <c r="J7">
        <f>I7/H7</f>
        <v>0.67582276448026213</v>
      </c>
      <c r="M7" s="68">
        <v>0.4</v>
      </c>
      <c r="N7" s="69">
        <v>0.6</v>
      </c>
      <c r="O7" s="59">
        <f>((((M7*2)+(N7*2))*MATERIALES!$C$13)+((M7*2)*MATERIALES!$C$6)+((N7*2)*MATERIALES!$C$15))*MATERIALES!$F$2</f>
        <v>1153.67616</v>
      </c>
      <c r="P7" s="59">
        <f>(4*MATERIALES!$C$137)+(4*MATERIALES!$C$174)+((8*4)*MATERIALES!$C$145)+(((N7*2)+(M7*2))*MATERIALES!$C$149)+(4*MATERIALES!$C$148)+(((M7*5)*2)*MATERIALES!$C$147)+(4*MATERIALES!$C$146)+(1*MATERIALES!$C$155)+(((M7*2)+(N7*2))*MATERIALES!$C$141)+(2*MATERIALES!$C$161)</f>
        <v>875.57600000000002</v>
      </c>
      <c r="Q7" s="75"/>
      <c r="R7" s="55">
        <f>(M7*N7)*MATERIALES!$D$82</f>
        <v>127.19999999999999</v>
      </c>
      <c r="S7" s="59">
        <f t="shared" ref="S7:S17" si="2">SUM(O7:R7)</f>
        <v>2156.4521599999998</v>
      </c>
      <c r="T7" s="70">
        <f t="shared" ref="T7:T17" si="3">(SUM(O7:Q7)*1.3)+(R7*2)</f>
        <v>2892.4278080000004</v>
      </c>
    </row>
    <row r="8" spans="1:20" ht="15.75" hidden="1" thickBot="1">
      <c r="A8" s="42">
        <v>0.3</v>
      </c>
      <c r="B8" s="37">
        <v>0.8</v>
      </c>
      <c r="C8" s="38">
        <f>((((A8*2)+(B8*2))*MATERIALES!$C$13)+((A8*2)*MATERIALES!$C$6)+((B8*2)*MATERIALES!$C$15))*MATERIALES!$F$2</f>
        <v>1269.7776000000001</v>
      </c>
      <c r="D8" s="59">
        <f>(4*MATERIALES!$C$137)+(4*MATERIALES!$C$174)+((8*4)*MATERIALES!$C$145)+(((B8*2)+(A8*2))*MATERIALES!$C$149)+(4*MATERIALES!$C$148)+(((A8*5)*2)*MATERIALES!$C$147)+(4*MATERIALES!$C$146)+(1*MATERIALES!$C$151)+(((A8*2)+(B8*2))*MATERIALES!$C$141)+(2*MATERIALES!$C$161)</f>
        <v>838.67471999999998</v>
      </c>
      <c r="E8" s="75"/>
      <c r="F8" s="55">
        <f>(A8*B8)*MATERIALES!$D$82</f>
        <v>127.19999999999999</v>
      </c>
      <c r="G8" s="38">
        <f t="shared" si="0"/>
        <v>2235.6523200000001</v>
      </c>
      <c r="H8" s="49">
        <f t="shared" si="1"/>
        <v>3627.9237120000007</v>
      </c>
      <c r="M8" s="68">
        <v>0.4</v>
      </c>
      <c r="N8" s="69">
        <v>0.8</v>
      </c>
      <c r="O8" s="59">
        <f>((((M8*2)+(N8*2))*MATERIALES!$C$13)+((M8*2)*MATERIALES!$C$6)+((N8*2)*MATERIALES!$C$15))*MATERIALES!$F$2</f>
        <v>1384.8307200000004</v>
      </c>
      <c r="P8" s="59">
        <f>(4*MATERIALES!$C$137)+(4*MATERIALES!$C$174)+((8*4)*MATERIALES!$C$145)+(((N8*2)+(M8*2))*MATERIALES!$C$149)+(4*MATERIALES!$C$148)+(((M8*5)*2)*MATERIALES!$C$147)+(4*MATERIALES!$C$146)+(1*MATERIALES!$C$155)+(((M8*2)+(N8*2))*MATERIALES!$C$141)+(2*MATERIALES!$C$161)</f>
        <v>889.13344000000006</v>
      </c>
      <c r="Q8" s="75"/>
      <c r="R8" s="55">
        <f>(M8*N8)*MATERIALES!$D$82</f>
        <v>169.60000000000002</v>
      </c>
      <c r="S8" s="59">
        <f t="shared" si="2"/>
        <v>2443.5641600000004</v>
      </c>
      <c r="T8" s="70">
        <f t="shared" si="3"/>
        <v>3295.3534080000009</v>
      </c>
    </row>
    <row r="9" spans="1:20" ht="15.75" hidden="1" thickBot="1">
      <c r="A9" s="42">
        <v>0.3</v>
      </c>
      <c r="B9" s="37">
        <v>1</v>
      </c>
      <c r="C9" s="38">
        <f>((((A9*2)+(B9*2))*MATERIALES!$C$13)+((A9*2)*MATERIALES!$C$6)+((B9*2)*MATERIALES!$C$15))*MATERIALES!$F$2</f>
        <v>1500.9321600000001</v>
      </c>
      <c r="D9" s="59">
        <f>(4*MATERIALES!$C$137)+(4*MATERIALES!$C$174)+((8*4)*MATERIALES!$C$145)+(((B9*2)+(A9*2))*MATERIALES!$C$149)+(4*MATERIALES!$C$148)+(((A9*5)*2)*MATERIALES!$C$147)+(4*MATERIALES!$C$146)+(1*MATERIALES!$C$151)+(((A9*2)+(B9*2))*MATERIALES!$C$141)+(2*MATERIALES!$C$161)</f>
        <v>852.23216000000002</v>
      </c>
      <c r="E9" s="75"/>
      <c r="F9" s="55">
        <f>(A9*B9)*MATERIALES!$D$82</f>
        <v>159</v>
      </c>
      <c r="G9" s="38">
        <f t="shared" si="0"/>
        <v>2512.1643199999999</v>
      </c>
      <c r="H9" s="49">
        <f t="shared" si="1"/>
        <v>4083.0629119999999</v>
      </c>
      <c r="I9">
        <v>2836.84</v>
      </c>
      <c r="J9">
        <f t="shared" ref="J9:J17" si="4">I9/H9</f>
        <v>0.69478233893056418</v>
      </c>
      <c r="M9" s="68">
        <v>0.6</v>
      </c>
      <c r="N9" s="69">
        <v>0.4</v>
      </c>
      <c r="O9" s="59">
        <f>((((M9*2)+(N9*2))*MATERIALES!$C$13)+((M9*2)*MATERIALES!$C$6)+((N9*2)*MATERIALES!$C$15))*MATERIALES!$F$2</f>
        <v>1152.6278400000001</v>
      </c>
      <c r="P9" s="59">
        <f>(4*MATERIALES!$C$137)+(4*MATERIALES!$C$174)+((8*4)*MATERIALES!$C$145)+(((N9*2)+(M9*2))*MATERIALES!$C$149)+(4*MATERIALES!$C$148)+(((M9*5)*2)*MATERIALES!$C$147)+(4*MATERIALES!$C$146)+(1*MATERIALES!$C$155)+(((M9*2)+(N9*2))*MATERIALES!$C$141)+(2*MATERIALES!$C$161)</f>
        <v>875.57600000000002</v>
      </c>
      <c r="Q9" s="75"/>
      <c r="R9" s="55">
        <f>(M9*N9)*MATERIALES!$D$82</f>
        <v>127.19999999999999</v>
      </c>
      <c r="S9" s="59">
        <f t="shared" si="2"/>
        <v>2155.4038399999999</v>
      </c>
      <c r="T9" s="70">
        <f t="shared" si="3"/>
        <v>2891.0649920000005</v>
      </c>
    </row>
    <row r="10" spans="1:20" ht="15.75" hidden="1" thickBot="1">
      <c r="A10" s="42">
        <v>0.3</v>
      </c>
      <c r="B10" s="37">
        <v>1.2</v>
      </c>
      <c r="C10" s="38">
        <f>((((A10*2)+(B10*2))*MATERIALES!$C$13)+((A10*2)*MATERIALES!$C$6)+((B10*2)*MATERIALES!$C$15))*MATERIALES!$F$2</f>
        <v>1732.08672</v>
      </c>
      <c r="D10" s="59">
        <f>(4*MATERIALES!$C$137)+(4*MATERIALES!$C$174)+((8*4)*MATERIALES!$C$145)+(((B10*2)+(A10*2))*MATERIALES!$C$149)+(4*MATERIALES!$C$148)+(((A10*5)*2)*MATERIALES!$C$147)+(4*MATERIALES!$C$146)+(1*MATERIALES!$C$151)+(((A10*2)+(B10*2))*MATERIALES!$C$141)+(2*MATERIALES!$C$161)</f>
        <v>865.78960000000006</v>
      </c>
      <c r="E10" s="75"/>
      <c r="F10" s="55">
        <f>(A10*B10)*MATERIALES!$D$82</f>
        <v>190.79999999999998</v>
      </c>
      <c r="G10" s="38">
        <f t="shared" si="0"/>
        <v>2788.6763200000005</v>
      </c>
      <c r="H10" s="49">
        <f t="shared" si="1"/>
        <v>4538.2021120000009</v>
      </c>
      <c r="M10" s="68">
        <v>0.6</v>
      </c>
      <c r="N10" s="69">
        <v>0.6</v>
      </c>
      <c r="O10" s="59">
        <f>((((M10*2)+(N10*2))*MATERIALES!$C$13)+((M10*2)*MATERIALES!$C$6)+((N10*2)*MATERIALES!$C$15))*MATERIALES!$F$2</f>
        <v>1383.7824000000001</v>
      </c>
      <c r="P10" s="59">
        <f>(4*MATERIALES!$C$137)+(4*MATERIALES!$C$174)+((8*4)*MATERIALES!$C$145)+(((N10*2)+(M10*2))*MATERIALES!$C$149)+(4*MATERIALES!$C$148)+(((M10*5)*2)*MATERIALES!$C$147)+(4*MATERIALES!$C$146)+(1*MATERIALES!$C$155)+(((M10*2)+(N10*2))*MATERIALES!$C$141)+(2*MATERIALES!$C$161)</f>
        <v>889.13344000000006</v>
      </c>
      <c r="Q10" s="75"/>
      <c r="R10" s="55">
        <f>(M10*N10)*MATERIALES!$D$82</f>
        <v>190.79999999999998</v>
      </c>
      <c r="S10" s="59">
        <f t="shared" si="2"/>
        <v>2463.7158400000003</v>
      </c>
      <c r="T10" s="70">
        <f t="shared" si="3"/>
        <v>3336.3905920000002</v>
      </c>
    </row>
    <row r="11" spans="1:20" ht="15.75" hidden="1" thickBot="1">
      <c r="A11" s="42">
        <v>0.4</v>
      </c>
      <c r="B11" s="37">
        <v>0.4</v>
      </c>
      <c r="C11" s="38">
        <f>((((A11*2)+(B11*2))*MATERIALES!$C$13)+((A11*2)*MATERIALES!$C$6)+((B11*2)*MATERIALES!$C$15))*MATERIALES!$F$2</f>
        <v>922.52160000000015</v>
      </c>
      <c r="D11" s="59">
        <f>(4*MATERIALES!$C$137)+(4*MATERIALES!$C$174)+((8*4)*MATERIALES!$C$145)+(((B11*2)+(A11*2))*MATERIALES!$C$149)+(4*MATERIALES!$C$148)+(((A11*5)*2)*MATERIALES!$C$147)+(4*MATERIALES!$C$146)+(1*MATERIALES!$C$151)+(((A11*2)+(B11*2))*MATERIALES!$C$141)+(2*MATERIALES!$C$161)</f>
        <v>818.33855999999992</v>
      </c>
      <c r="E11" s="75"/>
      <c r="F11" s="55">
        <f>(A11*B11)*MATERIALES!$D$82</f>
        <v>84.800000000000011</v>
      </c>
      <c r="G11" s="38">
        <f t="shared" si="0"/>
        <v>1825.6601600000001</v>
      </c>
      <c r="H11" s="49">
        <f t="shared" si="1"/>
        <v>2954.9762560000004</v>
      </c>
      <c r="M11" s="68">
        <v>0.6</v>
      </c>
      <c r="N11" s="69">
        <v>0.8</v>
      </c>
      <c r="O11" s="59">
        <f>((((M11*2)+(N11*2))*MATERIALES!$C$13)+((M11*2)*MATERIALES!$C$6)+((N11*2)*MATERIALES!$C$15))*MATERIALES!$F$2</f>
        <v>1614.93696</v>
      </c>
      <c r="P11" s="59">
        <f>(4*MATERIALES!$C$137)+(4*MATERIALES!$C$174)+((8*4)*MATERIALES!$C$145)+(((N11*2)+(M11*2))*MATERIALES!$C$149)+(4*MATERIALES!$C$148)+(((M11*5)*2)*MATERIALES!$C$147)+(4*MATERIALES!$C$146)+(1*MATERIALES!$C$155)+(((M11*2)+(N11*2))*MATERIALES!$C$141)+(2*MATERIALES!$C$161)</f>
        <v>902.69088000000011</v>
      </c>
      <c r="Q11" s="75"/>
      <c r="R11" s="55">
        <f>(M11*N11)*MATERIALES!$D$82</f>
        <v>254.39999999999998</v>
      </c>
      <c r="S11" s="59">
        <f t="shared" si="2"/>
        <v>2772.0278400000002</v>
      </c>
      <c r="T11" s="70">
        <f t="shared" si="3"/>
        <v>3781.7161919999999</v>
      </c>
    </row>
    <row r="12" spans="1:20" ht="15.75" hidden="1" thickBot="1">
      <c r="A12" s="42">
        <v>0.4</v>
      </c>
      <c r="B12" s="37">
        <v>0.6</v>
      </c>
      <c r="C12" s="38">
        <f>((((A12*2)+(B12*2))*MATERIALES!$C$13)+((A12*2)*MATERIALES!$C$6)+((B12*2)*MATERIALES!$C$15))*MATERIALES!$F$2</f>
        <v>1153.67616</v>
      </c>
      <c r="D12" s="59">
        <f>(4*MATERIALES!$C$137)+(4*MATERIALES!$C$174)+((8*4)*MATERIALES!$C$145)+(((B12*2)+(A12*2))*MATERIALES!$C$149)+(4*MATERIALES!$C$148)+(((A12*5)*2)*MATERIALES!$C$147)+(4*MATERIALES!$C$146)+(1*MATERIALES!$C$151)+(((A12*2)+(B12*2))*MATERIALES!$C$141)+(2*MATERIALES!$C$161)</f>
        <v>831.89599999999996</v>
      </c>
      <c r="E12" s="75"/>
      <c r="F12" s="55">
        <f>(A12*B12)*MATERIALES!$D$82</f>
        <v>127.19999999999999</v>
      </c>
      <c r="G12" s="38">
        <f t="shared" si="0"/>
        <v>2112.77216</v>
      </c>
      <c r="H12" s="49">
        <f t="shared" si="1"/>
        <v>3431.3154560000003</v>
      </c>
      <c r="M12" s="68">
        <v>0.8</v>
      </c>
      <c r="N12" s="69">
        <v>0.4</v>
      </c>
      <c r="O12" s="59">
        <f>((((M12*2)+(N12*2))*MATERIALES!$C$13)+((M12*2)*MATERIALES!$C$6)+((N12*2)*MATERIALES!$C$15))*MATERIALES!$F$2</f>
        <v>1382.7340800000002</v>
      </c>
      <c r="P12" s="59">
        <f>(4*MATERIALES!$C$137)+(4*MATERIALES!$C$174)+((8*4)*MATERIALES!$C$145)+(((N12*2)+(M12*2))*MATERIALES!$C$149)+(4*MATERIALES!$C$148)+(((M12*5)*2)*MATERIALES!$C$147)+(4*MATERIALES!$C$146)+(1*MATERIALES!$C$155)+(((M12*2)+(N12*2))*MATERIALES!$C$141)+(2*MATERIALES!$C$161)</f>
        <v>889.13344000000006</v>
      </c>
      <c r="Q12" s="75"/>
      <c r="R12" s="55">
        <f>(M12*N12)*MATERIALES!$D$82</f>
        <v>169.60000000000002</v>
      </c>
      <c r="S12" s="59">
        <f t="shared" si="2"/>
        <v>2441.4675200000001</v>
      </c>
      <c r="T12" s="70">
        <f t="shared" si="3"/>
        <v>3292.6277760000003</v>
      </c>
    </row>
    <row r="13" spans="1:20" ht="15.75" hidden="1" thickBot="1">
      <c r="A13" s="42">
        <v>0.4</v>
      </c>
      <c r="B13" s="37">
        <v>0.8</v>
      </c>
      <c r="C13" s="38">
        <f>((((A13*2)+(B13*2))*MATERIALES!$C$13)+((A13*2)*MATERIALES!$C$6)+((B13*2)*MATERIALES!$C$15))*MATERIALES!$F$2</f>
        <v>1384.8307200000004</v>
      </c>
      <c r="D13" s="59">
        <f>(4*MATERIALES!$C$137)+(4*MATERIALES!$C$174)+((8*4)*MATERIALES!$C$145)+(((B13*2)+(A13*2))*MATERIALES!$C$149)+(4*MATERIALES!$C$148)+(((A13*5)*2)*MATERIALES!$C$147)+(4*MATERIALES!$C$146)+(1*MATERIALES!$C$151)+(((A13*2)+(B13*2))*MATERIALES!$C$141)+(2*MATERIALES!$C$161)</f>
        <v>845.45344</v>
      </c>
      <c r="E13" s="75"/>
      <c r="F13" s="55">
        <f>(A13*B13)*MATERIALES!$D$82</f>
        <v>169.60000000000002</v>
      </c>
      <c r="G13" s="38">
        <f t="shared" si="0"/>
        <v>2399.8841600000001</v>
      </c>
      <c r="H13" s="49">
        <f t="shared" si="1"/>
        <v>3907.6546560000006</v>
      </c>
      <c r="M13" s="68">
        <v>0.8</v>
      </c>
      <c r="N13" s="69">
        <v>0.6</v>
      </c>
      <c r="O13" s="59">
        <f>((((M13*2)+(N13*2))*MATERIALES!$C$13)+((M13*2)*MATERIALES!$C$6)+((N13*2)*MATERIALES!$C$15))*MATERIALES!$F$2</f>
        <v>1613.8886400000001</v>
      </c>
      <c r="P13" s="59">
        <f>(4*MATERIALES!$C$137)+(4*MATERIALES!$C$174)+((8*4)*MATERIALES!$C$145)+(((N13*2)+(M13*2))*MATERIALES!$C$149)+(4*MATERIALES!$C$148)+(((M13*5)*2)*MATERIALES!$C$147)+(4*MATERIALES!$C$146)+(1*MATERIALES!$C$155)+(((M13*2)+(N13*2))*MATERIALES!$C$141)+(2*MATERIALES!$C$161)</f>
        <v>902.69088000000011</v>
      </c>
      <c r="Q13" s="75"/>
      <c r="R13" s="55">
        <f>(M13*N13)*MATERIALES!$D$82</f>
        <v>254.39999999999998</v>
      </c>
      <c r="S13" s="59">
        <f t="shared" si="2"/>
        <v>2770.9795200000003</v>
      </c>
      <c r="T13" s="70">
        <f t="shared" si="3"/>
        <v>3780.353376</v>
      </c>
    </row>
    <row r="14" spans="1:20" ht="15.75" hidden="1" thickBot="1">
      <c r="A14" s="42">
        <v>0.4</v>
      </c>
      <c r="B14" s="37">
        <v>1</v>
      </c>
      <c r="C14" s="38">
        <f>((((A14*2)+(B14*2))*MATERIALES!$C$13)+((A14*2)*MATERIALES!$C$6)+((B14*2)*MATERIALES!$C$15))*MATERIALES!$F$2</f>
        <v>1615.9852800000001</v>
      </c>
      <c r="D14" s="59">
        <f>(4*MATERIALES!$C$137)+(4*MATERIALES!$C$174)+((8*4)*MATERIALES!$C$145)+(((B14*2)+(A14*2))*MATERIALES!$C$149)+(4*MATERIALES!$C$148)+(((A14*5)*2)*MATERIALES!$C$147)+(4*MATERIALES!$C$146)+(1*MATERIALES!$C$151)+(((A14*2)+(B14*2))*MATERIALES!$C$141)+(2*MATERIALES!$C$161)</f>
        <v>859.01088000000004</v>
      </c>
      <c r="E14" s="75"/>
      <c r="F14" s="55">
        <f>(A14*B14)*MATERIALES!$D$82</f>
        <v>212</v>
      </c>
      <c r="G14" s="38">
        <f t="shared" si="0"/>
        <v>2686.9961600000001</v>
      </c>
      <c r="H14" s="49">
        <f t="shared" si="1"/>
        <v>4383.993856000001</v>
      </c>
      <c r="I14">
        <v>2680.27</v>
      </c>
      <c r="J14">
        <f t="shared" si="4"/>
        <v>0.61137631302373785</v>
      </c>
      <c r="M14" s="68">
        <v>0.8</v>
      </c>
      <c r="N14" s="69">
        <v>0.8</v>
      </c>
      <c r="O14" s="59">
        <f>((((M14*2)+(N14*2))*MATERIALES!$C$13)+((M14*2)*MATERIALES!$C$6)+((N14*2)*MATERIALES!$C$15))*MATERIALES!$F$2</f>
        <v>1845.0432000000003</v>
      </c>
      <c r="P14" s="59">
        <f>(4*MATERIALES!$C$137)+(4*MATERIALES!$C$174)+((8*4)*MATERIALES!$C$145)+(((N14*2)+(M14*2))*MATERIALES!$C$149)+(4*MATERIALES!$C$148)+(((M14*5)*2)*MATERIALES!$C$147)+(4*MATERIALES!$C$146)+(1*MATERIALES!$C$155)+(((M14*2)+(N14*2))*MATERIALES!$C$141)+(2*MATERIALES!$C$161)</f>
        <v>916.24832000000015</v>
      </c>
      <c r="Q14" s="75"/>
      <c r="R14" s="55">
        <f>(M14*N14)*MATERIALES!$D$82</f>
        <v>339.20000000000005</v>
      </c>
      <c r="S14" s="59">
        <f t="shared" si="2"/>
        <v>3100.4915200000005</v>
      </c>
      <c r="T14" s="70">
        <f t="shared" si="3"/>
        <v>4268.0789760000007</v>
      </c>
    </row>
    <row r="15" spans="1:20" ht="15.75" hidden="1" thickBot="1">
      <c r="A15" s="42">
        <v>0.4</v>
      </c>
      <c r="B15" s="37">
        <v>1.2</v>
      </c>
      <c r="C15" s="38">
        <f>((((A15*2)+(B15*2))*MATERIALES!$C$13)+((A15*2)*MATERIALES!$C$6)+((B15*2)*MATERIALES!$C$15))*MATERIALES!$F$2</f>
        <v>1847.13984</v>
      </c>
      <c r="D15" s="59">
        <f>(4*MATERIALES!$C$137)+(4*MATERIALES!$C$174)+((8*4)*MATERIALES!$C$145)+(((B15*2)+(A15*2))*MATERIALES!$C$149)+(4*MATERIALES!$C$148)+(((A15*5)*2)*MATERIALES!$C$147)+(4*MATERIALES!$C$146)+(1*MATERIALES!$C$151)+(((A15*2)+(B15*2))*MATERIALES!$C$141)+(2*MATERIALES!$C$161)</f>
        <v>872.56832000000009</v>
      </c>
      <c r="E15" s="75"/>
      <c r="F15" s="55">
        <f>(A15*B15)*MATERIALES!$D$82</f>
        <v>254.39999999999998</v>
      </c>
      <c r="G15" s="38">
        <f t="shared" si="0"/>
        <v>2974.1081600000002</v>
      </c>
      <c r="H15" s="49">
        <f t="shared" si="1"/>
        <v>4860.3330560000004</v>
      </c>
      <c r="I15">
        <v>3037.97</v>
      </c>
      <c r="J15">
        <f t="shared" si="4"/>
        <v>0.6250538728513011</v>
      </c>
      <c r="M15" s="68">
        <v>1</v>
      </c>
      <c r="N15" s="69">
        <v>0.4</v>
      </c>
      <c r="O15" s="59">
        <f>((((M15*2)+(N15*2))*MATERIALES!$C$13)+((M15*2)*MATERIALES!$C$6)+((N15*2)*MATERIALES!$C$15))*MATERIALES!$F$2</f>
        <v>1612.8403200000002</v>
      </c>
      <c r="P15" s="59">
        <f>(4*MATERIALES!$C$137)+(4*MATERIALES!$C$174)+((8*4)*MATERIALES!$C$145)+(((N15*2)+(M15*2))*MATERIALES!$C$149)+(4*MATERIALES!$C$148)+(((M15*5)*2)*MATERIALES!$C$147)+(4*MATERIALES!$C$146)+(1*MATERIALES!$C$155)+(((M15*2)+(N15*2))*MATERIALES!$C$141)+(2*MATERIALES!$C$161)</f>
        <v>902.69088000000011</v>
      </c>
      <c r="Q15" s="75"/>
      <c r="R15" s="55">
        <f>(M15*N15)*MATERIALES!$D$82</f>
        <v>212</v>
      </c>
      <c r="S15" s="59">
        <f t="shared" si="2"/>
        <v>2727.5312000000004</v>
      </c>
      <c r="T15" s="70">
        <f t="shared" si="3"/>
        <v>3694.1905600000005</v>
      </c>
    </row>
    <row r="16" spans="1:20" ht="15.75" hidden="1" thickBot="1">
      <c r="A16" s="42">
        <v>0.4</v>
      </c>
      <c r="B16" s="37">
        <v>1.5</v>
      </c>
      <c r="C16" s="38">
        <f>((((A16*2)+(B16*2))*MATERIALES!$C$13)+((A16*2)*MATERIALES!$C$6)+((B16*2)*MATERIALES!$C$15))*MATERIALES!$F$2</f>
        <v>2193.8716800000002</v>
      </c>
      <c r="D16" s="59">
        <f>(4*MATERIALES!$C$137)+(4*MATERIALES!$C$174)+((8*4)*MATERIALES!$C$145)+(((B16*2)+(A16*2))*MATERIALES!$C$149)+(4*MATERIALES!$C$148)+(((A16*5)*2)*MATERIALES!$C$147)+(4*MATERIALES!$C$146)+(1*MATERIALES!$C$151)+(((A16*2)+(B16*2))*MATERIALES!$C$141)+(2*MATERIALES!$C$161)</f>
        <v>892.90448000000015</v>
      </c>
      <c r="E16" s="75"/>
      <c r="F16" s="55">
        <f>(A16*B16)*MATERIALES!$D$82</f>
        <v>318.00000000000006</v>
      </c>
      <c r="G16" s="38">
        <f t="shared" si="0"/>
        <v>3404.7761600000003</v>
      </c>
      <c r="H16" s="49">
        <f t="shared" si="1"/>
        <v>5574.8418560000009</v>
      </c>
      <c r="M16" s="68">
        <v>1</v>
      </c>
      <c r="N16" s="69">
        <v>0.6</v>
      </c>
      <c r="O16" s="59">
        <f>((((M16*2)+(N16*2))*MATERIALES!$C$13)+((M16*2)*MATERIALES!$C$6)+((N16*2)*MATERIALES!$C$15))*MATERIALES!$F$2</f>
        <v>1843.9948800000002</v>
      </c>
      <c r="P16" s="59">
        <f>(4*MATERIALES!$C$137)+(4*MATERIALES!$C$174)+((8*4)*MATERIALES!$C$145)+(((N16*2)+(M16*2))*MATERIALES!$C$149)+(4*MATERIALES!$C$148)+(((M16*5)*2)*MATERIALES!$C$147)+(4*MATERIALES!$C$146)+(1*MATERIALES!$C$155)+(((M16*2)+(N16*2))*MATERIALES!$C$141)+(2*MATERIALES!$C$161)</f>
        <v>916.24832000000015</v>
      </c>
      <c r="Q16" s="75"/>
      <c r="R16" s="55">
        <f>(M16*N16)*MATERIALES!$D$82</f>
        <v>318</v>
      </c>
      <c r="S16" s="59">
        <f t="shared" si="2"/>
        <v>3078.2432000000003</v>
      </c>
      <c r="T16" s="70">
        <f t="shared" si="3"/>
        <v>4224.3161600000003</v>
      </c>
    </row>
    <row r="17" spans="1:20" ht="15.75" hidden="1" thickBot="1">
      <c r="A17" s="42">
        <v>0.5</v>
      </c>
      <c r="B17" s="37">
        <v>0.6</v>
      </c>
      <c r="C17" s="38">
        <f>((((A17*2)+(B17*2))*MATERIALES!$C$13)+((A17*2)*MATERIALES!$C$6)+((B17*2)*MATERIALES!$C$15))*MATERIALES!$F$2</f>
        <v>1268.72928</v>
      </c>
      <c r="D17" s="59">
        <f>(4*MATERIALES!$C$137)+(4*MATERIALES!$C$174)+((8*4)*MATERIALES!$C$145)+(((B17*2)+(A17*2))*MATERIALES!$C$149)+(4*MATERIALES!$C$148)+(((A17*5)*2)*MATERIALES!$C$147)+(4*MATERIALES!$C$146)+(1*MATERIALES!$C$151)+(((A17*2)+(B17*2))*MATERIALES!$C$141)+(2*MATERIALES!$C$161)</f>
        <v>838.67471999999998</v>
      </c>
      <c r="E17" s="75"/>
      <c r="F17" s="55">
        <f>(A17*B17)*MATERIALES!$D$82</f>
        <v>159</v>
      </c>
      <c r="G17" s="38">
        <f t="shared" si="0"/>
        <v>2266.404</v>
      </c>
      <c r="H17" s="49">
        <f t="shared" si="1"/>
        <v>3689.8464000000004</v>
      </c>
      <c r="I17">
        <v>3396.23</v>
      </c>
      <c r="J17">
        <f t="shared" si="4"/>
        <v>0.92042584753663448</v>
      </c>
      <c r="M17" s="71">
        <v>1</v>
      </c>
      <c r="N17" s="72">
        <v>0.8</v>
      </c>
      <c r="O17" s="60">
        <f>((((M17*2)+(N17*2))*MATERIALES!$C$13)+((M17*2)*MATERIALES!$C$6)+((N17*2)*MATERIALES!$C$15))*MATERIALES!$F$2</f>
        <v>2075.1494400000001</v>
      </c>
      <c r="P17" s="60">
        <f>(4*MATERIALES!$C$137)+(4*MATERIALES!$C$174)+((8*4)*MATERIALES!$C$145)+(((N17*2)+(M17*2))*MATERIALES!$C$149)+(4*MATERIALES!$C$148)+(((M17*5)*2)*MATERIALES!$C$147)+(4*MATERIALES!$C$146)+(1*MATERIALES!$C$155)+(((M17*2)+(N17*2))*MATERIALES!$C$141)+(2*MATERIALES!$C$161)</f>
        <v>929.80575999999996</v>
      </c>
      <c r="Q17" s="76"/>
      <c r="R17" s="56">
        <f>(M17*N17)*MATERIALES!$D$82</f>
        <v>424</v>
      </c>
      <c r="S17" s="60">
        <f t="shared" si="2"/>
        <v>3428.9552000000003</v>
      </c>
      <c r="T17" s="73">
        <f t="shared" si="3"/>
        <v>4754.4417600000006</v>
      </c>
    </row>
    <row r="18" spans="1:20" ht="15.75" hidden="1" thickBot="1">
      <c r="A18" s="42">
        <v>0.5</v>
      </c>
      <c r="B18" s="37">
        <v>0.8</v>
      </c>
      <c r="C18" s="38">
        <f>((((A18*2)+(B18*2))*MATERIALES!$C$13)+((A18*2)*MATERIALES!$C$6)+((B18*2)*MATERIALES!$C$15))*MATERIALES!$F$2</f>
        <v>1499.8838400000002</v>
      </c>
      <c r="D18" s="59">
        <f>(4*MATERIALES!$C$137)+(4*MATERIALES!$C$174)+((8*4)*MATERIALES!$C$145)+(((B18*2)+(A18*2))*MATERIALES!$C$149)+(4*MATERIALES!$C$148)+(((A18*5)*2)*MATERIALES!$C$147)+(4*MATERIALES!$C$146)+(1*MATERIALES!$C$151)+(((A18*2)+(B18*2))*MATERIALES!$C$141)+(2*MATERIALES!$C$161)</f>
        <v>852.23216000000002</v>
      </c>
      <c r="E18" s="75"/>
      <c r="F18" s="55">
        <f>(A18*B18)*MATERIALES!$D$82</f>
        <v>212</v>
      </c>
      <c r="G18" s="38">
        <f t="shared" si="0"/>
        <v>2564.116</v>
      </c>
      <c r="H18" s="49">
        <f t="shared" si="1"/>
        <v>4187.3855999999996</v>
      </c>
    </row>
    <row r="19" spans="1:20" ht="15.75" hidden="1" thickBot="1">
      <c r="A19" s="42">
        <v>0.5</v>
      </c>
      <c r="B19" s="37">
        <v>1</v>
      </c>
      <c r="C19" s="38">
        <f>((((A19*2)+(B19*2))*MATERIALES!$C$13)+((A19*2)*MATERIALES!$C$6)+((B19*2)*MATERIALES!$C$15))*MATERIALES!$F$2</f>
        <v>1731.0384000000001</v>
      </c>
      <c r="D19" s="59">
        <f>(4*MATERIALES!$C$137)+(4*MATERIALES!$C$174)+((8*4)*MATERIALES!$C$145)+(((B19*2)+(A19*2))*MATERIALES!$C$149)+(4*MATERIALES!$C$148)+(((A19*5)*2)*MATERIALES!$C$147)+(4*MATERIALES!$C$146)+(1*MATERIALES!$C$151)+(((A19*2)+(B19*2))*MATERIALES!$C$141)+(2*MATERIALES!$C$161)</f>
        <v>865.78960000000006</v>
      </c>
      <c r="E19" s="75"/>
      <c r="F19" s="55">
        <f>(A19*B19)*MATERIALES!$D$82</f>
        <v>265</v>
      </c>
      <c r="G19" s="38">
        <f t="shared" si="0"/>
        <v>2861.8280000000004</v>
      </c>
      <c r="H19" s="49">
        <f t="shared" si="1"/>
        <v>4684.9248000000007</v>
      </c>
    </row>
    <row r="20" spans="1:20" ht="15.75" hidden="1" thickBot="1">
      <c r="A20" s="42">
        <v>0.5</v>
      </c>
      <c r="B20" s="37">
        <v>1.2</v>
      </c>
      <c r="C20" s="38">
        <f>((((A20*2)+(B20*2))*MATERIALES!$C$13)+((A20*2)*MATERIALES!$C$6)+((B20*2)*MATERIALES!$C$15))*MATERIALES!$F$2</f>
        <v>1962.1929599999999</v>
      </c>
      <c r="D20" s="59">
        <f>(4*MATERIALES!$C$137)+(4*MATERIALES!$C$174)+((8*4)*MATERIALES!$C$145)+(((B20*2)+(A20*2))*MATERIALES!$C$149)+(4*MATERIALES!$C$148)+(((A20*5)*2)*MATERIALES!$C$147)+(4*MATERIALES!$C$146)+(1*MATERIALES!$C$151)+(((A20*2)+(B20*2))*MATERIALES!$C$141)+(2*MATERIALES!$C$161)</f>
        <v>879.34704000000011</v>
      </c>
      <c r="E20" s="75"/>
      <c r="F20" s="55">
        <f>(A20*B20)*MATERIALES!$D$82</f>
        <v>318</v>
      </c>
      <c r="G20" s="38">
        <f t="shared" si="0"/>
        <v>3159.54</v>
      </c>
      <c r="H20" s="49">
        <f t="shared" si="1"/>
        <v>5182.4639999999999</v>
      </c>
    </row>
    <row r="21" spans="1:20" ht="15.75" hidden="1" thickBot="1">
      <c r="A21" s="42">
        <v>0.5</v>
      </c>
      <c r="B21" s="37">
        <v>1.5</v>
      </c>
      <c r="C21" s="38">
        <f>((((A21*2)+(B21*2))*MATERIALES!$C$13)+((A21*2)*MATERIALES!$C$6)+((B21*2)*MATERIALES!$C$15))*MATERIALES!$F$2</f>
        <v>2308.9248000000002</v>
      </c>
      <c r="D21" s="59">
        <f>(4*MATERIALES!$C$137)+(4*MATERIALES!$C$174)+((8*4)*MATERIALES!$C$145)+(((B21*2)+(A21*2))*MATERIALES!$C$149)+(4*MATERIALES!$C$148)+(((A21*5)*2)*MATERIALES!$C$147)+(4*MATERIALES!$C$146)+(1*MATERIALES!$C$151)+(((A21*2)+(B21*2))*MATERIALES!$C$141)+(2*MATERIALES!$C$161)</f>
        <v>899.68319999999994</v>
      </c>
      <c r="E21" s="75"/>
      <c r="F21" s="55">
        <f>(A21*B21)*MATERIALES!$D$82</f>
        <v>397.5</v>
      </c>
      <c r="G21" s="38">
        <f t="shared" si="0"/>
        <v>3606.1080000000002</v>
      </c>
      <c r="H21" s="49">
        <f t="shared" si="1"/>
        <v>5928.7728000000006</v>
      </c>
    </row>
    <row r="22" spans="1:20" ht="15.75" hidden="1" thickBot="1">
      <c r="A22" s="42">
        <v>0.6</v>
      </c>
      <c r="B22" s="37">
        <v>0.6</v>
      </c>
      <c r="C22" s="38">
        <f>((((A22*2)+(B22*2))*MATERIALES!$C$13)+((A22*2)*MATERIALES!$C$6)+((B22*2)*MATERIALES!$C$15))*MATERIALES!$F$2</f>
        <v>1383.7824000000001</v>
      </c>
      <c r="D22" s="59">
        <f>(4*MATERIALES!$C$137)+(4*MATERIALES!$C$174)+((8*4)*MATERIALES!$C$145)+(((B22*2)+(A22*2))*MATERIALES!$C$149)+(4*MATERIALES!$C$148)+(((A22*5)*2)*MATERIALES!$C$147)+(4*MATERIALES!$C$146)+(1*MATERIALES!$C$151)+(((A22*2)+(B22*2))*MATERIALES!$C$141)+(2*MATERIALES!$C$161)</f>
        <v>845.45344</v>
      </c>
      <c r="E22" s="75"/>
      <c r="F22" s="55">
        <f>(A22*B22)*MATERIALES!$D$82</f>
        <v>190.79999999999998</v>
      </c>
      <c r="G22" s="38">
        <f t="shared" si="0"/>
        <v>2420.0358400000005</v>
      </c>
      <c r="H22" s="49">
        <f t="shared" si="1"/>
        <v>3948.3773440000004</v>
      </c>
    </row>
    <row r="23" spans="1:20" ht="15.75" hidden="1" thickBot="1">
      <c r="A23" s="42">
        <v>0.6</v>
      </c>
      <c r="B23" s="37">
        <v>0.8</v>
      </c>
      <c r="C23" s="38">
        <f>((((A23*2)+(B23*2))*MATERIALES!$C$13)+((A23*2)*MATERIALES!$C$6)+((B23*2)*MATERIALES!$C$15))*MATERIALES!$F$2</f>
        <v>1614.93696</v>
      </c>
      <c r="D23" s="59">
        <f>(4*MATERIALES!$C$137)+(4*MATERIALES!$C$174)+((8*4)*MATERIALES!$C$145)+(((B23*2)+(A23*2))*MATERIALES!$C$149)+(4*MATERIALES!$C$148)+(((A23*5)*2)*MATERIALES!$C$147)+(4*MATERIALES!$C$146)+(1*MATERIALES!$C$151)+(((A23*2)+(B23*2))*MATERIALES!$C$141)+(2*MATERIALES!$C$161)</f>
        <v>859.01088000000004</v>
      </c>
      <c r="E23" s="75"/>
      <c r="F23" s="55">
        <f>(A23*B23)*MATERIALES!$D$82</f>
        <v>254.39999999999998</v>
      </c>
      <c r="G23" s="38">
        <f t="shared" si="0"/>
        <v>2728.3478399999999</v>
      </c>
      <c r="H23" s="49">
        <f t="shared" si="1"/>
        <v>4467.1165439999995</v>
      </c>
    </row>
    <row r="24" spans="1:20" ht="15.75" hidden="1" thickBot="1">
      <c r="A24" s="42">
        <v>0.6</v>
      </c>
      <c r="B24" s="37">
        <v>1</v>
      </c>
      <c r="C24" s="38">
        <f>((((A24*2)+(B24*2))*MATERIALES!$C$13)+((A24*2)*MATERIALES!$C$6)+((B24*2)*MATERIALES!$C$15))*MATERIALES!$F$2</f>
        <v>1846.0915200000002</v>
      </c>
      <c r="D24" s="59">
        <f>(4*MATERIALES!$C$137)+(4*MATERIALES!$C$174)+((8*4)*MATERIALES!$C$145)+(((B24*2)+(A24*2))*MATERIALES!$C$149)+(4*MATERIALES!$C$148)+(((A24*5)*2)*MATERIALES!$C$147)+(4*MATERIALES!$C$146)+(1*MATERIALES!$C$151)+(((A24*2)+(B24*2))*MATERIALES!$C$141)+(2*MATERIALES!$C$161)</f>
        <v>872.56832000000009</v>
      </c>
      <c r="E24" s="75"/>
      <c r="F24" s="55">
        <f>(A24*B24)*MATERIALES!$D$82</f>
        <v>318</v>
      </c>
      <c r="G24" s="38">
        <f t="shared" si="0"/>
        <v>3036.6598400000003</v>
      </c>
      <c r="H24" s="49">
        <f t="shared" si="1"/>
        <v>4985.8557440000004</v>
      </c>
    </row>
    <row r="25" spans="1:20" ht="15.75" hidden="1" thickBot="1">
      <c r="A25" s="42">
        <v>0.6</v>
      </c>
      <c r="B25" s="37">
        <v>1.2</v>
      </c>
      <c r="C25" s="38">
        <f>((((A25*2)+(B25*2))*MATERIALES!$C$13)+((A25*2)*MATERIALES!$C$6)+((B25*2)*MATERIALES!$C$15))*MATERIALES!$F$2</f>
        <v>2077.2460799999999</v>
      </c>
      <c r="D25" s="59">
        <f>(4*MATERIALES!$C$137)+(4*MATERIALES!$C$174)+((8*4)*MATERIALES!$C$145)+(((B25*2)+(A25*2))*MATERIALES!$C$149)+(4*MATERIALES!$C$148)+(((A25*5)*2)*MATERIALES!$C$147)+(4*MATERIALES!$C$146)+(1*MATERIALES!$C$151)+(((A25*2)+(B25*2))*MATERIALES!$C$141)+(2*MATERIALES!$C$161)</f>
        <v>886.1257599999999</v>
      </c>
      <c r="E25" s="75"/>
      <c r="F25" s="55">
        <f>(A25*B25)*MATERIALES!$D$82</f>
        <v>381.59999999999997</v>
      </c>
      <c r="G25" s="38">
        <f t="shared" si="0"/>
        <v>3344.9718399999997</v>
      </c>
      <c r="H25" s="49">
        <f t="shared" si="1"/>
        <v>5504.5949439999995</v>
      </c>
    </row>
    <row r="26" spans="1:20" ht="15.75" hidden="1" thickBot="1">
      <c r="A26" s="42">
        <v>0.6</v>
      </c>
      <c r="B26" s="37">
        <v>1.5</v>
      </c>
      <c r="C26" s="38">
        <f>((((A26*2)+(B26*2))*MATERIALES!$C$13)+((A26*2)*MATERIALES!$C$6)+((B26*2)*MATERIALES!$C$15))*MATERIALES!$F$2</f>
        <v>2423.9779200000003</v>
      </c>
      <c r="D26" s="59">
        <f>(4*MATERIALES!$C$137)+(4*MATERIALES!$C$174)+((8*4)*MATERIALES!$C$145)+(((B26*2)+(A26*2))*MATERIALES!$C$149)+(4*MATERIALES!$C$148)+(((A26*5)*2)*MATERIALES!$C$147)+(4*MATERIALES!$C$146)+(1*MATERIALES!$C$151)+(((A26*2)+(B26*2))*MATERIALES!$C$141)+(2*MATERIALES!$C$161)</f>
        <v>906.46191999999996</v>
      </c>
      <c r="E26" s="75"/>
      <c r="F26" s="55">
        <f>(A26*B26)*MATERIALES!$D$82</f>
        <v>476.99999999999994</v>
      </c>
      <c r="G26" s="38">
        <f t="shared" si="0"/>
        <v>3807.43984</v>
      </c>
      <c r="H26" s="49">
        <f t="shared" si="1"/>
        <v>6282.7037440000004</v>
      </c>
    </row>
    <row r="27" spans="1:20" ht="15.75" hidden="1" thickBot="1">
      <c r="A27" s="68"/>
      <c r="B27" s="69"/>
      <c r="C27" s="38">
        <f>((((A27*2)+(B27*2))*MATERIALES!$C$13)+((A27*2)*MATERIALES!$C$6)+((B27*2)*MATERIALES!$C$15))*MATERIALES!$F$2</f>
        <v>0</v>
      </c>
      <c r="D27" s="59">
        <f>(4*MATERIALES!$C$137)+(4*MATERIALES!$C$174)+((8*4)*MATERIALES!$C$145)+(((B27*2)+(A27*2))*MATERIALES!$C$149)+(4*MATERIALES!$C$148)+(((A27*5)*2)*MATERIALES!$C$147)+(4*MATERIALES!$C$146)+(1*MATERIALES!$C$151)+(((A27*2)+(B27*2))*MATERIALES!$C$141)+(2*MATERIALES!$C$161)</f>
        <v>764.10879999999997</v>
      </c>
      <c r="E27" s="521"/>
      <c r="F27" s="55">
        <f>(A27*B27)*MATERIALES!$D$70</f>
        <v>0</v>
      </c>
      <c r="G27" s="38">
        <f t="shared" si="0"/>
        <v>764.10879999999997</v>
      </c>
      <c r="H27" s="49">
        <f>(SUM(C27:E27)*$C$2)+(F27*$F$2)</f>
        <v>1222.5740800000001</v>
      </c>
    </row>
    <row r="28" spans="1:20" ht="15.75" hidden="1" thickBot="1">
      <c r="A28" s="68"/>
      <c r="B28" s="69"/>
      <c r="C28" s="38">
        <f>((((A28*2)+(B28*2))*MATERIALES!$C$13)+((A28*2)*MATERIALES!$C$6)+((B28*2)*MATERIALES!$C$15))*MATERIALES!$F$2</f>
        <v>0</v>
      </c>
      <c r="D28" s="59">
        <f>(4*MATERIALES!$C$137)+(4*MATERIALES!$C$174)+((8*4)*MATERIALES!$C$145)+(((B28*2)+(A28*2))*MATERIALES!$C$149)+(4*MATERIALES!$C$148)+(((A28*5)*2)*MATERIALES!$C$147)+(4*MATERIALES!$C$146)+(1*MATERIALES!$C$151)+(((A28*2)+(B28*2))*MATERIALES!$C$141)+(2*MATERIALES!$C$161)</f>
        <v>764.10879999999997</v>
      </c>
      <c r="E28" s="521"/>
      <c r="F28" s="55">
        <f>(A28*B28)*MATERIALES!$D$70</f>
        <v>0</v>
      </c>
      <c r="G28" s="38">
        <f t="shared" si="0"/>
        <v>764.10879999999997</v>
      </c>
      <c r="H28" s="49">
        <f t="shared" si="1"/>
        <v>1222.5740800000001</v>
      </c>
    </row>
    <row r="29" spans="1:20" ht="15.75" hidden="1" thickBot="1">
      <c r="A29" s="68"/>
      <c r="B29" s="69"/>
      <c r="C29" s="38">
        <f>((((A29*2)+(B29*2))*MATERIALES!$C$13)+((A29*2)*MATERIALES!$C$6)+((B29*2)*MATERIALES!$C$15))*MATERIALES!$F$2</f>
        <v>0</v>
      </c>
      <c r="D29" s="59">
        <f>(4*MATERIALES!$C$137)+(4*MATERIALES!$C$174)+((8*4)*MATERIALES!$C$145)+(((B29*2)+(A29*2))*MATERIALES!$C$149)+(4*MATERIALES!$C$148)+(((A29*5)*2)*MATERIALES!$C$147)+(4*MATERIALES!$C$146)+(1*MATERIALES!$C$151)+(((A29*2)+(B29*2))*MATERIALES!$C$141)+(2*MATERIALES!$C$161)</f>
        <v>764.10879999999997</v>
      </c>
      <c r="E29" s="521"/>
      <c r="F29" s="55">
        <f>(A29*B29)*MATERIALES!$D$70</f>
        <v>0</v>
      </c>
      <c r="G29" s="38">
        <f t="shared" si="0"/>
        <v>764.10879999999997</v>
      </c>
      <c r="H29" s="49">
        <f t="shared" si="1"/>
        <v>1222.5740800000001</v>
      </c>
    </row>
    <row r="30" spans="1:20" ht="15.75" hidden="1" thickBot="1">
      <c r="A30" s="71"/>
      <c r="B30" s="72"/>
      <c r="C30" s="50">
        <f>((((A30*2)+(B30*2))*MATERIALES!$C$13)+((A30*2)*MATERIALES!$C$6)+((B30*2)*MATERIALES!$C$15))*MATERIALES!$F$2</f>
        <v>0</v>
      </c>
      <c r="D30" s="60">
        <f>(4*MATERIALES!$C$137)+(4*MATERIALES!$C$174)+((8*4)*MATERIALES!$C$145)+(((B30*2)+(A30*2))*MATERIALES!$C$149)+(4*MATERIALES!$C$148)+(((A30*5)*2)*MATERIALES!$C$147)+(4*MATERIALES!$C$146)+(1*MATERIALES!$C$151)+(((A30*2)+(B30*2))*MATERIALES!$C$141)+(2*MATERIALES!$C$161)</f>
        <v>764.10879999999997</v>
      </c>
      <c r="E30" s="522"/>
      <c r="F30" s="56">
        <f>(A30*B30)*MATERIALES!$D$70</f>
        <v>0</v>
      </c>
      <c r="G30" s="50">
        <f t="shared" si="0"/>
        <v>764.10879999999997</v>
      </c>
      <c r="H30" s="49">
        <f t="shared" si="1"/>
        <v>1222.5740800000001</v>
      </c>
    </row>
    <row r="31" spans="1:20" hidden="1">
      <c r="A31" s="117"/>
      <c r="B31" s="117"/>
    </row>
    <row r="32" spans="1:20" hidden="1"/>
    <row r="33" spans="1:9" ht="15.75" hidden="1" thickBot="1"/>
    <row r="34" spans="1:9" ht="15.75" hidden="1" customHeight="1" thickBot="1">
      <c r="A34" s="32"/>
      <c r="B34" s="32"/>
      <c r="C34" s="807">
        <v>1.3</v>
      </c>
      <c r="D34" s="808"/>
      <c r="E34" s="809"/>
      <c r="F34" s="545">
        <v>2</v>
      </c>
      <c r="G34" s="32"/>
      <c r="H34" s="46" t="s">
        <v>163</v>
      </c>
    </row>
    <row r="35" spans="1:9" ht="15.75" hidden="1" customHeight="1" thickBot="1">
      <c r="A35" s="792" t="s">
        <v>185</v>
      </c>
      <c r="B35" s="793"/>
      <c r="C35" s="793"/>
      <c r="D35" s="793"/>
      <c r="E35" s="793"/>
      <c r="F35" s="793"/>
      <c r="G35" s="793"/>
      <c r="H35" s="794"/>
    </row>
    <row r="36" spans="1:9" ht="15.75" hidden="1" thickBot="1">
      <c r="A36" s="36" t="s">
        <v>116</v>
      </c>
      <c r="B36" s="36" t="s">
        <v>117</v>
      </c>
      <c r="C36" s="36" t="s">
        <v>162</v>
      </c>
      <c r="D36" s="36" t="s">
        <v>119</v>
      </c>
      <c r="E36" s="36" t="s">
        <v>120</v>
      </c>
      <c r="F36" s="36" t="s">
        <v>118</v>
      </c>
      <c r="G36" s="36" t="s">
        <v>121</v>
      </c>
      <c r="H36" s="36" t="s">
        <v>122</v>
      </c>
    </row>
    <row r="37" spans="1:9" ht="15.75" hidden="1" customHeight="1" thickBot="1">
      <c r="A37" s="795"/>
      <c r="B37" s="796"/>
      <c r="C37" s="796"/>
      <c r="D37" s="796"/>
      <c r="E37" s="796"/>
      <c r="F37" s="796"/>
      <c r="G37" s="796"/>
      <c r="H37" s="797"/>
    </row>
    <row r="38" spans="1:9" ht="15.75" hidden="1" customHeight="1" thickBot="1">
      <c r="A38" s="65">
        <v>0.4</v>
      </c>
      <c r="B38" s="66">
        <v>0.4</v>
      </c>
      <c r="C38" s="58">
        <f>((((A38*2)+(B38*2))*MATERIALES!$C$13)+(((A38*2)+(B38*2))*MATERIALES!$C$15))*MATERIALES!$F$2</f>
        <v>924.61824000000001</v>
      </c>
      <c r="D38" s="58">
        <f>(4*MATERIALES!$C$137)+(4*MATERIALES!$C$174)+((8*4)*MATERIALES!$C$145)+(((B38*2)+(A38*2))*MATERIALES!$C$149)+(4*MATERIALES!$C$148)+(((A38*5)*2)*MATERIALES!$C$147)+(4*MATERIALES!$C$146)+(1*MATERIALES!$C$156)+(((A38*2)+(B38*2))*MATERIALES!$C$141)+(2*MATERIALES!$C$161)</f>
        <v>1113.1785600000001</v>
      </c>
      <c r="E38" s="74"/>
      <c r="F38" s="54">
        <f>(A38*B38)*MATERIALES!$D$82</f>
        <v>84.800000000000011</v>
      </c>
      <c r="G38" s="58">
        <f>SUM(C38:F38)</f>
        <v>2122.5968000000003</v>
      </c>
      <c r="H38" s="67">
        <f>(SUM(C38:E38)*$C$34)+(F38*$F$34)</f>
        <v>2818.7358400000003</v>
      </c>
      <c r="I38" s="870" t="s">
        <v>189</v>
      </c>
    </row>
    <row r="39" spans="1:9" ht="15" hidden="1" customHeight="1" thickBot="1">
      <c r="A39" s="68">
        <v>0.5</v>
      </c>
      <c r="B39" s="69">
        <v>0.4</v>
      </c>
      <c r="C39" s="59">
        <f>((((A39*2)+(B39*2))*MATERIALES!$C$13)+(((A39*2)+(B39*2))*MATERIALES!$C$15))*MATERIALES!$F$2</f>
        <v>1040.1955200000002</v>
      </c>
      <c r="D39" s="59">
        <f>(4*MATERIALES!$C$137)+(4*MATERIALES!$C$174)+((8*4)*MATERIALES!$C$145)+(((B39*2)+(A39*2))*MATERIALES!$C$149)+(4*MATERIALES!$C$148)+(((A39*5)*2)*MATERIALES!$C$147)+(4*MATERIALES!$C$146)+(1*MATERIALES!$C$156)+(((A39*2)+(B39*2))*MATERIALES!$C$141)+(2*MATERIALES!$C$161)</f>
        <v>1119.9572800000001</v>
      </c>
      <c r="E39" s="75"/>
      <c r="F39" s="55">
        <f>(A39*B39)*MATERIALES!$D$82</f>
        <v>106</v>
      </c>
      <c r="G39" s="59">
        <f t="shared" ref="G39:G49" si="5">SUM(C39:F39)</f>
        <v>2266.1528000000003</v>
      </c>
      <c r="H39" s="67">
        <f t="shared" ref="H39:H49" si="6">(SUM(C39:E39)*$C$34)+(F39*$F$34)</f>
        <v>3020.1986400000005</v>
      </c>
      <c r="I39" s="871"/>
    </row>
    <row r="40" spans="1:9" ht="15" hidden="1" customHeight="1" thickBot="1">
      <c r="A40" s="68">
        <v>0.5</v>
      </c>
      <c r="B40" s="69">
        <v>0.5</v>
      </c>
      <c r="C40" s="59">
        <f>((((A40*2)+(B40*2))*MATERIALES!$C$13)+(((A40*2)+(B40*2))*MATERIALES!$C$15))*MATERIALES!$F$2</f>
        <v>1155.7728000000002</v>
      </c>
      <c r="D40" s="59">
        <f>(4*MATERIALES!$C$137)+(4*MATERIALES!$C$174)+((8*4)*MATERIALES!$C$145)+(((B40*2)+(A40*2))*MATERIALES!$C$149)+(4*MATERIALES!$C$148)+(((A40*5)*2)*MATERIALES!$C$147)+(4*MATERIALES!$C$146)+(1*MATERIALES!$C$156)+(((A40*2)+(B40*2))*MATERIALES!$C$141)+(2*MATERIALES!$C$161)</f>
        <v>1126.7359999999999</v>
      </c>
      <c r="E40" s="75"/>
      <c r="F40" s="55">
        <f>(A40*B40)*MATERIALES!$D$82</f>
        <v>132.5</v>
      </c>
      <c r="G40" s="59">
        <f t="shared" si="5"/>
        <v>2415.0088000000001</v>
      </c>
      <c r="H40" s="67">
        <f t="shared" si="6"/>
        <v>3232.2614400000002</v>
      </c>
      <c r="I40" s="871"/>
    </row>
    <row r="41" spans="1:9" ht="15" hidden="1" customHeight="1" thickBot="1">
      <c r="A41" s="68">
        <v>0.6</v>
      </c>
      <c r="B41" s="69">
        <v>0.4</v>
      </c>
      <c r="C41" s="59">
        <f>((((A41*2)+(B41*2))*MATERIALES!$C$13)+(((A41*2)+(B41*2))*MATERIALES!$C$15))*MATERIALES!$F$2</f>
        <v>1155.7728000000002</v>
      </c>
      <c r="D41" s="59">
        <f>(4*MATERIALES!$C$137)+(4*MATERIALES!$C$174)+((8*4)*MATERIALES!$C$145)+(((B41*2)+(A41*2))*MATERIALES!$C$149)+(4*MATERIALES!$C$148)+(((A41*5)*2)*MATERIALES!$C$147)+(4*MATERIALES!$C$146)+(1*MATERIALES!$C$156)+(((A41*2)+(B41*2))*MATERIALES!$C$141)+(2*MATERIALES!$C$161)</f>
        <v>1126.7359999999999</v>
      </c>
      <c r="E41" s="75"/>
      <c r="F41" s="55">
        <f>(A41*B41)*MATERIALES!$D$82</f>
        <v>127.19999999999999</v>
      </c>
      <c r="G41" s="59">
        <f t="shared" si="5"/>
        <v>2409.7087999999999</v>
      </c>
      <c r="H41" s="67">
        <f t="shared" si="6"/>
        <v>3221.6614400000003</v>
      </c>
      <c r="I41" s="871"/>
    </row>
    <row r="42" spans="1:9" ht="15.75" hidden="1" customHeight="1" thickBot="1">
      <c r="A42" s="68">
        <v>0.6</v>
      </c>
      <c r="B42" s="69">
        <v>0.5</v>
      </c>
      <c r="C42" s="59">
        <f>((((A42*2)+(B42*2))*MATERIALES!$C$13)+(((A42*2)+(B42*2))*MATERIALES!$C$15))*MATERIALES!$F$2</f>
        <v>1271.3500799999999</v>
      </c>
      <c r="D42" s="59">
        <f>(4*MATERIALES!$C$137)+(4*MATERIALES!$C$174)+((8*4)*MATERIALES!$C$145)+(((B42*2)+(A42*2))*MATERIALES!$C$149)+(4*MATERIALES!$C$148)+(((A42*5)*2)*MATERIALES!$C$147)+(4*MATERIALES!$C$146)+(1*MATERIALES!$C$156)+(((A42*2)+(B42*2))*MATERIALES!$C$141)+(2*MATERIALES!$C$161)</f>
        <v>1133.5147200000001</v>
      </c>
      <c r="E42" s="75"/>
      <c r="F42" s="55">
        <f>(A42*B42)*MATERIALES!$D$82</f>
        <v>159</v>
      </c>
      <c r="G42" s="59">
        <f t="shared" si="5"/>
        <v>2563.8648000000003</v>
      </c>
      <c r="H42" s="67">
        <f t="shared" si="6"/>
        <v>3444.3242400000004</v>
      </c>
      <c r="I42" s="872"/>
    </row>
    <row r="43" spans="1:9" ht="15" hidden="1" customHeight="1" thickBot="1">
      <c r="A43" s="68">
        <v>0.6</v>
      </c>
      <c r="B43" s="69">
        <v>0.6</v>
      </c>
      <c r="C43" s="59">
        <f>((((A43*2)+(B43*2))*MATERIALES!$C$13)+(((A43*2)+(B43*2))*MATERIALES!$C$15))*MATERIALES!$F$2</f>
        <v>1386.9273600000001</v>
      </c>
      <c r="D43" s="59">
        <f>(4*MATERIALES!$C$137)+(4*MATERIALES!$C$174)+((8*4)*MATERIALES!$C$145)+(((B43*2)+(A43*2))*MATERIALES!$C$149)+(4*MATERIALES!$C$148)+(((A43*5)*2)*MATERIALES!$C$147)+(4*MATERIALES!$C$146)+(1*MATERIALES!$C$156)+(((A43*2)+(B43*2))*MATERIALES!$C$141)+(2*MATERIALES!$C$161)</f>
        <v>1140.2934400000001</v>
      </c>
      <c r="E43" s="75"/>
      <c r="F43" s="55">
        <f>(A43*B43)*MATERIALES!$D$82</f>
        <v>190.79999999999998</v>
      </c>
      <c r="G43" s="59">
        <f t="shared" si="5"/>
        <v>2718.0208000000002</v>
      </c>
      <c r="H43" s="67">
        <f t="shared" si="6"/>
        <v>3666.98704</v>
      </c>
      <c r="I43" s="873" t="s">
        <v>190</v>
      </c>
    </row>
    <row r="44" spans="1:9" ht="15" hidden="1" customHeight="1" thickBot="1">
      <c r="A44" s="68">
        <v>0.7</v>
      </c>
      <c r="B44" s="69">
        <v>0.4</v>
      </c>
      <c r="C44" s="59">
        <f>((((A44*2)+(B44*2))*MATERIALES!$C$13)+(((A44*2)+(B44*2))*MATERIALES!$C$15))*MATERIALES!$F$2</f>
        <v>1271.3500799999999</v>
      </c>
      <c r="D44" s="59">
        <f>(4*MATERIALES!$C$137)+(4*MATERIALES!$C$174)+((8*4)*MATERIALES!$C$145)+(((B44*2)+(A44*2))*MATERIALES!$C$149)+(4*MATERIALES!$C$148)+(((A44*5)*2)*MATERIALES!$C$147)+(4*MATERIALES!$C$146)+(1*MATERIALES!$C$156)+(((A44*2)+(B44*2))*MATERIALES!$C$141)+(2*MATERIALES!$C$161)</f>
        <v>1133.5147200000001</v>
      </c>
      <c r="E44" s="75"/>
      <c r="F44" s="55">
        <f>(A44*B44)*MATERIALES!$D$82</f>
        <v>148.39999999999998</v>
      </c>
      <c r="G44" s="59">
        <f t="shared" si="5"/>
        <v>2553.2648000000004</v>
      </c>
      <c r="H44" s="67">
        <f t="shared" si="6"/>
        <v>3423.1242400000001</v>
      </c>
      <c r="I44" s="874"/>
    </row>
    <row r="45" spans="1:9" ht="15" hidden="1" customHeight="1" thickBot="1">
      <c r="A45" s="68">
        <v>0.7</v>
      </c>
      <c r="B45" s="69">
        <v>0.5</v>
      </c>
      <c r="C45" s="59">
        <f>((((A45*2)+(B45*2))*MATERIALES!$C$13)+(((A45*2)+(B45*2))*MATERIALES!$C$15))*MATERIALES!$F$2</f>
        <v>1386.9273600000001</v>
      </c>
      <c r="D45" s="59">
        <f>(4*MATERIALES!$C$137)+(4*MATERIALES!$C$174)+((8*4)*MATERIALES!$C$145)+(((B45*2)+(A45*2))*MATERIALES!$C$149)+(4*MATERIALES!$C$148)+(((A45*5)*2)*MATERIALES!$C$147)+(4*MATERIALES!$C$146)+(1*MATERIALES!$C$156)+(((A45*2)+(B45*2))*MATERIALES!$C$141)+(2*MATERIALES!$C$161)</f>
        <v>1140.2934400000001</v>
      </c>
      <c r="E45" s="75"/>
      <c r="F45" s="55">
        <f>(A45*B45)*MATERIALES!$D$82</f>
        <v>185.5</v>
      </c>
      <c r="G45" s="59">
        <f t="shared" si="5"/>
        <v>2712.7208000000001</v>
      </c>
      <c r="H45" s="67">
        <f t="shared" si="6"/>
        <v>3656.3870400000001</v>
      </c>
      <c r="I45" s="874"/>
    </row>
    <row r="46" spans="1:9" ht="15" hidden="1" customHeight="1" thickBot="1">
      <c r="A46" s="68">
        <v>0.7</v>
      </c>
      <c r="B46" s="69">
        <v>0.6</v>
      </c>
      <c r="C46" s="59">
        <f>((((A46*2)+(B46*2))*MATERIALES!$C$13)+(((A46*2)+(B46*2))*MATERIALES!$C$15))*MATERIALES!$F$2</f>
        <v>1502.5046399999999</v>
      </c>
      <c r="D46" s="59">
        <f>(4*MATERIALES!$C$137)+(4*MATERIALES!$C$174)+((8*4)*MATERIALES!$C$145)+(((B46*2)+(A46*2))*MATERIALES!$C$149)+(4*MATERIALES!$C$148)+(((A46*5)*2)*MATERIALES!$C$147)+(4*MATERIALES!$C$146)+(1*MATERIALES!$C$156)+(((A46*2)+(B46*2))*MATERIALES!$C$141)+(2*MATERIALES!$C$161)</f>
        <v>1147.0721599999999</v>
      </c>
      <c r="E46" s="75"/>
      <c r="F46" s="55">
        <f>(A46*B46)*MATERIALES!$D$82</f>
        <v>222.6</v>
      </c>
      <c r="G46" s="59">
        <f t="shared" si="5"/>
        <v>2872.1767999999997</v>
      </c>
      <c r="H46" s="67">
        <f t="shared" si="6"/>
        <v>3889.6498399999996</v>
      </c>
      <c r="I46" s="874"/>
    </row>
    <row r="47" spans="1:9" ht="15" hidden="1" customHeight="1" thickBot="1">
      <c r="A47" s="68">
        <v>0.8</v>
      </c>
      <c r="B47" s="69">
        <v>0.4</v>
      </c>
      <c r="C47" s="59">
        <f>((((A47*2)+(B47*2))*MATERIALES!$C$13)+(((A47*2)+(B47*2))*MATERIALES!$C$15))*MATERIALES!$F$2</f>
        <v>1386.9273600000004</v>
      </c>
      <c r="D47" s="59">
        <f>(4*MATERIALES!$C$137)+(4*MATERIALES!$C$174)+((8*4)*MATERIALES!$C$145)+(((B47*2)+(A47*2))*MATERIALES!$C$149)+(4*MATERIALES!$C$148)+(((A47*5)*2)*MATERIALES!$C$147)+(4*MATERIALES!$C$146)+(1*MATERIALES!$C$156)+(((A47*2)+(B47*2))*MATERIALES!$C$141)+(2*MATERIALES!$C$161)</f>
        <v>1140.2934400000001</v>
      </c>
      <c r="E47" s="75"/>
      <c r="F47" s="55">
        <f>(A47*B47)*MATERIALES!$D$82</f>
        <v>169.60000000000002</v>
      </c>
      <c r="G47" s="59">
        <f t="shared" si="5"/>
        <v>2696.8208000000004</v>
      </c>
      <c r="H47" s="67">
        <f t="shared" si="6"/>
        <v>3624.5870400000013</v>
      </c>
      <c r="I47" s="874"/>
    </row>
    <row r="48" spans="1:9" ht="15.75" hidden="1" customHeight="1" thickBot="1">
      <c r="A48" s="68">
        <v>0.8</v>
      </c>
      <c r="B48" s="69">
        <v>0.5</v>
      </c>
      <c r="C48" s="59">
        <f>((((A48*2)+(B48*2))*MATERIALES!$C$13)+(((A48*2)+(B48*2))*MATERIALES!$C$15))*MATERIALES!$F$2</f>
        <v>1502.5046399999999</v>
      </c>
      <c r="D48" s="59">
        <f>(4*MATERIALES!$C$137)+(4*MATERIALES!$C$174)+((8*4)*MATERIALES!$C$145)+(((B48*2)+(A48*2))*MATERIALES!$C$149)+(4*MATERIALES!$C$148)+(((A48*5)*2)*MATERIALES!$C$147)+(4*MATERIALES!$C$146)+(1*MATERIALES!$C$156)+(((A48*2)+(B48*2))*MATERIALES!$C$141)+(2*MATERIALES!$C$161)</f>
        <v>1147.0721599999999</v>
      </c>
      <c r="E48" s="75"/>
      <c r="F48" s="55">
        <f>(A48*B48)*MATERIALES!$D$82</f>
        <v>212</v>
      </c>
      <c r="G48" s="59">
        <f t="shared" si="5"/>
        <v>2861.5767999999998</v>
      </c>
      <c r="H48" s="67">
        <f t="shared" si="6"/>
        <v>3868.4498399999998</v>
      </c>
      <c r="I48" s="874"/>
    </row>
    <row r="49" spans="1:9" ht="15.75" hidden="1" customHeight="1" thickBot="1">
      <c r="A49" s="71">
        <v>0.8</v>
      </c>
      <c r="B49" s="72">
        <v>0.6</v>
      </c>
      <c r="C49" s="60">
        <f>((((A49*2)+(B49*2))*MATERIALES!$C$13)+(((A49*2)+(B49*2))*MATERIALES!$C$15))*MATERIALES!$F$2</f>
        <v>1618.0819200000001</v>
      </c>
      <c r="D49" s="60">
        <f>(4*MATERIALES!$C$137)+(4*MATERIALES!$C$174)+((8*4)*MATERIALES!$C$145)+(((B49*2)+(A49*2))*MATERIALES!$C$149)+(4*MATERIALES!$C$148)+(((A49*5)*2)*MATERIALES!$C$147)+(4*MATERIALES!$C$146)+(1*MATERIALES!$C$156)+(((A49*2)+(B49*2))*MATERIALES!$C$141)+(2*MATERIALES!$C$161)</f>
        <v>1153.85088</v>
      </c>
      <c r="E49" s="76"/>
      <c r="F49" s="56">
        <f>(A49*B49)*MATERIALES!$D$82</f>
        <v>254.39999999999998</v>
      </c>
      <c r="G49" s="60">
        <f t="shared" si="5"/>
        <v>3026.3328000000001</v>
      </c>
      <c r="H49" s="67">
        <f t="shared" si="6"/>
        <v>4112.3126400000001</v>
      </c>
      <c r="I49" s="875"/>
    </row>
    <row r="50" spans="1:9" hidden="1"/>
    <row r="51" spans="1:9" hidden="1"/>
    <row r="52" spans="1:9" ht="15.75" hidden="1" thickBot="1"/>
    <row r="53" spans="1:9">
      <c r="C53" s="32"/>
      <c r="D53" s="32"/>
      <c r="E53" s="32"/>
      <c r="F53" s="32"/>
      <c r="G53" s="32"/>
      <c r="H53" s="847" t="s">
        <v>532</v>
      </c>
    </row>
    <row r="54" spans="1:9" ht="15.75" thickBot="1">
      <c r="C54" s="32"/>
      <c r="D54" s="32"/>
      <c r="E54" s="32"/>
      <c r="F54" s="32"/>
      <c r="G54" s="32"/>
      <c r="H54" s="853"/>
    </row>
    <row r="55" spans="1:9" ht="23.25">
      <c r="B55" s="841" t="s">
        <v>586</v>
      </c>
      <c r="C55" s="842"/>
      <c r="D55" s="842"/>
      <c r="E55" s="843"/>
      <c r="F55" s="256"/>
      <c r="G55" s="32"/>
      <c r="H55" s="853"/>
    </row>
    <row r="56" spans="1:9" ht="24" thickBot="1">
      <c r="B56" s="844"/>
      <c r="C56" s="845"/>
      <c r="D56" s="845"/>
      <c r="E56" s="846"/>
      <c r="F56" s="256"/>
      <c r="G56" s="32"/>
      <c r="H56" s="853"/>
    </row>
    <row r="57" spans="1:9" ht="38.25" customHeight="1" thickBot="1">
      <c r="B57" s="239" t="s">
        <v>534</v>
      </c>
      <c r="C57" s="240" t="s">
        <v>535</v>
      </c>
      <c r="D57" s="240" t="s">
        <v>537</v>
      </c>
      <c r="E57" s="241" t="s">
        <v>538</v>
      </c>
      <c r="F57" s="242"/>
      <c r="G57" s="32"/>
      <c r="H57" s="853"/>
    </row>
    <row r="58" spans="1:9" ht="51" customHeight="1" thickBot="1">
      <c r="B58" s="243"/>
      <c r="C58" s="244"/>
      <c r="D58" s="244"/>
      <c r="E58" s="244"/>
      <c r="F58" s="248"/>
      <c r="G58" s="32"/>
      <c r="H58" s="853"/>
    </row>
    <row r="59" spans="1:9" ht="15.75">
      <c r="B59" s="249" t="s">
        <v>587</v>
      </c>
      <c r="C59" s="250">
        <f>+H6</f>
        <v>2717.6453120000001</v>
      </c>
      <c r="D59" s="250">
        <f>+'HERR PREMIUM CORREDIZA'!T105</f>
        <v>758.768192</v>
      </c>
      <c r="E59" s="251">
        <f>+Rejas!F52</f>
        <v>22100</v>
      </c>
      <c r="F59" s="252"/>
      <c r="G59" s="32"/>
      <c r="H59" s="853"/>
    </row>
    <row r="60" spans="1:9" ht="15.75">
      <c r="B60" s="249" t="s">
        <v>588</v>
      </c>
      <c r="C60" s="250">
        <f>H7</f>
        <v>3172.7845120000006</v>
      </c>
      <c r="D60" s="250">
        <f>+'HERR PREMIUM CORREDIZA'!T106</f>
        <v>976.07910399999992</v>
      </c>
      <c r="E60" s="251">
        <f>+Rejas!F53</f>
        <v>22100</v>
      </c>
      <c r="F60" s="252"/>
      <c r="G60" s="32"/>
      <c r="H60" s="853"/>
    </row>
    <row r="61" spans="1:9" ht="15.75">
      <c r="B61" s="249" t="s">
        <v>589</v>
      </c>
      <c r="C61" s="250">
        <f t="shared" ref="C61:C79" si="7">H8</f>
        <v>3627.9237120000007</v>
      </c>
      <c r="D61" s="250">
        <f>+'HERR PREMIUM CORREDIZA'!T107</f>
        <v>1193.3900160000003</v>
      </c>
      <c r="E61" s="251">
        <f>+Rejas!F54</f>
        <v>22100</v>
      </c>
      <c r="F61" s="252"/>
      <c r="G61" s="32"/>
      <c r="H61" s="853"/>
    </row>
    <row r="62" spans="1:9" ht="15.75">
      <c r="B62" s="249" t="s">
        <v>590</v>
      </c>
      <c r="C62" s="250">
        <f t="shared" si="7"/>
        <v>4083.0629119999999</v>
      </c>
      <c r="D62" s="250">
        <f>+'HERR PREMIUM CORREDIZA'!T108</f>
        <v>1410.7009279999997</v>
      </c>
      <c r="E62" s="251">
        <f>+Rejas!F55</f>
        <v>22100</v>
      </c>
      <c r="F62" s="252"/>
      <c r="G62" s="32"/>
      <c r="H62" s="853"/>
    </row>
    <row r="63" spans="1:9" ht="16.5" thickBot="1">
      <c r="B63" s="249" t="s">
        <v>591</v>
      </c>
      <c r="C63" s="250">
        <f t="shared" si="7"/>
        <v>4538.2021120000009</v>
      </c>
      <c r="D63" s="250">
        <f>+'HERR PREMIUM CORREDIZA'!T109</f>
        <v>1628.0118400000001</v>
      </c>
      <c r="E63" s="251">
        <f>+Rejas!F56</f>
        <v>22100</v>
      </c>
      <c r="F63" s="252"/>
      <c r="G63" s="32"/>
      <c r="H63" s="854"/>
    </row>
    <row r="64" spans="1:9" ht="15.75">
      <c r="B64" s="249" t="s">
        <v>592</v>
      </c>
      <c r="C64" s="250">
        <f t="shared" si="7"/>
        <v>2954.9762560000004</v>
      </c>
      <c r="D64" s="250">
        <f>+'HERR PREMIUM CORREDIZA'!T110</f>
        <v>883.80364800000007</v>
      </c>
      <c r="E64" s="251">
        <f>+Rejas!F57</f>
        <v>22100</v>
      </c>
      <c r="F64" s="252"/>
      <c r="G64" s="32"/>
    </row>
    <row r="65" spans="2:16" ht="15.75">
      <c r="B65" s="249" t="s">
        <v>593</v>
      </c>
      <c r="C65" s="250">
        <f t="shared" si="7"/>
        <v>3431.3154560000003</v>
      </c>
      <c r="D65" s="250">
        <f>+'HERR PREMIUM CORREDIZA'!T111</f>
        <v>1383.9454720000003</v>
      </c>
      <c r="E65" s="251">
        <f>+Rejas!F58</f>
        <v>22100</v>
      </c>
      <c r="F65" s="252"/>
      <c r="G65" s="32"/>
    </row>
    <row r="66" spans="2:16" ht="15.75">
      <c r="B66" s="249" t="s">
        <v>594</v>
      </c>
      <c r="C66" s="250">
        <f t="shared" si="7"/>
        <v>3907.6546560000006</v>
      </c>
      <c r="D66" s="250">
        <f>+'HERR PREMIUM CORREDIZA'!T112</f>
        <v>1634.016384</v>
      </c>
      <c r="E66" s="251">
        <f>+Rejas!F59</f>
        <v>22100</v>
      </c>
      <c r="F66" s="252"/>
      <c r="G66" s="32"/>
    </row>
    <row r="67" spans="2:16" ht="15.75">
      <c r="B67" s="249" t="s">
        <v>595</v>
      </c>
      <c r="C67" s="250">
        <f t="shared" si="7"/>
        <v>4383.993856000001</v>
      </c>
      <c r="D67" s="250">
        <f>+'HERR PREMIUM CORREDIZA'!T113</f>
        <v>1884.0872960000002</v>
      </c>
      <c r="E67" s="251">
        <f>+Rejas!F60</f>
        <v>22100</v>
      </c>
      <c r="F67" s="252"/>
      <c r="G67" s="32"/>
    </row>
    <row r="68" spans="2:16" ht="15.75">
      <c r="B68" s="249" t="s">
        <v>596</v>
      </c>
      <c r="C68" s="250">
        <f t="shared" si="7"/>
        <v>4860.3330560000004</v>
      </c>
      <c r="D68" s="250">
        <f>+'HERR PREMIUM CORREDIZA'!T114</f>
        <v>2259.1936640000004</v>
      </c>
      <c r="E68" s="251">
        <f>+Rejas!F61</f>
        <v>22100</v>
      </c>
      <c r="F68" s="252"/>
      <c r="G68" s="32"/>
    </row>
    <row r="69" spans="2:16" ht="15.75">
      <c r="B69" s="249" t="s">
        <v>597</v>
      </c>
      <c r="C69" s="250">
        <f t="shared" si="7"/>
        <v>5574.8418560000009</v>
      </c>
      <c r="D69" s="250">
        <f>+'HERR PREMIUM CORREDIZA'!T115</f>
        <v>1291.670016</v>
      </c>
      <c r="E69" s="251">
        <f>+Rejas!F62</f>
        <v>26520.000000000007</v>
      </c>
      <c r="F69" s="252"/>
      <c r="G69" s="32"/>
    </row>
    <row r="70" spans="2:16" ht="15.75">
      <c r="B70" s="249" t="s">
        <v>598</v>
      </c>
      <c r="C70" s="250">
        <f t="shared" si="7"/>
        <v>3689.8464000000004</v>
      </c>
      <c r="D70" s="250">
        <f>+'HERR PREMIUM CORREDIZA'!T116</f>
        <v>1574.5009279999999</v>
      </c>
      <c r="E70" s="251">
        <f>+Rejas!F63</f>
        <v>22100</v>
      </c>
      <c r="F70" s="252"/>
      <c r="G70" s="32"/>
    </row>
    <row r="71" spans="2:16" ht="15.75">
      <c r="B71" s="249" t="s">
        <v>599</v>
      </c>
      <c r="C71" s="250">
        <f t="shared" si="7"/>
        <v>4187.3855999999996</v>
      </c>
      <c r="D71" s="250">
        <f>+'HERR PREMIUM CORREDIZA'!T117</f>
        <v>1857.3318400000001</v>
      </c>
      <c r="E71" s="251">
        <f>+Rejas!F64</f>
        <v>22100</v>
      </c>
      <c r="F71" s="252"/>
      <c r="G71" s="32"/>
    </row>
    <row r="72" spans="2:16" ht="15.75">
      <c r="B72" s="249" t="s">
        <v>600</v>
      </c>
      <c r="C72" s="250">
        <f t="shared" si="7"/>
        <v>4684.9248000000007</v>
      </c>
      <c r="D72" s="250">
        <f>+'HERR PREMIUM CORREDIZA'!T118</f>
        <v>2140.1627520000002</v>
      </c>
      <c r="E72" s="251">
        <f>+Rejas!F65</f>
        <v>22100</v>
      </c>
      <c r="F72" s="252"/>
      <c r="G72" s="32"/>
    </row>
    <row r="73" spans="2:16" ht="15.75">
      <c r="B73" s="249" t="s">
        <v>601</v>
      </c>
      <c r="C73" s="250">
        <f t="shared" si="7"/>
        <v>5182.4639999999999</v>
      </c>
      <c r="D73" s="250">
        <f>+'HERR PREMIUM CORREDIZA'!T119</f>
        <v>2564.4091200000003</v>
      </c>
      <c r="E73" s="251">
        <f>+Rejas!F66</f>
        <v>26520</v>
      </c>
      <c r="F73" s="252"/>
      <c r="G73" s="32"/>
    </row>
    <row r="74" spans="2:16" ht="15.75">
      <c r="B74" s="249" t="s">
        <v>602</v>
      </c>
      <c r="C74" s="250">
        <f t="shared" si="7"/>
        <v>5928.7728000000006</v>
      </c>
      <c r="D74" s="250">
        <f>+'HERR PREMIUM CORREDIZA'!T120</f>
        <v>1449.4654719999999</v>
      </c>
      <c r="E74" s="251">
        <f>+Rejas!F67</f>
        <v>33150</v>
      </c>
      <c r="F74" s="252"/>
      <c r="G74" s="32"/>
    </row>
    <row r="75" spans="2:16" ht="15.75">
      <c r="B75" s="249" t="s">
        <v>540</v>
      </c>
      <c r="C75" s="250">
        <f t="shared" si="7"/>
        <v>3948.3773440000004</v>
      </c>
      <c r="D75" s="250">
        <f>+'HERR PREMIUM CORREDIZA'!T121</f>
        <v>1765.056384</v>
      </c>
      <c r="E75" s="251">
        <f>+Rejas!F68</f>
        <v>22100</v>
      </c>
      <c r="F75" s="252"/>
      <c r="G75" s="32"/>
    </row>
    <row r="76" spans="2:16" ht="15.75">
      <c r="B76" s="249" t="s">
        <v>603</v>
      </c>
      <c r="C76" s="250">
        <f t="shared" si="7"/>
        <v>4467.1165439999995</v>
      </c>
      <c r="D76" s="250">
        <f>+'HERR PREMIUM CORREDIZA'!T122</f>
        <v>2080.6472960000001</v>
      </c>
      <c r="E76" s="251">
        <f>+Rejas!F69</f>
        <v>22100</v>
      </c>
      <c r="F76" s="252"/>
      <c r="G76" s="32"/>
    </row>
    <row r="77" spans="2:16" ht="15.75">
      <c r="B77" s="249" t="s">
        <v>604</v>
      </c>
      <c r="C77" s="250">
        <f t="shared" si="7"/>
        <v>4985.8557440000004</v>
      </c>
      <c r="D77" s="250">
        <f>+'HERR PREMIUM CORREDIZA'!T123</f>
        <v>2396.2382079999998</v>
      </c>
      <c r="E77" s="251">
        <f>+Rejas!F70</f>
        <v>26520</v>
      </c>
      <c r="F77" s="252"/>
      <c r="G77" s="32"/>
      <c r="I77" t="s">
        <v>755</v>
      </c>
    </row>
    <row r="78" spans="2:16" ht="15.75">
      <c r="B78" s="249" t="s">
        <v>605</v>
      </c>
      <c r="C78" s="250">
        <f t="shared" si="7"/>
        <v>5504.5949439999995</v>
      </c>
      <c r="D78" s="250">
        <f>+'HERR PREMIUM CORREDIZA'!T124</f>
        <v>2869.6245760000002</v>
      </c>
      <c r="E78" s="251">
        <f>+Rejas!F71</f>
        <v>31824</v>
      </c>
      <c r="F78" s="252"/>
      <c r="G78" s="32"/>
      <c r="N78" s="32"/>
      <c r="O78" s="32"/>
      <c r="P78" s="32"/>
    </row>
    <row r="79" spans="2:16" ht="15.75">
      <c r="B79" s="249" t="s">
        <v>606</v>
      </c>
      <c r="C79" s="250">
        <f t="shared" si="7"/>
        <v>6282.7037440000004</v>
      </c>
      <c r="D79" s="250">
        <f>+'HERR PREMIUM CORREDIZA'!T125</f>
        <v>0</v>
      </c>
      <c r="E79" s="251">
        <f>+Rejas!F72</f>
        <v>39780</v>
      </c>
      <c r="F79" s="252"/>
      <c r="G79" s="32"/>
      <c r="N79" s="32"/>
      <c r="O79" s="32"/>
      <c r="P79" s="32"/>
    </row>
    <row r="80" spans="2:16">
      <c r="N80" s="32"/>
      <c r="O80" s="32"/>
      <c r="P80" s="32"/>
    </row>
    <row r="81" spans="2:16" ht="15.75" thickBot="1">
      <c r="N81" s="32"/>
      <c r="O81" s="32"/>
      <c r="P81" s="32"/>
    </row>
    <row r="82" spans="2:16">
      <c r="B82" s="861" t="s">
        <v>607</v>
      </c>
      <c r="C82" s="862"/>
      <c r="N82" s="32"/>
    </row>
    <row r="83" spans="2:16">
      <c r="B83" s="863"/>
      <c r="C83" s="864"/>
      <c r="N83" s="32"/>
    </row>
    <row r="84" spans="2:16" ht="15.75" thickBot="1">
      <c r="B84" s="865"/>
      <c r="C84" s="866"/>
      <c r="N84" s="32"/>
    </row>
    <row r="85" spans="2:16" ht="19.5" thickBot="1">
      <c r="B85" s="239" t="s">
        <v>534</v>
      </c>
      <c r="C85" s="240" t="s">
        <v>535</v>
      </c>
      <c r="N85" s="32"/>
    </row>
    <row r="86" spans="2:16" ht="15.75">
      <c r="B86" s="249" t="s">
        <v>592</v>
      </c>
      <c r="C86" s="250">
        <f>+H38</f>
        <v>2818.7358400000003</v>
      </c>
      <c r="N86" s="32"/>
    </row>
    <row r="87" spans="2:16" ht="15.75">
      <c r="B87" s="249" t="s">
        <v>608</v>
      </c>
      <c r="C87" s="250">
        <f t="shared" ref="C87:C97" si="8">+H39</f>
        <v>3020.1986400000005</v>
      </c>
      <c r="N87" s="32"/>
    </row>
    <row r="88" spans="2:16" ht="15.75">
      <c r="B88" s="249" t="s">
        <v>609</v>
      </c>
      <c r="C88" s="250">
        <f t="shared" si="8"/>
        <v>3232.2614400000002</v>
      </c>
      <c r="N88" s="32"/>
    </row>
    <row r="89" spans="2:16" ht="15.75">
      <c r="B89" s="249" t="s">
        <v>539</v>
      </c>
      <c r="C89" s="250">
        <f t="shared" si="8"/>
        <v>3221.6614400000003</v>
      </c>
      <c r="N89" s="32"/>
    </row>
    <row r="90" spans="2:16" ht="15.75">
      <c r="B90" s="249" t="s">
        <v>610</v>
      </c>
      <c r="C90" s="250">
        <f t="shared" si="8"/>
        <v>3444.3242400000004</v>
      </c>
      <c r="N90" s="32"/>
    </row>
    <row r="91" spans="2:16" ht="15.75">
      <c r="B91" s="249" t="s">
        <v>540</v>
      </c>
      <c r="C91" s="250">
        <f t="shared" si="8"/>
        <v>3666.98704</v>
      </c>
      <c r="N91" s="32"/>
    </row>
    <row r="92" spans="2:16" ht="15.75">
      <c r="B92" s="249" t="s">
        <v>611</v>
      </c>
      <c r="C92" s="250">
        <f t="shared" si="8"/>
        <v>3423.1242400000001</v>
      </c>
      <c r="N92" s="32"/>
    </row>
    <row r="93" spans="2:16" ht="15.75">
      <c r="B93" s="249" t="s">
        <v>612</v>
      </c>
      <c r="C93" s="250">
        <f t="shared" si="8"/>
        <v>3656.3870400000001</v>
      </c>
      <c r="N93" s="32"/>
    </row>
    <row r="94" spans="2:16" ht="15.75">
      <c r="B94" s="249" t="s">
        <v>613</v>
      </c>
      <c r="C94" s="250">
        <f t="shared" si="8"/>
        <v>3889.6498399999996</v>
      </c>
      <c r="N94" s="32"/>
    </row>
    <row r="95" spans="2:16" ht="15.75">
      <c r="B95" s="254" t="s">
        <v>541</v>
      </c>
      <c r="C95" s="250">
        <f t="shared" si="8"/>
        <v>3624.5870400000013</v>
      </c>
      <c r="N95" s="32"/>
    </row>
    <row r="96" spans="2:16" ht="15.75">
      <c r="B96" s="254" t="s">
        <v>614</v>
      </c>
      <c r="C96" s="250">
        <f t="shared" si="8"/>
        <v>3868.4498399999998</v>
      </c>
    </row>
    <row r="97" spans="2:3" ht="15.75">
      <c r="B97" s="254" t="s">
        <v>542</v>
      </c>
      <c r="C97" s="250">
        <f t="shared" si="8"/>
        <v>4112.3126400000001</v>
      </c>
    </row>
  </sheetData>
  <mergeCells count="14">
    <mergeCell ref="H53:H63"/>
    <mergeCell ref="B55:E56"/>
    <mergeCell ref="B82:C84"/>
    <mergeCell ref="C2:E2"/>
    <mergeCell ref="O2:Q2"/>
    <mergeCell ref="A3:H3"/>
    <mergeCell ref="M3:T3"/>
    <mergeCell ref="A5:H5"/>
    <mergeCell ref="M5:T5"/>
    <mergeCell ref="C34:E34"/>
    <mergeCell ref="A35:H35"/>
    <mergeCell ref="A37:H37"/>
    <mergeCell ref="I38:I42"/>
    <mergeCell ref="I43:I49"/>
  </mergeCells>
  <pageMargins left="0.59055118110236227" right="0.59055118110236227" top="0.74803149606299213" bottom="0.74803149606299213" header="0.31496062992125984" footer="0.31496062992125984"/>
  <pageSetup scale="90" orientation="portrait" r:id="rId1"/>
  <drawing r:id="rId2"/>
  <tableParts count="2"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18"/>
  <sheetViews>
    <sheetView topLeftCell="U74" zoomScale="60" zoomScaleNormal="60" workbookViewId="0">
      <selection activeCell="U73" sqref="A1:XFD73"/>
    </sheetView>
  </sheetViews>
  <sheetFormatPr baseColWidth="10" defaultRowHeight="15"/>
  <cols>
    <col min="1" max="1" width="10.5703125" hidden="1" customWidth="1"/>
    <col min="2" max="2" width="7.28515625" hidden="1" customWidth="1"/>
    <col min="3" max="3" width="12.7109375" hidden="1" customWidth="1"/>
    <col min="4" max="4" width="16.140625" hidden="1" customWidth="1"/>
    <col min="5" max="5" width="11.5703125" hidden="1" customWidth="1"/>
    <col min="6" max="6" width="12.5703125" hidden="1" customWidth="1"/>
    <col min="7" max="7" width="16.85546875" hidden="1" customWidth="1"/>
    <col min="8" max="8" width="16.5703125" hidden="1" customWidth="1"/>
    <col min="9" max="10" width="0" hidden="1" customWidth="1"/>
    <col min="11" max="11" width="10.5703125" hidden="1" customWidth="1"/>
    <col min="12" max="12" width="7.28515625" hidden="1" customWidth="1"/>
    <col min="13" max="13" width="12.7109375" hidden="1" customWidth="1"/>
    <col min="14" max="14" width="16.140625" hidden="1" customWidth="1"/>
    <col min="15" max="15" width="11.5703125" hidden="1" customWidth="1"/>
    <col min="16" max="16" width="12.5703125" hidden="1" customWidth="1"/>
    <col min="17" max="17" width="16.85546875" hidden="1" customWidth="1"/>
    <col min="18" max="18" width="16.5703125" hidden="1" customWidth="1"/>
    <col min="19" max="20" width="0" hidden="1" customWidth="1"/>
    <col min="22" max="22" width="18.7109375" bestFit="1" customWidth="1"/>
    <col min="23" max="23" width="18" bestFit="1" customWidth="1"/>
    <col min="24" max="24" width="19" bestFit="1" customWidth="1"/>
    <col min="25" max="25" width="24.85546875" bestFit="1" customWidth="1"/>
    <col min="27" max="27" width="11.7109375" customWidth="1"/>
    <col min="28" max="28" width="7" customWidth="1"/>
  </cols>
  <sheetData>
    <row r="1" spans="1:18" ht="15.75" hidden="1" thickBot="1"/>
    <row r="2" spans="1:18" ht="15.75" hidden="1" thickBot="1">
      <c r="A2" s="32"/>
      <c r="B2" s="32"/>
      <c r="C2" s="801">
        <v>0.3</v>
      </c>
      <c r="D2" s="802"/>
      <c r="E2" s="803"/>
      <c r="F2" s="61">
        <v>1</v>
      </c>
      <c r="G2" s="32"/>
      <c r="H2" s="46" t="s">
        <v>163</v>
      </c>
      <c r="K2" s="32"/>
      <c r="L2" s="32"/>
      <c r="M2" s="801">
        <v>0.3</v>
      </c>
      <c r="N2" s="802"/>
      <c r="O2" s="803"/>
      <c r="P2" s="61">
        <v>1</v>
      </c>
      <c r="Q2" s="32"/>
      <c r="R2" s="46" t="s">
        <v>163</v>
      </c>
    </row>
    <row r="3" spans="1:18" ht="15.75" hidden="1" thickBot="1">
      <c r="A3" s="792" t="s">
        <v>192</v>
      </c>
      <c r="B3" s="793"/>
      <c r="C3" s="793"/>
      <c r="D3" s="793"/>
      <c r="E3" s="793"/>
      <c r="F3" s="793"/>
      <c r="G3" s="793"/>
      <c r="H3" s="794"/>
      <c r="K3" s="792" t="s">
        <v>523</v>
      </c>
      <c r="L3" s="793"/>
      <c r="M3" s="793"/>
      <c r="N3" s="793"/>
      <c r="O3" s="793"/>
      <c r="P3" s="793"/>
      <c r="Q3" s="793"/>
      <c r="R3" s="794"/>
    </row>
    <row r="4" spans="1:18" ht="15.75" hidden="1" thickBot="1">
      <c r="A4" s="36" t="s">
        <v>116</v>
      </c>
      <c r="B4" s="36" t="s">
        <v>117</v>
      </c>
      <c r="C4" s="36" t="s">
        <v>162</v>
      </c>
      <c r="D4" s="36" t="s">
        <v>119</v>
      </c>
      <c r="E4" s="36" t="s">
        <v>120</v>
      </c>
      <c r="F4" s="36" t="s">
        <v>118</v>
      </c>
      <c r="G4" s="36" t="s">
        <v>121</v>
      </c>
      <c r="H4" s="36" t="s">
        <v>122</v>
      </c>
      <c r="K4" s="36" t="s">
        <v>116</v>
      </c>
      <c r="L4" s="36" t="s">
        <v>117</v>
      </c>
      <c r="M4" s="36" t="s">
        <v>162</v>
      </c>
      <c r="N4" s="36" t="s">
        <v>119</v>
      </c>
      <c r="O4" s="36" t="s">
        <v>120</v>
      </c>
      <c r="P4" s="36" t="s">
        <v>118</v>
      </c>
      <c r="Q4" s="36" t="s">
        <v>121</v>
      </c>
      <c r="R4" s="36" t="s">
        <v>122</v>
      </c>
    </row>
    <row r="5" spans="1:18" ht="15.75" hidden="1" thickBot="1">
      <c r="A5" s="795"/>
      <c r="B5" s="796"/>
      <c r="C5" s="796"/>
      <c r="D5" s="796"/>
      <c r="E5" s="796"/>
      <c r="F5" s="796"/>
      <c r="G5" s="796"/>
      <c r="H5" s="797"/>
      <c r="K5" s="795"/>
      <c r="L5" s="796"/>
      <c r="M5" s="796"/>
      <c r="N5" s="796"/>
      <c r="O5" s="796"/>
      <c r="P5" s="796"/>
      <c r="Q5" s="796"/>
      <c r="R5" s="797"/>
    </row>
    <row r="6" spans="1:18" hidden="1">
      <c r="A6" s="40">
        <v>0.6</v>
      </c>
      <c r="B6" s="41">
        <v>0.4</v>
      </c>
      <c r="C6" s="47">
        <f>((((A6*2)+(B6*2))*MATERIALES!$C$18)+(((A6*2)+(B6*2))*MATERIALES!$C$11))*MATERIALES!$F$2</f>
        <v>897.62400000000014</v>
      </c>
      <c r="D6" s="47">
        <f>(((4*2)*4)*MATERIALES!$C$145)+(4*MATERIALES!$C$146)+(((A6*2)+(B6*2))*MATERIALES!$C$165)</f>
        <v>414.12800000000004</v>
      </c>
      <c r="E6" s="74"/>
      <c r="F6" s="48">
        <f>(A6*B6)*MATERIALES!$D$82</f>
        <v>127.19999999999999</v>
      </c>
      <c r="G6" s="47">
        <f>SUM(C6:F6)</f>
        <v>1438.9520000000002</v>
      </c>
      <c r="H6" s="49">
        <f>(SUM(C6:E6)*1.3)+(F6*2)</f>
        <v>1959.6776000000004</v>
      </c>
      <c r="K6" s="40">
        <v>0.6</v>
      </c>
      <c r="L6" s="41">
        <v>0.4</v>
      </c>
      <c r="M6" s="47">
        <f>((((K6*2)+(L6*2))*MATERIALES!$C$18)+(((K6*2)+(L6*2))*MATERIALES!$C$11)+((2*L6)*MATERIALES!$C$20)+(L6*MATERIALES!$C$21))*MATERIALES!$F$2</f>
        <v>1173.3321600000002</v>
      </c>
      <c r="N6" s="47">
        <f>(((4*2)*4)*MATERIALES!$C$145)+(4*MATERIALES!$C$146)+(((K6*2)+(L6*2))*MATERIALES!$C$165)</f>
        <v>414.12800000000004</v>
      </c>
      <c r="O6" s="74"/>
      <c r="P6" s="48">
        <f>(K6*L6)*MATERIALES!$D$82</f>
        <v>127.19999999999999</v>
      </c>
      <c r="Q6" s="47">
        <f>SUM(M6:P6)</f>
        <v>1714.6601600000001</v>
      </c>
      <c r="R6" s="49">
        <f>(SUM(M6:O6)*1.3)+(P6*2)</f>
        <v>2318.0982080000003</v>
      </c>
    </row>
    <row r="7" spans="1:18" hidden="1">
      <c r="A7" s="42">
        <v>0.6</v>
      </c>
      <c r="B7" s="37">
        <v>0.6</v>
      </c>
      <c r="C7" s="38">
        <f>((((A7*2)+(B7*2))*MATERIALES!$C$18)+(((A7*2)+(B7*2))*MATERIALES!$C$11))*MATERIALES!$F$2</f>
        <v>1077.1487999999999</v>
      </c>
      <c r="D7" s="38">
        <f>(((4*2)*4)*MATERIALES!$C$145)+(4*MATERIALES!$C$146)+(((A7*2)+(B7*2))*MATERIALES!$C$165)</f>
        <v>422.66432000000003</v>
      </c>
      <c r="E7" s="75"/>
      <c r="F7" s="39">
        <f>(A7*B7)*MATERIALES!$D$82</f>
        <v>190.79999999999998</v>
      </c>
      <c r="G7" s="38">
        <f t="shared" ref="G7:G59" si="0">SUM(C7:F7)</f>
        <v>1690.61312</v>
      </c>
      <c r="H7" s="43">
        <f>(SUM(C7:E7)*1.3)+(F7*2)</f>
        <v>2331.3570560000003</v>
      </c>
      <c r="K7" s="42">
        <v>0.6</v>
      </c>
      <c r="L7" s="37">
        <v>0.6</v>
      </c>
      <c r="M7" s="38">
        <f>((((K7*2)+(L7*2))*MATERIALES!$C$18)+(((K7*2)+(L7*2))*MATERIALES!$C$11)+((2*L7)*MATERIALES!$C$20)+(L7*MATERIALES!$C$21))*MATERIALES!$F$2</f>
        <v>1490.7110400000001</v>
      </c>
      <c r="N7" s="38">
        <f>(((4*2)*4)*MATERIALES!$C$145)+(4*MATERIALES!$C$146)+(((K7*2)+(L7*2))*MATERIALES!$C$165)</f>
        <v>422.66432000000003</v>
      </c>
      <c r="O7" s="75"/>
      <c r="P7" s="39">
        <f>(K7*L7)*MATERIALES!$D$82</f>
        <v>190.79999999999998</v>
      </c>
      <c r="Q7" s="38">
        <f t="shared" ref="Q7:Q8" si="1">SUM(M7:P7)</f>
        <v>2104.1753600000002</v>
      </c>
      <c r="R7" s="43">
        <f>(SUM(M7:O7)*1.3)+(P7*2)</f>
        <v>2868.9879680000004</v>
      </c>
    </row>
    <row r="8" spans="1:18" hidden="1">
      <c r="A8" s="42">
        <v>0.8</v>
      </c>
      <c r="B8" s="37">
        <v>0.4</v>
      </c>
      <c r="C8" s="38">
        <f>((((A8*2)+(B8*2))*MATERIALES!$C$18)+(((A8*2)+(B8*2))*MATERIALES!$C$11))*MATERIALES!$F$2</f>
        <v>1077.1488000000002</v>
      </c>
      <c r="D8" s="38">
        <f>(((4*2)*4)*MATERIALES!$C$145)+(4*MATERIALES!$C$146)+(((A8*2)+(B8*2))*MATERIALES!$C$165)</f>
        <v>422.66432000000003</v>
      </c>
      <c r="E8" s="75"/>
      <c r="F8" s="39">
        <f>(A8*B8)*MATERIALES!$D$82</f>
        <v>169.60000000000002</v>
      </c>
      <c r="G8" s="38">
        <f t="shared" si="0"/>
        <v>1669.4131200000002</v>
      </c>
      <c r="H8" s="43">
        <f t="shared" ref="H8:H59" si="2">(SUM(C8:E8)*1.3)+(F8*2)</f>
        <v>2288.9570560000002</v>
      </c>
      <c r="K8" s="42">
        <v>0.8</v>
      </c>
      <c r="L8" s="37">
        <v>0.4</v>
      </c>
      <c r="M8" s="38">
        <f>((((K8*2)+(L8*2))*MATERIALES!$C$18)+(((K8*2)+(L8*2))*MATERIALES!$C$11)+((2*L8)*MATERIALES!$C$20)+(L8*MATERIALES!$C$21))*MATERIALES!$F$2</f>
        <v>1352.8569600000003</v>
      </c>
      <c r="N8" s="38">
        <f>(((4*2)*4)*MATERIALES!$C$145)+(4*MATERIALES!$C$146)+(((K8*2)+(L8*2))*MATERIALES!$C$165)</f>
        <v>422.66432000000003</v>
      </c>
      <c r="O8" s="75"/>
      <c r="P8" s="39">
        <f>(K8*L8)*MATERIALES!$D$82</f>
        <v>169.60000000000002</v>
      </c>
      <c r="Q8" s="38">
        <f t="shared" si="1"/>
        <v>1945.1212800000003</v>
      </c>
      <c r="R8" s="43">
        <f t="shared" ref="R8" si="3">(SUM(M8:O8)*1.3)+(P8*2)</f>
        <v>2647.3776640000006</v>
      </c>
    </row>
    <row r="9" spans="1:18" hidden="1">
      <c r="A9" s="42">
        <v>0.8</v>
      </c>
      <c r="B9" s="37">
        <v>0.6</v>
      </c>
      <c r="C9" s="38">
        <f>((((A9*2)+(B9*2))*MATERIALES!$C$18)+(((A9*2)+(B9*2))*MATERIALES!$C$11))*MATERIALES!$F$2</f>
        <v>1256.6736000000001</v>
      </c>
      <c r="D9" s="38">
        <f>(((4*2)*4)*MATERIALES!$C$145)+(4*MATERIALES!$C$146)+(((A9*2)+(B9*2))*MATERIALES!$C$165)</f>
        <v>431.20064000000002</v>
      </c>
      <c r="E9" s="75"/>
      <c r="F9" s="39">
        <f>(A9*B9)*MATERIALES!$D$82</f>
        <v>254.39999999999998</v>
      </c>
      <c r="G9" s="38">
        <f>SUM(C9:F9)</f>
        <v>1942.2742400000002</v>
      </c>
      <c r="H9" s="43">
        <f>(SUM(C9:E9)*1.3)+(F9*2)</f>
        <v>2703.0365120000006</v>
      </c>
      <c r="K9" s="42">
        <v>0.8</v>
      </c>
      <c r="L9" s="37">
        <v>0.6</v>
      </c>
      <c r="M9" s="38">
        <f>((((K9*2)+(L9*2))*MATERIALES!$C$18)+(((K9*2)+(L9*2))*MATERIALES!$C$11)+((2*L9)*MATERIALES!$C$20)+(L9*MATERIALES!$C$21))*MATERIALES!$F$2</f>
        <v>1670.2358400000001</v>
      </c>
      <c r="N9" s="38">
        <f>(((4*2)*4)*MATERIALES!$C$145)+(4*MATERIALES!$C$146)+(((K9*2)+(L9*2))*MATERIALES!$C$165)</f>
        <v>431.20064000000002</v>
      </c>
      <c r="O9" s="75"/>
      <c r="P9" s="39">
        <f>(K9*L9)*MATERIALES!$D$82</f>
        <v>254.39999999999998</v>
      </c>
      <c r="Q9" s="38">
        <f>SUM(M9:P9)</f>
        <v>2355.8364800000004</v>
      </c>
      <c r="R9" s="43">
        <f>(SUM(M9:O9)*1.3)+(P9*2)</f>
        <v>3240.6674240000002</v>
      </c>
    </row>
    <row r="10" spans="1:18" hidden="1">
      <c r="A10" s="42">
        <v>0.8</v>
      </c>
      <c r="B10" s="37">
        <v>0.8</v>
      </c>
      <c r="C10" s="38">
        <f>((((A10*2)+(B10*2))*MATERIALES!$C$18)+(((A10*2)+(B10*2))*MATERIALES!$C$11))*MATERIALES!$F$2</f>
        <v>1436.1984000000002</v>
      </c>
      <c r="D10" s="38">
        <f>(((4*2)*4)*MATERIALES!$C$145)+(4*MATERIALES!$C$146)+(((A10*2)+(B10*2))*MATERIALES!$C$165)</f>
        <v>439.73696000000007</v>
      </c>
      <c r="E10" s="75"/>
      <c r="F10" s="39">
        <f>(A10*B10)*MATERIALES!$D$82</f>
        <v>339.20000000000005</v>
      </c>
      <c r="G10" s="38">
        <f t="shared" si="0"/>
        <v>2215.1353600000002</v>
      </c>
      <c r="H10" s="43">
        <f t="shared" si="2"/>
        <v>3117.1159680000005</v>
      </c>
      <c r="K10" s="42">
        <v>0.8</v>
      </c>
      <c r="L10" s="37">
        <v>0.8</v>
      </c>
      <c r="M10" s="38">
        <f>((((K10*2)+(L10*2))*MATERIALES!$C$18)+(((K10*2)+(L10*2))*MATERIALES!$C$11)+((2*L10)*MATERIALES!$C$20)+(L10*MATERIALES!$C$21))*MATERIALES!$F$2</f>
        <v>1987.6147200000003</v>
      </c>
      <c r="N10" s="38">
        <f>(((4*2)*4)*MATERIALES!$C$145)+(4*MATERIALES!$C$146)+(((K10*2)+(L10*2))*MATERIALES!$C$165)</f>
        <v>439.73696000000007</v>
      </c>
      <c r="O10" s="75"/>
      <c r="P10" s="39">
        <f>(K10*L10)*MATERIALES!$D$82</f>
        <v>339.20000000000005</v>
      </c>
      <c r="Q10" s="38">
        <f t="shared" ref="Q10:Q59" si="4">SUM(M10:P10)</f>
        <v>2766.5516800000005</v>
      </c>
      <c r="R10" s="43">
        <f t="shared" ref="R10:R59" si="5">(SUM(M10:O10)*1.3)+(P10*2)</f>
        <v>3833.9571840000003</v>
      </c>
    </row>
    <row r="11" spans="1:18" hidden="1">
      <c r="A11" s="42">
        <v>1</v>
      </c>
      <c r="B11" s="37">
        <v>0.4</v>
      </c>
      <c r="C11" s="38">
        <f>((((A11*2)+(B11*2))*MATERIALES!$C$18)+(((A11*2)+(B11*2))*MATERIALES!$C$11))*MATERIALES!$F$2</f>
        <v>1256.6736000000001</v>
      </c>
      <c r="D11" s="38">
        <f>(((4*2)*4)*MATERIALES!$C$145)+(4*MATERIALES!$C$146)+(((A11*2)+(B11*2))*MATERIALES!$C$165)</f>
        <v>431.20064000000002</v>
      </c>
      <c r="E11" s="75"/>
      <c r="F11" s="39">
        <f>(A11*B11)*MATERIALES!$D$82</f>
        <v>212</v>
      </c>
      <c r="G11" s="38">
        <f t="shared" si="0"/>
        <v>1899.8742400000001</v>
      </c>
      <c r="H11" s="43">
        <f t="shared" si="2"/>
        <v>2618.2365120000004</v>
      </c>
      <c r="K11" s="42">
        <v>1</v>
      </c>
      <c r="L11" s="37">
        <v>0.4</v>
      </c>
      <c r="M11" s="38">
        <f>((((K11*2)+(L11*2))*MATERIALES!$C$18)+(((K11*2)+(L11*2))*MATERIALES!$C$11)+((2*L11)*MATERIALES!$C$20)+(L11*MATERIALES!$C$21))*MATERIALES!$F$2</f>
        <v>1532.3817600000002</v>
      </c>
      <c r="N11" s="38">
        <f>(((4*2)*4)*MATERIALES!$C$145)+(4*MATERIALES!$C$146)+(((K11*2)+(L11*2))*MATERIALES!$C$165)</f>
        <v>431.20064000000002</v>
      </c>
      <c r="O11" s="75"/>
      <c r="P11" s="39">
        <f>(K11*L11)*MATERIALES!$D$82</f>
        <v>212</v>
      </c>
      <c r="Q11" s="38">
        <f t="shared" si="4"/>
        <v>2175.5824000000002</v>
      </c>
      <c r="R11" s="43">
        <f t="shared" si="5"/>
        <v>2976.6571200000003</v>
      </c>
    </row>
    <row r="12" spans="1:18" hidden="1">
      <c r="A12" s="42">
        <v>1</v>
      </c>
      <c r="B12" s="37">
        <v>0.6</v>
      </c>
      <c r="C12" s="38">
        <f>((((A12*2)+(B12*2))*MATERIALES!$C$18)+(((A12*2)+(B12*2))*MATERIALES!$C$11))*MATERIALES!$F$2</f>
        <v>1436.1984000000002</v>
      </c>
      <c r="D12" s="38">
        <f>(((4*2)*4)*MATERIALES!$C$145)+(4*MATERIALES!$C$146)+(((A12*2)+(B12*2))*MATERIALES!$C$165)</f>
        <v>439.73696000000007</v>
      </c>
      <c r="E12" s="75"/>
      <c r="F12" s="39">
        <f>(A12*B12)*MATERIALES!$D$82</f>
        <v>318</v>
      </c>
      <c r="G12" s="38">
        <f t="shared" si="0"/>
        <v>2193.9353600000004</v>
      </c>
      <c r="H12" s="43">
        <f t="shared" si="2"/>
        <v>3074.7159680000004</v>
      </c>
      <c r="K12" s="42">
        <v>1</v>
      </c>
      <c r="L12" s="37">
        <v>0.6</v>
      </c>
      <c r="M12" s="38">
        <f>((((K12*2)+(L12*2))*MATERIALES!$C$18)+(((K12*2)+(L12*2))*MATERIALES!$C$11)+((2*L12)*MATERIALES!$C$20)+(L12*MATERIALES!$C$21))*MATERIALES!$F$2</f>
        <v>1849.7606400000002</v>
      </c>
      <c r="N12" s="38">
        <f>(((4*2)*4)*MATERIALES!$C$145)+(4*MATERIALES!$C$146)+(((K12*2)+(L12*2))*MATERIALES!$C$165)</f>
        <v>439.73696000000007</v>
      </c>
      <c r="O12" s="75"/>
      <c r="P12" s="39">
        <f>(K12*L12)*MATERIALES!$D$82</f>
        <v>318</v>
      </c>
      <c r="Q12" s="38">
        <f t="shared" si="4"/>
        <v>2607.4976000000001</v>
      </c>
      <c r="R12" s="43">
        <f t="shared" si="5"/>
        <v>3612.3468800000005</v>
      </c>
    </row>
    <row r="13" spans="1:18" hidden="1">
      <c r="A13" s="42">
        <v>1</v>
      </c>
      <c r="B13" s="37">
        <v>0.8</v>
      </c>
      <c r="C13" s="38">
        <f>((((A13*2)+(B13*2))*MATERIALES!$C$18)+(((A13*2)+(B13*2))*MATERIALES!$C$11))*MATERIALES!$F$2</f>
        <v>1615.7232000000001</v>
      </c>
      <c r="D13" s="38">
        <f>(((4*2)*4)*MATERIALES!$C$145)+(4*MATERIALES!$C$146)+(((A13*2)+(B13*2))*MATERIALES!$C$165)</f>
        <v>448.27328000000006</v>
      </c>
      <c r="E13" s="75"/>
      <c r="F13" s="39">
        <f>(A13*B13)*MATERIALES!$D$82</f>
        <v>424</v>
      </c>
      <c r="G13" s="38">
        <f t="shared" si="0"/>
        <v>2487.9964800000002</v>
      </c>
      <c r="H13" s="43">
        <f t="shared" si="2"/>
        <v>3531.1954240000005</v>
      </c>
      <c r="K13" s="42">
        <v>1</v>
      </c>
      <c r="L13" s="37">
        <v>0.8</v>
      </c>
      <c r="M13" s="38">
        <f>((((K13*2)+(L13*2))*MATERIALES!$C$18)+(((K13*2)+(L13*2))*MATERIALES!$C$11)+((2*L13)*MATERIALES!$C$20)+(L13*MATERIALES!$C$21))*MATERIALES!$F$2</f>
        <v>2167.1395200000002</v>
      </c>
      <c r="N13" s="38">
        <f>(((4*2)*4)*MATERIALES!$C$145)+(4*MATERIALES!$C$146)+(((K13*2)+(L13*2))*MATERIALES!$C$165)</f>
        <v>448.27328000000006</v>
      </c>
      <c r="O13" s="75"/>
      <c r="P13" s="39">
        <f>(K13*L13)*MATERIALES!$D$82</f>
        <v>424</v>
      </c>
      <c r="Q13" s="38">
        <f t="shared" si="4"/>
        <v>3039.4128000000001</v>
      </c>
      <c r="R13" s="43">
        <f t="shared" si="5"/>
        <v>4248.0366400000003</v>
      </c>
    </row>
    <row r="14" spans="1:18" hidden="1">
      <c r="A14" s="42">
        <v>1</v>
      </c>
      <c r="B14" s="37">
        <v>1</v>
      </c>
      <c r="C14" s="38">
        <f>((((A14*2)+(B14*2))*MATERIALES!$C$18)+(((A14*2)+(B14*2))*MATERIALES!$C$11))*MATERIALES!$F$2</f>
        <v>1795.2480000000003</v>
      </c>
      <c r="D14" s="38">
        <f>(((4*2)*4)*MATERIALES!$C$145)+(4*MATERIALES!$C$146)+(((A14*2)+(B14*2))*MATERIALES!$C$165)</f>
        <v>456.80960000000005</v>
      </c>
      <c r="E14" s="75"/>
      <c r="F14" s="39">
        <f>(A14*B14)*MATERIALES!$D$82</f>
        <v>530</v>
      </c>
      <c r="G14" s="38">
        <f t="shared" si="0"/>
        <v>2782.0576000000001</v>
      </c>
      <c r="H14" s="43">
        <f t="shared" si="2"/>
        <v>3987.67488</v>
      </c>
      <c r="K14" s="42">
        <v>1</v>
      </c>
      <c r="L14" s="37">
        <v>1</v>
      </c>
      <c r="M14" s="38">
        <f>((((K14*2)+(L14*2))*MATERIALES!$C$18)+(((K14*2)+(L14*2))*MATERIALES!$C$11)+((2*L14)*MATERIALES!$C$20)+(L14*MATERIALES!$C$21))*MATERIALES!$F$2</f>
        <v>2484.5184000000004</v>
      </c>
      <c r="N14" s="38">
        <f>(((4*2)*4)*MATERIALES!$C$145)+(4*MATERIALES!$C$146)+(((K14*2)+(L14*2))*MATERIALES!$C$165)</f>
        <v>456.80960000000005</v>
      </c>
      <c r="O14" s="75"/>
      <c r="P14" s="39">
        <f>(K14*L14)*MATERIALES!$D$82</f>
        <v>530</v>
      </c>
      <c r="Q14" s="38">
        <f t="shared" si="4"/>
        <v>3471.3280000000004</v>
      </c>
      <c r="R14" s="43">
        <f t="shared" si="5"/>
        <v>4883.7264000000005</v>
      </c>
    </row>
    <row r="15" spans="1:18" hidden="1">
      <c r="A15" s="42">
        <v>1</v>
      </c>
      <c r="B15" s="37">
        <v>1.1000000000000001</v>
      </c>
      <c r="C15" s="38">
        <f>((((A15*2)+(B15*2))*MATERIALES!$C$18)+(((A15*2)+(B15*2))*MATERIALES!$C$11))*MATERIALES!$F$2</f>
        <v>1885.0104000000003</v>
      </c>
      <c r="D15" s="38">
        <f>(((4*2)*4)*MATERIALES!$C$145)+(4*MATERIALES!$C$146)+(((A15*2)+(B15*2))*MATERIALES!$C$165)</f>
        <v>461.07776000000007</v>
      </c>
      <c r="E15" s="75"/>
      <c r="F15" s="39">
        <f>(A15*B15)*MATERIALES!$D$82</f>
        <v>583</v>
      </c>
      <c r="G15" s="38">
        <f t="shared" si="0"/>
        <v>2929.0881600000002</v>
      </c>
      <c r="H15" s="43">
        <f t="shared" si="2"/>
        <v>4215.914608000001</v>
      </c>
      <c r="K15" s="42">
        <v>1</v>
      </c>
      <c r="L15" s="37">
        <v>1.1000000000000001</v>
      </c>
      <c r="M15" s="38">
        <f>((((K15*2)+(L15*2))*MATERIALES!$C$18)+(((K15*2)+(L15*2))*MATERIALES!$C$11)+((2*L15)*MATERIALES!$C$20)+(L15*MATERIALES!$C$21))*MATERIALES!$F$2</f>
        <v>2643.2078400000005</v>
      </c>
      <c r="N15" s="38">
        <f>(((4*2)*4)*MATERIALES!$C$145)+(4*MATERIALES!$C$146)+(((K15*2)+(L15*2))*MATERIALES!$C$165)</f>
        <v>461.07776000000007</v>
      </c>
      <c r="O15" s="75"/>
      <c r="P15" s="39">
        <f>(K15*L15)*MATERIALES!$D$82</f>
        <v>583</v>
      </c>
      <c r="Q15" s="38">
        <f t="shared" si="4"/>
        <v>3687.2856000000006</v>
      </c>
      <c r="R15" s="43">
        <f t="shared" si="5"/>
        <v>5201.571280000001</v>
      </c>
    </row>
    <row r="16" spans="1:18" hidden="1">
      <c r="A16" s="42">
        <v>1</v>
      </c>
      <c r="B16" s="37">
        <v>1.2</v>
      </c>
      <c r="C16" s="38">
        <f>((((A16*2)+(B16*2))*MATERIALES!$C$18)+(((A16*2)+(B16*2))*MATERIALES!$C$11))*MATERIALES!$F$2</f>
        <v>1974.7728000000002</v>
      </c>
      <c r="D16" s="38">
        <f>(((4*2)*4)*MATERIALES!$C$145)+(4*MATERIALES!$C$146)+(((A16*2)+(B16*2))*MATERIALES!$C$165)</f>
        <v>465.34592000000004</v>
      </c>
      <c r="E16" s="75"/>
      <c r="F16" s="39">
        <f>(A16*B16)*MATERIALES!$D$82</f>
        <v>636</v>
      </c>
      <c r="G16" s="38">
        <f t="shared" si="0"/>
        <v>3076.1187200000004</v>
      </c>
      <c r="H16" s="43">
        <f t="shared" si="2"/>
        <v>4444.1543360000005</v>
      </c>
      <c r="K16" s="42">
        <v>1</v>
      </c>
      <c r="L16" s="37">
        <v>1.2</v>
      </c>
      <c r="M16" s="38">
        <f>((((K16*2)+(L16*2))*MATERIALES!$C$18)+(((K16*2)+(L16*2))*MATERIALES!$C$11)+((2*L16)*MATERIALES!$C$20)+(L16*MATERIALES!$C$21))*MATERIALES!$F$2</f>
        <v>2801.8972800000006</v>
      </c>
      <c r="N16" s="38">
        <f>(((4*2)*4)*MATERIALES!$C$145)+(4*MATERIALES!$C$146)+(((K16*2)+(L16*2))*MATERIALES!$C$165)</f>
        <v>465.34592000000004</v>
      </c>
      <c r="O16" s="75"/>
      <c r="P16" s="39">
        <f>(K16*L16)*MATERIALES!$D$82</f>
        <v>636</v>
      </c>
      <c r="Q16" s="38">
        <f t="shared" si="4"/>
        <v>3903.2432000000008</v>
      </c>
      <c r="R16" s="43">
        <f t="shared" si="5"/>
        <v>5519.4161600000016</v>
      </c>
    </row>
    <row r="17" spans="1:18" hidden="1">
      <c r="A17" s="42">
        <v>1</v>
      </c>
      <c r="B17" s="37">
        <v>1.5</v>
      </c>
      <c r="C17" s="38">
        <f>((((A17*2)+(B17*2))*MATERIALES!$C$18)+(((A17*2)+(B17*2))*MATERIALES!$C$11))*MATERIALES!$F$2</f>
        <v>2244.0600000000004</v>
      </c>
      <c r="D17" s="38">
        <f>(((4*2)*4)*MATERIALES!$C$145)+(4*MATERIALES!$C$146)+(((A17*2)+(B17*2))*MATERIALES!$C$165)</f>
        <v>478.15040000000005</v>
      </c>
      <c r="E17" s="75"/>
      <c r="F17" s="39">
        <f>(A17*B17)*MATERIALES!$D$82</f>
        <v>795</v>
      </c>
      <c r="G17" s="38">
        <f t="shared" si="0"/>
        <v>3517.2104000000004</v>
      </c>
      <c r="H17" s="43">
        <f t="shared" si="2"/>
        <v>5128.873520000001</v>
      </c>
      <c r="K17" s="42">
        <v>1</v>
      </c>
      <c r="L17" s="37">
        <v>1.5</v>
      </c>
      <c r="M17" s="38">
        <f>((((K17*2)+(L17*2))*MATERIALES!$C$18)+(((K17*2)+(L17*2))*MATERIALES!$C$11)+((2*L17)*MATERIALES!$C$20)+(L17*MATERIALES!$C$21))*MATERIALES!$F$2</f>
        <v>3277.9656000000004</v>
      </c>
      <c r="N17" s="38">
        <f>(((4*2)*4)*MATERIALES!$C$145)+(4*MATERIALES!$C$146)+(((K17*2)+(L17*2))*MATERIALES!$C$165)</f>
        <v>478.15040000000005</v>
      </c>
      <c r="O17" s="75"/>
      <c r="P17" s="39">
        <f>(K17*L17)*MATERIALES!$D$82</f>
        <v>795</v>
      </c>
      <c r="Q17" s="38">
        <f t="shared" si="4"/>
        <v>4551.116</v>
      </c>
      <c r="R17" s="43">
        <f t="shared" si="5"/>
        <v>6472.9508000000005</v>
      </c>
    </row>
    <row r="18" spans="1:18" hidden="1">
      <c r="A18" s="42">
        <v>1.2</v>
      </c>
      <c r="B18" s="37">
        <v>0.4</v>
      </c>
      <c r="C18" s="38">
        <f>((((A18*2)+(B18*2))*MATERIALES!$C$18)+(((A18*2)+(B18*2))*MATERIALES!$C$11))*MATERIALES!$F$2</f>
        <v>1436.1984000000002</v>
      </c>
      <c r="D18" s="38">
        <f>(((4*2)*4)*MATERIALES!$C$145)+(4*MATERIALES!$C$146)+(((A18*2)+(B18*2))*MATERIALES!$C$165)</f>
        <v>439.73696000000007</v>
      </c>
      <c r="E18" s="75"/>
      <c r="F18" s="39">
        <f>(A18*B18)*MATERIALES!$D$82</f>
        <v>254.39999999999998</v>
      </c>
      <c r="G18" s="38">
        <f t="shared" si="0"/>
        <v>2130.3353600000005</v>
      </c>
      <c r="H18" s="43">
        <f t="shared" si="2"/>
        <v>2947.5159680000006</v>
      </c>
      <c r="K18" s="42">
        <v>1.2</v>
      </c>
      <c r="L18" s="37">
        <v>0.4</v>
      </c>
      <c r="M18" s="38">
        <f>((((K18*2)+(L18*2))*MATERIALES!$C$18)+(((K18*2)+(L18*2))*MATERIALES!$C$11)+((2*L18)*MATERIALES!$C$20)+(L18*MATERIALES!$C$21))*MATERIALES!$F$2</f>
        <v>1711.9065600000004</v>
      </c>
      <c r="N18" s="38">
        <f>(((4*2)*4)*MATERIALES!$C$145)+(4*MATERIALES!$C$146)+(((K18*2)+(L18*2))*MATERIALES!$C$165)</f>
        <v>439.73696000000007</v>
      </c>
      <c r="O18" s="75"/>
      <c r="P18" s="39">
        <f>(K18*L18)*MATERIALES!$D$82</f>
        <v>254.39999999999998</v>
      </c>
      <c r="Q18" s="38">
        <f t="shared" si="4"/>
        <v>2406.0435200000006</v>
      </c>
      <c r="R18" s="43">
        <f t="shared" si="5"/>
        <v>3305.936576000001</v>
      </c>
    </row>
    <row r="19" spans="1:18" hidden="1">
      <c r="A19" s="42">
        <v>1.2</v>
      </c>
      <c r="B19" s="37">
        <v>0.6</v>
      </c>
      <c r="C19" s="38">
        <f>((((A19*2)+(B19*2))*MATERIALES!$C$18)+(((A19*2)+(B19*2))*MATERIALES!$C$11))*MATERIALES!$F$2</f>
        <v>1615.7232000000001</v>
      </c>
      <c r="D19" s="38">
        <f>(((4*2)*4)*MATERIALES!$C$145)+(4*MATERIALES!$C$146)+(((A19*2)+(B19*2))*MATERIALES!$C$165)</f>
        <v>448.27328000000006</v>
      </c>
      <c r="E19" s="75"/>
      <c r="F19" s="39">
        <f>(A19*B19)*MATERIALES!$D$82</f>
        <v>381.59999999999997</v>
      </c>
      <c r="G19" s="38">
        <f t="shared" si="0"/>
        <v>2445.5964800000002</v>
      </c>
      <c r="H19" s="43">
        <f t="shared" si="2"/>
        <v>3446.3954240000003</v>
      </c>
      <c r="K19" s="42">
        <v>1.2</v>
      </c>
      <c r="L19" s="37">
        <v>0.6</v>
      </c>
      <c r="M19" s="38">
        <f>((((K19*2)+(L19*2))*MATERIALES!$C$18)+(((K19*2)+(L19*2))*MATERIALES!$C$11)+((2*L19)*MATERIALES!$C$20)+(L19*MATERIALES!$C$21))*MATERIALES!$F$2</f>
        <v>2029.2854400000001</v>
      </c>
      <c r="N19" s="38">
        <f>(((4*2)*4)*MATERIALES!$C$145)+(4*MATERIALES!$C$146)+(((K19*2)+(L19*2))*MATERIALES!$C$165)</f>
        <v>448.27328000000006</v>
      </c>
      <c r="O19" s="75"/>
      <c r="P19" s="39">
        <f>(K19*L19)*MATERIALES!$D$82</f>
        <v>381.59999999999997</v>
      </c>
      <c r="Q19" s="38">
        <f t="shared" si="4"/>
        <v>2859.1587199999999</v>
      </c>
      <c r="R19" s="43">
        <f t="shared" si="5"/>
        <v>3984.0263359999999</v>
      </c>
    </row>
    <row r="20" spans="1:18" hidden="1">
      <c r="A20" s="42">
        <v>1.2</v>
      </c>
      <c r="B20" s="37">
        <v>0.8</v>
      </c>
      <c r="C20" s="38">
        <f>((((A20*2)+(B20*2))*MATERIALES!$C$18)+(((A20*2)+(B20*2))*MATERIALES!$C$11))*MATERIALES!$F$2</f>
        <v>1795.2480000000003</v>
      </c>
      <c r="D20" s="38">
        <f>(((4*2)*4)*MATERIALES!$C$145)+(4*MATERIALES!$C$146)+(((A20*2)+(B20*2))*MATERIALES!$C$165)</f>
        <v>456.80960000000005</v>
      </c>
      <c r="E20" s="75"/>
      <c r="F20" s="39">
        <f>(A20*B20)*MATERIALES!$D$82</f>
        <v>508.79999999999995</v>
      </c>
      <c r="G20" s="38">
        <f t="shared" si="0"/>
        <v>2760.8576000000003</v>
      </c>
      <c r="H20" s="43">
        <f t="shared" si="2"/>
        <v>3945.2748799999999</v>
      </c>
      <c r="K20" s="42">
        <v>1.2</v>
      </c>
      <c r="L20" s="37">
        <v>0.8</v>
      </c>
      <c r="M20" s="38">
        <f>((((K20*2)+(L20*2))*MATERIALES!$C$18)+(((K20*2)+(L20*2))*MATERIALES!$C$11)+((2*L20)*MATERIALES!$C$20)+(L20*MATERIALES!$C$21))*MATERIALES!$F$2</f>
        <v>2346.6643200000003</v>
      </c>
      <c r="N20" s="38">
        <f>(((4*2)*4)*MATERIALES!$C$145)+(4*MATERIALES!$C$146)+(((K20*2)+(L20*2))*MATERIALES!$C$165)</f>
        <v>456.80960000000005</v>
      </c>
      <c r="O20" s="75"/>
      <c r="P20" s="39">
        <f>(K20*L20)*MATERIALES!$D$82</f>
        <v>508.79999999999995</v>
      </c>
      <c r="Q20" s="38">
        <f t="shared" si="4"/>
        <v>3312.2739200000005</v>
      </c>
      <c r="R20" s="43">
        <f t="shared" si="5"/>
        <v>4662.1160960000007</v>
      </c>
    </row>
    <row r="21" spans="1:18" hidden="1">
      <c r="A21" s="42">
        <v>1.2</v>
      </c>
      <c r="B21" s="37">
        <v>1</v>
      </c>
      <c r="C21" s="38">
        <f>((((A21*2)+(B21*2))*MATERIALES!$C$18)+(((A21*2)+(B21*2))*MATERIALES!$C$11))*MATERIALES!$F$2</f>
        <v>1974.7728000000002</v>
      </c>
      <c r="D21" s="38">
        <f>(((4*2)*4)*MATERIALES!$C$145)+(4*MATERIALES!$C$146)+(((A21*2)+(B21*2))*MATERIALES!$C$165)</f>
        <v>465.34592000000004</v>
      </c>
      <c r="E21" s="75"/>
      <c r="F21" s="39">
        <f>(A21*B21)*MATERIALES!$D$82</f>
        <v>636</v>
      </c>
      <c r="G21" s="38">
        <f t="shared" si="0"/>
        <v>3076.1187200000004</v>
      </c>
      <c r="H21" s="43">
        <f t="shared" si="2"/>
        <v>4444.1543360000005</v>
      </c>
      <c r="K21" s="42">
        <v>1.2</v>
      </c>
      <c r="L21" s="37">
        <v>1</v>
      </c>
      <c r="M21" s="38">
        <f>((((K21*2)+(L21*2))*MATERIALES!$C$18)+(((K21*2)+(L21*2))*MATERIALES!$C$11)+((2*L21)*MATERIALES!$C$20)+(L21*MATERIALES!$C$21))*MATERIALES!$F$2</f>
        <v>2664.0432000000005</v>
      </c>
      <c r="N21" s="38">
        <f>(((4*2)*4)*MATERIALES!$C$145)+(4*MATERIALES!$C$146)+(((K21*2)+(L21*2))*MATERIALES!$C$165)</f>
        <v>465.34592000000004</v>
      </c>
      <c r="O21" s="75"/>
      <c r="P21" s="39">
        <f>(K21*L21)*MATERIALES!$D$82</f>
        <v>636</v>
      </c>
      <c r="Q21" s="38">
        <f t="shared" si="4"/>
        <v>3765.3891200000007</v>
      </c>
      <c r="R21" s="43">
        <f t="shared" si="5"/>
        <v>5340.2058560000005</v>
      </c>
    </row>
    <row r="22" spans="1:18" hidden="1">
      <c r="A22" s="42">
        <v>1.2</v>
      </c>
      <c r="B22" s="37">
        <v>1.1000000000000001</v>
      </c>
      <c r="C22" s="38">
        <f>((((A22*2)+(B22*2))*MATERIALES!$C$18)+(((A22*2)+(B22*2))*MATERIALES!$C$11))*MATERIALES!$F$2</f>
        <v>2064.5351999999998</v>
      </c>
      <c r="D22" s="38">
        <f>(((4*2)*4)*MATERIALES!$C$145)+(4*MATERIALES!$C$146)+(((A22*2)+(B22*2))*MATERIALES!$C$165)</f>
        <v>469.61408000000006</v>
      </c>
      <c r="E22" s="75"/>
      <c r="F22" s="39">
        <f>(A22*B22)*MATERIALES!$D$82</f>
        <v>699.6</v>
      </c>
      <c r="G22" s="38">
        <f t="shared" si="0"/>
        <v>3233.7492799999995</v>
      </c>
      <c r="H22" s="43">
        <f t="shared" si="2"/>
        <v>4693.5940639999999</v>
      </c>
      <c r="K22" s="42">
        <v>1.2</v>
      </c>
      <c r="L22" s="37">
        <v>1.1000000000000001</v>
      </c>
      <c r="M22" s="38">
        <f>((((K22*2)+(L22*2))*MATERIALES!$C$18)+(((K22*2)+(L22*2))*MATERIALES!$C$11)+((2*L22)*MATERIALES!$C$20)+(L22*MATERIALES!$C$21))*MATERIALES!$F$2</f>
        <v>2822.7326399999997</v>
      </c>
      <c r="N22" s="38">
        <f>(((4*2)*4)*MATERIALES!$C$145)+(4*MATERIALES!$C$146)+(((K22*2)+(L22*2))*MATERIALES!$C$165)</f>
        <v>469.61408000000006</v>
      </c>
      <c r="O22" s="75"/>
      <c r="P22" s="39">
        <f>(K22*L22)*MATERIALES!$D$82</f>
        <v>699.6</v>
      </c>
      <c r="Q22" s="38">
        <f t="shared" si="4"/>
        <v>3991.9467199999995</v>
      </c>
      <c r="R22" s="43">
        <f t="shared" si="5"/>
        <v>5679.2507359999991</v>
      </c>
    </row>
    <row r="23" spans="1:18" hidden="1">
      <c r="A23" s="42">
        <v>1.2</v>
      </c>
      <c r="B23" s="37">
        <v>1.2</v>
      </c>
      <c r="C23" s="38">
        <f>((((A23*2)+(B23*2))*MATERIALES!$C$18)+(((A23*2)+(B23*2))*MATERIALES!$C$11))*MATERIALES!$F$2</f>
        <v>2154.2975999999999</v>
      </c>
      <c r="D23" s="38">
        <f>(((4*2)*4)*MATERIALES!$C$145)+(4*MATERIALES!$C$146)+(((A23*2)+(B23*2))*MATERIALES!$C$165)</f>
        <v>473.88224000000002</v>
      </c>
      <c r="E23" s="75"/>
      <c r="F23" s="39">
        <f>(A23*B23)*MATERIALES!$D$82</f>
        <v>763.19999999999993</v>
      </c>
      <c r="G23" s="38">
        <f t="shared" si="0"/>
        <v>3391.3798399999996</v>
      </c>
      <c r="H23" s="43">
        <f t="shared" si="2"/>
        <v>4943.0337919999993</v>
      </c>
      <c r="K23" s="42">
        <v>1.2</v>
      </c>
      <c r="L23" s="37">
        <v>1.2</v>
      </c>
      <c r="M23" s="38">
        <f>((((K23*2)+(L23*2))*MATERIALES!$C$18)+(((K23*2)+(L23*2))*MATERIALES!$C$11)+((2*L23)*MATERIALES!$C$20)+(L23*MATERIALES!$C$21))*MATERIALES!$F$2</f>
        <v>2981.4220800000003</v>
      </c>
      <c r="N23" s="38">
        <f>(((4*2)*4)*MATERIALES!$C$145)+(4*MATERIALES!$C$146)+(((K23*2)+(L23*2))*MATERIALES!$C$165)</f>
        <v>473.88224000000002</v>
      </c>
      <c r="O23" s="75"/>
      <c r="P23" s="39">
        <f>(K23*L23)*MATERIALES!$D$82</f>
        <v>763.19999999999993</v>
      </c>
      <c r="Q23" s="38">
        <f t="shared" si="4"/>
        <v>4218.50432</v>
      </c>
      <c r="R23" s="43">
        <f t="shared" si="5"/>
        <v>6018.2956160000003</v>
      </c>
    </row>
    <row r="24" spans="1:18" hidden="1">
      <c r="A24" s="42">
        <v>1.2</v>
      </c>
      <c r="B24" s="37">
        <v>1.5</v>
      </c>
      <c r="C24" s="38">
        <f>((((A24*2)+(B24*2))*MATERIALES!$C$18)+(((A24*2)+(B24*2))*MATERIALES!$C$11))*MATERIALES!$F$2</f>
        <v>2423.5848000000005</v>
      </c>
      <c r="D24" s="38">
        <f>(((4*2)*4)*MATERIALES!$C$145)+(4*MATERIALES!$C$146)+(((A24*2)+(B24*2))*MATERIALES!$C$165)</f>
        <v>486.68672000000004</v>
      </c>
      <c r="E24" s="75"/>
      <c r="F24" s="39">
        <f>(A24*B24)*MATERIALES!$D$82</f>
        <v>953.99999999999989</v>
      </c>
      <c r="G24" s="38">
        <f t="shared" si="0"/>
        <v>3864.2715200000007</v>
      </c>
      <c r="H24" s="43">
        <f t="shared" si="2"/>
        <v>5691.352976000001</v>
      </c>
      <c r="K24" s="42">
        <v>1.2</v>
      </c>
      <c r="L24" s="37">
        <v>1.5</v>
      </c>
      <c r="M24" s="38">
        <f>((((K24*2)+(L24*2))*MATERIALES!$C$18)+(((K24*2)+(L24*2))*MATERIALES!$C$11)+((2*L24)*MATERIALES!$C$20)+(L24*MATERIALES!$C$21))*MATERIALES!$F$2</f>
        <v>3457.4904000000001</v>
      </c>
      <c r="N24" s="38">
        <f>(((4*2)*4)*MATERIALES!$C$145)+(4*MATERIALES!$C$146)+(((K24*2)+(L24*2))*MATERIALES!$C$165)</f>
        <v>486.68672000000004</v>
      </c>
      <c r="O24" s="75"/>
      <c r="P24" s="39">
        <f>(K24*L24)*MATERIALES!$D$82</f>
        <v>953.99999999999989</v>
      </c>
      <c r="Q24" s="38">
        <f t="shared" si="4"/>
        <v>4898.1771200000003</v>
      </c>
      <c r="R24" s="43">
        <f t="shared" si="5"/>
        <v>7035.4302560000006</v>
      </c>
    </row>
    <row r="25" spans="1:18" hidden="1">
      <c r="A25" s="42">
        <v>1.2</v>
      </c>
      <c r="B25" s="37">
        <v>1.8</v>
      </c>
      <c r="C25" s="38">
        <f>((((A25*2)+(B25*2))*MATERIALES!$C$18)+(((A25*2)+(B25*2))*MATERIALES!$C$11))*MATERIALES!$F$2</f>
        <v>2692.8720000000003</v>
      </c>
      <c r="D25" s="38">
        <f>(((4*2)*4)*MATERIALES!$C$145)+(4*MATERIALES!$C$146)+(((A25*2)+(B25*2))*MATERIALES!$C$165)</f>
        <v>499.49120000000005</v>
      </c>
      <c r="E25" s="75"/>
      <c r="F25" s="39">
        <f>(A25*B25)*MATERIALES!$D$82</f>
        <v>1144.8000000000002</v>
      </c>
      <c r="G25" s="38">
        <f t="shared" si="0"/>
        <v>4337.1632000000009</v>
      </c>
      <c r="H25" s="43">
        <f t="shared" si="2"/>
        <v>6439.672160000001</v>
      </c>
      <c r="K25" s="42">
        <v>1.2</v>
      </c>
      <c r="L25" s="37">
        <v>1.8</v>
      </c>
      <c r="M25" s="38">
        <f>((((K25*2)+(L25*2))*MATERIALES!$C$18)+(((K25*2)+(L25*2))*MATERIALES!$C$11)+((2*L25)*MATERIALES!$C$20)+(L25*MATERIALES!$C$21))*MATERIALES!$F$2</f>
        <v>3933.5587200000004</v>
      </c>
      <c r="N25" s="38">
        <f>(((4*2)*4)*MATERIALES!$C$145)+(4*MATERIALES!$C$146)+(((K25*2)+(L25*2))*MATERIALES!$C$165)</f>
        <v>499.49120000000005</v>
      </c>
      <c r="O25" s="75"/>
      <c r="P25" s="39">
        <f>(K25*L25)*MATERIALES!$D$82</f>
        <v>1144.8000000000002</v>
      </c>
      <c r="Q25" s="38">
        <f t="shared" si="4"/>
        <v>5577.8499200000006</v>
      </c>
      <c r="R25" s="43">
        <f t="shared" si="5"/>
        <v>8052.5648960000008</v>
      </c>
    </row>
    <row r="26" spans="1:18" hidden="1">
      <c r="A26" s="42">
        <v>1.5</v>
      </c>
      <c r="B26" s="37">
        <v>0.4</v>
      </c>
      <c r="C26" s="38">
        <f>((((A26*2)+(B26*2))*MATERIALES!$C$18)+(((A26*2)+(B26*2))*MATERIALES!$C$11))*MATERIALES!$F$2</f>
        <v>1705.4856</v>
      </c>
      <c r="D26" s="38">
        <f>(((4*2)*4)*MATERIALES!$C$145)+(4*MATERIALES!$C$146)+(((A26*2)+(B26*2))*MATERIALES!$C$165)</f>
        <v>452.54144000000002</v>
      </c>
      <c r="E26" s="75"/>
      <c r="F26" s="39">
        <f>(A26*B26)*MATERIALES!$D$82</f>
        <v>318.00000000000006</v>
      </c>
      <c r="G26" s="38">
        <f t="shared" si="0"/>
        <v>2476.0270399999999</v>
      </c>
      <c r="H26" s="43">
        <f t="shared" si="2"/>
        <v>3441.435152</v>
      </c>
      <c r="K26" s="42">
        <v>1.5</v>
      </c>
      <c r="L26" s="37">
        <v>0.4</v>
      </c>
      <c r="M26" s="38">
        <f>((((K26*2)+(L26*2))*MATERIALES!$C$18)+(((K26*2)+(L26*2))*MATERIALES!$C$11)+((2*L26)*MATERIALES!$C$20)+(L26*MATERIALES!$C$21))*MATERIALES!$F$2</f>
        <v>1981.1937600000001</v>
      </c>
      <c r="N26" s="38">
        <f>(((4*2)*4)*MATERIALES!$C$145)+(4*MATERIALES!$C$146)+(((K26*2)+(L26*2))*MATERIALES!$C$165)</f>
        <v>452.54144000000002</v>
      </c>
      <c r="O26" s="75"/>
      <c r="P26" s="39">
        <f>(K26*L26)*MATERIALES!$D$82</f>
        <v>318.00000000000006</v>
      </c>
      <c r="Q26" s="38">
        <f t="shared" si="4"/>
        <v>2751.7352000000001</v>
      </c>
      <c r="R26" s="43">
        <f t="shared" si="5"/>
        <v>3799.8557600000004</v>
      </c>
    </row>
    <row r="27" spans="1:18" hidden="1">
      <c r="A27" s="42">
        <v>1.5</v>
      </c>
      <c r="B27" s="37">
        <v>0.6</v>
      </c>
      <c r="C27" s="38">
        <f>((((A27*2)+(B27*2))*MATERIALES!$C$18)+(((A27*2)+(B27*2))*MATERIALES!$C$11))*MATERIALES!$F$2</f>
        <v>1885.0104000000003</v>
      </c>
      <c r="D27" s="38">
        <f>(((4*2)*4)*MATERIALES!$C$145)+(4*MATERIALES!$C$146)+(((A27*2)+(B27*2))*MATERIALES!$C$165)</f>
        <v>461.07776000000007</v>
      </c>
      <c r="E27" s="75"/>
      <c r="F27" s="39">
        <f>(A27*B27)*MATERIALES!$D$82</f>
        <v>476.99999999999994</v>
      </c>
      <c r="G27" s="38">
        <f t="shared" si="0"/>
        <v>2823.0881600000002</v>
      </c>
      <c r="H27" s="43">
        <f t="shared" si="2"/>
        <v>4003.9146080000005</v>
      </c>
      <c r="K27" s="42">
        <v>1.5</v>
      </c>
      <c r="L27" s="37">
        <v>0.6</v>
      </c>
      <c r="M27" s="38">
        <f>((((K27*2)+(L27*2))*MATERIALES!$C$18)+(((K27*2)+(L27*2))*MATERIALES!$C$11)+((2*L27)*MATERIALES!$C$20)+(L27*MATERIALES!$C$21))*MATERIALES!$F$2</f>
        <v>2298.5726400000003</v>
      </c>
      <c r="N27" s="38">
        <f>(((4*2)*4)*MATERIALES!$C$145)+(4*MATERIALES!$C$146)+(((K27*2)+(L27*2))*MATERIALES!$C$165)</f>
        <v>461.07776000000007</v>
      </c>
      <c r="O27" s="75"/>
      <c r="P27" s="39">
        <f>(K27*L27)*MATERIALES!$D$82</f>
        <v>476.99999999999994</v>
      </c>
      <c r="Q27" s="38">
        <f t="shared" si="4"/>
        <v>3236.6504000000004</v>
      </c>
      <c r="R27" s="43">
        <f t="shared" si="5"/>
        <v>4541.5455200000006</v>
      </c>
    </row>
    <row r="28" spans="1:18" hidden="1">
      <c r="A28" s="42">
        <v>1.5</v>
      </c>
      <c r="B28" s="37">
        <v>0.8</v>
      </c>
      <c r="C28" s="38">
        <f>((((A28*2)+(B28*2))*MATERIALES!$C$18)+(((A28*2)+(B28*2))*MATERIALES!$C$11))*MATERIALES!$F$2</f>
        <v>2064.5351999999998</v>
      </c>
      <c r="D28" s="38">
        <f>(((4*2)*4)*MATERIALES!$C$145)+(4*MATERIALES!$C$146)+(((A28*2)+(B28*2))*MATERIALES!$C$165)</f>
        <v>469.61408000000006</v>
      </c>
      <c r="E28" s="75"/>
      <c r="F28" s="39">
        <f>(A28*B28)*MATERIALES!$D$82</f>
        <v>636.00000000000011</v>
      </c>
      <c r="G28" s="38">
        <f t="shared" si="0"/>
        <v>3170.1492799999996</v>
      </c>
      <c r="H28" s="43">
        <f t="shared" si="2"/>
        <v>4566.3940640000001</v>
      </c>
      <c r="K28" s="42">
        <v>1.5</v>
      </c>
      <c r="L28" s="37">
        <v>0.8</v>
      </c>
      <c r="M28" s="38">
        <f>((((K28*2)+(L28*2))*MATERIALES!$C$18)+(((K28*2)+(L28*2))*MATERIALES!$C$11)+((2*L28)*MATERIALES!$C$20)+(L28*MATERIALES!$C$21))*MATERIALES!$F$2</f>
        <v>2615.9515200000001</v>
      </c>
      <c r="N28" s="38">
        <f>(((4*2)*4)*MATERIALES!$C$145)+(4*MATERIALES!$C$146)+(((K28*2)+(L28*2))*MATERIALES!$C$165)</f>
        <v>469.61408000000006</v>
      </c>
      <c r="O28" s="75"/>
      <c r="P28" s="39">
        <f>(K28*L28)*MATERIALES!$D$82</f>
        <v>636.00000000000011</v>
      </c>
      <c r="Q28" s="38">
        <f t="shared" si="4"/>
        <v>3721.5655999999999</v>
      </c>
      <c r="R28" s="43">
        <f t="shared" si="5"/>
        <v>5283.2352799999999</v>
      </c>
    </row>
    <row r="29" spans="1:18" hidden="1">
      <c r="A29" s="42">
        <v>1.5</v>
      </c>
      <c r="B29" s="37">
        <v>1</v>
      </c>
      <c r="C29" s="38">
        <f>((((A29*2)+(B29*2))*MATERIALES!$C$18)+(((A29*2)+(B29*2))*MATERIALES!$C$11))*MATERIALES!$F$2</f>
        <v>2244.0600000000004</v>
      </c>
      <c r="D29" s="38">
        <f>(((4*2)*4)*MATERIALES!$C$145)+(4*MATERIALES!$C$146)+(((A29*2)+(B29*2))*MATERIALES!$C$165)</f>
        <v>478.15040000000005</v>
      </c>
      <c r="E29" s="75"/>
      <c r="F29" s="39">
        <f>(A29*B29)*MATERIALES!$D$82</f>
        <v>795</v>
      </c>
      <c r="G29" s="38">
        <f t="shared" si="0"/>
        <v>3517.2104000000004</v>
      </c>
      <c r="H29" s="43">
        <f t="shared" si="2"/>
        <v>5128.873520000001</v>
      </c>
      <c r="K29" s="42">
        <v>1.5</v>
      </c>
      <c r="L29" s="37">
        <v>1</v>
      </c>
      <c r="M29" s="38">
        <f>((((K29*2)+(L29*2))*MATERIALES!$C$18)+(((K29*2)+(L29*2))*MATERIALES!$C$11)+((2*L29)*MATERIALES!$C$20)+(L29*MATERIALES!$C$21))*MATERIALES!$F$2</f>
        <v>2933.3304000000003</v>
      </c>
      <c r="N29" s="38">
        <f>(((4*2)*4)*MATERIALES!$C$145)+(4*MATERIALES!$C$146)+(((K29*2)+(L29*2))*MATERIALES!$C$165)</f>
        <v>478.15040000000005</v>
      </c>
      <c r="O29" s="75"/>
      <c r="P29" s="39">
        <f>(K29*L29)*MATERIALES!$D$82</f>
        <v>795</v>
      </c>
      <c r="Q29" s="38">
        <f t="shared" si="4"/>
        <v>4206.4808000000003</v>
      </c>
      <c r="R29" s="43">
        <f t="shared" si="5"/>
        <v>6024.9250400000001</v>
      </c>
    </row>
    <row r="30" spans="1:18" hidden="1">
      <c r="A30" s="42">
        <v>1.5</v>
      </c>
      <c r="B30" s="37">
        <v>1.1000000000000001</v>
      </c>
      <c r="C30" s="38">
        <f>((((A30*2)+(B30*2))*MATERIALES!$C$18)+(((A30*2)+(B30*2))*MATERIALES!$C$11))*MATERIALES!$F$2</f>
        <v>2333.8224000000005</v>
      </c>
      <c r="D30" s="38">
        <f>(((4*2)*4)*MATERIALES!$C$145)+(4*MATERIALES!$C$146)+(((A30*2)+(B30*2))*MATERIALES!$C$165)</f>
        <v>482.41856000000007</v>
      </c>
      <c r="E30" s="75"/>
      <c r="F30" s="39">
        <f>(A30*B30)*MATERIALES!$D$82</f>
        <v>874.50000000000011</v>
      </c>
      <c r="G30" s="38">
        <f t="shared" si="0"/>
        <v>3690.7409600000005</v>
      </c>
      <c r="H30" s="43">
        <f t="shared" si="2"/>
        <v>5410.1132480000015</v>
      </c>
      <c r="K30" s="42">
        <v>1.5</v>
      </c>
      <c r="L30" s="37">
        <v>1.1000000000000001</v>
      </c>
      <c r="M30" s="38">
        <f>((((K30*2)+(L30*2))*MATERIALES!$C$18)+(((K30*2)+(L30*2))*MATERIALES!$C$11)+((2*L30)*MATERIALES!$C$20)+(L30*MATERIALES!$C$21))*MATERIALES!$F$2</f>
        <v>3092.0198399999999</v>
      </c>
      <c r="N30" s="38">
        <f>(((4*2)*4)*MATERIALES!$C$145)+(4*MATERIALES!$C$146)+(((K30*2)+(L30*2))*MATERIALES!$C$165)</f>
        <v>482.41856000000007</v>
      </c>
      <c r="O30" s="75"/>
      <c r="P30" s="39">
        <f>(K30*L30)*MATERIALES!$D$82</f>
        <v>874.50000000000011</v>
      </c>
      <c r="Q30" s="38">
        <f t="shared" si="4"/>
        <v>4448.9384</v>
      </c>
      <c r="R30" s="43">
        <f t="shared" si="5"/>
        <v>6395.7699199999997</v>
      </c>
    </row>
    <row r="31" spans="1:18" hidden="1">
      <c r="A31" s="42">
        <v>1.5</v>
      </c>
      <c r="B31" s="37">
        <v>1.2</v>
      </c>
      <c r="C31" s="38">
        <f>((((A31*2)+(B31*2))*MATERIALES!$C$18)+(((A31*2)+(B31*2))*MATERIALES!$C$11))*MATERIALES!$F$2</f>
        <v>2423.5848000000005</v>
      </c>
      <c r="D31" s="38">
        <f>(((4*2)*4)*MATERIALES!$C$145)+(4*MATERIALES!$C$146)+(((A31*2)+(B31*2))*MATERIALES!$C$165)</f>
        <v>486.68672000000004</v>
      </c>
      <c r="E31" s="75"/>
      <c r="F31" s="39">
        <f>(A31*B31)*MATERIALES!$D$82</f>
        <v>953.99999999999989</v>
      </c>
      <c r="G31" s="38">
        <f t="shared" si="0"/>
        <v>3864.2715200000007</v>
      </c>
      <c r="H31" s="43">
        <f t="shared" si="2"/>
        <v>5691.352976000001</v>
      </c>
      <c r="K31" s="42">
        <v>1.5</v>
      </c>
      <c r="L31" s="37">
        <v>1.2</v>
      </c>
      <c r="M31" s="38">
        <f>((((K31*2)+(L31*2))*MATERIALES!$C$18)+(((K31*2)+(L31*2))*MATERIALES!$C$11)+((2*L31)*MATERIALES!$C$20)+(L31*MATERIALES!$C$21))*MATERIALES!$F$2</f>
        <v>3250.7092800000009</v>
      </c>
      <c r="N31" s="38">
        <f>(((4*2)*4)*MATERIALES!$C$145)+(4*MATERIALES!$C$146)+(((K31*2)+(L31*2))*MATERIALES!$C$165)</f>
        <v>486.68672000000004</v>
      </c>
      <c r="O31" s="75"/>
      <c r="P31" s="39">
        <f>(K31*L31)*MATERIALES!$D$82</f>
        <v>953.99999999999989</v>
      </c>
      <c r="Q31" s="38">
        <f t="shared" si="4"/>
        <v>4691.3960000000006</v>
      </c>
      <c r="R31" s="43">
        <f t="shared" si="5"/>
        <v>6766.6148000000012</v>
      </c>
    </row>
    <row r="32" spans="1:18" hidden="1">
      <c r="A32" s="42">
        <v>1.5</v>
      </c>
      <c r="B32" s="37">
        <v>1.5</v>
      </c>
      <c r="C32" s="38">
        <f>((((A32*2)+(B32*2))*MATERIALES!$C$18)+(((A32*2)+(B32*2))*MATERIALES!$C$11))*MATERIALES!$F$2</f>
        <v>2692.8720000000003</v>
      </c>
      <c r="D32" s="38">
        <f>(((4*2)*4)*MATERIALES!$C$145)+(4*MATERIALES!$C$146)+(((A32*2)+(B32*2))*MATERIALES!$C$165)</f>
        <v>499.49120000000005</v>
      </c>
      <c r="E32" s="75"/>
      <c r="F32" s="39">
        <f>(A32*B32)*MATERIALES!$D$82</f>
        <v>1192.5</v>
      </c>
      <c r="G32" s="38">
        <f t="shared" si="0"/>
        <v>4384.8631999999998</v>
      </c>
      <c r="H32" s="43">
        <f t="shared" si="2"/>
        <v>6535.0721600000006</v>
      </c>
      <c r="K32" s="42">
        <v>1.5</v>
      </c>
      <c r="L32" s="37">
        <v>1.5</v>
      </c>
      <c r="M32" s="38">
        <f>((((K32*2)+(L32*2))*MATERIALES!$C$18)+(((K32*2)+(L32*2))*MATERIALES!$C$11)+((2*L32)*MATERIALES!$C$20)+(L32*MATERIALES!$C$21))*MATERIALES!$F$2</f>
        <v>3726.7775999999999</v>
      </c>
      <c r="N32" s="38">
        <f>(((4*2)*4)*MATERIALES!$C$145)+(4*MATERIALES!$C$146)+(((K32*2)+(L32*2))*MATERIALES!$C$165)</f>
        <v>499.49120000000005</v>
      </c>
      <c r="O32" s="75"/>
      <c r="P32" s="39">
        <f>(K32*L32)*MATERIALES!$D$82</f>
        <v>1192.5</v>
      </c>
      <c r="Q32" s="38">
        <f t="shared" si="4"/>
        <v>5418.7687999999998</v>
      </c>
      <c r="R32" s="43">
        <f t="shared" si="5"/>
        <v>7879.1494400000001</v>
      </c>
    </row>
    <row r="33" spans="1:18" hidden="1">
      <c r="A33" s="42">
        <v>1.5</v>
      </c>
      <c r="B33" s="37">
        <v>1.8</v>
      </c>
      <c r="C33" s="38">
        <f>((((A33*2)+(B33*2))*MATERIALES!$C$18)+(((A33*2)+(B33*2))*MATERIALES!$C$11))*MATERIALES!$F$2</f>
        <v>2962.1592000000001</v>
      </c>
      <c r="D33" s="38">
        <f>(((4*2)*4)*MATERIALES!$C$145)+(4*MATERIALES!$C$146)+(((A33*2)+(B33*2))*MATERIALES!$C$165)</f>
        <v>512.29568000000006</v>
      </c>
      <c r="E33" s="75"/>
      <c r="F33" s="39">
        <f>(A33*B33)*MATERIALES!$D$82</f>
        <v>1431</v>
      </c>
      <c r="G33" s="38">
        <f t="shared" si="0"/>
        <v>4905.4548800000002</v>
      </c>
      <c r="H33" s="43">
        <f t="shared" si="2"/>
        <v>7378.7913440000002</v>
      </c>
      <c r="K33" s="42">
        <v>1.5</v>
      </c>
      <c r="L33" s="37">
        <v>1.8</v>
      </c>
      <c r="M33" s="38">
        <f>((((K33*2)+(L33*2))*MATERIALES!$C$18)+(((K33*2)+(L33*2))*MATERIALES!$C$11)+((2*L33)*MATERIALES!$C$20)+(L33*MATERIALES!$C$21))*MATERIALES!$F$2</f>
        <v>4202.8459200000007</v>
      </c>
      <c r="N33" s="38">
        <f>(((4*2)*4)*MATERIALES!$C$145)+(4*MATERIALES!$C$146)+(((K33*2)+(L33*2))*MATERIALES!$C$165)</f>
        <v>512.29568000000006</v>
      </c>
      <c r="O33" s="75"/>
      <c r="P33" s="39">
        <f>(K33*L33)*MATERIALES!$D$82</f>
        <v>1431</v>
      </c>
      <c r="Q33" s="38">
        <f t="shared" si="4"/>
        <v>6146.1416000000008</v>
      </c>
      <c r="R33" s="43">
        <f t="shared" si="5"/>
        <v>8991.6840800000009</v>
      </c>
    </row>
    <row r="34" spans="1:18" hidden="1">
      <c r="A34" s="42">
        <v>1.8</v>
      </c>
      <c r="B34" s="37">
        <v>0.8</v>
      </c>
      <c r="C34" s="38">
        <f>((((A34*2)+(B34*2))*MATERIALES!$C$18)+(((A34*2)+(B34*2))*MATERIALES!$C$11))*MATERIALES!$F$2</f>
        <v>2333.8224000000005</v>
      </c>
      <c r="D34" s="38">
        <f>(((4*2)*4)*MATERIALES!$C$145)+(4*MATERIALES!$C$146)+(((A34*2)+(B34*2))*MATERIALES!$C$165)</f>
        <v>482.41856000000007</v>
      </c>
      <c r="E34" s="75"/>
      <c r="F34" s="39">
        <f>(A34*B34)*MATERIALES!$D$82</f>
        <v>763.2</v>
      </c>
      <c r="G34" s="38">
        <f t="shared" si="0"/>
        <v>3579.4409600000008</v>
      </c>
      <c r="H34" s="43">
        <f t="shared" si="2"/>
        <v>5187.5132480000011</v>
      </c>
      <c r="K34" s="42">
        <v>1.8</v>
      </c>
      <c r="L34" s="37">
        <v>0.8</v>
      </c>
      <c r="M34" s="38">
        <f>((((K34*2)+(L34*2))*MATERIALES!$C$18)+(((K34*2)+(L34*2))*MATERIALES!$C$11)+((2*L34)*MATERIALES!$C$20)+(L34*MATERIALES!$C$21))*MATERIALES!$F$2</f>
        <v>2885.2387200000007</v>
      </c>
      <c r="N34" s="38">
        <f>(((4*2)*4)*MATERIALES!$C$145)+(4*MATERIALES!$C$146)+(((K34*2)+(L34*2))*MATERIALES!$C$165)</f>
        <v>482.41856000000007</v>
      </c>
      <c r="O34" s="75"/>
      <c r="P34" s="39">
        <f>(K34*L34)*MATERIALES!$D$82</f>
        <v>763.2</v>
      </c>
      <c r="Q34" s="38">
        <f t="shared" si="4"/>
        <v>4130.8572800000011</v>
      </c>
      <c r="R34" s="43">
        <f t="shared" si="5"/>
        <v>5904.3544640000018</v>
      </c>
    </row>
    <row r="35" spans="1:18" hidden="1">
      <c r="A35" s="42">
        <v>1.8</v>
      </c>
      <c r="B35" s="37">
        <v>1</v>
      </c>
      <c r="C35" s="38">
        <f>((((A35*2)+(B35*2))*MATERIALES!$C$18)+(((A35*2)+(B35*2))*MATERIALES!$C$11))*MATERIALES!$F$2</f>
        <v>2513.3472000000002</v>
      </c>
      <c r="D35" s="38">
        <f>(((4*2)*4)*MATERIALES!$C$145)+(4*MATERIALES!$C$146)+(((A35*2)+(B35*2))*MATERIALES!$C$165)</f>
        <v>490.95488000000006</v>
      </c>
      <c r="E35" s="75"/>
      <c r="F35" s="39">
        <f>(A35*B35)*MATERIALES!$D$82</f>
        <v>954</v>
      </c>
      <c r="G35" s="38">
        <f t="shared" si="0"/>
        <v>3958.3020800000004</v>
      </c>
      <c r="H35" s="43">
        <f t="shared" si="2"/>
        <v>5813.5927040000006</v>
      </c>
      <c r="K35" s="42">
        <v>1.8</v>
      </c>
      <c r="L35" s="37">
        <v>1</v>
      </c>
      <c r="M35" s="38">
        <f>((((K35*2)+(L35*2))*MATERIALES!$C$18)+(((K35*2)+(L35*2))*MATERIALES!$C$11)+((2*L35)*MATERIALES!$C$20)+(L35*MATERIALES!$C$21))*MATERIALES!$F$2</f>
        <v>3202.6176</v>
      </c>
      <c r="N35" s="38">
        <f>(((4*2)*4)*MATERIALES!$C$145)+(4*MATERIALES!$C$146)+(((K35*2)+(L35*2))*MATERIALES!$C$165)</f>
        <v>490.95488000000006</v>
      </c>
      <c r="O35" s="75"/>
      <c r="P35" s="39">
        <f>(K35*L35)*MATERIALES!$D$82</f>
        <v>954</v>
      </c>
      <c r="Q35" s="38">
        <f t="shared" si="4"/>
        <v>4647.5724800000007</v>
      </c>
      <c r="R35" s="43">
        <f t="shared" si="5"/>
        <v>6709.6442240000006</v>
      </c>
    </row>
    <row r="36" spans="1:18" hidden="1">
      <c r="A36" s="42">
        <v>1.8</v>
      </c>
      <c r="B36" s="37">
        <v>1.1000000000000001</v>
      </c>
      <c r="C36" s="38">
        <f>((((A36*2)+(B36*2))*MATERIALES!$C$18)+(((A36*2)+(B36*2))*MATERIALES!$C$11))*MATERIALES!$F$2</f>
        <v>2603.1096000000007</v>
      </c>
      <c r="D36" s="38">
        <f>(((4*2)*4)*MATERIALES!$C$145)+(4*MATERIALES!$C$146)+(((A36*2)+(B36*2))*MATERIALES!$C$165)</f>
        <v>495.22304000000008</v>
      </c>
      <c r="E36" s="75"/>
      <c r="F36" s="39">
        <f>(A36*B36)*MATERIALES!$D$82</f>
        <v>1049.4000000000001</v>
      </c>
      <c r="G36" s="38">
        <f t="shared" si="0"/>
        <v>4147.7326400000002</v>
      </c>
      <c r="H36" s="43">
        <f t="shared" si="2"/>
        <v>6126.6324320000012</v>
      </c>
      <c r="K36" s="42">
        <v>1.8</v>
      </c>
      <c r="L36" s="37">
        <v>1.1000000000000001</v>
      </c>
      <c r="M36" s="38">
        <f>((((K36*2)+(L36*2))*MATERIALES!$C$18)+(((K36*2)+(L36*2))*MATERIALES!$C$11)+((2*L36)*MATERIALES!$C$20)+(L36*MATERIALES!$C$21))*MATERIALES!$F$2</f>
        <v>3361.3070400000006</v>
      </c>
      <c r="N36" s="38">
        <f>(((4*2)*4)*MATERIALES!$C$145)+(4*MATERIALES!$C$146)+(((K36*2)+(L36*2))*MATERIALES!$C$165)</f>
        <v>495.22304000000008</v>
      </c>
      <c r="O36" s="75"/>
      <c r="P36" s="39">
        <f>(K36*L36)*MATERIALES!$D$82</f>
        <v>1049.4000000000001</v>
      </c>
      <c r="Q36" s="38">
        <f t="shared" si="4"/>
        <v>4905.9300800000001</v>
      </c>
      <c r="R36" s="43">
        <f t="shared" si="5"/>
        <v>7112.2891040000013</v>
      </c>
    </row>
    <row r="37" spans="1:18" hidden="1">
      <c r="A37" s="42">
        <v>1.8</v>
      </c>
      <c r="B37" s="37">
        <v>1.2</v>
      </c>
      <c r="C37" s="38">
        <f>((((A37*2)+(B37*2))*MATERIALES!$C$18)+(((A37*2)+(B37*2))*MATERIALES!$C$11))*MATERIALES!$F$2</f>
        <v>2692.8720000000003</v>
      </c>
      <c r="D37" s="38">
        <f>(((4*2)*4)*MATERIALES!$C$145)+(4*MATERIALES!$C$146)+(((A37*2)+(B37*2))*MATERIALES!$C$165)</f>
        <v>499.49120000000005</v>
      </c>
      <c r="E37" s="75"/>
      <c r="F37" s="39">
        <f>(A37*B37)*MATERIALES!$D$82</f>
        <v>1144.8000000000002</v>
      </c>
      <c r="G37" s="38">
        <f t="shared" si="0"/>
        <v>4337.1632000000009</v>
      </c>
      <c r="H37" s="43">
        <f t="shared" si="2"/>
        <v>6439.672160000001</v>
      </c>
      <c r="K37" s="42">
        <v>1.8</v>
      </c>
      <c r="L37" s="37">
        <v>1.2</v>
      </c>
      <c r="M37" s="38">
        <f>((((K37*2)+(L37*2))*MATERIALES!$C$18)+(((K37*2)+(L37*2))*MATERIALES!$C$11)+((2*L37)*MATERIALES!$C$20)+(L37*MATERIALES!$C$21))*MATERIALES!$F$2</f>
        <v>3519.9964800000007</v>
      </c>
      <c r="N37" s="38">
        <f>(((4*2)*4)*MATERIALES!$C$145)+(4*MATERIALES!$C$146)+(((K37*2)+(L37*2))*MATERIALES!$C$165)</f>
        <v>499.49120000000005</v>
      </c>
      <c r="O37" s="75"/>
      <c r="P37" s="39">
        <f>(K37*L37)*MATERIALES!$D$82</f>
        <v>1144.8000000000002</v>
      </c>
      <c r="Q37" s="38">
        <f t="shared" si="4"/>
        <v>5164.2876800000013</v>
      </c>
      <c r="R37" s="43">
        <f t="shared" si="5"/>
        <v>7514.9339840000011</v>
      </c>
    </row>
    <row r="38" spans="1:18" hidden="1">
      <c r="A38" s="42">
        <v>1.8</v>
      </c>
      <c r="B38" s="37">
        <v>1.5</v>
      </c>
      <c r="C38" s="38">
        <f>((((A38*2)+(B38*2))*MATERIALES!$C$18)+(((A38*2)+(B38*2))*MATERIALES!$C$11))*MATERIALES!$F$2</f>
        <v>2962.1592000000001</v>
      </c>
      <c r="D38" s="38">
        <f>(((4*2)*4)*MATERIALES!$C$145)+(4*MATERIALES!$C$146)+(((A38*2)+(B38*2))*MATERIALES!$C$165)</f>
        <v>512.29568000000006</v>
      </c>
      <c r="E38" s="75"/>
      <c r="F38" s="39">
        <f>(A38*B38)*MATERIALES!$D$82</f>
        <v>1431</v>
      </c>
      <c r="G38" s="38">
        <f t="shared" si="0"/>
        <v>4905.4548800000002</v>
      </c>
      <c r="H38" s="43">
        <f t="shared" si="2"/>
        <v>7378.7913440000002</v>
      </c>
      <c r="K38" s="42">
        <v>1.8</v>
      </c>
      <c r="L38" s="37">
        <v>1.5</v>
      </c>
      <c r="M38" s="38">
        <f>((((K38*2)+(L38*2))*MATERIALES!$C$18)+(((K38*2)+(L38*2))*MATERIALES!$C$11)+((2*L38)*MATERIALES!$C$20)+(L38*MATERIALES!$C$21))*MATERIALES!$F$2</f>
        <v>3996.0647999999997</v>
      </c>
      <c r="N38" s="38">
        <f>(((4*2)*4)*MATERIALES!$C$145)+(4*MATERIALES!$C$146)+(((K38*2)+(L38*2))*MATERIALES!$C$165)</f>
        <v>512.29568000000006</v>
      </c>
      <c r="O38" s="75"/>
      <c r="P38" s="39">
        <f>(K38*L38)*MATERIALES!$D$82</f>
        <v>1431</v>
      </c>
      <c r="Q38" s="38">
        <f t="shared" si="4"/>
        <v>5939.3604799999994</v>
      </c>
      <c r="R38" s="43">
        <f t="shared" si="5"/>
        <v>8722.8686239999988</v>
      </c>
    </row>
    <row r="39" spans="1:18" hidden="1">
      <c r="A39" s="42">
        <v>1.8</v>
      </c>
      <c r="B39" s="37">
        <v>1.8</v>
      </c>
      <c r="C39" s="38">
        <f>((((A39*2)+(B39*2))*MATERIALES!$C$18)+(((A39*2)+(B39*2))*MATERIALES!$C$11))*MATERIALES!$F$2</f>
        <v>3231.4464000000003</v>
      </c>
      <c r="D39" s="38">
        <f>(((4*2)*4)*MATERIALES!$C$145)+(4*MATERIALES!$C$146)+(((A39*2)+(B39*2))*MATERIALES!$C$165)</f>
        <v>525.10016000000007</v>
      </c>
      <c r="E39" s="75"/>
      <c r="F39" s="39">
        <f>(A39*B39)*MATERIALES!$D$82</f>
        <v>1717.2</v>
      </c>
      <c r="G39" s="38">
        <f t="shared" si="0"/>
        <v>5473.7465600000005</v>
      </c>
      <c r="H39" s="43">
        <f t="shared" si="2"/>
        <v>8317.9105280000003</v>
      </c>
      <c r="K39" s="42">
        <v>1.8</v>
      </c>
      <c r="L39" s="37">
        <v>1.8</v>
      </c>
      <c r="M39" s="38">
        <f>((((K39*2)+(L39*2))*MATERIALES!$C$18)+(((K39*2)+(L39*2))*MATERIALES!$C$11)+((2*L39)*MATERIALES!$C$20)+(L39*MATERIALES!$C$21))*MATERIALES!$F$2</f>
        <v>4472.1331200000004</v>
      </c>
      <c r="N39" s="38">
        <f>(((4*2)*4)*MATERIALES!$C$145)+(4*MATERIALES!$C$146)+(((K39*2)+(L39*2))*MATERIALES!$C$165)</f>
        <v>525.10016000000007</v>
      </c>
      <c r="O39" s="75"/>
      <c r="P39" s="39">
        <f>(K39*L39)*MATERIALES!$D$82</f>
        <v>1717.2</v>
      </c>
      <c r="Q39" s="38">
        <f t="shared" si="4"/>
        <v>6714.4332800000002</v>
      </c>
      <c r="R39" s="43">
        <f t="shared" si="5"/>
        <v>9930.8032640000001</v>
      </c>
    </row>
    <row r="40" spans="1:18" hidden="1">
      <c r="A40" s="42">
        <v>2</v>
      </c>
      <c r="B40" s="37">
        <v>0.8</v>
      </c>
      <c r="C40" s="38">
        <f>((((A40*2)+(B40*2))*MATERIALES!$C$18)+(((A40*2)+(B40*2))*MATERIALES!$C$11))*MATERIALES!$F$2</f>
        <v>2513.3472000000002</v>
      </c>
      <c r="D40" s="38">
        <f>(((4*2)*4)*MATERIALES!$C$145)+(4*MATERIALES!$C$146)+(((A40*2)+(B40*2))*MATERIALES!$C$165)</f>
        <v>490.95488000000006</v>
      </c>
      <c r="E40" s="75"/>
      <c r="F40" s="39">
        <f>(A40*B40)*MATERIALES!$D$82</f>
        <v>848</v>
      </c>
      <c r="G40" s="38">
        <f t="shared" si="0"/>
        <v>3852.3020800000004</v>
      </c>
      <c r="H40" s="43">
        <f t="shared" si="2"/>
        <v>5601.5927040000006</v>
      </c>
      <c r="K40" s="42">
        <v>2</v>
      </c>
      <c r="L40" s="37">
        <v>0.8</v>
      </c>
      <c r="M40" s="38">
        <f>((((K40*2)+(L40*2))*MATERIALES!$C$18)+(((K40*2)+(L40*2))*MATERIALES!$C$11)+((2*L40)*MATERIALES!$C$20)+(L40*MATERIALES!$C$21))*MATERIALES!$F$2</f>
        <v>3064.7635200000004</v>
      </c>
      <c r="N40" s="38">
        <f>(((4*2)*4)*MATERIALES!$C$145)+(4*MATERIALES!$C$146)+(((K40*2)+(L40*2))*MATERIALES!$C$165)</f>
        <v>490.95488000000006</v>
      </c>
      <c r="O40" s="75"/>
      <c r="P40" s="39">
        <f>(K40*L40)*MATERIALES!$D$82</f>
        <v>848</v>
      </c>
      <c r="Q40" s="38">
        <f t="shared" si="4"/>
        <v>4403.7184000000007</v>
      </c>
      <c r="R40" s="43">
        <f t="shared" si="5"/>
        <v>6318.4339200000013</v>
      </c>
    </row>
    <row r="41" spans="1:18" hidden="1">
      <c r="A41" s="42">
        <v>2</v>
      </c>
      <c r="B41" s="37">
        <v>1</v>
      </c>
      <c r="C41" s="38">
        <f>((((A41*2)+(B41*2))*MATERIALES!$C$18)+(((A41*2)+(B41*2))*MATERIALES!$C$11))*MATERIALES!$F$2</f>
        <v>2692.8720000000003</v>
      </c>
      <c r="D41" s="38">
        <f>(((4*2)*4)*MATERIALES!$C$145)+(4*MATERIALES!$C$146)+(((A41*2)+(B41*2))*MATERIALES!$C$165)</f>
        <v>499.49120000000005</v>
      </c>
      <c r="E41" s="75"/>
      <c r="F41" s="39">
        <f>(A41*B41)*MATERIALES!$D$82</f>
        <v>1060</v>
      </c>
      <c r="G41" s="38">
        <f t="shared" si="0"/>
        <v>4252.3631999999998</v>
      </c>
      <c r="H41" s="43">
        <f t="shared" si="2"/>
        <v>6270.0721600000006</v>
      </c>
      <c r="K41" s="42">
        <v>2</v>
      </c>
      <c r="L41" s="37">
        <v>1</v>
      </c>
      <c r="M41" s="38">
        <f>((((K41*2)+(L41*2))*MATERIALES!$C$18)+(((K41*2)+(L41*2))*MATERIALES!$C$11)+((2*L41)*MATERIALES!$C$20)+(L41*MATERIALES!$C$21))*MATERIALES!$F$2</f>
        <v>3382.1424000000002</v>
      </c>
      <c r="N41" s="38">
        <f>(((4*2)*4)*MATERIALES!$C$145)+(4*MATERIALES!$C$146)+(((K41*2)+(L41*2))*MATERIALES!$C$165)</f>
        <v>499.49120000000005</v>
      </c>
      <c r="O41" s="75"/>
      <c r="P41" s="39">
        <f>(K41*L41)*MATERIALES!$D$82</f>
        <v>1060</v>
      </c>
      <c r="Q41" s="38">
        <f t="shared" si="4"/>
        <v>4941.6336000000001</v>
      </c>
      <c r="R41" s="43">
        <f t="shared" si="5"/>
        <v>7166.1236800000006</v>
      </c>
    </row>
    <row r="42" spans="1:18" hidden="1">
      <c r="A42" s="42">
        <v>2</v>
      </c>
      <c r="B42" s="37">
        <v>1.1000000000000001</v>
      </c>
      <c r="C42" s="38">
        <f>((((A42*2)+(B42*2))*MATERIALES!$C$18)+(((A42*2)+(B42*2))*MATERIALES!$C$11))*MATERIALES!$F$2</f>
        <v>2782.6343999999999</v>
      </c>
      <c r="D42" s="38">
        <f>(((4*2)*4)*MATERIALES!$C$145)+(4*MATERIALES!$C$146)+(((A42*2)+(B42*2))*MATERIALES!$C$165)</f>
        <v>503.75936000000002</v>
      </c>
      <c r="E42" s="75"/>
      <c r="F42" s="39">
        <f>(A42*B42)*MATERIALES!$D$82</f>
        <v>1166</v>
      </c>
      <c r="G42" s="38">
        <f t="shared" si="0"/>
        <v>4452.3937599999999</v>
      </c>
      <c r="H42" s="43">
        <f t="shared" si="2"/>
        <v>6604.3118880000002</v>
      </c>
      <c r="K42" s="42">
        <v>2</v>
      </c>
      <c r="L42" s="37">
        <v>1.1000000000000001</v>
      </c>
      <c r="M42" s="38">
        <f>((((K42*2)+(L42*2))*MATERIALES!$C$18)+(((K42*2)+(L42*2))*MATERIALES!$C$11)+((2*L42)*MATERIALES!$C$20)+(L42*MATERIALES!$C$21))*MATERIALES!$F$2</f>
        <v>3540.8318399999998</v>
      </c>
      <c r="N42" s="38">
        <f>(((4*2)*4)*MATERIALES!$C$145)+(4*MATERIALES!$C$146)+(((K42*2)+(L42*2))*MATERIALES!$C$165)</f>
        <v>503.75936000000002</v>
      </c>
      <c r="O42" s="75"/>
      <c r="P42" s="39">
        <f>(K42*L42)*MATERIALES!$D$82</f>
        <v>1166</v>
      </c>
      <c r="Q42" s="38">
        <f t="shared" si="4"/>
        <v>5210.5911999999998</v>
      </c>
      <c r="R42" s="43">
        <f t="shared" si="5"/>
        <v>7589.9685600000003</v>
      </c>
    </row>
    <row r="43" spans="1:18" hidden="1">
      <c r="A43" s="42">
        <v>2</v>
      </c>
      <c r="B43" s="37">
        <v>1.2</v>
      </c>
      <c r="C43" s="38">
        <f>((((A43*2)+(B43*2))*MATERIALES!$C$18)+(((A43*2)+(B43*2))*MATERIALES!$C$11))*MATERIALES!$F$2</f>
        <v>2872.3968000000004</v>
      </c>
      <c r="D43" s="38">
        <f>(((4*2)*4)*MATERIALES!$C$145)+(4*MATERIALES!$C$146)+(((A43*2)+(B43*2))*MATERIALES!$C$165)</f>
        <v>508.0275200000001</v>
      </c>
      <c r="E43" s="75"/>
      <c r="F43" s="39">
        <f>(A43*B43)*MATERIALES!$D$82</f>
        <v>1272</v>
      </c>
      <c r="G43" s="38">
        <f t="shared" si="0"/>
        <v>4652.4243200000001</v>
      </c>
      <c r="H43" s="43">
        <f t="shared" si="2"/>
        <v>6938.5516160000006</v>
      </c>
      <c r="K43" s="42">
        <v>2</v>
      </c>
      <c r="L43" s="37">
        <v>1.2</v>
      </c>
      <c r="M43" s="38">
        <f>((((K43*2)+(L43*2))*MATERIALES!$C$18)+(((K43*2)+(L43*2))*MATERIALES!$C$11)+((2*L43)*MATERIALES!$C$20)+(L43*MATERIALES!$C$21))*MATERIALES!$F$2</f>
        <v>3699.5212800000004</v>
      </c>
      <c r="N43" s="38">
        <f>(((4*2)*4)*MATERIALES!$C$145)+(4*MATERIALES!$C$146)+(((K43*2)+(L43*2))*MATERIALES!$C$165)</f>
        <v>508.0275200000001</v>
      </c>
      <c r="O43" s="75"/>
      <c r="P43" s="39">
        <f>(K43*L43)*MATERIALES!$D$82</f>
        <v>1272</v>
      </c>
      <c r="Q43" s="38">
        <f t="shared" si="4"/>
        <v>5479.5488000000005</v>
      </c>
      <c r="R43" s="43">
        <f t="shared" si="5"/>
        <v>8013.8134400000008</v>
      </c>
    </row>
    <row r="44" spans="1:18" hidden="1">
      <c r="A44" s="42">
        <v>2</v>
      </c>
      <c r="B44" s="37">
        <v>1.5</v>
      </c>
      <c r="C44" s="38">
        <f>((((A44*2)+(B44*2))*MATERIALES!$C$18)+(((A44*2)+(B44*2))*MATERIALES!$C$11))*MATERIALES!$F$2</f>
        <v>3141.6840000000002</v>
      </c>
      <c r="D44" s="38">
        <f>(((4*2)*4)*MATERIALES!$C$145)+(4*MATERIALES!$C$146)+(((A44*2)+(B44*2))*MATERIALES!$C$165)</f>
        <v>520.83200000000011</v>
      </c>
      <c r="E44" s="75"/>
      <c r="F44" s="39">
        <f>(A44*B44)*MATERIALES!$D$82</f>
        <v>1590</v>
      </c>
      <c r="G44" s="38">
        <f t="shared" si="0"/>
        <v>5252.5160000000005</v>
      </c>
      <c r="H44" s="43">
        <f t="shared" si="2"/>
        <v>7941.2708000000011</v>
      </c>
      <c r="K44" s="42">
        <v>2</v>
      </c>
      <c r="L44" s="37">
        <v>1.5</v>
      </c>
      <c r="M44" s="38">
        <f>((((K44*2)+(L44*2))*MATERIALES!$C$18)+(((K44*2)+(L44*2))*MATERIALES!$C$11)+((2*L44)*MATERIALES!$C$20)+(L44*MATERIALES!$C$21))*MATERIALES!$F$2</f>
        <v>4175.5896000000002</v>
      </c>
      <c r="N44" s="38">
        <f>(((4*2)*4)*MATERIALES!$C$145)+(4*MATERIALES!$C$146)+(((K44*2)+(L44*2))*MATERIALES!$C$165)</f>
        <v>520.83200000000011</v>
      </c>
      <c r="O44" s="75"/>
      <c r="P44" s="39">
        <f>(K44*L44)*MATERIALES!$D$82</f>
        <v>1590</v>
      </c>
      <c r="Q44" s="38">
        <f t="shared" si="4"/>
        <v>6286.4216000000006</v>
      </c>
      <c r="R44" s="43">
        <f t="shared" si="5"/>
        <v>9285.3480799999998</v>
      </c>
    </row>
    <row r="45" spans="1:18" hidden="1">
      <c r="A45" s="42">
        <v>2</v>
      </c>
      <c r="B45" s="37">
        <v>1.8</v>
      </c>
      <c r="C45" s="38">
        <f>((((A45*2)+(B45*2))*MATERIALES!$C$18)+(((A45*2)+(B45*2))*MATERIALES!$C$11))*MATERIALES!$F$2</f>
        <v>3410.9712</v>
      </c>
      <c r="D45" s="38">
        <f>(((4*2)*4)*MATERIALES!$C$145)+(4*MATERIALES!$C$146)+(((A45*2)+(B45*2))*MATERIALES!$C$165)</f>
        <v>533.63648000000001</v>
      </c>
      <c r="E45" s="75"/>
      <c r="F45" s="39">
        <f>(A45*B45)*MATERIALES!$D$82</f>
        <v>1908</v>
      </c>
      <c r="G45" s="38">
        <f t="shared" si="0"/>
        <v>5852.6076800000001</v>
      </c>
      <c r="H45" s="43">
        <f t="shared" si="2"/>
        <v>8943.9899839999998</v>
      </c>
      <c r="K45" s="42">
        <v>2</v>
      </c>
      <c r="L45" s="37">
        <v>1.8</v>
      </c>
      <c r="M45" s="38">
        <f>((((K45*2)+(L45*2))*MATERIALES!$C$18)+(((K45*2)+(L45*2))*MATERIALES!$C$11)+((2*L45)*MATERIALES!$C$20)+(L45*MATERIALES!$C$21))*MATERIALES!$F$2</f>
        <v>4651.6579200000006</v>
      </c>
      <c r="N45" s="38">
        <f>(((4*2)*4)*MATERIALES!$C$145)+(4*MATERIALES!$C$146)+(((K45*2)+(L45*2))*MATERIALES!$C$165)</f>
        <v>533.63648000000001</v>
      </c>
      <c r="O45" s="75"/>
      <c r="P45" s="39">
        <f>(K45*L45)*MATERIALES!$D$82</f>
        <v>1908</v>
      </c>
      <c r="Q45" s="38">
        <f t="shared" si="4"/>
        <v>7093.2944000000007</v>
      </c>
      <c r="R45" s="43">
        <f t="shared" si="5"/>
        <v>10556.882720000001</v>
      </c>
    </row>
    <row r="46" spans="1:18" hidden="1">
      <c r="A46" s="42">
        <v>2.2000000000000002</v>
      </c>
      <c r="B46" s="37">
        <v>0.4</v>
      </c>
      <c r="C46" s="38">
        <f>((((A46*2)+(B46*2))*MATERIALES!$C$18)+(((A46*2)+(B46*2))*MATERIALES!$C$11))*MATERIALES!$F$2</f>
        <v>2333.8224000000005</v>
      </c>
      <c r="D46" s="38">
        <f>(((4*2)*4)*MATERIALES!$C$145)+(4*MATERIALES!$C$146)+(((A46*2)+(B46*2))*MATERIALES!$C$165)</f>
        <v>482.41856000000007</v>
      </c>
      <c r="E46" s="75"/>
      <c r="F46" s="39">
        <f>(A46*B46)*MATERIALES!$D$82</f>
        <v>466.40000000000003</v>
      </c>
      <c r="G46" s="38">
        <f t="shared" si="0"/>
        <v>3282.6409600000006</v>
      </c>
      <c r="H46" s="43">
        <f t="shared" si="2"/>
        <v>4593.9132480000007</v>
      </c>
      <c r="K46" s="42">
        <v>2.2000000000000002</v>
      </c>
      <c r="L46" s="37">
        <v>0.4</v>
      </c>
      <c r="M46" s="38">
        <f>((((K46*2)+(L46*2))*MATERIALES!$C$18)+(((K46*2)+(L46*2))*MATERIALES!$C$11)+((2*L46)*MATERIALES!$C$20)+(L46*MATERIALES!$C$21))*MATERIALES!$F$2</f>
        <v>2609.5305600000006</v>
      </c>
      <c r="N46" s="38">
        <f>(((4*2)*4)*MATERIALES!$C$145)+(4*MATERIALES!$C$146)+(((K46*2)+(L46*2))*MATERIALES!$C$165)</f>
        <v>482.41856000000007</v>
      </c>
      <c r="O46" s="75"/>
      <c r="P46" s="39">
        <f>(K46*L46)*MATERIALES!$D$82</f>
        <v>466.40000000000003</v>
      </c>
      <c r="Q46" s="38">
        <f t="shared" si="4"/>
        <v>3558.3491200000008</v>
      </c>
      <c r="R46" s="43">
        <f t="shared" si="5"/>
        <v>4952.3338560000011</v>
      </c>
    </row>
    <row r="47" spans="1:18" hidden="1">
      <c r="A47" s="42">
        <v>2.2000000000000002</v>
      </c>
      <c r="B47" s="37">
        <v>0.6</v>
      </c>
      <c r="C47" s="38">
        <f>((((A47*2)+(B47*2))*MATERIALES!$C$18)+(((A47*2)+(B47*2))*MATERIALES!$C$11))*MATERIALES!$F$2</f>
        <v>2513.3472000000006</v>
      </c>
      <c r="D47" s="38">
        <f>(((4*2)*4)*MATERIALES!$C$145)+(4*MATERIALES!$C$146)+(((A47*2)+(B47*2))*MATERIALES!$C$165)</f>
        <v>490.95488000000006</v>
      </c>
      <c r="E47" s="75"/>
      <c r="F47" s="39">
        <f>(A47*B47)*MATERIALES!$D$82</f>
        <v>699.6</v>
      </c>
      <c r="G47" s="38">
        <f t="shared" si="0"/>
        <v>3703.9020800000008</v>
      </c>
      <c r="H47" s="43">
        <f t="shared" si="2"/>
        <v>5304.7927040000013</v>
      </c>
      <c r="K47" s="42">
        <v>2.2000000000000002</v>
      </c>
      <c r="L47" s="37">
        <v>0.6</v>
      </c>
      <c r="M47" s="38">
        <f>((((K47*2)+(L47*2))*MATERIALES!$C$18)+(((K47*2)+(L47*2))*MATERIALES!$C$11)+((2*L47)*MATERIALES!$C$20)+(L47*MATERIALES!$C$21))*MATERIALES!$F$2</f>
        <v>2926.9094400000008</v>
      </c>
      <c r="N47" s="38">
        <f>(((4*2)*4)*MATERIALES!$C$145)+(4*MATERIALES!$C$146)+(((K47*2)+(L47*2))*MATERIALES!$C$165)</f>
        <v>490.95488000000006</v>
      </c>
      <c r="O47" s="75"/>
      <c r="P47" s="39">
        <f>(K47*L47)*MATERIALES!$D$82</f>
        <v>699.6</v>
      </c>
      <c r="Q47" s="38">
        <f t="shared" si="4"/>
        <v>4117.464320000001</v>
      </c>
      <c r="R47" s="43">
        <f t="shared" si="5"/>
        <v>5842.4236160000009</v>
      </c>
    </row>
    <row r="48" spans="1:18" hidden="1">
      <c r="A48" s="42">
        <v>2.2000000000000002</v>
      </c>
      <c r="B48" s="37">
        <v>0.8</v>
      </c>
      <c r="C48" s="38">
        <f>((((A48*2)+(B48*2))*MATERIALES!$C$18)+(((A48*2)+(B48*2))*MATERIALES!$C$11))*MATERIALES!$F$2</f>
        <v>2692.8720000000003</v>
      </c>
      <c r="D48" s="38">
        <f>(((4*2)*4)*MATERIALES!$C$145)+(4*MATERIALES!$C$146)+(((A48*2)+(B48*2))*MATERIALES!$C$165)</f>
        <v>499.49120000000005</v>
      </c>
      <c r="E48" s="75"/>
      <c r="F48" s="39">
        <f>(A48*B48)*MATERIALES!$D$82</f>
        <v>932.80000000000007</v>
      </c>
      <c r="G48" s="38">
        <f t="shared" si="0"/>
        <v>4125.1632</v>
      </c>
      <c r="H48" s="43">
        <f t="shared" si="2"/>
        <v>6015.672160000001</v>
      </c>
      <c r="K48" s="42">
        <v>2.2000000000000002</v>
      </c>
      <c r="L48" s="37">
        <v>0.8</v>
      </c>
      <c r="M48" s="38">
        <f>((((K48*2)+(L48*2))*MATERIALES!$C$18)+(((K48*2)+(L48*2))*MATERIALES!$C$11)+((2*L48)*MATERIALES!$C$20)+(L48*MATERIALES!$C$21))*MATERIALES!$F$2</f>
        <v>3244.288320000001</v>
      </c>
      <c r="N48" s="38">
        <f>(((4*2)*4)*MATERIALES!$C$145)+(4*MATERIALES!$C$146)+(((K48*2)+(L48*2))*MATERIALES!$C$165)</f>
        <v>499.49120000000005</v>
      </c>
      <c r="O48" s="75"/>
      <c r="P48" s="39">
        <f>(K48*L48)*MATERIALES!$D$82</f>
        <v>932.80000000000007</v>
      </c>
      <c r="Q48" s="38">
        <f t="shared" si="4"/>
        <v>4676.5795200000011</v>
      </c>
      <c r="R48" s="43">
        <f t="shared" si="5"/>
        <v>6732.5133760000017</v>
      </c>
    </row>
    <row r="49" spans="1:18" hidden="1">
      <c r="A49" s="42">
        <v>2.2000000000000002</v>
      </c>
      <c r="B49" s="37">
        <v>1</v>
      </c>
      <c r="C49" s="38">
        <f>((((A49*2)+(B49*2))*MATERIALES!$C$18)+(((A49*2)+(B49*2))*MATERIALES!$C$11))*MATERIALES!$F$2</f>
        <v>2872.3968000000004</v>
      </c>
      <c r="D49" s="38">
        <f>(((4*2)*4)*MATERIALES!$C$145)+(4*MATERIALES!$C$146)+(((A49*2)+(B49*2))*MATERIALES!$C$165)</f>
        <v>508.0275200000001</v>
      </c>
      <c r="E49" s="75"/>
      <c r="F49" s="39">
        <f>(A49*B49)*MATERIALES!$D$82</f>
        <v>1166</v>
      </c>
      <c r="G49" s="38">
        <f t="shared" si="0"/>
        <v>4546.4243200000001</v>
      </c>
      <c r="H49" s="43">
        <f t="shared" si="2"/>
        <v>6726.5516160000006</v>
      </c>
      <c r="K49" s="42">
        <v>2.2000000000000002</v>
      </c>
      <c r="L49" s="37">
        <v>1</v>
      </c>
      <c r="M49" s="38">
        <f>((((K49*2)+(L49*2))*MATERIALES!$C$18)+(((K49*2)+(L49*2))*MATERIALES!$C$11)+((2*L49)*MATERIALES!$C$20)+(L49*MATERIALES!$C$21))*MATERIALES!$F$2</f>
        <v>3561.6672000000003</v>
      </c>
      <c r="N49" s="38">
        <f>(((4*2)*4)*MATERIALES!$C$145)+(4*MATERIALES!$C$146)+(((K49*2)+(L49*2))*MATERIALES!$C$165)</f>
        <v>508.0275200000001</v>
      </c>
      <c r="O49" s="75"/>
      <c r="P49" s="39">
        <f>(K49*L49)*MATERIALES!$D$82</f>
        <v>1166</v>
      </c>
      <c r="Q49" s="38">
        <f t="shared" si="4"/>
        <v>5235.6947200000004</v>
      </c>
      <c r="R49" s="43">
        <f t="shared" si="5"/>
        <v>7622.6031360000006</v>
      </c>
    </row>
    <row r="50" spans="1:18" hidden="1">
      <c r="A50" s="42">
        <v>2.2000000000000002</v>
      </c>
      <c r="B50" s="37">
        <v>1.2</v>
      </c>
      <c r="C50" s="38">
        <f>((((A50*2)+(B50*2))*MATERIALES!$C$18)+(((A50*2)+(B50*2))*MATERIALES!$C$11))*MATERIALES!$F$2</f>
        <v>3051.9216000000006</v>
      </c>
      <c r="D50" s="38">
        <f>(((4*2)*4)*MATERIALES!$C$145)+(4*MATERIALES!$C$146)+(((A50*2)+(B50*2))*MATERIALES!$C$165)</f>
        <v>516.56384000000003</v>
      </c>
      <c r="E50" s="75"/>
      <c r="F50" s="39">
        <f>(A50*B50)*MATERIALES!$D$82</f>
        <v>1399.2</v>
      </c>
      <c r="G50" s="38">
        <f t="shared" si="0"/>
        <v>4967.6854400000002</v>
      </c>
      <c r="H50" s="43">
        <f t="shared" si="2"/>
        <v>7437.4310720000012</v>
      </c>
      <c r="K50" s="42">
        <v>2.2000000000000002</v>
      </c>
      <c r="L50" s="37">
        <v>1.2</v>
      </c>
      <c r="M50" s="38">
        <f>((((K50*2)+(L50*2))*MATERIALES!$C$18)+(((K50*2)+(L50*2))*MATERIALES!$C$11)+((2*L50)*MATERIALES!$C$20)+(L50*MATERIALES!$C$21))*MATERIALES!$F$2</f>
        <v>3879.046080000001</v>
      </c>
      <c r="N50" s="38">
        <f>(((4*2)*4)*MATERIALES!$C$145)+(4*MATERIALES!$C$146)+(((K50*2)+(L50*2))*MATERIALES!$C$165)</f>
        <v>516.56384000000003</v>
      </c>
      <c r="O50" s="75"/>
      <c r="P50" s="39">
        <f>(K50*L50)*MATERIALES!$D$82</f>
        <v>1399.2</v>
      </c>
      <c r="Q50" s="38">
        <f t="shared" si="4"/>
        <v>5794.8099200000006</v>
      </c>
      <c r="R50" s="43">
        <f t="shared" si="5"/>
        <v>8512.6928960000005</v>
      </c>
    </row>
    <row r="51" spans="1:18" hidden="1">
      <c r="A51" s="42">
        <v>2.2000000000000002</v>
      </c>
      <c r="B51" s="37">
        <v>1.5</v>
      </c>
      <c r="C51" s="38">
        <f>((((A51*2)+(B51*2))*MATERIALES!$C$18)+(((A51*2)+(B51*2))*MATERIALES!$C$11))*MATERIALES!$F$2</f>
        <v>3321.2088000000008</v>
      </c>
      <c r="D51" s="38">
        <f>(((4*2)*4)*MATERIALES!$C$145)+(4*MATERIALES!$C$146)+(((A51*2)+(B51*2))*MATERIALES!$C$165)</f>
        <v>529.36832000000004</v>
      </c>
      <c r="E51" s="75"/>
      <c r="F51" s="39">
        <f>(A51*B51)*MATERIALES!$D$82</f>
        <v>1749.0000000000002</v>
      </c>
      <c r="G51" s="38">
        <f t="shared" si="0"/>
        <v>5599.5771200000008</v>
      </c>
      <c r="H51" s="43">
        <f t="shared" si="2"/>
        <v>8503.7502560000012</v>
      </c>
      <c r="K51" s="42">
        <v>2.2000000000000002</v>
      </c>
      <c r="L51" s="37">
        <v>1.5</v>
      </c>
      <c r="M51" s="38">
        <f>((((K51*2)+(L51*2))*MATERIALES!$C$18)+(((K51*2)+(L51*2))*MATERIALES!$C$11)+((2*L51)*MATERIALES!$C$20)+(L51*MATERIALES!$C$21))*MATERIALES!$F$2</f>
        <v>4355.1144000000013</v>
      </c>
      <c r="N51" s="38">
        <f>(((4*2)*4)*MATERIALES!$C$145)+(4*MATERIALES!$C$146)+(((K51*2)+(L51*2))*MATERIALES!$C$165)</f>
        <v>529.36832000000004</v>
      </c>
      <c r="O51" s="75"/>
      <c r="P51" s="39">
        <f>(K51*L51)*MATERIALES!$D$82</f>
        <v>1749.0000000000002</v>
      </c>
      <c r="Q51" s="38">
        <f t="shared" si="4"/>
        <v>6633.4827200000018</v>
      </c>
      <c r="R51" s="43">
        <f t="shared" si="5"/>
        <v>9847.8275360000025</v>
      </c>
    </row>
    <row r="52" spans="1:18" hidden="1">
      <c r="A52" s="42">
        <v>2.2000000000000002</v>
      </c>
      <c r="B52" s="37">
        <v>1.8</v>
      </c>
      <c r="C52" s="38">
        <f>((((A52*2)+(B52*2))*MATERIALES!$C$18)+(((A52*2)+(B52*2))*MATERIALES!$C$11))*MATERIALES!$F$2</f>
        <v>3590.4960000000005</v>
      </c>
      <c r="D52" s="38">
        <f>(((4*2)*4)*MATERIALES!$C$145)+(4*MATERIALES!$C$146)+(((A52*2)+(B52*2))*MATERIALES!$C$165)</f>
        <v>542.17280000000005</v>
      </c>
      <c r="E52" s="75"/>
      <c r="F52" s="39">
        <f>(A52*B52)*MATERIALES!$D$82</f>
        <v>2098.8000000000002</v>
      </c>
      <c r="G52" s="38">
        <f t="shared" si="0"/>
        <v>6231.4688000000006</v>
      </c>
      <c r="H52" s="43">
        <f t="shared" si="2"/>
        <v>9570.0694400000011</v>
      </c>
      <c r="K52" s="42">
        <v>2.2000000000000002</v>
      </c>
      <c r="L52" s="37">
        <v>1.8</v>
      </c>
      <c r="M52" s="38">
        <f>((((K52*2)+(L52*2))*MATERIALES!$C$18)+(((K52*2)+(L52*2))*MATERIALES!$C$11)+((2*L52)*MATERIALES!$C$20)+(L52*MATERIALES!$C$21))*MATERIALES!$F$2</f>
        <v>4831.1827200000007</v>
      </c>
      <c r="N52" s="38">
        <f>(((4*2)*4)*MATERIALES!$C$145)+(4*MATERIALES!$C$146)+(((K52*2)+(L52*2))*MATERIALES!$C$165)</f>
        <v>542.17280000000005</v>
      </c>
      <c r="O52" s="75"/>
      <c r="P52" s="39">
        <f>(K52*L52)*MATERIALES!$D$82</f>
        <v>2098.8000000000002</v>
      </c>
      <c r="Q52" s="38">
        <f t="shared" si="4"/>
        <v>7472.1555200000012</v>
      </c>
      <c r="R52" s="43">
        <f t="shared" si="5"/>
        <v>11182.962176000001</v>
      </c>
    </row>
    <row r="53" spans="1:18" hidden="1">
      <c r="A53" s="42">
        <v>2.4</v>
      </c>
      <c r="B53" s="37">
        <v>0.4</v>
      </c>
      <c r="C53" s="38">
        <f>((((A53*2)+(B53*2))*MATERIALES!$C$18)+(((A53*2)+(B53*2))*MATERIALES!$C$11))*MATERIALES!$F$2</f>
        <v>2513.3472000000002</v>
      </c>
      <c r="D53" s="38">
        <f>(((4*2)*4)*MATERIALES!$C$145)+(4*MATERIALES!$C$146)+(((A53*2)+(B53*2))*MATERIALES!$C$165)</f>
        <v>490.95488000000006</v>
      </c>
      <c r="E53" s="75"/>
      <c r="F53" s="39">
        <f>(A53*B53)*MATERIALES!$D$82</f>
        <v>508.79999999999995</v>
      </c>
      <c r="G53" s="38">
        <f t="shared" si="0"/>
        <v>3513.1020800000006</v>
      </c>
      <c r="H53" s="43">
        <f t="shared" si="2"/>
        <v>4923.192704000001</v>
      </c>
      <c r="K53" s="42">
        <v>2.4</v>
      </c>
      <c r="L53" s="37">
        <v>0.4</v>
      </c>
      <c r="M53" s="38">
        <f>((((K53*2)+(L53*2))*MATERIALES!$C$18)+(((K53*2)+(L53*2))*MATERIALES!$C$11)+((2*L53)*MATERIALES!$C$20)+(L53*MATERIALES!$C$21))*MATERIALES!$F$2</f>
        <v>2789.0553600000003</v>
      </c>
      <c r="N53" s="38">
        <f>(((4*2)*4)*MATERIALES!$C$145)+(4*MATERIALES!$C$146)+(((K53*2)+(L53*2))*MATERIALES!$C$165)</f>
        <v>490.95488000000006</v>
      </c>
      <c r="O53" s="75"/>
      <c r="P53" s="39">
        <f>(K53*L53)*MATERIALES!$D$82</f>
        <v>508.79999999999995</v>
      </c>
      <c r="Q53" s="38">
        <f t="shared" si="4"/>
        <v>3788.8102400000007</v>
      </c>
      <c r="R53" s="43">
        <f t="shared" si="5"/>
        <v>5281.6133120000013</v>
      </c>
    </row>
    <row r="54" spans="1:18" hidden="1">
      <c r="A54" s="42">
        <v>2.4</v>
      </c>
      <c r="B54" s="37">
        <v>0.6</v>
      </c>
      <c r="C54" s="38">
        <f>((((A54*2)+(B54*2))*MATERIALES!$C$18)+(((A54*2)+(B54*2))*MATERIALES!$C$11))*MATERIALES!$F$2</f>
        <v>2692.8720000000003</v>
      </c>
      <c r="D54" s="38">
        <f>(((4*2)*4)*MATERIALES!$C$145)+(4*MATERIALES!$C$146)+(((A54*2)+(B54*2))*MATERIALES!$C$165)</f>
        <v>499.49120000000005</v>
      </c>
      <c r="E54" s="75"/>
      <c r="F54" s="39">
        <f>(A54*B54)*MATERIALES!$D$82</f>
        <v>763.19999999999993</v>
      </c>
      <c r="G54" s="38">
        <f t="shared" si="0"/>
        <v>3955.5632000000001</v>
      </c>
      <c r="H54" s="43">
        <f t="shared" si="2"/>
        <v>5676.4721600000003</v>
      </c>
      <c r="K54" s="42">
        <v>2.4</v>
      </c>
      <c r="L54" s="37">
        <v>0.6</v>
      </c>
      <c r="M54" s="38">
        <f>((((K54*2)+(L54*2))*MATERIALES!$C$18)+(((K54*2)+(L54*2))*MATERIALES!$C$11)+((2*L54)*MATERIALES!$C$20)+(L54*MATERIALES!$C$21))*MATERIALES!$F$2</f>
        <v>3106.43424</v>
      </c>
      <c r="N54" s="38">
        <f>(((4*2)*4)*MATERIALES!$C$145)+(4*MATERIALES!$C$146)+(((K54*2)+(L54*2))*MATERIALES!$C$165)</f>
        <v>499.49120000000005</v>
      </c>
      <c r="O54" s="75"/>
      <c r="P54" s="39">
        <f>(K54*L54)*MATERIALES!$D$82</f>
        <v>763.19999999999993</v>
      </c>
      <c r="Q54" s="38">
        <f t="shared" si="4"/>
        <v>4369.1254399999998</v>
      </c>
      <c r="R54" s="43">
        <f t="shared" si="5"/>
        <v>6214.1030719999999</v>
      </c>
    </row>
    <row r="55" spans="1:18" hidden="1">
      <c r="A55" s="42">
        <v>2.4</v>
      </c>
      <c r="B55" s="37">
        <v>0.8</v>
      </c>
      <c r="C55" s="38">
        <f>((((A55*2)+(B55*2))*MATERIALES!$C$18)+(((A55*2)+(B55*2))*MATERIALES!$C$11))*MATERIALES!$F$2</f>
        <v>2872.3968000000004</v>
      </c>
      <c r="D55" s="38">
        <f>(((4*2)*4)*MATERIALES!$C$145)+(4*MATERIALES!$C$146)+(((A55*2)+(B55*2))*MATERIALES!$C$165)</f>
        <v>508.0275200000001</v>
      </c>
      <c r="E55" s="75"/>
      <c r="F55" s="39">
        <f>(A55*B55)*MATERIALES!$D$82</f>
        <v>1017.5999999999999</v>
      </c>
      <c r="G55" s="38">
        <f t="shared" si="0"/>
        <v>4398.0243200000004</v>
      </c>
      <c r="H55" s="43">
        <f t="shared" si="2"/>
        <v>6429.7516160000005</v>
      </c>
      <c r="K55" s="42">
        <v>2.4</v>
      </c>
      <c r="L55" s="37">
        <v>0.8</v>
      </c>
      <c r="M55" s="38">
        <f>((((K55*2)+(L55*2))*MATERIALES!$C$18)+(((K55*2)+(L55*2))*MATERIALES!$C$11)+((2*L55)*MATERIALES!$C$20)+(L55*MATERIALES!$C$21))*MATERIALES!$F$2</f>
        <v>3423.8131200000007</v>
      </c>
      <c r="N55" s="38">
        <f>(((4*2)*4)*MATERIALES!$C$145)+(4*MATERIALES!$C$146)+(((K55*2)+(L55*2))*MATERIALES!$C$165)</f>
        <v>508.0275200000001</v>
      </c>
      <c r="O55" s="75"/>
      <c r="P55" s="39">
        <f>(K55*L55)*MATERIALES!$D$82</f>
        <v>1017.5999999999999</v>
      </c>
      <c r="Q55" s="38">
        <f t="shared" si="4"/>
        <v>4949.4406400000007</v>
      </c>
      <c r="R55" s="43">
        <f t="shared" si="5"/>
        <v>7146.5928320000012</v>
      </c>
    </row>
    <row r="56" spans="1:18" hidden="1">
      <c r="A56" s="42">
        <v>2.4</v>
      </c>
      <c r="B56" s="37">
        <v>1</v>
      </c>
      <c r="C56" s="38">
        <f>((((A56*2)+(B56*2))*MATERIALES!$C$18)+(((A56*2)+(B56*2))*MATERIALES!$C$11))*MATERIALES!$F$2</f>
        <v>3051.9215999999997</v>
      </c>
      <c r="D56" s="38">
        <f>(((4*2)*4)*MATERIALES!$C$145)+(4*MATERIALES!$C$146)+(((A56*2)+(B56*2))*MATERIALES!$C$165)</f>
        <v>516.56384000000003</v>
      </c>
      <c r="E56" s="75"/>
      <c r="F56" s="39">
        <f>(A56*B56)*MATERIALES!$D$82</f>
        <v>1272</v>
      </c>
      <c r="G56" s="38">
        <f t="shared" si="0"/>
        <v>4840.4854399999995</v>
      </c>
      <c r="H56" s="43">
        <f t="shared" si="2"/>
        <v>7183.0310719999998</v>
      </c>
      <c r="K56" s="42">
        <v>2.4</v>
      </c>
      <c r="L56" s="37">
        <v>1</v>
      </c>
      <c r="M56" s="38">
        <f>((((K56*2)+(L56*2))*MATERIALES!$C$18)+(((K56*2)+(L56*2))*MATERIALES!$C$11)+((2*L56)*MATERIALES!$C$20)+(L56*MATERIALES!$C$21))*MATERIALES!$F$2</f>
        <v>3741.1919999999996</v>
      </c>
      <c r="N56" s="38">
        <f>(((4*2)*4)*MATERIALES!$C$145)+(4*MATERIALES!$C$146)+(((K56*2)+(L56*2))*MATERIALES!$C$165)</f>
        <v>516.56384000000003</v>
      </c>
      <c r="O56" s="75"/>
      <c r="P56" s="39">
        <f>(K56*L56)*MATERIALES!$D$82</f>
        <v>1272</v>
      </c>
      <c r="Q56" s="38">
        <f t="shared" si="4"/>
        <v>5529.7558399999998</v>
      </c>
      <c r="R56" s="43">
        <f t="shared" si="5"/>
        <v>8079.0825919999997</v>
      </c>
    </row>
    <row r="57" spans="1:18" hidden="1">
      <c r="A57" s="42">
        <v>2.4</v>
      </c>
      <c r="B57" s="37">
        <v>1.2</v>
      </c>
      <c r="C57" s="38">
        <f>((((A57*2)+(B57*2))*MATERIALES!$C$18)+(((A57*2)+(B57*2))*MATERIALES!$C$11))*MATERIALES!$F$2</f>
        <v>3231.4464000000003</v>
      </c>
      <c r="D57" s="38">
        <f>(((4*2)*4)*MATERIALES!$C$145)+(4*MATERIALES!$C$146)+(((A57*2)+(B57*2))*MATERIALES!$C$165)</f>
        <v>525.10016000000007</v>
      </c>
      <c r="E57" s="75"/>
      <c r="F57" s="39">
        <f>(A57*B57)*MATERIALES!$D$82</f>
        <v>1526.3999999999999</v>
      </c>
      <c r="G57" s="38">
        <f t="shared" si="0"/>
        <v>5282.9465600000003</v>
      </c>
      <c r="H57" s="43">
        <f t="shared" si="2"/>
        <v>7936.310528</v>
      </c>
      <c r="K57" s="42">
        <v>2.4</v>
      </c>
      <c r="L57" s="37">
        <v>1.2</v>
      </c>
      <c r="M57" s="38">
        <f>((((K57*2)+(L57*2))*MATERIALES!$C$18)+(((K57*2)+(L57*2))*MATERIALES!$C$11)+((2*L57)*MATERIALES!$C$20)+(L57*MATERIALES!$C$21))*MATERIALES!$F$2</f>
        <v>4058.5708800000002</v>
      </c>
      <c r="N57" s="38">
        <f>(((4*2)*4)*MATERIALES!$C$145)+(4*MATERIALES!$C$146)+(((K57*2)+(L57*2))*MATERIALES!$C$165)</f>
        <v>525.10016000000007</v>
      </c>
      <c r="O57" s="75"/>
      <c r="P57" s="39">
        <f>(K57*L57)*MATERIALES!$D$82</f>
        <v>1526.3999999999999</v>
      </c>
      <c r="Q57" s="38">
        <f t="shared" si="4"/>
        <v>6110.0710399999998</v>
      </c>
      <c r="R57" s="43">
        <f t="shared" si="5"/>
        <v>9011.572352000001</v>
      </c>
    </row>
    <row r="58" spans="1:18" hidden="1">
      <c r="A58" s="42">
        <v>2.4</v>
      </c>
      <c r="B58" s="37">
        <v>1.5</v>
      </c>
      <c r="C58" s="38">
        <f>((((A58*2)+(B58*2))*MATERIALES!$C$18)+(((A58*2)+(B58*2))*MATERIALES!$C$11))*MATERIALES!$F$2</f>
        <v>3500.7336</v>
      </c>
      <c r="D58" s="38">
        <f>(((4*2)*4)*MATERIALES!$C$145)+(4*MATERIALES!$C$146)+(((A58*2)+(B58*2))*MATERIALES!$C$165)</f>
        <v>537.90464000000009</v>
      </c>
      <c r="E58" s="75"/>
      <c r="F58" s="39">
        <f>(A58*B58)*MATERIALES!$D$82</f>
        <v>1907.9999999999998</v>
      </c>
      <c r="G58" s="38">
        <f t="shared" si="0"/>
        <v>5946.6382400000002</v>
      </c>
      <c r="H58" s="43">
        <f t="shared" si="2"/>
        <v>9066.2297120000003</v>
      </c>
      <c r="K58" s="42">
        <v>2.4</v>
      </c>
      <c r="L58" s="37">
        <v>1.5</v>
      </c>
      <c r="M58" s="38">
        <f>((((K58*2)+(L58*2))*MATERIALES!$C$18)+(((K58*2)+(L58*2))*MATERIALES!$C$11)+((2*L58)*MATERIALES!$C$20)+(L58*MATERIALES!$C$21))*MATERIALES!$F$2</f>
        <v>4534.6392000000005</v>
      </c>
      <c r="N58" s="38">
        <f>(((4*2)*4)*MATERIALES!$C$145)+(4*MATERIALES!$C$146)+(((K58*2)+(L58*2))*MATERIALES!$C$165)</f>
        <v>537.90464000000009</v>
      </c>
      <c r="O58" s="75"/>
      <c r="P58" s="39">
        <f>(K58*L58)*MATERIALES!$D$82</f>
        <v>1907.9999999999998</v>
      </c>
      <c r="Q58" s="38">
        <f t="shared" si="4"/>
        <v>6980.5438400000003</v>
      </c>
      <c r="R58" s="43">
        <f t="shared" si="5"/>
        <v>10410.306992</v>
      </c>
    </row>
    <row r="59" spans="1:18" ht="15.75" hidden="1" thickBot="1">
      <c r="A59" s="44">
        <v>2.4</v>
      </c>
      <c r="B59" s="45">
        <v>1.8</v>
      </c>
      <c r="C59" s="50">
        <f>((((A59*2)+(B59*2))*MATERIALES!$C$18)+(((A59*2)+(B59*2))*MATERIALES!$C$11))*MATERIALES!$F$2</f>
        <v>3770.0208000000007</v>
      </c>
      <c r="D59" s="50">
        <f>(((4*2)*4)*MATERIALES!$C$145)+(4*MATERIALES!$C$146)+(((A59*2)+(B59*2))*MATERIALES!$C$165)</f>
        <v>550.7091200000001</v>
      </c>
      <c r="E59" s="76"/>
      <c r="F59" s="51">
        <f>(A59*B59)*MATERIALES!$D$82</f>
        <v>2289.6000000000004</v>
      </c>
      <c r="G59" s="50">
        <f t="shared" si="0"/>
        <v>6610.329920000001</v>
      </c>
      <c r="H59" s="52">
        <f t="shared" si="2"/>
        <v>10196.148896000002</v>
      </c>
      <c r="K59" s="44">
        <v>2.4</v>
      </c>
      <c r="L59" s="45">
        <v>1.8</v>
      </c>
      <c r="M59" s="50">
        <f>((((K59*2)+(L59*2))*MATERIALES!$C$18)+(((K59*2)+(L59*2))*MATERIALES!$C$11)+((2*L59)*MATERIALES!$C$20)+(L59*MATERIALES!$C$21))*MATERIALES!$F$2</f>
        <v>5010.7075200000008</v>
      </c>
      <c r="N59" s="50">
        <f>(((4*2)*4)*MATERIALES!$C$145)+(4*MATERIALES!$C$146)+(((K59*2)+(L59*2))*MATERIALES!$C$165)</f>
        <v>550.7091200000001</v>
      </c>
      <c r="O59" s="76"/>
      <c r="P59" s="51">
        <f>(K59*L59)*MATERIALES!$D$82</f>
        <v>2289.6000000000004</v>
      </c>
      <c r="Q59" s="50">
        <f t="shared" si="4"/>
        <v>7851.0166400000016</v>
      </c>
      <c r="R59" s="52">
        <f t="shared" si="5"/>
        <v>11809.041632000002</v>
      </c>
    </row>
    <row r="60" spans="1:18" hidden="1"/>
    <row r="61" spans="1:18" hidden="1"/>
    <row r="62" spans="1:18" ht="15.75" hidden="1" thickBot="1"/>
    <row r="63" spans="1:18" ht="15.75" hidden="1" thickBot="1">
      <c r="A63" s="32"/>
      <c r="B63" s="32"/>
      <c r="C63" s="801">
        <v>0.3</v>
      </c>
      <c r="D63" s="802"/>
      <c r="E63" s="803"/>
      <c r="F63" s="61">
        <v>1</v>
      </c>
      <c r="G63" s="32"/>
      <c r="H63" s="46" t="s">
        <v>163</v>
      </c>
      <c r="K63" s="32"/>
      <c r="L63" s="32"/>
      <c r="M63" s="801">
        <v>0.3</v>
      </c>
      <c r="N63" s="802"/>
      <c r="O63" s="803"/>
      <c r="P63" s="61">
        <v>1</v>
      </c>
      <c r="Q63" s="32"/>
      <c r="R63" s="46" t="s">
        <v>163</v>
      </c>
    </row>
    <row r="64" spans="1:18" ht="15.75" hidden="1" thickBot="1">
      <c r="A64" s="792" t="s">
        <v>193</v>
      </c>
      <c r="B64" s="793"/>
      <c r="C64" s="793"/>
      <c r="D64" s="793"/>
      <c r="E64" s="793"/>
      <c r="F64" s="793"/>
      <c r="G64" s="793"/>
      <c r="H64" s="794"/>
      <c r="K64" s="792" t="s">
        <v>524</v>
      </c>
      <c r="L64" s="793"/>
      <c r="M64" s="793"/>
      <c r="N64" s="793"/>
      <c r="O64" s="793"/>
      <c r="P64" s="793"/>
      <c r="Q64" s="793"/>
      <c r="R64" s="794"/>
    </row>
    <row r="65" spans="1:28" ht="15.75" hidden="1" thickBot="1">
      <c r="A65" s="36" t="s">
        <v>116</v>
      </c>
      <c r="B65" s="36" t="s">
        <v>117</v>
      </c>
      <c r="C65" s="36" t="s">
        <v>162</v>
      </c>
      <c r="D65" s="36" t="s">
        <v>119</v>
      </c>
      <c r="E65" s="36" t="s">
        <v>120</v>
      </c>
      <c r="F65" s="36" t="s">
        <v>118</v>
      </c>
      <c r="G65" s="36" t="s">
        <v>121</v>
      </c>
      <c r="H65" s="36" t="s">
        <v>122</v>
      </c>
      <c r="K65" s="36" t="s">
        <v>116</v>
      </c>
      <c r="L65" s="36" t="s">
        <v>117</v>
      </c>
      <c r="M65" s="36" t="s">
        <v>162</v>
      </c>
      <c r="N65" s="36" t="s">
        <v>119</v>
      </c>
      <c r="O65" s="36" t="s">
        <v>120</v>
      </c>
      <c r="P65" s="36" t="s">
        <v>118</v>
      </c>
      <c r="Q65" s="36" t="s">
        <v>121</v>
      </c>
      <c r="R65" s="36" t="s">
        <v>122</v>
      </c>
    </row>
    <row r="66" spans="1:28" ht="15.75" hidden="1" thickBot="1">
      <c r="A66" s="795"/>
      <c r="B66" s="796"/>
      <c r="C66" s="796"/>
      <c r="D66" s="796"/>
      <c r="E66" s="796"/>
      <c r="F66" s="796"/>
      <c r="G66" s="796"/>
      <c r="H66" s="797"/>
      <c r="K66" s="795"/>
      <c r="L66" s="796"/>
      <c r="M66" s="796"/>
      <c r="N66" s="796"/>
      <c r="O66" s="796"/>
      <c r="P66" s="796"/>
      <c r="Q66" s="796"/>
      <c r="R66" s="797"/>
    </row>
    <row r="67" spans="1:28" hidden="1">
      <c r="A67" s="40">
        <v>1.2</v>
      </c>
      <c r="B67" s="41">
        <v>2</v>
      </c>
      <c r="C67" s="47">
        <f>((((A67*2)+(B67*2))*MATERIALES!$C$18)+(((A67*4)+(B67*2))*MATERIALES!$C$11)+(A67*MATERIALES!$C$19))*MATERIALES!$F$2</f>
        <v>3907.8748799999998</v>
      </c>
      <c r="D67" s="47">
        <f>(((4*2)*4)*MATERIALES!$C$145)+(4*MATERIALES!$C$146)+(((A67*2)+(B67*2))*MATERIALES!$C$165)+((4*2)*MATERIALES!$C$145)+(2*MATERIALES!$C$175)</f>
        <v>726.4691200000002</v>
      </c>
      <c r="E67" s="47">
        <f>(0.5*MATERIALES!$D$249)</f>
        <v>585</v>
      </c>
      <c r="F67" s="48">
        <f>(A67*B67)*MATERIALES!$D$82</f>
        <v>1272</v>
      </c>
      <c r="G67" s="47">
        <f>SUM(C67:F67)</f>
        <v>6491.3440000000001</v>
      </c>
      <c r="H67" s="49">
        <f>(SUM(C67:E67)*1.3)+(F67*2)</f>
        <v>9329.1471999999994</v>
      </c>
      <c r="K67" s="40">
        <v>1.2</v>
      </c>
      <c r="L67" s="41">
        <v>2</v>
      </c>
      <c r="M67" s="47">
        <f>((((K67*2)+(L67*2))*MATERIALES!$C$18)+(((K67*4)+(L67*2))*MATERIALES!$C$11)+(K67*MATERIALES!$C$19)+((2*L6)*MATERIALES!$C$20)+(L6*MATERIALES!$C$21))*MATERIALES!$F$2</f>
        <v>4183.5830399999995</v>
      </c>
      <c r="N67" s="47">
        <f>(((4*2)*4)*MATERIALES!$C$145)+(4*MATERIALES!$C$146)+(((K67*2)+(L67*2))*MATERIALES!$C$165)+((4*2)*MATERIALES!$C$145)+(2*MATERIALES!$C$175)</f>
        <v>726.4691200000002</v>
      </c>
      <c r="O67" s="47">
        <f>(0.5*MATERIALES!$D$249)</f>
        <v>585</v>
      </c>
      <c r="P67" s="48">
        <f>(K67*L67)*MATERIALES!$D$82</f>
        <v>1272</v>
      </c>
      <c r="Q67" s="47">
        <f>SUM(M67:P67)</f>
        <v>6767.0521599999993</v>
      </c>
      <c r="R67" s="49">
        <f>(SUM(M67:O67)*1.3)+(P67*2)</f>
        <v>9687.5678079999998</v>
      </c>
    </row>
    <row r="68" spans="1:28" hidden="1">
      <c r="A68" s="42">
        <v>1.5</v>
      </c>
      <c r="B68" s="37">
        <v>2</v>
      </c>
      <c r="C68" s="38">
        <f>((((A68*2)+(B68*2))*MATERIALES!$C$18)+(((A68*4)+(B68*2))*MATERIALES!$C$11)+(A68*MATERIALES!$C$19))*MATERIALES!$F$2</f>
        <v>4436.0316000000003</v>
      </c>
      <c r="D68" s="38">
        <f>(((4*2)*4)*MATERIALES!$C$145)+(4*MATERIALES!$C$146)+(((A68*2)+(B68*2))*MATERIALES!$C$165)+((4*2)*MATERIALES!$C$145)+(2*MATERIALES!$C$175)</f>
        <v>739.27360000000022</v>
      </c>
      <c r="E68" s="38">
        <f>(0.5*MATERIALES!$D$249)</f>
        <v>585</v>
      </c>
      <c r="F68" s="39">
        <f>(A68*B68)*MATERIALES!$D$82</f>
        <v>1590</v>
      </c>
      <c r="G68" s="38">
        <f>SUM(C68:F68)</f>
        <v>7350.3052000000007</v>
      </c>
      <c r="H68" s="43">
        <f t="shared" ref="H68:H72" si="6">(SUM(C68:E68)*1.3)+(F68*2)</f>
        <v>10668.396760000001</v>
      </c>
      <c r="K68" s="42">
        <v>1.5</v>
      </c>
      <c r="L68" s="37">
        <v>2</v>
      </c>
      <c r="M68" s="38">
        <f>((((K68*2)+(L68*2))*MATERIALES!$C$18)+(((K68*4)+(L68*2))*MATERIALES!$C$11)+(K68*MATERIALES!$C$19)+((2*L7)*MATERIALES!$C$20)+(L7*MATERIALES!$C$21))*MATERIALES!$F$2</f>
        <v>4849.5938400000005</v>
      </c>
      <c r="N68" s="38">
        <f>(((4*2)*4)*MATERIALES!$C$145)+(4*MATERIALES!$C$146)+(((K68*2)+(L68*2))*MATERIALES!$C$165)+((4*2)*MATERIALES!$C$145)+(2*MATERIALES!$C$175)</f>
        <v>739.27360000000022</v>
      </c>
      <c r="O68" s="38">
        <f>(0.5*MATERIALES!$D$249)</f>
        <v>585</v>
      </c>
      <c r="P68" s="39">
        <f>(K68*L68)*MATERIALES!$D$82</f>
        <v>1590</v>
      </c>
      <c r="Q68" s="38">
        <f>SUM(M68:P68)</f>
        <v>7763.8674400000009</v>
      </c>
      <c r="R68" s="43">
        <f t="shared" ref="R68:R69" si="7">(SUM(M68:O68)*1.3)+(P68*2)</f>
        <v>11206.027672</v>
      </c>
    </row>
    <row r="69" spans="1:28" hidden="1">
      <c r="A69" s="42">
        <v>1.8</v>
      </c>
      <c r="B69" s="37">
        <v>2</v>
      </c>
      <c r="C69" s="38">
        <f>((((A69*2)+(B69*2))*MATERIALES!$C$18)+(((A69*4)+(B69*2))*MATERIALES!$C$11)+(A69*MATERIALES!$C$19))*MATERIALES!$F$2</f>
        <v>4964.1883200000002</v>
      </c>
      <c r="D69" s="38">
        <f>(((4*2)*4)*MATERIALES!$C$145)+(4*MATERIALES!$C$146)+(((A69*2)+(B69*2))*MATERIALES!$C$165)+((4*2)*MATERIALES!$C$145)+(2*MATERIALES!$C$175)</f>
        <v>752.07808</v>
      </c>
      <c r="E69" s="38">
        <f>(0.5*MATERIALES!$D$249)</f>
        <v>585</v>
      </c>
      <c r="F69" s="39">
        <f>(A69*B69)*MATERIALES!$D$82</f>
        <v>1908</v>
      </c>
      <c r="G69" s="38">
        <f>SUM(C69:F69)</f>
        <v>8209.2664000000004</v>
      </c>
      <c r="H69" s="43">
        <f t="shared" si="6"/>
        <v>12007.64632</v>
      </c>
      <c r="K69" s="42">
        <v>1.8</v>
      </c>
      <c r="L69" s="37">
        <v>2</v>
      </c>
      <c r="M69" s="38">
        <f>((((K69*2)+(L69*2))*MATERIALES!$C$18)+(((K69*4)+(L69*2))*MATERIALES!$C$11)+(K69*MATERIALES!$C$19)+((2*L8)*MATERIALES!$C$20)+(L8*MATERIALES!$C$21))*MATERIALES!$F$2</f>
        <v>5239.8964800000003</v>
      </c>
      <c r="N69" s="38">
        <f>(((4*2)*4)*MATERIALES!$C$145)+(4*MATERIALES!$C$146)+(((K69*2)+(L69*2))*MATERIALES!$C$165)+((4*2)*MATERIALES!$C$145)+(2*MATERIALES!$C$175)</f>
        <v>752.07808</v>
      </c>
      <c r="O69" s="38">
        <f>(0.5*MATERIALES!$D$249)</f>
        <v>585</v>
      </c>
      <c r="P69" s="39">
        <f>(K69*L69)*MATERIALES!$D$82</f>
        <v>1908</v>
      </c>
      <c r="Q69" s="38">
        <f>SUM(M69:P69)</f>
        <v>8484.9745600000006</v>
      </c>
      <c r="R69" s="43">
        <f t="shared" si="7"/>
        <v>12366.066928</v>
      </c>
    </row>
    <row r="70" spans="1:28" hidden="1">
      <c r="A70" s="42">
        <v>2</v>
      </c>
      <c r="B70" s="37">
        <v>2</v>
      </c>
      <c r="C70" s="38">
        <f>((((A70*2)+(B70*2))*MATERIALES!$C$18)+(((A70*4)+(B70*2))*MATERIALES!$C$11)+(A70*MATERIALES!$C$19))*MATERIALES!$F$2</f>
        <v>5316.2927999999993</v>
      </c>
      <c r="D70" s="38">
        <f>(((4*2)*4)*MATERIALES!$C$145)+(4*MATERIALES!$C$146)+(((A70*2)+(B70*2))*MATERIALES!$C$165)+((4*2)*MATERIALES!$C$145)+(2*MATERIALES!$C$175)</f>
        <v>760.61440000000016</v>
      </c>
      <c r="E70" s="38">
        <f>(0.5*MATERIALES!$D$249)</f>
        <v>585</v>
      </c>
      <c r="F70" s="39">
        <f>(A70*B70)*MATERIALES!$D$82</f>
        <v>2120</v>
      </c>
      <c r="G70" s="38">
        <f>SUM(C70:F70)</f>
        <v>8781.9071999999996</v>
      </c>
      <c r="H70" s="43">
        <f>(SUM(C70:E70)*1.3)+(F70*2)</f>
        <v>12900.479359999999</v>
      </c>
      <c r="K70" s="42">
        <v>2</v>
      </c>
      <c r="L70" s="37">
        <v>2</v>
      </c>
      <c r="M70" s="38">
        <f>((((K70*2)+(L70*2))*MATERIALES!$C$18)+(((K70*4)+(L70*2))*MATERIALES!$C$11)+(K70*MATERIALES!$C$19)+((2*L9)*MATERIALES!$C$20)+(L9*MATERIALES!$C$21))*MATERIALES!$F$2</f>
        <v>5729.8550399999995</v>
      </c>
      <c r="N70" s="38">
        <f>(((4*2)*4)*MATERIALES!$C$145)+(4*MATERIALES!$C$146)+(((K70*2)+(L70*2))*MATERIALES!$C$165)+((4*2)*MATERIALES!$C$145)+(2*MATERIALES!$C$175)</f>
        <v>760.61440000000016</v>
      </c>
      <c r="O70" s="38">
        <f>(0.5*MATERIALES!$D$249)</f>
        <v>585</v>
      </c>
      <c r="P70" s="39">
        <f>(K70*L70)*MATERIALES!$D$82</f>
        <v>2120</v>
      </c>
      <c r="Q70" s="38">
        <f>SUM(M70:P70)</f>
        <v>9195.4694400000008</v>
      </c>
      <c r="R70" s="43">
        <f>(SUM(M70:O70)*1.3)+(P70*2)</f>
        <v>13438.110272</v>
      </c>
    </row>
    <row r="71" spans="1:28" hidden="1">
      <c r="A71" s="42">
        <v>2.4</v>
      </c>
      <c r="B71" s="37">
        <v>2</v>
      </c>
      <c r="C71" s="38">
        <f>((((A71*2)+(B71*2))*MATERIALES!$C$18)+(((A71*4)+(B71*2))*MATERIALES!$C$11)+(A71*MATERIALES!$C$19))*MATERIALES!$F$2</f>
        <v>6020.501760000001</v>
      </c>
      <c r="D71" s="38">
        <f>(((4*2)*4)*MATERIALES!$C$145)+(4*MATERIALES!$C$146)+(((A71*2)+(B71*2))*MATERIALES!$C$165)+((4*2)*MATERIALES!$C$145)+(2*MATERIALES!$C$175)</f>
        <v>777.68704000000002</v>
      </c>
      <c r="E71" s="38">
        <f>(0.5*MATERIALES!$D$249)</f>
        <v>585</v>
      </c>
      <c r="F71" s="39">
        <f>(A71*B71)*MATERIALES!$D$82</f>
        <v>2544</v>
      </c>
      <c r="G71" s="38">
        <f t="shared" ref="G71:G72" si="8">SUM(C71:F71)</f>
        <v>9927.1887999999999</v>
      </c>
      <c r="H71" s="43">
        <f t="shared" si="6"/>
        <v>14686.145440000002</v>
      </c>
      <c r="K71" s="42">
        <v>2.4</v>
      </c>
      <c r="L71" s="37">
        <v>2</v>
      </c>
      <c r="M71" s="38">
        <f>((((K71*2)+(L71*2))*MATERIALES!$C$18)+(((K71*4)+(L71*2))*MATERIALES!$C$11)+(K71*MATERIALES!$C$19)+((2*L10)*MATERIALES!$C$20)+(L10*MATERIALES!$C$21))*MATERIALES!$F$2</f>
        <v>6571.9180800000004</v>
      </c>
      <c r="N71" s="38">
        <f>(((4*2)*4)*MATERIALES!$C$145)+(4*MATERIALES!$C$146)+(((K71*2)+(L71*2))*MATERIALES!$C$165)+((4*2)*MATERIALES!$C$145)+(2*MATERIALES!$C$175)</f>
        <v>777.68704000000002</v>
      </c>
      <c r="O71" s="38">
        <f>(0.5*MATERIALES!$D$249)</f>
        <v>585</v>
      </c>
      <c r="P71" s="39">
        <f>(K71*L71)*MATERIALES!$D$82</f>
        <v>2544</v>
      </c>
      <c r="Q71" s="38">
        <f t="shared" ref="Q71:Q72" si="9">SUM(M71:P71)</f>
        <v>10478.60512</v>
      </c>
      <c r="R71" s="43">
        <f t="shared" ref="R71:R72" si="10">(SUM(M71:O71)*1.3)+(P71*2)</f>
        <v>15402.986656000001</v>
      </c>
    </row>
    <row r="72" spans="1:28" ht="15.75" hidden="1" thickBot="1">
      <c r="A72" s="44">
        <v>2.4</v>
      </c>
      <c r="B72" s="45">
        <v>2</v>
      </c>
      <c r="C72" s="50">
        <f>((((A72*2)+(B72*2))*MATERIALES!$C$18)+(((A72*4)+(B72*2))*MATERIALES!$C$11)+(A72*MATERIALES!$C$19))*MATERIALES!$F$2</f>
        <v>6020.501760000001</v>
      </c>
      <c r="D72" s="50">
        <f>(((4*2)*4)*MATERIALES!$C$145)+(4*MATERIALES!$C$146)+(((A72*2)+(B72*2))*MATERIALES!$C$165)+((4*2)*MATERIALES!$C$145)+(2*MATERIALES!$C$175)</f>
        <v>777.68704000000002</v>
      </c>
      <c r="E72" s="50">
        <f>(0.5*MATERIALES!$D$249)</f>
        <v>585</v>
      </c>
      <c r="F72" s="51">
        <f>(A72*B72)*MATERIALES!$D$82</f>
        <v>2544</v>
      </c>
      <c r="G72" s="50">
        <f t="shared" si="8"/>
        <v>9927.1887999999999</v>
      </c>
      <c r="H72" s="52">
        <f t="shared" si="6"/>
        <v>14686.145440000002</v>
      </c>
      <c r="K72" s="44">
        <v>2.4</v>
      </c>
      <c r="L72" s="45">
        <v>2</v>
      </c>
      <c r="M72" s="50">
        <f>((((K72*2)+(L72*2))*MATERIALES!$C$18)+(((K72*4)+(L72*2))*MATERIALES!$C$11)+(K72*MATERIALES!$C$19)+((2*L11)*MATERIALES!$C$20)+(L11*MATERIALES!$C$21))*MATERIALES!$F$2</f>
        <v>6296.2099200000002</v>
      </c>
      <c r="N72" s="50">
        <f>(((4*2)*4)*MATERIALES!$C$145)+(4*MATERIALES!$C$146)+(((K72*2)+(L72*2))*MATERIALES!$C$165)+((4*2)*MATERIALES!$C$145)+(2*MATERIALES!$C$175)</f>
        <v>777.68704000000002</v>
      </c>
      <c r="O72" s="50">
        <f>(0.5*MATERIALES!$D$249)</f>
        <v>585</v>
      </c>
      <c r="P72" s="51">
        <f>(K72*L72)*MATERIALES!$D$82</f>
        <v>2544</v>
      </c>
      <c r="Q72" s="50">
        <f t="shared" si="9"/>
        <v>10202.89696</v>
      </c>
      <c r="R72" s="52">
        <f t="shared" si="10"/>
        <v>15044.566048000001</v>
      </c>
    </row>
    <row r="73" spans="1:28" ht="15.75" hidden="1" thickBot="1"/>
    <row r="74" spans="1:28">
      <c r="W74" s="32"/>
      <c r="X74" s="32"/>
      <c r="Y74" s="32"/>
      <c r="Z74" s="32"/>
      <c r="AA74" s="576"/>
      <c r="AB74" s="847" t="s">
        <v>532</v>
      </c>
    </row>
    <row r="75" spans="1:28" ht="15.75" thickBot="1">
      <c r="W75" s="32"/>
      <c r="X75" s="32"/>
      <c r="Y75" s="32"/>
      <c r="Z75" s="32"/>
      <c r="AA75" s="576"/>
      <c r="AB75" s="853"/>
    </row>
    <row r="76" spans="1:28">
      <c r="V76" s="861" t="s">
        <v>619</v>
      </c>
      <c r="W76" s="876"/>
      <c r="X76" s="876"/>
      <c r="Y76" s="862"/>
      <c r="Z76" s="32"/>
      <c r="AA76" s="576"/>
      <c r="AB76" s="853"/>
    </row>
    <row r="77" spans="1:28" ht="21.75" thickBot="1">
      <c r="V77" s="865"/>
      <c r="W77" s="877"/>
      <c r="X77" s="877"/>
      <c r="Y77" s="866"/>
      <c r="Z77" s="577"/>
      <c r="AA77" s="576"/>
      <c r="AB77" s="853"/>
    </row>
    <row r="78" spans="1:28" ht="19.5" thickBot="1">
      <c r="V78" s="239" t="s">
        <v>534</v>
      </c>
      <c r="W78" s="240" t="s">
        <v>535</v>
      </c>
      <c r="X78" s="240" t="s">
        <v>536</v>
      </c>
      <c r="Y78" s="242" t="s">
        <v>538</v>
      </c>
      <c r="AA78" s="576"/>
      <c r="AB78" s="853"/>
    </row>
    <row r="79" spans="1:28" ht="15.75">
      <c r="V79" s="260" t="s">
        <v>539</v>
      </c>
      <c r="W79" s="278">
        <f>+H6</f>
        <v>1959.6776000000004</v>
      </c>
      <c r="X79" s="281">
        <f t="shared" ref="X79:X118" si="11">+R6</f>
        <v>2318.0982080000003</v>
      </c>
      <c r="Y79" s="278">
        <f>+Rejas!F6</f>
        <v>22100</v>
      </c>
      <c r="AA79" s="576"/>
      <c r="AB79" s="853"/>
    </row>
    <row r="80" spans="1:28" ht="15.75">
      <c r="V80" s="262" t="s">
        <v>540</v>
      </c>
      <c r="W80" s="246">
        <f>H7</f>
        <v>2331.3570560000003</v>
      </c>
      <c r="X80" s="247">
        <f t="shared" si="11"/>
        <v>2868.9879680000004</v>
      </c>
      <c r="Y80" s="246">
        <f>+Rejas!F7</f>
        <v>22100</v>
      </c>
      <c r="AA80" s="576"/>
      <c r="AB80" s="853"/>
    </row>
    <row r="81" spans="22:28" ht="15.75">
      <c r="V81" s="262" t="s">
        <v>541</v>
      </c>
      <c r="W81" s="246">
        <f>H8</f>
        <v>2288.9570560000002</v>
      </c>
      <c r="X81" s="247">
        <f t="shared" si="11"/>
        <v>2647.3776640000006</v>
      </c>
      <c r="Y81" s="246">
        <f>+Rejas!F8</f>
        <v>22100</v>
      </c>
      <c r="AA81" s="576"/>
      <c r="AB81" s="853"/>
    </row>
    <row r="82" spans="22:28" ht="15.75">
      <c r="V82" s="262" t="s">
        <v>542</v>
      </c>
      <c r="W82" s="246">
        <f>H9</f>
        <v>2703.0365120000006</v>
      </c>
      <c r="X82" s="247">
        <f t="shared" si="11"/>
        <v>3240.6674240000002</v>
      </c>
      <c r="Y82" s="246">
        <f>+Rejas!F9</f>
        <v>22100</v>
      </c>
      <c r="AA82" s="576"/>
      <c r="AB82" s="853"/>
    </row>
    <row r="83" spans="22:28" ht="15.75">
      <c r="V83" s="262" t="s">
        <v>543</v>
      </c>
      <c r="W83" s="246">
        <f>H10</f>
        <v>3117.1159680000005</v>
      </c>
      <c r="X83" s="247">
        <f t="shared" si="11"/>
        <v>3833.9571840000003</v>
      </c>
      <c r="Y83" s="246">
        <f>+Rejas!F10</f>
        <v>28288.000000000007</v>
      </c>
      <c r="AA83" s="576"/>
      <c r="AB83" s="853"/>
    </row>
    <row r="84" spans="22:28" ht="16.5" thickBot="1">
      <c r="V84" s="262" t="s">
        <v>544</v>
      </c>
      <c r="W84" s="246">
        <f t="shared" ref="W84:W87" si="12">H11</f>
        <v>2618.2365120000004</v>
      </c>
      <c r="X84" s="247">
        <f t="shared" si="11"/>
        <v>2976.6571200000003</v>
      </c>
      <c r="Y84" s="246">
        <f>+Rejas!F11</f>
        <v>22100</v>
      </c>
      <c r="AA84" s="576"/>
      <c r="AB84" s="854"/>
    </row>
    <row r="85" spans="22:28" ht="15.75">
      <c r="V85" s="262" t="s">
        <v>545</v>
      </c>
      <c r="W85" s="246">
        <f t="shared" si="12"/>
        <v>3074.7159680000004</v>
      </c>
      <c r="X85" s="247">
        <f t="shared" si="11"/>
        <v>3612.3468800000005</v>
      </c>
      <c r="Y85" s="246">
        <f>+Rejas!F12</f>
        <v>26520</v>
      </c>
    </row>
    <row r="86" spans="22:28" ht="15.75">
      <c r="V86" s="263" t="s">
        <v>546</v>
      </c>
      <c r="W86" s="246">
        <f t="shared" si="12"/>
        <v>3531.1954240000005</v>
      </c>
      <c r="X86" s="251">
        <f t="shared" si="11"/>
        <v>4248.0366400000003</v>
      </c>
      <c r="Y86" s="246">
        <f>+Rejas!F13</f>
        <v>35360</v>
      </c>
    </row>
    <row r="87" spans="22:28" ht="15.75">
      <c r="V87" s="263" t="s">
        <v>547</v>
      </c>
      <c r="W87" s="246">
        <f t="shared" si="12"/>
        <v>3987.67488</v>
      </c>
      <c r="X87" s="251">
        <f t="shared" si="11"/>
        <v>4883.7264000000005</v>
      </c>
      <c r="Y87" s="246">
        <f>+Rejas!F14</f>
        <v>44200</v>
      </c>
    </row>
    <row r="88" spans="22:28" ht="15.75">
      <c r="V88" s="263" t="s">
        <v>548</v>
      </c>
      <c r="W88" s="246">
        <f t="shared" ref="W88:W91" si="13">H15</f>
        <v>4215.914608000001</v>
      </c>
      <c r="X88" s="251">
        <f t="shared" si="11"/>
        <v>5201.571280000001</v>
      </c>
      <c r="Y88" s="246">
        <f>+Rejas!F15</f>
        <v>48620</v>
      </c>
    </row>
    <row r="89" spans="22:28" ht="15.75">
      <c r="V89" s="263" t="s">
        <v>549</v>
      </c>
      <c r="W89" s="246">
        <f t="shared" si="13"/>
        <v>4444.1543360000005</v>
      </c>
      <c r="X89" s="251">
        <f t="shared" si="11"/>
        <v>5519.4161600000016</v>
      </c>
      <c r="Y89" s="246">
        <f>+Rejas!F16</f>
        <v>53040</v>
      </c>
    </row>
    <row r="90" spans="22:28" ht="15.75">
      <c r="V90" s="263" t="s">
        <v>550</v>
      </c>
      <c r="W90" s="246">
        <f t="shared" si="13"/>
        <v>5128.873520000001</v>
      </c>
      <c r="X90" s="251">
        <f t="shared" si="11"/>
        <v>6472.9508000000005</v>
      </c>
      <c r="Y90" s="246">
        <f>+Rejas!F17</f>
        <v>22100</v>
      </c>
    </row>
    <row r="91" spans="22:28" ht="15.75">
      <c r="V91" s="263" t="s">
        <v>551</v>
      </c>
      <c r="W91" s="246">
        <f t="shared" si="13"/>
        <v>2947.5159680000006</v>
      </c>
      <c r="X91" s="251">
        <f t="shared" si="11"/>
        <v>3305.936576000001</v>
      </c>
      <c r="Y91" s="246">
        <f>+Rejas!F18</f>
        <v>22100</v>
      </c>
    </row>
    <row r="92" spans="22:28" ht="15.75">
      <c r="V92" s="263" t="s">
        <v>552</v>
      </c>
      <c r="W92" s="246">
        <f t="shared" ref="W92:W95" si="14">H19</f>
        <v>3446.3954240000003</v>
      </c>
      <c r="X92" s="251">
        <f t="shared" si="11"/>
        <v>3984.0263359999999</v>
      </c>
      <c r="Y92" s="246">
        <f>+Rejas!F19</f>
        <v>31824</v>
      </c>
    </row>
    <row r="93" spans="22:28" ht="15.75">
      <c r="V93" s="263" t="s">
        <v>553</v>
      </c>
      <c r="W93" s="246">
        <f t="shared" si="14"/>
        <v>3945.2748799999999</v>
      </c>
      <c r="X93" s="251">
        <f t="shared" si="11"/>
        <v>4662.1160960000007</v>
      </c>
      <c r="Y93" s="246">
        <f>+Rejas!F20</f>
        <v>42432</v>
      </c>
    </row>
    <row r="94" spans="22:28" ht="15.75">
      <c r="V94" s="263" t="s">
        <v>554</v>
      </c>
      <c r="W94" s="246">
        <f t="shared" si="14"/>
        <v>4444.1543360000005</v>
      </c>
      <c r="X94" s="251">
        <f t="shared" si="11"/>
        <v>5340.2058560000005</v>
      </c>
      <c r="Y94" s="246">
        <f>+Rejas!F21</f>
        <v>53040</v>
      </c>
    </row>
    <row r="95" spans="22:28" ht="15.75">
      <c r="V95" s="263" t="s">
        <v>555</v>
      </c>
      <c r="W95" s="246">
        <f t="shared" si="14"/>
        <v>4693.5940639999999</v>
      </c>
      <c r="X95" s="251">
        <f t="shared" si="11"/>
        <v>5679.2507359999991</v>
      </c>
      <c r="Y95" s="246">
        <f>+Rejas!F22</f>
        <v>58344</v>
      </c>
    </row>
    <row r="96" spans="22:28" ht="15.75">
      <c r="V96" s="263" t="s">
        <v>556</v>
      </c>
      <c r="W96" s="246">
        <f t="shared" ref="W96:W99" si="15">H23</f>
        <v>4943.0337919999993</v>
      </c>
      <c r="X96" s="251">
        <f t="shared" si="11"/>
        <v>6018.2956160000003</v>
      </c>
      <c r="Y96" s="246">
        <f>+Rejas!F23</f>
        <v>63648</v>
      </c>
    </row>
    <row r="97" spans="22:25" ht="15.75">
      <c r="V97" s="263" t="s">
        <v>557</v>
      </c>
      <c r="W97" s="246">
        <f t="shared" si="15"/>
        <v>5691.352976000001</v>
      </c>
      <c r="X97" s="251">
        <f t="shared" si="11"/>
        <v>7035.4302560000006</v>
      </c>
      <c r="Y97" s="246">
        <f>+Rejas!F24</f>
        <v>79560</v>
      </c>
    </row>
    <row r="98" spans="22:25" ht="15.75">
      <c r="V98" s="263" t="s">
        <v>558</v>
      </c>
      <c r="W98" s="246">
        <f t="shared" si="15"/>
        <v>6439.672160000001</v>
      </c>
      <c r="X98" s="251">
        <f t="shared" si="11"/>
        <v>8052.5648960000008</v>
      </c>
      <c r="Y98" s="246">
        <f>+Rejas!F25</f>
        <v>95472</v>
      </c>
    </row>
    <row r="99" spans="22:25" ht="15.75">
      <c r="V99" s="258" t="s">
        <v>559</v>
      </c>
      <c r="W99" s="246">
        <f t="shared" si="15"/>
        <v>3441.435152</v>
      </c>
      <c r="X99" s="253">
        <f t="shared" si="11"/>
        <v>3799.8557600000004</v>
      </c>
      <c r="Y99" s="246">
        <f>+Rejas!F26</f>
        <v>26520.000000000007</v>
      </c>
    </row>
    <row r="100" spans="22:25" ht="15.75">
      <c r="V100" s="279" t="s">
        <v>560</v>
      </c>
      <c r="W100" s="246">
        <f t="shared" ref="W100:W103" si="16">H27</f>
        <v>4003.9146080000005</v>
      </c>
      <c r="X100" s="282">
        <f t="shared" si="11"/>
        <v>4541.5455200000006</v>
      </c>
      <c r="Y100" s="246">
        <f>+Rejas!F27</f>
        <v>39780</v>
      </c>
    </row>
    <row r="101" spans="22:25" ht="15.75">
      <c r="V101" s="257" t="s">
        <v>561</v>
      </c>
      <c r="W101" s="246">
        <f t="shared" si="16"/>
        <v>4566.3940640000001</v>
      </c>
      <c r="X101" s="283">
        <f t="shared" si="11"/>
        <v>5283.2352799999999</v>
      </c>
      <c r="Y101" s="246">
        <f>+Rejas!F28</f>
        <v>53040.000000000015</v>
      </c>
    </row>
    <row r="102" spans="22:25" ht="15.75">
      <c r="V102" s="279" t="s">
        <v>562</v>
      </c>
      <c r="W102" s="246">
        <f t="shared" si="16"/>
        <v>5128.873520000001</v>
      </c>
      <c r="X102" s="282">
        <f t="shared" si="11"/>
        <v>6024.9250400000001</v>
      </c>
      <c r="Y102" s="246">
        <f>+Rejas!F29</f>
        <v>66300</v>
      </c>
    </row>
    <row r="103" spans="22:25" ht="15.75">
      <c r="V103" s="257" t="s">
        <v>563</v>
      </c>
      <c r="W103" s="246">
        <f t="shared" si="16"/>
        <v>5410.1132480000015</v>
      </c>
      <c r="X103" s="283">
        <f t="shared" si="11"/>
        <v>6395.7699199999997</v>
      </c>
      <c r="Y103" s="246">
        <f>+Rejas!F30</f>
        <v>72930.000000000015</v>
      </c>
    </row>
    <row r="104" spans="22:25" ht="15.75">
      <c r="V104" s="279" t="s">
        <v>564</v>
      </c>
      <c r="W104" s="246">
        <f t="shared" ref="W104:W107" si="17">H31</f>
        <v>5691.352976000001</v>
      </c>
      <c r="X104" s="282">
        <f t="shared" si="11"/>
        <v>6766.6148000000012</v>
      </c>
      <c r="Y104" s="246">
        <f>+Rejas!F31</f>
        <v>79560</v>
      </c>
    </row>
    <row r="105" spans="22:25" ht="15.75">
      <c r="V105" s="257" t="s">
        <v>565</v>
      </c>
      <c r="W105" s="246">
        <f t="shared" si="17"/>
        <v>6535.0721600000006</v>
      </c>
      <c r="X105" s="283">
        <f t="shared" si="11"/>
        <v>7879.1494400000001</v>
      </c>
      <c r="Y105" s="246">
        <f>+Rejas!F32</f>
        <v>99450</v>
      </c>
    </row>
    <row r="106" spans="22:25" ht="15.75">
      <c r="V106" s="279" t="s">
        <v>566</v>
      </c>
      <c r="W106" s="246">
        <f t="shared" si="17"/>
        <v>7378.7913440000002</v>
      </c>
      <c r="X106" s="282">
        <f t="shared" si="11"/>
        <v>8991.6840800000009</v>
      </c>
      <c r="Y106" s="246">
        <f>+Rejas!F33</f>
        <v>119340</v>
      </c>
    </row>
    <row r="107" spans="22:25" ht="15.75">
      <c r="V107" s="257" t="s">
        <v>567</v>
      </c>
      <c r="W107" s="246">
        <f t="shared" si="17"/>
        <v>5187.5132480000011</v>
      </c>
      <c r="X107" s="283">
        <f t="shared" si="11"/>
        <v>5904.3544640000018</v>
      </c>
      <c r="Y107" s="246">
        <f>+Rejas!F34</f>
        <v>63648.000000000015</v>
      </c>
    </row>
    <row r="108" spans="22:25" ht="15.75">
      <c r="V108" s="279" t="s">
        <v>568</v>
      </c>
      <c r="W108" s="246">
        <f t="shared" ref="W108:W111" si="18">H35</f>
        <v>5813.5927040000006</v>
      </c>
      <c r="X108" s="282">
        <f t="shared" si="11"/>
        <v>6709.6442240000006</v>
      </c>
      <c r="Y108" s="246">
        <f>+Rejas!F35</f>
        <v>79560</v>
      </c>
    </row>
    <row r="109" spans="22:25" ht="15.75">
      <c r="V109" s="257" t="s">
        <v>569</v>
      </c>
      <c r="W109" s="246">
        <f t="shared" si="18"/>
        <v>6126.6324320000012</v>
      </c>
      <c r="X109" s="283">
        <f t="shared" si="11"/>
        <v>7112.2891040000013</v>
      </c>
      <c r="Y109" s="246">
        <f>+Rejas!F36</f>
        <v>87516</v>
      </c>
    </row>
    <row r="110" spans="22:25" ht="15.75">
      <c r="V110" s="279" t="s">
        <v>570</v>
      </c>
      <c r="W110" s="246">
        <f t="shared" si="18"/>
        <v>6439.672160000001</v>
      </c>
      <c r="X110" s="282">
        <f t="shared" si="11"/>
        <v>7514.9339840000011</v>
      </c>
      <c r="Y110" s="246">
        <f>+Rejas!F37</f>
        <v>95472</v>
      </c>
    </row>
    <row r="111" spans="22:25" ht="15.75">
      <c r="V111" s="257" t="s">
        <v>571</v>
      </c>
      <c r="W111" s="246">
        <f t="shared" si="18"/>
        <v>7378.7913440000002</v>
      </c>
      <c r="X111" s="283">
        <f t="shared" si="11"/>
        <v>8722.8686239999988</v>
      </c>
      <c r="Y111" s="246">
        <f>+Rejas!F38</f>
        <v>119340</v>
      </c>
    </row>
    <row r="112" spans="22:25" ht="15.75">
      <c r="V112" s="279" t="s">
        <v>572</v>
      </c>
      <c r="W112" s="246">
        <f t="shared" ref="W112:W115" si="19">H39</f>
        <v>8317.9105280000003</v>
      </c>
      <c r="X112" s="282">
        <f t="shared" si="11"/>
        <v>9930.8032640000001</v>
      </c>
      <c r="Y112" s="246">
        <f>+Rejas!F39</f>
        <v>143208</v>
      </c>
    </row>
    <row r="113" spans="22:25" ht="15.75">
      <c r="V113" s="257" t="s">
        <v>573</v>
      </c>
      <c r="W113" s="246">
        <f t="shared" si="19"/>
        <v>5601.5927040000006</v>
      </c>
      <c r="X113" s="283">
        <f t="shared" si="11"/>
        <v>6318.4339200000013</v>
      </c>
      <c r="Y113" s="246">
        <f>+Rejas!F40</f>
        <v>70720</v>
      </c>
    </row>
    <row r="114" spans="22:25" ht="15.75">
      <c r="V114" s="279" t="s">
        <v>574</v>
      </c>
      <c r="W114" s="246">
        <f t="shared" si="19"/>
        <v>6270.0721600000006</v>
      </c>
      <c r="X114" s="282">
        <f t="shared" si="11"/>
        <v>7166.1236800000006</v>
      </c>
      <c r="Y114" s="246">
        <f>+Rejas!F41</f>
        <v>88400</v>
      </c>
    </row>
    <row r="115" spans="22:25" ht="15.75">
      <c r="V115" s="257" t="s">
        <v>575</v>
      </c>
      <c r="W115" s="246">
        <f t="shared" si="19"/>
        <v>6604.3118880000002</v>
      </c>
      <c r="X115" s="283">
        <f t="shared" si="11"/>
        <v>7589.9685600000003</v>
      </c>
      <c r="Y115" s="246">
        <f>+Rejas!F42</f>
        <v>97240</v>
      </c>
    </row>
    <row r="116" spans="22:25" ht="15.75">
      <c r="V116" s="279" t="s">
        <v>576</v>
      </c>
      <c r="W116" s="246">
        <f t="shared" ref="W116:W118" si="20">H43</f>
        <v>6938.5516160000006</v>
      </c>
      <c r="X116" s="282">
        <f t="shared" si="11"/>
        <v>8013.8134400000008</v>
      </c>
      <c r="Y116" s="246">
        <f>+Rejas!F43</f>
        <v>106080</v>
      </c>
    </row>
    <row r="117" spans="22:25" ht="15.75">
      <c r="V117" s="257" t="s">
        <v>577</v>
      </c>
      <c r="W117" s="246">
        <f t="shared" si="20"/>
        <v>7941.2708000000011</v>
      </c>
      <c r="X117" s="283">
        <f t="shared" si="11"/>
        <v>9285.3480799999998</v>
      </c>
      <c r="Y117" s="246">
        <f>+Rejas!F44</f>
        <v>132600</v>
      </c>
    </row>
    <row r="118" spans="22:25" ht="16.5" thickBot="1">
      <c r="V118" s="280" t="s">
        <v>578</v>
      </c>
      <c r="W118" s="246">
        <f t="shared" si="20"/>
        <v>8943.9899839999998</v>
      </c>
      <c r="X118" s="284">
        <f t="shared" si="11"/>
        <v>10556.882720000001</v>
      </c>
      <c r="Y118" s="285">
        <f>+Rejas!F45</f>
        <v>159120</v>
      </c>
    </row>
  </sheetData>
  <mergeCells count="14">
    <mergeCell ref="AB74:AB84"/>
    <mergeCell ref="V76:Y77"/>
    <mergeCell ref="A66:H66"/>
    <mergeCell ref="C2:E2"/>
    <mergeCell ref="A3:H3"/>
    <mergeCell ref="A5:H5"/>
    <mergeCell ref="C63:E63"/>
    <mergeCell ref="A64:H64"/>
    <mergeCell ref="K66:R66"/>
    <mergeCell ref="M2:O2"/>
    <mergeCell ref="K3:R3"/>
    <mergeCell ref="K5:R5"/>
    <mergeCell ref="M63:O63"/>
    <mergeCell ref="K64:R64"/>
  </mergeCells>
  <pageMargins left="0.59055118110236227" right="0.59055118110236227" top="0" bottom="0" header="0.31496062992125984" footer="0.31496062992125984"/>
  <pageSetup scale="84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32"/>
  <sheetViews>
    <sheetView topLeftCell="AI1" zoomScaleNormal="100" workbookViewId="0">
      <selection activeCell="AI1" sqref="AI1:AI1048576"/>
    </sheetView>
  </sheetViews>
  <sheetFormatPr baseColWidth="10" defaultRowHeight="15"/>
  <cols>
    <col min="1" max="1" width="7.140625" hidden="1" customWidth="1"/>
    <col min="2" max="2" width="4.7109375" hidden="1" customWidth="1"/>
    <col min="3" max="3" width="12.140625" hidden="1" customWidth="1"/>
    <col min="4" max="4" width="11" hidden="1" customWidth="1"/>
    <col min="5" max="5" width="8.140625" hidden="1" customWidth="1"/>
    <col min="6" max="6" width="9.42578125" hidden="1" customWidth="1"/>
    <col min="7" max="7" width="12.140625" hidden="1" customWidth="1"/>
    <col min="8" max="8" width="12.28515625" hidden="1" customWidth="1"/>
    <col min="9" max="9" width="29.7109375" hidden="1" customWidth="1"/>
    <col min="10" max="12" width="0" hidden="1" customWidth="1"/>
    <col min="13" max="13" width="7.140625" hidden="1" customWidth="1"/>
    <col min="14" max="14" width="4.7109375" hidden="1" customWidth="1"/>
    <col min="15" max="15" width="12.140625" hidden="1" customWidth="1"/>
    <col min="16" max="16" width="11" hidden="1" customWidth="1"/>
    <col min="17" max="17" width="8.140625" hidden="1" customWidth="1"/>
    <col min="18" max="19" width="12.140625" hidden="1" customWidth="1"/>
    <col min="20" max="20" width="12.28515625" hidden="1" customWidth="1"/>
    <col min="21" max="21" width="29.7109375" hidden="1" customWidth="1"/>
    <col min="22" max="22" width="0" hidden="1" customWidth="1"/>
    <col min="23" max="23" width="7.140625" hidden="1" customWidth="1"/>
    <col min="24" max="24" width="4.7109375" hidden="1" customWidth="1"/>
    <col min="25" max="26" width="11" hidden="1" customWidth="1"/>
    <col min="27" max="27" width="8.140625" hidden="1" customWidth="1"/>
    <col min="28" max="28" width="9.42578125" hidden="1" customWidth="1"/>
    <col min="29" max="29" width="12.140625" hidden="1" customWidth="1"/>
    <col min="30" max="30" width="12.28515625" hidden="1" customWidth="1"/>
    <col min="31" max="33" width="0" hidden="1" customWidth="1"/>
    <col min="34" max="34" width="0.140625" hidden="1" customWidth="1"/>
    <col min="35" max="35" width="10.140625" customWidth="1"/>
    <col min="36" max="36" width="16.42578125" bestFit="1" customWidth="1"/>
    <col min="37" max="37" width="3.5703125" customWidth="1"/>
    <col min="38" max="38" width="12.7109375" bestFit="1" customWidth="1"/>
    <col min="39" max="39" width="3.42578125" customWidth="1"/>
    <col min="40" max="40" width="12.7109375" bestFit="1" customWidth="1"/>
    <col min="41" max="41" width="3.5703125" customWidth="1"/>
    <col min="42" max="42" width="12.7109375" bestFit="1" customWidth="1"/>
    <col min="43" max="43" width="3.5703125" customWidth="1"/>
    <col min="44" max="44" width="12.7109375" bestFit="1" customWidth="1"/>
    <col min="45" max="45" width="11.28515625" customWidth="1"/>
    <col min="46" max="46" width="6.42578125" customWidth="1"/>
    <col min="47" max="47" width="5.42578125" customWidth="1"/>
    <col min="48" max="50" width="11.42578125" customWidth="1"/>
  </cols>
  <sheetData>
    <row r="1" spans="1:46">
      <c r="AT1" s="847" t="s">
        <v>532</v>
      </c>
    </row>
    <row r="2" spans="1:46" ht="15.75" customHeight="1" thickBot="1">
      <c r="AJ2" s="335" t="s">
        <v>627</v>
      </c>
      <c r="AK2" s="353"/>
      <c r="AL2" s="337" t="s">
        <v>628</v>
      </c>
      <c r="AM2" s="354"/>
      <c r="AN2" s="335" t="s">
        <v>629</v>
      </c>
      <c r="AO2" s="353"/>
      <c r="AP2" s="335" t="s">
        <v>630</v>
      </c>
      <c r="AQ2" s="355"/>
      <c r="AR2" s="337" t="s">
        <v>631</v>
      </c>
      <c r="AS2" s="77"/>
      <c r="AT2" s="853"/>
    </row>
    <row r="3" spans="1:46" ht="15" customHeight="1" thickBot="1">
      <c r="A3" s="32"/>
      <c r="B3" s="32"/>
      <c r="C3" s="801">
        <v>0.2</v>
      </c>
      <c r="D3" s="802"/>
      <c r="E3" s="803"/>
      <c r="F3" s="61">
        <v>1</v>
      </c>
      <c r="G3" s="32"/>
      <c r="H3" s="46" t="s">
        <v>163</v>
      </c>
      <c r="M3" s="32"/>
      <c r="N3" s="32"/>
      <c r="O3" s="801">
        <v>0.2</v>
      </c>
      <c r="P3" s="802"/>
      <c r="Q3" s="802"/>
      <c r="R3" s="803"/>
      <c r="S3" s="32"/>
      <c r="T3" s="46" t="s">
        <v>163</v>
      </c>
      <c r="AT3" s="853"/>
    </row>
    <row r="4" spans="1:46" ht="15" customHeight="1" thickBot="1">
      <c r="A4" s="792" t="s">
        <v>194</v>
      </c>
      <c r="B4" s="793"/>
      <c r="C4" s="793"/>
      <c r="D4" s="793"/>
      <c r="E4" s="793"/>
      <c r="F4" s="793"/>
      <c r="G4" s="793"/>
      <c r="H4" s="794"/>
      <c r="M4" s="792" t="s">
        <v>208</v>
      </c>
      <c r="N4" s="793"/>
      <c r="O4" s="793"/>
      <c r="P4" s="793"/>
      <c r="Q4" s="793"/>
      <c r="R4" s="793"/>
      <c r="S4" s="793"/>
      <c r="T4" s="794"/>
      <c r="AL4" s="4"/>
      <c r="AM4" s="32"/>
      <c r="AN4" s="289"/>
      <c r="AP4" s="287"/>
      <c r="AQ4" s="288"/>
      <c r="AR4" s="290"/>
      <c r="AT4" s="853"/>
    </row>
    <row r="5" spans="1:46" ht="15" customHeight="1" thickBot="1">
      <c r="A5" s="36" t="s">
        <v>116</v>
      </c>
      <c r="B5" s="36" t="s">
        <v>117</v>
      </c>
      <c r="C5" s="36" t="s">
        <v>162</v>
      </c>
      <c r="D5" s="36" t="s">
        <v>119</v>
      </c>
      <c r="E5" s="36" t="s">
        <v>120</v>
      </c>
      <c r="F5" s="36" t="s">
        <v>118</v>
      </c>
      <c r="G5" s="36" t="s">
        <v>121</v>
      </c>
      <c r="H5" s="36" t="s">
        <v>122</v>
      </c>
      <c r="M5" s="36" t="s">
        <v>116</v>
      </c>
      <c r="N5" s="36" t="s">
        <v>117</v>
      </c>
      <c r="O5" s="36" t="s">
        <v>162</v>
      </c>
      <c r="P5" s="36" t="s">
        <v>119</v>
      </c>
      <c r="Q5" s="36" t="s">
        <v>120</v>
      </c>
      <c r="R5" s="36" t="s">
        <v>832</v>
      </c>
      <c r="S5" s="36" t="s">
        <v>121</v>
      </c>
      <c r="T5" s="36" t="s">
        <v>122</v>
      </c>
      <c r="AK5" s="291"/>
      <c r="AL5" s="292"/>
      <c r="AM5" s="293"/>
      <c r="AN5" s="294"/>
      <c r="AO5" s="295"/>
      <c r="AP5" s="296"/>
      <c r="AQ5" s="293"/>
      <c r="AR5" s="297"/>
      <c r="AS5" s="291"/>
      <c r="AT5" s="853"/>
    </row>
    <row r="6" spans="1:46" ht="15" customHeight="1" thickBot="1">
      <c r="A6" s="795"/>
      <c r="B6" s="796"/>
      <c r="C6" s="796"/>
      <c r="D6" s="796"/>
      <c r="E6" s="796"/>
      <c r="F6" s="796"/>
      <c r="G6" s="796"/>
      <c r="H6" s="797"/>
      <c r="M6" s="795"/>
      <c r="N6" s="796"/>
      <c r="O6" s="796"/>
      <c r="P6" s="796"/>
      <c r="Q6" s="796"/>
      <c r="R6" s="796"/>
      <c r="S6" s="796"/>
      <c r="T6" s="797"/>
      <c r="AK6" s="291"/>
      <c r="AL6" s="292"/>
      <c r="AM6" s="293"/>
      <c r="AN6" s="294"/>
      <c r="AO6" s="295"/>
      <c r="AP6" s="296"/>
      <c r="AQ6" s="293"/>
      <c r="AR6" s="297"/>
      <c r="AS6" s="291"/>
      <c r="AT6" s="853"/>
    </row>
    <row r="7" spans="1:46" ht="15" customHeight="1">
      <c r="A7" s="40">
        <v>0.6</v>
      </c>
      <c r="B7" s="41">
        <v>2</v>
      </c>
      <c r="C7" s="47">
        <f>((((A7*1)+(B7*2))*MATERIALES!$C$26)+((A7*2)*MATERIALES!$C$28)+((B7*2)*MATERIALES!$C$27))*MATERIALES!$F$2</f>
        <v>5026.3012800000006</v>
      </c>
      <c r="D7" s="58">
        <f>(2*MATERIALES!$C$146)+(8*MATERIALES!$C$158)+(8*MATERIALES!$C$159)+((8*2)*MATERIALES!$C$145)+(3*MATERIALES!$C$160)+(((B7*2)+(A7*1))*MATERIALES!$C$149)+(((A7*2)+(B7*2))*MATERIALES!$C$141)+(1*MATERIALES!$C$162)+(((A7*5)*2)*MATERIALES!$C$147)+(4*MATERIALES!$C$148)</f>
        <v>1752.7182400000002</v>
      </c>
      <c r="E7" s="74"/>
      <c r="F7" s="54">
        <f>(A7*B7)*MATERIALES!$D$82</f>
        <v>636</v>
      </c>
      <c r="G7" s="47">
        <f>SUM(C7:F7)</f>
        <v>7415.0195200000007</v>
      </c>
      <c r="H7" s="49">
        <f>(SUM(C7:E7)*1.3)+(F7*2)</f>
        <v>10084.725376000002</v>
      </c>
      <c r="M7" s="40">
        <v>0.6</v>
      </c>
      <c r="N7" s="41">
        <v>2</v>
      </c>
      <c r="O7" s="47">
        <f>((((M7*1)+(N7*2))*MATERIALES!$C$26)+((M7*2)*MATERIALES!$C$28)+((N7*2)*MATERIALES!$C$27))*MATERIALES!$F$2</f>
        <v>5026.3012800000006</v>
      </c>
      <c r="P7" s="58">
        <f>(2*MATERIALES!$C$146)+(8*MATERIALES!$C$158)+(8*MATERIALES!$C$159)+((8*2)*MATERIALES!$C$145)+(3*MATERIALES!$C$160)+(((N7*2)+(M7*1))*MATERIALES!$C$149)+(((M7*2)+(N7*2))*MATERIALES!$C$165)+(1*MATERIALES!$C$162)+(((M7*5)*2)*MATERIALES!$C$147)+(4*MATERIALES!$C$148)+(0.5*MATERIALES!$C$167)</f>
        <v>1889.2182400000002</v>
      </c>
      <c r="Q7" s="74"/>
      <c r="R7" s="54">
        <f>(((M7-0.2)*MATERIALES!$C$30)*(N7/0.12))*MATERIALES!$F$2</f>
        <v>4315.5839999999998</v>
      </c>
      <c r="S7" s="47">
        <f>SUM(O7:R7)</f>
        <v>11231.103520000001</v>
      </c>
      <c r="T7" s="49">
        <f>SUM(O7:R7)*1.3</f>
        <v>14600.434576000001</v>
      </c>
      <c r="AK7" s="291"/>
      <c r="AL7" s="292"/>
      <c r="AM7" s="298"/>
      <c r="AN7" s="294"/>
      <c r="AO7" s="295"/>
      <c r="AP7" s="296"/>
      <c r="AQ7" s="298"/>
      <c r="AR7" s="297"/>
      <c r="AS7" s="291"/>
      <c r="AT7" s="853"/>
    </row>
    <row r="8" spans="1:46" ht="15" customHeight="1">
      <c r="A8" s="42">
        <v>0.7</v>
      </c>
      <c r="B8" s="37">
        <v>2</v>
      </c>
      <c r="C8" s="38">
        <f>((((A8*1)+(B8*2))*MATERIALES!$C$26)+((A8*2)*MATERIALES!$C$28)+((B8*2)*MATERIALES!$C$27))*MATERIALES!$F$2</f>
        <v>5193.9669600000007</v>
      </c>
      <c r="D8" s="59">
        <f>(2*MATERIALES!$C$146)+(8*MATERIALES!$C$158)+(8*MATERIALES!$C$159)+((8*2)*MATERIALES!$C$145)+(3*MATERIALES!$C$160)+(((B8*2)+(A8*1))*MATERIALES!$C$149)+(((A8*2)+(B8*2))*MATERIALES!$C$141)+(1*MATERIALES!$C$162)+(((A8*5)*2)*MATERIALES!$C$147)+(4*MATERIALES!$C$148)</f>
        <v>1758.2416800000001</v>
      </c>
      <c r="E8" s="75"/>
      <c r="F8" s="55">
        <f>(A8*B8)*MATERIALES!$D$82</f>
        <v>742</v>
      </c>
      <c r="G8" s="38">
        <f t="shared" ref="G8:G16" si="0">SUM(C8:F8)</f>
        <v>7694.2086400000007</v>
      </c>
      <c r="H8" s="43">
        <f>(SUM(C8:E8)*1.3)+(F8*2)</f>
        <v>10521.871232000001</v>
      </c>
      <c r="M8" s="42">
        <v>0.7</v>
      </c>
      <c r="N8" s="37">
        <v>2</v>
      </c>
      <c r="O8" s="38">
        <f>((((M8*1)+(N8*2))*MATERIALES!$C$26)+((M8*2)*MATERIALES!$C$28)+((N8*2)*MATERIALES!$C$27))*MATERIALES!$F$2</f>
        <v>5193.9669600000007</v>
      </c>
      <c r="P8" s="59">
        <f>(2*MATERIALES!$C$146)+(8*MATERIALES!$C$158)+(8*MATERIALES!$C$159)+((8*2)*MATERIALES!$C$145)+(3*MATERIALES!$C$160)+(((N8*2)+(M8*1))*MATERIALES!$C$149)+(((M8*2)+(N8*2))*MATERIALES!$C$165)+(1*MATERIALES!$C$162)+(((M8*5)*2)*MATERIALES!$C$147)+(4*MATERIALES!$C$148)+(0.5*MATERIALES!$C$167)</f>
        <v>1894.7416800000001</v>
      </c>
      <c r="Q8" s="75"/>
      <c r="R8" s="55">
        <f>(((M8-0.2)*MATERIALES!$C$30)*(N8/0.12))*MATERIALES!$F$2</f>
        <v>5394.48</v>
      </c>
      <c r="S8" s="38">
        <f t="shared" ref="S8:S16" si="1">SUM(O8:R8)</f>
        <v>12483.18864</v>
      </c>
      <c r="T8" s="43">
        <f>SUM(O8:R8)*1.3</f>
        <v>16228.145232000001</v>
      </c>
      <c r="AL8" s="4"/>
      <c r="AM8" s="298"/>
      <c r="AN8" s="289"/>
      <c r="AO8" s="295"/>
      <c r="AP8" s="287"/>
      <c r="AQ8" s="298"/>
      <c r="AR8" s="297"/>
      <c r="AT8" s="853"/>
    </row>
    <row r="9" spans="1:46" ht="15" customHeight="1">
      <c r="A9" s="42">
        <v>0.8</v>
      </c>
      <c r="B9" s="37">
        <v>2</v>
      </c>
      <c r="C9" s="38">
        <f>((((A9*1)+(B9*2))*MATERIALES!$C$26)+((A9*2)*MATERIALES!$C$28)+((B9*2)*MATERIALES!$C$27))*MATERIALES!$F$2</f>
        <v>5361.6326399999998</v>
      </c>
      <c r="D9" s="59">
        <f>(2*MATERIALES!$C$146)+(8*MATERIALES!$C$158)+(8*MATERIALES!$C$159)+((8*2)*MATERIALES!$C$145)+(3*MATERIALES!$C$160)+(((B9*2)+(A9*1))*MATERIALES!$C$149)+(((A9*2)+(B9*2))*MATERIALES!$C$141)+(1*MATERIALES!$C$162)+(((A9*5)*2)*MATERIALES!$C$147)+(4*MATERIALES!$C$148)</f>
        <v>1763.76512</v>
      </c>
      <c r="E9" s="75"/>
      <c r="F9" s="55">
        <f>(A9*B9)*MATERIALES!$D$82</f>
        <v>848</v>
      </c>
      <c r="G9" s="38">
        <f t="shared" si="0"/>
        <v>7973.3977599999998</v>
      </c>
      <c r="H9" s="43">
        <f>(SUM(C9:E9)*1.3)+(F9*2)</f>
        <v>10959.017088000001</v>
      </c>
      <c r="M9" s="42">
        <v>0.8</v>
      </c>
      <c r="N9" s="37">
        <v>2</v>
      </c>
      <c r="O9" s="38">
        <f>((((M9*1)+(N9*2))*MATERIALES!$C$26)+((M9*2)*MATERIALES!$C$28)+((N9*2)*MATERIALES!$C$27))*MATERIALES!$F$2</f>
        <v>5361.6326399999998</v>
      </c>
      <c r="P9" s="59">
        <f>(2*MATERIALES!$C$146)+(8*MATERIALES!$C$158)+(8*MATERIALES!$C$159)+((8*2)*MATERIALES!$C$145)+(3*MATERIALES!$C$160)+(((N9*2)+(M9*1))*MATERIALES!$C$149)+(((M9*2)+(N9*2))*MATERIALES!$C$165)+(1*MATERIALES!$C$162)+(((M9*5)*2)*MATERIALES!$C$147)+(4*MATERIALES!$C$148)+(0.5*MATERIALES!$C$167)</f>
        <v>1900.26512</v>
      </c>
      <c r="Q9" s="75"/>
      <c r="R9" s="55">
        <f>(((M9-0.2)*MATERIALES!$C$30)*(N9/0.12))*MATERIALES!$F$2</f>
        <v>6473.376000000002</v>
      </c>
      <c r="S9" s="38">
        <f t="shared" si="1"/>
        <v>13735.273760000002</v>
      </c>
      <c r="T9" s="43">
        <f>SUM(O9:R9)*1.3</f>
        <v>17855.855888000002</v>
      </c>
      <c r="AL9" s="4"/>
      <c r="AM9" s="299"/>
      <c r="AN9" s="289"/>
      <c r="AO9" s="300"/>
      <c r="AP9" s="287"/>
      <c r="AQ9" s="288"/>
      <c r="AT9" s="853"/>
    </row>
    <row r="10" spans="1:46" ht="15" customHeight="1">
      <c r="A10" s="42"/>
      <c r="B10" s="37"/>
      <c r="C10" s="38"/>
      <c r="D10" s="59"/>
      <c r="E10" s="75"/>
      <c r="F10" s="55"/>
      <c r="G10" s="38"/>
      <c r="H10" s="43"/>
      <c r="M10" s="42"/>
      <c r="N10" s="37"/>
      <c r="O10" s="38"/>
      <c r="P10" s="59"/>
      <c r="Q10" s="75"/>
      <c r="R10" s="55">
        <f>(((M10-0.2)*MATERIALES!$C$30)*(N10/0.12))*MATERIALES!$F$2</f>
        <v>0</v>
      </c>
      <c r="S10" s="38"/>
      <c r="T10" s="43"/>
      <c r="AL10" s="4"/>
      <c r="AM10" s="299"/>
      <c r="AN10" s="289"/>
      <c r="AO10" s="300"/>
      <c r="AP10" s="287"/>
      <c r="AQ10" s="288"/>
      <c r="AT10" s="853"/>
    </row>
    <row r="11" spans="1:46" ht="15" customHeight="1">
      <c r="A11" s="42"/>
      <c r="B11" s="37"/>
      <c r="C11" s="38"/>
      <c r="D11" s="59"/>
      <c r="E11" s="75"/>
      <c r="F11" s="55"/>
      <c r="G11" s="38"/>
      <c r="H11" s="43"/>
      <c r="M11" s="42"/>
      <c r="N11" s="37"/>
      <c r="O11" s="38"/>
      <c r="P11" s="59"/>
      <c r="Q11" s="75"/>
      <c r="R11" s="55">
        <f>(((M11-0.2)*MATERIALES!$C$30)*(N11/0.12))*MATERIALES!$F$2</f>
        <v>0</v>
      </c>
      <c r="S11" s="38"/>
      <c r="T11" s="43"/>
      <c r="AL11" s="4"/>
      <c r="AM11" s="299"/>
      <c r="AN11" s="289"/>
      <c r="AO11" s="300"/>
      <c r="AP11" s="287"/>
      <c r="AQ11" s="288"/>
      <c r="AT11" s="853"/>
    </row>
    <row r="12" spans="1:46" ht="15" customHeight="1">
      <c r="A12" s="42">
        <v>0.9</v>
      </c>
      <c r="B12" s="37">
        <v>2</v>
      </c>
      <c r="C12" s="38">
        <f>((((A12*1)+(B12*2))*MATERIALES!$C$26)+((A12*2)*MATERIALES!$C$28)+((B12*2)*MATERIALES!$C$27))*MATERIALES!$F$2</f>
        <v>5529.2983199999999</v>
      </c>
      <c r="D12" s="59">
        <f>(2*MATERIALES!$C$146)+(8*MATERIALES!$C$158)+(8*MATERIALES!$C$159)+((8*2)*MATERIALES!$C$145)+(3*MATERIALES!$C$160)+(((B12*2)+(A12*1))*MATERIALES!$C$149)+(((A12*2)+(B12*2))*MATERIALES!$C$141)+(1*MATERIALES!$C$162)+(((A12*5)*2)*MATERIALES!$C$147)+(4*MATERIALES!$C$148)</f>
        <v>1769.2885600000002</v>
      </c>
      <c r="E12" s="75"/>
      <c r="F12" s="55">
        <f>(A12*B12)*MATERIALES!$D$82</f>
        <v>954</v>
      </c>
      <c r="G12" s="38">
        <f t="shared" si="0"/>
        <v>8252.5868799999989</v>
      </c>
      <c r="H12" s="43">
        <f>(SUM(C12:E12)*1.3)+(F12*2)</f>
        <v>11396.162944</v>
      </c>
      <c r="M12" s="42">
        <v>0.9</v>
      </c>
      <c r="N12" s="37">
        <v>2</v>
      </c>
      <c r="O12" s="38">
        <f>((((M12*1)+(N12*2))*MATERIALES!$C$26)+((M12*2)*MATERIALES!$C$28)+((N12*2)*MATERIALES!$C$27))*MATERIALES!$F$2</f>
        <v>5529.2983199999999</v>
      </c>
      <c r="P12" s="59">
        <f>(2*MATERIALES!$C$146)+(8*MATERIALES!$C$158)+(8*MATERIALES!$C$159)+((8*2)*MATERIALES!$C$145)+(3*MATERIALES!$C$160)+(((N12*2)+(M12*1))*MATERIALES!$C$149)+(((M12*2)+(N12*2))*MATERIALES!$C$165)+(1*MATERIALES!$C$162)+(((M12*5)*2)*MATERIALES!$C$147)+(4*MATERIALES!$C$148)+(0.5*MATERIALES!$C$167)</f>
        <v>1905.7885600000002</v>
      </c>
      <c r="Q12" s="75"/>
      <c r="R12" s="55">
        <f>(((M12-0.2)*MATERIALES!$C$30)*(N12/0.12))*MATERIALES!$F$2</f>
        <v>7552.2720000000008</v>
      </c>
      <c r="S12" s="38">
        <f t="shared" si="1"/>
        <v>14987.35888</v>
      </c>
      <c r="T12" s="43">
        <f>SUM(O12:R12)*1.3</f>
        <v>19483.566544000001</v>
      </c>
      <c r="AM12" s="267"/>
      <c r="AQ12" s="288"/>
      <c r="AT12" s="853"/>
    </row>
    <row r="13" spans="1:46" ht="15" customHeight="1" thickBot="1">
      <c r="A13" s="42">
        <v>0.6</v>
      </c>
      <c r="B13" s="37">
        <v>2.1</v>
      </c>
      <c r="C13" s="38">
        <f>((((A13*1)+(B13*2))*MATERIALES!$C$26)+((A13*2)*MATERIALES!$C$28)+((B13*2)*MATERIALES!$C$27))*MATERIALES!$F$2</f>
        <v>5227.3166400000009</v>
      </c>
      <c r="D13" s="59">
        <f>(2*MATERIALES!$C$146)+(8*MATERIALES!$C$158)+(8*MATERIALES!$C$159)+((8*2)*MATERIALES!$C$145)+(3*MATERIALES!$C$160)+(((B13*2)+(A13*1))*MATERIALES!$C$149)+(((A13*2)+(B13*2))*MATERIALES!$C$141)+(1*MATERIALES!$C$162)+(((A13*5)*2)*MATERIALES!$C$147)+(4*MATERIALES!$C$148)</f>
        <v>1759.4969599999999</v>
      </c>
      <c r="E13" s="75"/>
      <c r="F13" s="55">
        <f>(A13*B13)*MATERIALES!$D$82</f>
        <v>667.8</v>
      </c>
      <c r="G13" s="38">
        <f t="shared" si="0"/>
        <v>7654.6136000000015</v>
      </c>
      <c r="H13" s="43">
        <f>(SUM(C13:E13)*1.3)+(F13*2)</f>
        <v>10418.457680000003</v>
      </c>
      <c r="M13" s="42">
        <v>0.6</v>
      </c>
      <c r="N13" s="37">
        <v>2.1</v>
      </c>
      <c r="O13" s="38">
        <f>((((M13*1)+(N13*2))*MATERIALES!$C$26)+((M13*2)*MATERIALES!$C$28)+((N13*2)*MATERIALES!$C$27))*MATERIALES!$F$2</f>
        <v>5227.3166400000009</v>
      </c>
      <c r="P13" s="59">
        <f>(2*MATERIALES!$C$146)+(8*MATERIALES!$C$158)+(8*MATERIALES!$C$159)+((8*2)*MATERIALES!$C$145)+(3*MATERIALES!$C$160)+(((N13*2)+(M13*1))*MATERIALES!$C$149)+(((M13*2)+(N13*2))*MATERIALES!$C$165)+(1*MATERIALES!$C$162)+(((M13*5)*2)*MATERIALES!$C$147)+(4*MATERIALES!$C$148)+(0.5*MATERIALES!$C$167)</f>
        <v>1895.9969599999999</v>
      </c>
      <c r="Q13" s="75"/>
      <c r="R13" s="55">
        <f>(((M13-0.2)*MATERIALES!$C$30)*(N13/0.12))*MATERIALES!$F$2</f>
        <v>4531.3631999999998</v>
      </c>
      <c r="S13" s="38">
        <f t="shared" si="1"/>
        <v>11654.676800000001</v>
      </c>
      <c r="T13" s="43">
        <f>SUM(O13:R13)*1.3</f>
        <v>15151.079840000002</v>
      </c>
      <c r="AI13" s="520"/>
      <c r="AJ13" s="595">
        <f>+H9</f>
        <v>10959.017088000001</v>
      </c>
      <c r="AK13" s="496"/>
      <c r="AL13" s="595">
        <f>+H27</f>
        <v>11730.522368000002</v>
      </c>
      <c r="AM13" s="498"/>
      <c r="AN13" s="595">
        <f>+H41</f>
        <v>14581.295488000003</v>
      </c>
      <c r="AO13" s="496"/>
      <c r="AP13" s="595">
        <f>+AD55</f>
        <v>13823.448511999997</v>
      </c>
      <c r="AQ13" s="497"/>
      <c r="AR13" s="595">
        <f>+T84</f>
        <v>13066.654360000002</v>
      </c>
      <c r="AT13" s="854"/>
    </row>
    <row r="14" spans="1:46">
      <c r="A14" s="42">
        <v>0.7</v>
      </c>
      <c r="B14" s="37">
        <v>2.1</v>
      </c>
      <c r="C14" s="38">
        <f>((((A14*1)+(B14*2))*MATERIALES!$C$26)+((A14*2)*MATERIALES!$C$28)+((B14*2)*MATERIALES!$C$27))*MATERIALES!$F$2</f>
        <v>5394.9823200000001</v>
      </c>
      <c r="D14" s="59">
        <f>(2*MATERIALES!$C$146)+(8*MATERIALES!$C$158)+(8*MATERIALES!$C$159)+((8*2)*MATERIALES!$C$145)+(3*MATERIALES!$C$160)+(((B14*2)+(A14*1))*MATERIALES!$C$149)+(((A14*2)+(B14*2))*MATERIALES!$C$141)+(1*MATERIALES!$C$162)+(((A14*5)*2)*MATERIALES!$C$147)+(4*MATERIALES!$C$148)</f>
        <v>1765.0204000000001</v>
      </c>
      <c r="E14" s="75"/>
      <c r="F14" s="55">
        <f>(A14*B14)*MATERIALES!$D$82</f>
        <v>779.1</v>
      </c>
      <c r="G14" s="38">
        <f t="shared" si="0"/>
        <v>7939.1027200000008</v>
      </c>
      <c r="H14" s="43">
        <f>(SUM(C14:E14)*1.3)+(F14*2)</f>
        <v>10866.203536000001</v>
      </c>
      <c r="M14" s="42">
        <v>0.7</v>
      </c>
      <c r="N14" s="37">
        <v>2.1</v>
      </c>
      <c r="O14" s="38">
        <f>((((M14*1)+(N14*2))*MATERIALES!$C$26)+((M14*2)*MATERIALES!$C$28)+((N14*2)*MATERIALES!$C$27))*MATERIALES!$F$2</f>
        <v>5394.9823200000001</v>
      </c>
      <c r="P14" s="59">
        <f>(2*MATERIALES!$C$146)+(8*MATERIALES!$C$158)+(8*MATERIALES!$C$159)+((8*2)*MATERIALES!$C$145)+(3*MATERIALES!$C$160)+(((N14*2)+(M14*1))*MATERIALES!$C$149)+(((M14*2)+(N14*2))*MATERIALES!$C$165)+(1*MATERIALES!$C$162)+(((M14*5)*2)*MATERIALES!$C$147)+(4*MATERIALES!$C$148)+(0.5*MATERIALES!$C$167)</f>
        <v>1901.5204000000001</v>
      </c>
      <c r="Q14" s="75"/>
      <c r="R14" s="55">
        <f>(((M14-0.2)*MATERIALES!$C$30)*(N14/0.12))*MATERIALES!$F$2</f>
        <v>5664.2039999999997</v>
      </c>
      <c r="S14" s="38">
        <f t="shared" si="1"/>
        <v>12960.70672</v>
      </c>
      <c r="T14" s="43">
        <f>SUM(O14:R14)*1.3</f>
        <v>16848.918736</v>
      </c>
      <c r="AM14" s="267"/>
      <c r="AQ14" s="288"/>
    </row>
    <row r="15" spans="1:46" ht="15" customHeight="1">
      <c r="A15" s="42">
        <v>0.8</v>
      </c>
      <c r="B15" s="37">
        <v>2.1</v>
      </c>
      <c r="C15" s="38">
        <f>((((A15*1)+(B15*2))*MATERIALES!$C$26)+((A15*2)*MATERIALES!$C$28)+((B15*2)*MATERIALES!$C$27))*MATERIALES!$F$2</f>
        <v>5562.6480000000001</v>
      </c>
      <c r="D15" s="59">
        <f>(2*MATERIALES!$C$146)+(8*MATERIALES!$C$158)+(8*MATERIALES!$C$159)+((8*2)*MATERIALES!$C$145)+(3*MATERIALES!$C$160)+(((B15*2)+(A15*1))*MATERIALES!$C$149)+(((A15*2)+(B15*2))*MATERIALES!$C$141)+(1*MATERIALES!$C$162)+(((A15*5)*2)*MATERIALES!$C$147)+(4*MATERIALES!$C$148)</f>
        <v>1770.5438400000003</v>
      </c>
      <c r="E15" s="75"/>
      <c r="F15" s="55">
        <f>(A15*B15)*MATERIALES!$D$82</f>
        <v>890.40000000000009</v>
      </c>
      <c r="G15" s="38">
        <f t="shared" si="0"/>
        <v>8223.591840000001</v>
      </c>
      <c r="H15" s="43">
        <f>(SUM(C15:E15)*1.3)+(F15*2)</f>
        <v>11313.949392000002</v>
      </c>
      <c r="M15" s="42">
        <v>0.8</v>
      </c>
      <c r="N15" s="37">
        <v>2.1</v>
      </c>
      <c r="O15" s="38">
        <f>((((M15*1)+(N15*2))*MATERIALES!$C$26)+((M15*2)*MATERIALES!$C$28)+((N15*2)*MATERIALES!$C$27))*MATERIALES!$F$2</f>
        <v>5562.6480000000001</v>
      </c>
      <c r="P15" s="59">
        <f>(2*MATERIALES!$C$146)+(8*MATERIALES!$C$158)+(8*MATERIALES!$C$159)+((8*2)*MATERIALES!$C$145)+(3*MATERIALES!$C$160)+(((N15*2)+(M15*1))*MATERIALES!$C$149)+(((M15*2)+(N15*2))*MATERIALES!$C$165)+(1*MATERIALES!$C$162)+(((M15*5)*2)*MATERIALES!$C$147)+(4*MATERIALES!$C$148)+(0.5*MATERIALES!$C$167)</f>
        <v>1907.0438400000003</v>
      </c>
      <c r="Q15" s="75"/>
      <c r="R15" s="55">
        <f>(((M15-0.2)*MATERIALES!$C$30)*(N15/0.12))*MATERIALES!$F$2</f>
        <v>6797.0448000000024</v>
      </c>
      <c r="S15" s="38">
        <f t="shared" si="1"/>
        <v>14266.736640000003</v>
      </c>
      <c r="T15" s="43">
        <f>SUM(O15:R15)*1.3</f>
        <v>18546.757632000004</v>
      </c>
      <c r="AJ15" s="335" t="s">
        <v>632</v>
      </c>
      <c r="AK15" s="336"/>
      <c r="AL15" s="335" t="s">
        <v>633</v>
      </c>
      <c r="AM15" s="336"/>
      <c r="AN15" s="337" t="s">
        <v>634</v>
      </c>
      <c r="AO15" s="338"/>
      <c r="AP15" s="335" t="s">
        <v>635</v>
      </c>
      <c r="AQ15" s="338"/>
      <c r="AR15" s="335" t="s">
        <v>636</v>
      </c>
    </row>
    <row r="16" spans="1:46" ht="15" customHeight="1" thickBot="1">
      <c r="A16" s="44">
        <v>0.9</v>
      </c>
      <c r="B16" s="45">
        <v>2.1</v>
      </c>
      <c r="C16" s="50">
        <f>((((A16*1)+(B16*2))*MATERIALES!$C$26)+((A16*2)*MATERIALES!$C$28)+((B16*2)*MATERIALES!$C$27))*MATERIALES!$F$2</f>
        <v>5730.3136800000011</v>
      </c>
      <c r="D16" s="60">
        <f>(2*MATERIALES!$C$146)+(8*MATERIALES!$C$158)+(8*MATERIALES!$C$159)+((8*2)*MATERIALES!$C$145)+(3*MATERIALES!$C$160)+(((B16*2)+(A16*1))*MATERIALES!$C$149)+(((A16*2)+(B16*2))*MATERIALES!$C$141)+(1*MATERIALES!$C$162)+(((A16*5)*2)*MATERIALES!$C$147)+(4*MATERIALES!$C$148)</f>
        <v>1776.0672800000002</v>
      </c>
      <c r="E16" s="76"/>
      <c r="F16" s="56">
        <f>(A16*B16)*MATERIALES!$D$82</f>
        <v>1001.7</v>
      </c>
      <c r="G16" s="50">
        <f t="shared" si="0"/>
        <v>8508.0809600000011</v>
      </c>
      <c r="H16" s="52">
        <f>(SUM(C16:E16)*1.3)+(F16*2)</f>
        <v>11761.695248000002</v>
      </c>
      <c r="M16" s="44">
        <v>0.9</v>
      </c>
      <c r="N16" s="45">
        <v>2.1</v>
      </c>
      <c r="O16" s="50">
        <f>((((M16*1)+(N16*2))*MATERIALES!$C$26)+((M16*2)*MATERIALES!$C$28)+((N16*2)*MATERIALES!$C$27))*MATERIALES!$F$2</f>
        <v>5730.3136800000011</v>
      </c>
      <c r="P16" s="60">
        <f>(2*MATERIALES!$C$146)+(8*MATERIALES!$C$158)+(8*MATERIALES!$C$159)+((8*2)*MATERIALES!$C$145)+(3*MATERIALES!$C$160)+(((N16*2)+(M16*1))*MATERIALES!$C$149)+(((M16*2)+(N16*2))*MATERIALES!$C$165)+(1*MATERIALES!$C$162)+(((M16*5)*2)*MATERIALES!$C$147)+(4*MATERIALES!$C$148)+(0.5*MATERIALES!$C$167)</f>
        <v>1912.5672800000002</v>
      </c>
      <c r="Q16" s="76"/>
      <c r="R16" s="56">
        <f>(((M16-0.2)*MATERIALES!$C$30)*(N16/0.12))*MATERIALES!$F$2</f>
        <v>7929.8856000000005</v>
      </c>
      <c r="S16" s="50">
        <f t="shared" si="1"/>
        <v>15572.766560000002</v>
      </c>
      <c r="T16" s="52">
        <f>SUM(O16:R16)*1.3</f>
        <v>20244.596528000002</v>
      </c>
      <c r="AL16" s="301"/>
      <c r="AN16" s="302"/>
      <c r="AO16" s="302"/>
      <c r="AP16" s="302"/>
      <c r="AQ16" s="302"/>
    </row>
    <row r="17" spans="1:47">
      <c r="AM17" s="32"/>
      <c r="AQ17" s="32"/>
    </row>
    <row r="18" spans="1:47" ht="15" customHeight="1" thickBot="1">
      <c r="AM18" s="32"/>
      <c r="AQ18" s="32"/>
    </row>
    <row r="19" spans="1:47" ht="15.75" customHeight="1" thickBot="1">
      <c r="A19" s="32"/>
      <c r="B19" s="32"/>
      <c r="C19" s="801">
        <v>0.2</v>
      </c>
      <c r="D19" s="802"/>
      <c r="E19" s="803"/>
      <c r="F19" s="61">
        <v>1</v>
      </c>
      <c r="G19" s="32"/>
      <c r="H19" s="46" t="s">
        <v>163</v>
      </c>
      <c r="M19" s="32"/>
      <c r="N19" s="32"/>
      <c r="O19" s="801">
        <v>0.2</v>
      </c>
      <c r="P19" s="802"/>
      <c r="Q19" s="803"/>
      <c r="R19" s="61">
        <v>1</v>
      </c>
      <c r="S19" s="32"/>
      <c r="T19" s="46" t="s">
        <v>163</v>
      </c>
      <c r="AM19" s="32"/>
      <c r="AQ19" s="32"/>
      <c r="AU19" s="303"/>
    </row>
    <row r="20" spans="1:47" ht="15" customHeight="1" thickBot="1">
      <c r="A20" s="792" t="s">
        <v>203</v>
      </c>
      <c r="B20" s="793"/>
      <c r="C20" s="793"/>
      <c r="D20" s="793"/>
      <c r="E20" s="793"/>
      <c r="F20" s="793"/>
      <c r="G20" s="793"/>
      <c r="H20" s="794"/>
      <c r="M20" s="792" t="s">
        <v>209</v>
      </c>
      <c r="N20" s="793"/>
      <c r="O20" s="793"/>
      <c r="P20" s="793"/>
      <c r="Q20" s="793"/>
      <c r="R20" s="793"/>
      <c r="S20" s="793"/>
      <c r="T20" s="794"/>
      <c r="AS20" s="291"/>
      <c r="AT20" s="304"/>
    </row>
    <row r="21" spans="1:47" ht="15" customHeight="1">
      <c r="A21" s="343"/>
      <c r="B21" s="344"/>
      <c r="C21" s="344"/>
      <c r="D21" s="344"/>
      <c r="E21" s="344"/>
      <c r="F21" s="344"/>
      <c r="G21" s="344"/>
      <c r="H21" s="345"/>
      <c r="M21" s="343"/>
      <c r="N21" s="344"/>
      <c r="O21" s="344"/>
      <c r="P21" s="344"/>
      <c r="Q21" s="344"/>
      <c r="R21" s="344"/>
      <c r="S21" s="344"/>
      <c r="T21" s="345"/>
      <c r="AL21" s="289"/>
      <c r="AM21" s="32"/>
      <c r="AN21" s="287"/>
      <c r="AO21" s="4"/>
      <c r="AP21" s="290"/>
      <c r="AQ21" s="267"/>
      <c r="AR21" s="4"/>
      <c r="AS21" s="291"/>
      <c r="AT21" s="304"/>
    </row>
    <row r="22" spans="1:47" ht="15" customHeight="1">
      <c r="A22" s="343"/>
      <c r="B22" s="344"/>
      <c r="C22" s="344"/>
      <c r="D22" s="344"/>
      <c r="E22" s="344"/>
      <c r="F22" s="344"/>
      <c r="G22" s="344"/>
      <c r="H22" s="345"/>
      <c r="M22" s="343"/>
      <c r="N22" s="344"/>
      <c r="O22" s="344"/>
      <c r="P22" s="344"/>
      <c r="Q22" s="344"/>
      <c r="R22" s="344"/>
      <c r="S22" s="344"/>
      <c r="T22" s="345"/>
      <c r="AK22" s="291"/>
      <c r="AL22" s="294"/>
      <c r="AM22" s="293"/>
      <c r="AN22" s="296"/>
      <c r="AO22" s="295"/>
      <c r="AP22" s="297"/>
      <c r="AQ22" s="293"/>
      <c r="AR22" s="292"/>
      <c r="AS22" s="291"/>
      <c r="AT22" s="304"/>
    </row>
    <row r="23" spans="1:47" ht="15.75" customHeight="1" thickBot="1">
      <c r="A23" s="36" t="s">
        <v>116</v>
      </c>
      <c r="B23" s="36" t="s">
        <v>117</v>
      </c>
      <c r="C23" s="36" t="s">
        <v>162</v>
      </c>
      <c r="D23" s="36" t="s">
        <v>119</v>
      </c>
      <c r="E23" s="36" t="s">
        <v>120</v>
      </c>
      <c r="F23" s="36" t="s">
        <v>118</v>
      </c>
      <c r="G23" s="36" t="s">
        <v>121</v>
      </c>
      <c r="H23" s="36" t="s">
        <v>122</v>
      </c>
      <c r="M23" s="36" t="s">
        <v>116</v>
      </c>
      <c r="N23" s="36" t="s">
        <v>117</v>
      </c>
      <c r="O23" s="36" t="s">
        <v>162</v>
      </c>
      <c r="P23" s="36" t="s">
        <v>119</v>
      </c>
      <c r="Q23" s="36" t="s">
        <v>120</v>
      </c>
      <c r="R23" s="36" t="s">
        <v>118</v>
      </c>
      <c r="S23" s="36" t="s">
        <v>121</v>
      </c>
      <c r="T23" s="36" t="s">
        <v>122</v>
      </c>
      <c r="AK23" s="291"/>
      <c r="AL23" s="294"/>
      <c r="AM23" s="293"/>
      <c r="AN23" s="296"/>
      <c r="AO23" s="295"/>
      <c r="AP23" s="297"/>
      <c r="AQ23" s="293"/>
      <c r="AR23" s="292"/>
      <c r="AS23" s="291"/>
      <c r="AT23" s="294"/>
      <c r="AU23" s="291"/>
    </row>
    <row r="24" spans="1:47" ht="15" customHeight="1" thickBot="1">
      <c r="A24" s="795"/>
      <c r="B24" s="796"/>
      <c r="C24" s="796"/>
      <c r="D24" s="796"/>
      <c r="E24" s="796"/>
      <c r="F24" s="796"/>
      <c r="G24" s="796"/>
      <c r="H24" s="797"/>
      <c r="M24" s="795"/>
      <c r="N24" s="796"/>
      <c r="O24" s="796"/>
      <c r="P24" s="796"/>
      <c r="Q24" s="796"/>
      <c r="R24" s="796"/>
      <c r="S24" s="796"/>
      <c r="T24" s="797"/>
      <c r="AK24" s="291"/>
      <c r="AL24" s="294"/>
      <c r="AM24" s="293"/>
      <c r="AN24" s="296"/>
      <c r="AO24" s="295"/>
      <c r="AP24" s="297"/>
      <c r="AQ24" s="293"/>
      <c r="AR24" s="292"/>
      <c r="AS24" s="291"/>
      <c r="AU24" s="291"/>
    </row>
    <row r="25" spans="1:47" ht="15" customHeight="1">
      <c r="A25" s="40">
        <v>0.6</v>
      </c>
      <c r="B25" s="41">
        <v>2</v>
      </c>
      <c r="C25" s="47">
        <f>((((A25*1)+(B25*2))*MATERIALES!$C$26)+((A25*3)*MATERIALES!$C$28)+((B25*2)*MATERIALES!$C$27))*MATERIALES!$F$2</f>
        <v>5400.55152</v>
      </c>
      <c r="D25" s="58">
        <f>(2*MATERIALES!$C$146)+(12*MATERIALES!$C$158)+(12*MATERIALES!$C$159)+((8*2)*MATERIALES!$C$145)+(3*MATERIALES!$C$160)+(((B25*2)+(A25*1))*MATERIALES!$C$149)+(((A25*4)+(B25*2))*MATERIALES!$C$141)+(1*MATERIALES!$C$162)+(((A25*5)*2)*MATERIALES!$C$147)+(4*MATERIALES!$C$148)</f>
        <v>1838.6472000000001</v>
      </c>
      <c r="E25" s="74"/>
      <c r="F25" s="54">
        <f>(A25*B25)*MATERIALES!$D$82</f>
        <v>636</v>
      </c>
      <c r="G25" s="47">
        <f>SUM(C25:F25)</f>
        <v>7875.1987200000003</v>
      </c>
      <c r="H25" s="49">
        <f t="shared" ref="H25:H32" si="2">(SUM(C25:E25)*1.3)+(F25*2)</f>
        <v>10682.958336000002</v>
      </c>
      <c r="M25" s="40">
        <v>0.6</v>
      </c>
      <c r="N25" s="41">
        <v>2</v>
      </c>
      <c r="O25" s="47">
        <f>((((M25*1)+(N25*2))*MATERIALES!$C$26)+((M25*3)*MATERIALES!$C$28)+((N25*2)*MATERIALES!$C$27)+(((M25-0.2)*MATERIALES!$C$30)*((N25/2)/0.12)))*MATERIALES!$F$2</f>
        <v>7558.3435200000004</v>
      </c>
      <c r="P25" s="58">
        <f>(2*MATERIALES!$C$146)+(12*MATERIALES!$C$158)+(12*MATERIALES!$C$159)+((8*2)*MATERIALES!$C$145)+(3*MATERIALES!$C$160)+(((N25*2)+(M25*1))*MATERIALES!$C$149)+(((M25*2)+((N25/2)*2))*MATERIALES!$C$141)+(((M25*2)+((N25/2)*2))*MATERIALES!$C$165)+(1*MATERIALES!$C$162)+(((M25*5)*2)*MATERIALES!$C$147)+(4*MATERIALES!$C$148)+(0.25*MATERIALES!$C$167)</f>
        <v>1906.8972000000001</v>
      </c>
      <c r="Q25" s="74"/>
      <c r="R25" s="54">
        <f>(M25*(N25/2))*MATERIALES!$D$82</f>
        <v>318</v>
      </c>
      <c r="S25" s="47">
        <f>SUM(O25:R25)</f>
        <v>9783.2407199999998</v>
      </c>
      <c r="T25" s="49">
        <f t="shared" ref="T25:T32" si="3">(SUM(O25:Q25)*1.3)+(R25*2)</f>
        <v>12940.812936</v>
      </c>
      <c r="AK25" s="291"/>
      <c r="AL25" s="294"/>
      <c r="AM25" s="293"/>
      <c r="AN25" s="296"/>
      <c r="AO25" s="295"/>
      <c r="AP25" s="297"/>
      <c r="AQ25" s="293"/>
      <c r="AR25" s="292"/>
      <c r="AS25" s="291"/>
      <c r="AT25" s="305"/>
      <c r="AU25" s="291"/>
    </row>
    <row r="26" spans="1:47" ht="15" customHeight="1">
      <c r="A26" s="42">
        <v>0.7</v>
      </c>
      <c r="B26" s="37">
        <v>2</v>
      </c>
      <c r="C26" s="38">
        <f>((((A26*1)+(B26*2))*MATERIALES!$C$26)+((A26*3)*MATERIALES!$C$28)+((B26*2)*MATERIALES!$C$27))*MATERIALES!$F$2</f>
        <v>5630.5922400000009</v>
      </c>
      <c r="D26" s="59">
        <f>(2*MATERIALES!$C$146)+(12*MATERIALES!$C$158)+(12*MATERIALES!$C$159)+((8*2)*MATERIALES!$C$145)+(3*MATERIALES!$C$160)+(((B26*2)+(A26*1))*MATERIALES!$C$149)+(((A26*4)+(B26*2))*MATERIALES!$C$141)+(1*MATERIALES!$C$162)+(((A26*5)*2)*MATERIALES!$C$147)+(4*MATERIALES!$C$148)</f>
        <v>1848.4388000000001</v>
      </c>
      <c r="E26" s="75"/>
      <c r="F26" s="55">
        <f>(A26*B26)*MATERIALES!$D$82</f>
        <v>742</v>
      </c>
      <c r="G26" s="38">
        <f t="shared" ref="G26:G32" si="4">SUM(C26:F26)</f>
        <v>8221.0310400000017</v>
      </c>
      <c r="H26" s="43">
        <f t="shared" si="2"/>
        <v>11206.740352000001</v>
      </c>
      <c r="M26" s="42">
        <v>0.7</v>
      </c>
      <c r="N26" s="37">
        <v>2</v>
      </c>
      <c r="O26" s="38">
        <f>((((M26*1)+(N26*2))*MATERIALES!$C$26)+((M26*3)*MATERIALES!$C$28)+((N26*2)*MATERIALES!$C$27)+(((M26-0.2)*MATERIALES!$C$30)*((N26/2)/0.12)))*MATERIALES!$F$2</f>
        <v>8327.8322399999997</v>
      </c>
      <c r="P26" s="59">
        <f>(2*MATERIALES!$C$146)+(12*MATERIALES!$C$158)+(12*MATERIALES!$C$159)+((8*2)*MATERIALES!$C$145)+(3*MATERIALES!$C$160)+(((N26*2)+(M26*1))*MATERIALES!$C$149)+(((M26*2)+((N26/2)*2))*MATERIALES!$C$141)+(((M26*2)+((N26/2)*2))*MATERIALES!$C$165)+(1*MATERIALES!$C$162)+(((M26*5)*2)*MATERIALES!$C$147)+(4*MATERIALES!$C$148)+(0.25*MATERIALES!$C$167)</f>
        <v>1916.6888000000001</v>
      </c>
      <c r="Q26" s="75"/>
      <c r="R26" s="55">
        <f>(M26*(N26/2))*MATERIALES!$D$82</f>
        <v>371</v>
      </c>
      <c r="S26" s="38">
        <f t="shared" ref="S26:S32" si="5">SUM(O26:R26)</f>
        <v>10615.52104</v>
      </c>
      <c r="T26" s="43">
        <f t="shared" si="3"/>
        <v>14059.877352</v>
      </c>
      <c r="AJ26" s="595">
        <f>+T69</f>
        <v>17157.221968000005</v>
      </c>
      <c r="AK26" s="361"/>
      <c r="AL26" s="596">
        <f>+H112</f>
        <v>18281.598032000002</v>
      </c>
      <c r="AM26" s="361"/>
      <c r="AN26" s="597">
        <f>+H69</f>
        <v>16810.677328000002</v>
      </c>
      <c r="AO26" s="493"/>
      <c r="AP26" s="596">
        <f>+T9</f>
        <v>17855.855888000002</v>
      </c>
      <c r="AQ26" s="361"/>
      <c r="AR26" s="596">
        <f>+H84</f>
        <v>17431.676752000003</v>
      </c>
      <c r="AT26" s="311"/>
      <c r="AU26" s="291"/>
    </row>
    <row r="27" spans="1:47" ht="15" customHeight="1">
      <c r="A27" s="42">
        <v>0.8</v>
      </c>
      <c r="B27" s="37">
        <v>2</v>
      </c>
      <c r="C27" s="38">
        <f>((((A27*1)+(B27*2))*MATERIALES!$C$26)+((A27*3)*MATERIALES!$C$28)+((B27*2)*MATERIALES!$C$27))*MATERIALES!$F$2</f>
        <v>5860.6329600000008</v>
      </c>
      <c r="D27" s="59">
        <f>(2*MATERIALES!$C$146)+(12*MATERIALES!$C$158)+(12*MATERIALES!$C$159)+((8*2)*MATERIALES!$C$145)+(3*MATERIALES!$C$160)+(((B27*2)+(A27*1))*MATERIALES!$C$149)+(((A27*4)+(B27*2))*MATERIALES!$C$141)+(1*MATERIALES!$C$162)+(((A27*5)*2)*MATERIALES!$C$147)+(4*MATERIALES!$C$148)</f>
        <v>1858.2303999999999</v>
      </c>
      <c r="E27" s="75"/>
      <c r="F27" s="55">
        <f>(A27*B27)*MATERIALES!$D$82</f>
        <v>848</v>
      </c>
      <c r="G27" s="38">
        <f t="shared" si="4"/>
        <v>8566.8633600000012</v>
      </c>
      <c r="H27" s="43">
        <f t="shared" si="2"/>
        <v>11730.522368000002</v>
      </c>
      <c r="M27" s="42">
        <v>0.8</v>
      </c>
      <c r="N27" s="37">
        <v>2</v>
      </c>
      <c r="O27" s="38">
        <f>((((M27*1)+(N27*2))*MATERIALES!$C$26)+((M27*3)*MATERIALES!$C$28)+((N27*2)*MATERIALES!$C$27)+(((M27-0.2)*MATERIALES!$C$30)*((N27/2)/0.12)))*MATERIALES!$F$2</f>
        <v>9097.3209600000027</v>
      </c>
      <c r="P27" s="59">
        <f>(2*MATERIALES!$C$146)+(12*MATERIALES!$C$158)+(12*MATERIALES!$C$159)+((8*2)*MATERIALES!$C$145)+(3*MATERIALES!$C$160)+(((N27*2)+(M27*1))*MATERIALES!$C$149)+(((M27*2)+((N27/2)*2))*MATERIALES!$C$141)+(((M27*2)+((N27/2)*2))*MATERIALES!$C$165)+(1*MATERIALES!$C$162)+(((M27*5)*2)*MATERIALES!$C$147)+(4*MATERIALES!$C$148)+(0.25*MATERIALES!$C$167)</f>
        <v>1926.4803999999999</v>
      </c>
      <c r="Q27" s="75"/>
      <c r="R27" s="55">
        <f>(M27*(N27/2))*MATERIALES!$D$82</f>
        <v>424</v>
      </c>
      <c r="S27" s="38">
        <f t="shared" si="5"/>
        <v>11447.801360000003</v>
      </c>
      <c r="T27" s="43">
        <f t="shared" si="3"/>
        <v>15178.941768000004</v>
      </c>
      <c r="AK27" s="291"/>
      <c r="AM27" s="293"/>
      <c r="AO27" s="295"/>
      <c r="AQ27" s="293"/>
      <c r="AT27" s="294"/>
    </row>
    <row r="28" spans="1:47" ht="15" customHeight="1">
      <c r="A28" s="42">
        <v>0.9</v>
      </c>
      <c r="B28" s="37">
        <v>2</v>
      </c>
      <c r="C28" s="38">
        <f>((((A28*1)+(B28*2))*MATERIALES!$C$26)+((A28*3)*MATERIALES!$C$28)+((B28*2)*MATERIALES!$C$27))*MATERIALES!$F$2</f>
        <v>6090.6736799999999</v>
      </c>
      <c r="D28" s="59">
        <f>(2*MATERIALES!$C$146)+(12*MATERIALES!$C$158)+(12*MATERIALES!$C$159)+((8*2)*MATERIALES!$C$145)+(3*MATERIALES!$C$160)+(((B28*2)+(A28*1))*MATERIALES!$C$149)+(((A28*4)+(B28*2))*MATERIALES!$C$141)+(1*MATERIALES!$C$162)+(((A28*5)*2)*MATERIALES!$C$147)+(4*MATERIALES!$C$148)</f>
        <v>1868.0220000000002</v>
      </c>
      <c r="E28" s="75"/>
      <c r="F28" s="55">
        <f>(A28*B28)*MATERIALES!$D$82</f>
        <v>954</v>
      </c>
      <c r="G28" s="38">
        <f t="shared" si="4"/>
        <v>8912.6956800000007</v>
      </c>
      <c r="H28" s="43">
        <f t="shared" si="2"/>
        <v>12254.304384000001</v>
      </c>
      <c r="M28" s="42">
        <v>0.9</v>
      </c>
      <c r="N28" s="37">
        <v>2</v>
      </c>
      <c r="O28" s="38">
        <f>((((M28*1)+(N28*2))*MATERIALES!$C$26)+((M28*3)*MATERIALES!$C$28)+((N28*2)*MATERIALES!$C$27)+(((M28-0.2)*MATERIALES!$C$30)*((N28/2)/0.12)))*MATERIALES!$F$2</f>
        <v>9866.8096800000003</v>
      </c>
      <c r="P28" s="59">
        <f>(2*MATERIALES!$C$146)+(12*MATERIALES!$C$158)+(12*MATERIALES!$C$159)+((8*2)*MATERIALES!$C$145)+(3*MATERIALES!$C$160)+(((N28*2)+(M28*1))*MATERIALES!$C$149)+(((M28*2)+((N28/2)*2))*MATERIALES!$C$141)+(((M28*2)+((N28/2)*2))*MATERIALES!$C$165)+(1*MATERIALES!$C$162)+(((M28*5)*2)*MATERIALES!$C$147)+(4*MATERIALES!$C$148)+(0.25*MATERIALES!$C$167)</f>
        <v>1936.2720000000002</v>
      </c>
      <c r="Q28" s="75"/>
      <c r="R28" s="55">
        <f>(M28*(N28/2))*MATERIALES!$D$82</f>
        <v>477</v>
      </c>
      <c r="S28" s="38">
        <f t="shared" si="5"/>
        <v>12280.081680000001</v>
      </c>
      <c r="T28" s="43">
        <f t="shared" si="3"/>
        <v>16298.006184000002</v>
      </c>
      <c r="AJ28" s="337" t="s">
        <v>644</v>
      </c>
      <c r="AK28" s="339"/>
      <c r="AL28" s="335" t="s">
        <v>637</v>
      </c>
      <c r="AM28" s="340"/>
      <c r="AN28" s="335" t="s">
        <v>638</v>
      </c>
      <c r="AO28" s="341"/>
      <c r="AP28" s="335" t="s">
        <v>639</v>
      </c>
      <c r="AQ28" s="340"/>
      <c r="AR28" s="335" t="s">
        <v>640</v>
      </c>
      <c r="AT28" s="289"/>
    </row>
    <row r="29" spans="1:47" ht="15" customHeight="1">
      <c r="A29" s="42">
        <v>0.6</v>
      </c>
      <c r="B29" s="37">
        <v>2.1</v>
      </c>
      <c r="C29" s="38">
        <f>((((A29*1)+(B29*2))*MATERIALES!$C$26)+((A29*3)*MATERIALES!$C$28)+((B29*2)*MATERIALES!$C$27))*MATERIALES!$F$2</f>
        <v>5601.5668800000003</v>
      </c>
      <c r="D29" s="59">
        <f>(2*MATERIALES!$C$146)+(12*MATERIALES!$C$158)+(12*MATERIALES!$C$159)+((8*2)*MATERIALES!$C$145)+(3*MATERIALES!$C$160)+(((B29*2)+(A29*1))*MATERIALES!$C$149)+(((A29*4)+(B29*2))*MATERIALES!$C$141)+(1*MATERIALES!$C$162)+(((A29*5)*2)*MATERIALES!$C$147)+(4*MATERIALES!$C$148)</f>
        <v>1845.4259199999999</v>
      </c>
      <c r="E29" s="75"/>
      <c r="F29" s="55">
        <f>(A29*B29)*MATERIALES!$D$82</f>
        <v>667.8</v>
      </c>
      <c r="G29" s="38">
        <f t="shared" si="4"/>
        <v>8114.7928000000002</v>
      </c>
      <c r="H29" s="43">
        <f t="shared" si="2"/>
        <v>11016.690640000001</v>
      </c>
      <c r="M29" s="42">
        <v>0.6</v>
      </c>
      <c r="N29" s="37">
        <v>2.1</v>
      </c>
      <c r="O29" s="38">
        <f>((((M29*1)+(N29*2))*MATERIALES!$C$26)+((M29*3)*MATERIALES!$C$28)+((N29*2)*MATERIALES!$C$27)+(((M29-0.2)*MATERIALES!$C$30)*((N29/2)/0.12)))*MATERIALES!$F$2</f>
        <v>7867.2484800000011</v>
      </c>
      <c r="P29" s="59">
        <f>(2*MATERIALES!$C$146)+(12*MATERIALES!$C$158)+(12*MATERIALES!$C$159)+((8*2)*MATERIALES!$C$145)+(3*MATERIALES!$C$160)+(((N29*2)+(M29*1))*MATERIALES!$C$149)+(((M29*2)+((N29/2)*2))*MATERIALES!$C$141)+(((M29*2)+((N29/2)*2))*MATERIALES!$C$165)+(1*MATERIALES!$C$162)+(((M29*5)*2)*MATERIALES!$C$147)+(4*MATERIALES!$C$148)+(0.25*MATERIALES!$C$167)</f>
        <v>1913.6759199999999</v>
      </c>
      <c r="Q29" s="75"/>
      <c r="R29" s="55">
        <f>(M29*(N29/2))*MATERIALES!$D$82</f>
        <v>333.9</v>
      </c>
      <c r="S29" s="38">
        <f t="shared" si="5"/>
        <v>10114.824400000001</v>
      </c>
      <c r="T29" s="43">
        <f t="shared" si="3"/>
        <v>13383.001720000002</v>
      </c>
      <c r="AK29" s="291"/>
      <c r="AL29" s="305"/>
      <c r="AM29" s="298"/>
      <c r="AN29" s="306"/>
      <c r="AO29" s="307"/>
      <c r="AP29" s="308"/>
      <c r="AQ29" s="309"/>
      <c r="AR29" s="310"/>
      <c r="AT29" s="294"/>
    </row>
    <row r="30" spans="1:47" ht="15" customHeight="1">
      <c r="A30" s="42">
        <v>0.7</v>
      </c>
      <c r="B30" s="37">
        <v>2.1</v>
      </c>
      <c r="C30" s="38">
        <f>((((A30*1)+(B30*2))*MATERIALES!$C$26)+((A30*3)*MATERIALES!$C$28)+((B30*2)*MATERIALES!$C$27))*MATERIALES!$F$2</f>
        <v>5831.6076000000012</v>
      </c>
      <c r="D30" s="59">
        <f>(2*MATERIALES!$C$146)+(12*MATERIALES!$C$158)+(12*MATERIALES!$C$159)+((8*2)*MATERIALES!$C$145)+(3*MATERIALES!$C$160)+(((B30*2)+(A30*1))*MATERIALES!$C$149)+(((A30*4)+(B30*2))*MATERIALES!$C$141)+(1*MATERIALES!$C$162)+(((A30*5)*2)*MATERIALES!$C$147)+(4*MATERIALES!$C$148)</f>
        <v>1855.2175200000001</v>
      </c>
      <c r="E30" s="75"/>
      <c r="F30" s="55">
        <f>(A30*B30)*MATERIALES!$D$82</f>
        <v>779.1</v>
      </c>
      <c r="G30" s="38">
        <f t="shared" si="4"/>
        <v>8465.9251200000017</v>
      </c>
      <c r="H30" s="43">
        <f t="shared" si="2"/>
        <v>11551.072656000002</v>
      </c>
      <c r="M30" s="42">
        <v>0.7</v>
      </c>
      <c r="N30" s="37">
        <v>2.1</v>
      </c>
      <c r="O30" s="38">
        <f>((((M30*1)+(N30*2))*MATERIALES!$C$26)+((M30*3)*MATERIALES!$C$28)+((N30*2)*MATERIALES!$C$27)+(((M30-0.2)*MATERIALES!$C$30)*((N30/2)/0.12)))*MATERIALES!$F$2</f>
        <v>8663.709600000002</v>
      </c>
      <c r="P30" s="59">
        <f>(2*MATERIALES!$C$146)+(12*MATERIALES!$C$158)+(12*MATERIALES!$C$159)+((8*2)*MATERIALES!$C$145)+(3*MATERIALES!$C$160)+(((N30*2)+(M30*1))*MATERIALES!$C$149)+(((M30*2)+((N30/2)*2))*MATERIALES!$C$141)+(((M30*2)+((N30/2)*2))*MATERIALES!$C$165)+(1*MATERIALES!$C$162)+(((M30*5)*2)*MATERIALES!$C$147)+(4*MATERIALES!$C$148)+(0.25*MATERIALES!$C$167)</f>
        <v>1923.4675200000001</v>
      </c>
      <c r="Q30" s="75"/>
      <c r="R30" s="55">
        <f>(M30*(N30/2))*MATERIALES!$D$82</f>
        <v>389.55</v>
      </c>
      <c r="S30" s="38">
        <f t="shared" si="5"/>
        <v>10976.727120000001</v>
      </c>
      <c r="T30" s="43">
        <f t="shared" si="3"/>
        <v>14542.430256000003</v>
      </c>
      <c r="AM30" s="32"/>
      <c r="AN30" s="287"/>
      <c r="AO30" s="295"/>
      <c r="AP30" s="290"/>
      <c r="AQ30" s="293"/>
      <c r="AR30" s="4"/>
    </row>
    <row r="31" spans="1:47" ht="15" customHeight="1">
      <c r="A31" s="42">
        <v>0.8</v>
      </c>
      <c r="B31" s="37">
        <v>2.1</v>
      </c>
      <c r="C31" s="38">
        <f>((((A31*1)+(B31*2))*MATERIALES!$C$26)+((A31*3)*MATERIALES!$C$28)+((B31*2)*MATERIALES!$C$27))*MATERIALES!$F$2</f>
        <v>6061.6483200000011</v>
      </c>
      <c r="D31" s="59">
        <f>(2*MATERIALES!$C$146)+(12*MATERIALES!$C$158)+(12*MATERIALES!$C$159)+((8*2)*MATERIALES!$C$145)+(3*MATERIALES!$C$160)+(((B31*2)+(A31*1))*MATERIALES!$C$149)+(((A31*4)+(B31*2))*MATERIALES!$C$141)+(1*MATERIALES!$C$162)+(((A31*5)*2)*MATERIALES!$C$147)+(4*MATERIALES!$C$148)</f>
        <v>1865.0091200000002</v>
      </c>
      <c r="E31" s="75"/>
      <c r="F31" s="55">
        <f>(A31*B31)*MATERIALES!$D$82</f>
        <v>890.40000000000009</v>
      </c>
      <c r="G31" s="38">
        <f t="shared" si="4"/>
        <v>8817.0574400000005</v>
      </c>
      <c r="H31" s="43">
        <f t="shared" si="2"/>
        <v>12085.454672</v>
      </c>
      <c r="M31" s="42">
        <v>0.8</v>
      </c>
      <c r="N31" s="37">
        <v>2.1</v>
      </c>
      <c r="O31" s="38">
        <f>((((M31*1)+(N31*2))*MATERIALES!$C$26)+((M31*3)*MATERIALES!$C$28)+((N31*2)*MATERIALES!$C$27)+(((M31-0.2)*MATERIALES!$C$30)*((N31/2)/0.12)))*MATERIALES!$F$2</f>
        <v>9460.1707200000019</v>
      </c>
      <c r="P31" s="59">
        <f>(2*MATERIALES!$C$146)+(12*MATERIALES!$C$158)+(12*MATERIALES!$C$159)+((8*2)*MATERIALES!$C$145)+(3*MATERIALES!$C$160)+(((N31*2)+(M31*1))*MATERIALES!$C$149)+(((M31*2)+((N31/2)*2))*MATERIALES!$C$141)+(((M31*2)+((N31/2)*2))*MATERIALES!$C$165)+(1*MATERIALES!$C$162)+(((M31*5)*2)*MATERIALES!$C$147)+(4*MATERIALES!$C$148)+(0.25*MATERIALES!$C$167)</f>
        <v>1933.2591200000002</v>
      </c>
      <c r="Q31" s="75"/>
      <c r="R31" s="55">
        <f>(M31*(N31/2))*MATERIALES!$D$82</f>
        <v>445.20000000000005</v>
      </c>
      <c r="S31" s="38">
        <f t="shared" si="5"/>
        <v>11838.629840000003</v>
      </c>
      <c r="T31" s="43">
        <f t="shared" si="3"/>
        <v>15701.858792000003</v>
      </c>
      <c r="AM31" s="32"/>
      <c r="AN31" s="287"/>
      <c r="AO31" s="295"/>
      <c r="AP31" s="290"/>
      <c r="AQ31" s="293"/>
      <c r="AR31" s="4"/>
    </row>
    <row r="32" spans="1:47" ht="15" customHeight="1" thickBot="1">
      <c r="A32" s="44">
        <v>0.9</v>
      </c>
      <c r="B32" s="45">
        <v>2.1</v>
      </c>
      <c r="C32" s="50">
        <f>((((A32*1)+(B32*2))*MATERIALES!$C$26)+((A32*3)*MATERIALES!$C$28)+((B32*2)*MATERIALES!$C$27))*MATERIALES!$F$2</f>
        <v>6291.6890400000011</v>
      </c>
      <c r="D32" s="60">
        <f>(2*MATERIALES!$C$146)+(12*MATERIALES!$C$158)+(12*MATERIALES!$C$159)+((8*2)*MATERIALES!$C$145)+(3*MATERIALES!$C$160)+(((B32*2)+(A32*1))*MATERIALES!$C$149)+(((A32*4)+(B32*2))*MATERIALES!$C$141)+(1*MATERIALES!$C$162)+(((A32*5)*2)*MATERIALES!$C$147)+(4*MATERIALES!$C$148)</f>
        <v>1874.80072</v>
      </c>
      <c r="E32" s="76"/>
      <c r="F32" s="56">
        <f>(A32*B32)*MATERIALES!$D$82</f>
        <v>1001.7</v>
      </c>
      <c r="G32" s="50">
        <f t="shared" si="4"/>
        <v>9168.1897600000011</v>
      </c>
      <c r="H32" s="52">
        <f t="shared" si="2"/>
        <v>12619.836688000001</v>
      </c>
      <c r="M32" s="44">
        <v>0.9</v>
      </c>
      <c r="N32" s="45">
        <v>2.1</v>
      </c>
      <c r="O32" s="50">
        <f>((((M32*1)+(N32*2))*MATERIALES!$C$26)+((M32*3)*MATERIALES!$C$28)+((N32*2)*MATERIALES!$C$27)+(((M32-0.2)*MATERIALES!$C$30)*((N32/2)/0.12)))*MATERIALES!$F$2</f>
        <v>10256.63184</v>
      </c>
      <c r="P32" s="60">
        <f>(2*MATERIALES!$C$146)+(12*MATERIALES!$C$158)+(12*MATERIALES!$C$159)+((8*2)*MATERIALES!$C$145)+(3*MATERIALES!$C$160)+(((N32*2)+(M32*1))*MATERIALES!$C$149)+(((M32*2)+((N32/2)*2))*MATERIALES!$C$141)+(((M32*2)+((N32/2)*2))*MATERIALES!$C$165)+(1*MATERIALES!$C$162)+(((M32*5)*2)*MATERIALES!$C$147)+(4*MATERIALES!$C$148)+(0.25*MATERIALES!$C$167)</f>
        <v>1943.05072</v>
      </c>
      <c r="Q32" s="76"/>
      <c r="R32" s="56">
        <f>(M32*(N32/2))*MATERIALES!$D$82</f>
        <v>500.85</v>
      </c>
      <c r="S32" s="50">
        <f t="shared" si="5"/>
        <v>12700.53256</v>
      </c>
      <c r="T32" s="52">
        <f t="shared" si="3"/>
        <v>16861.287327999999</v>
      </c>
      <c r="AM32" s="32"/>
      <c r="AO32" s="295"/>
      <c r="AQ32" s="298"/>
      <c r="AU32" s="303"/>
    </row>
    <row r="33" spans="1:47" ht="15.75" customHeight="1">
      <c r="AM33" s="32"/>
      <c r="AO33" s="295"/>
      <c r="AQ33" s="298"/>
      <c r="AS33" s="291"/>
      <c r="AT33" s="4"/>
    </row>
    <row r="34" spans="1:47" ht="15.75" customHeight="1" thickBot="1">
      <c r="AM34" s="32"/>
      <c r="AO34" s="312"/>
      <c r="AQ34" s="32"/>
      <c r="AS34" s="291"/>
      <c r="AT34" s="292"/>
      <c r="AU34" s="291"/>
    </row>
    <row r="35" spans="1:47" ht="15.75" customHeight="1" thickBot="1">
      <c r="A35" s="32"/>
      <c r="B35" s="32"/>
      <c r="C35" s="801">
        <v>0.2</v>
      </c>
      <c r="D35" s="802"/>
      <c r="E35" s="803"/>
      <c r="F35" s="61">
        <v>1</v>
      </c>
      <c r="G35" s="32"/>
      <c r="H35" s="46" t="s">
        <v>163</v>
      </c>
      <c r="M35" s="32"/>
      <c r="N35" s="32"/>
      <c r="O35" s="801">
        <v>0.2</v>
      </c>
      <c r="P35" s="802"/>
      <c r="Q35" s="803"/>
      <c r="R35" s="61">
        <v>1</v>
      </c>
      <c r="S35" s="32"/>
      <c r="T35" s="46" t="s">
        <v>163</v>
      </c>
      <c r="AS35" s="291"/>
      <c r="AT35" s="292"/>
      <c r="AU35" s="291"/>
    </row>
    <row r="36" spans="1:47" ht="15" customHeight="1" thickBot="1">
      <c r="A36" s="792" t="s">
        <v>204</v>
      </c>
      <c r="B36" s="793"/>
      <c r="C36" s="793"/>
      <c r="D36" s="793"/>
      <c r="E36" s="793"/>
      <c r="F36" s="793"/>
      <c r="G36" s="793"/>
      <c r="H36" s="794"/>
      <c r="M36" s="792" t="s">
        <v>210</v>
      </c>
      <c r="N36" s="793"/>
      <c r="O36" s="793"/>
      <c r="P36" s="793"/>
      <c r="Q36" s="793"/>
      <c r="R36" s="793"/>
      <c r="S36" s="793"/>
      <c r="T36" s="794"/>
      <c r="U36" s="64" t="s">
        <v>211</v>
      </c>
      <c r="AL36" s="313"/>
      <c r="AM36" s="288"/>
      <c r="AN36" s="314"/>
      <c r="AP36" s="315"/>
      <c r="AQ36" s="267"/>
      <c r="AR36" s="316"/>
      <c r="AS36" s="291"/>
      <c r="AT36" s="310"/>
      <c r="AU36" s="291"/>
    </row>
    <row r="37" spans="1:47" ht="15.75" customHeight="1" thickBot="1">
      <c r="A37" s="36" t="s">
        <v>116</v>
      </c>
      <c r="B37" s="36" t="s">
        <v>117</v>
      </c>
      <c r="C37" s="36" t="s">
        <v>162</v>
      </c>
      <c r="D37" s="36" t="s">
        <v>119</v>
      </c>
      <c r="E37" s="36" t="s">
        <v>120</v>
      </c>
      <c r="F37" s="36" t="s">
        <v>118</v>
      </c>
      <c r="G37" s="36" t="s">
        <v>121</v>
      </c>
      <c r="H37" s="36" t="s">
        <v>122</v>
      </c>
      <c r="M37" s="36" t="s">
        <v>116</v>
      </c>
      <c r="N37" s="36" t="s">
        <v>117</v>
      </c>
      <c r="O37" s="36" t="s">
        <v>162</v>
      </c>
      <c r="P37" s="36" t="s">
        <v>119</v>
      </c>
      <c r="Q37" s="36" t="s">
        <v>120</v>
      </c>
      <c r="R37" s="36" t="s">
        <v>118</v>
      </c>
      <c r="S37" s="36" t="s">
        <v>121</v>
      </c>
      <c r="T37" s="36" t="s">
        <v>122</v>
      </c>
      <c r="AL37" s="313"/>
      <c r="AM37" s="288"/>
      <c r="AN37" s="314"/>
      <c r="AP37" s="315"/>
      <c r="AQ37" s="267"/>
      <c r="AR37" s="316"/>
      <c r="AT37" s="310"/>
      <c r="AU37" s="291"/>
    </row>
    <row r="38" spans="1:47" ht="15" customHeight="1" thickBot="1">
      <c r="A38" s="795"/>
      <c r="B38" s="796"/>
      <c r="C38" s="796"/>
      <c r="D38" s="796"/>
      <c r="E38" s="796"/>
      <c r="F38" s="796"/>
      <c r="G38" s="796"/>
      <c r="H38" s="797"/>
      <c r="M38" s="795"/>
      <c r="N38" s="796"/>
      <c r="O38" s="796"/>
      <c r="P38" s="796"/>
      <c r="Q38" s="796"/>
      <c r="R38" s="796"/>
      <c r="S38" s="796"/>
      <c r="T38" s="797"/>
      <c r="AL38" s="313"/>
      <c r="AM38" s="288"/>
      <c r="AN38" s="314"/>
      <c r="AP38" s="315"/>
      <c r="AQ38" s="267"/>
      <c r="AR38" s="316"/>
      <c r="AT38" s="4"/>
    </row>
    <row r="39" spans="1:47" ht="15" customHeight="1">
      <c r="A39" s="40">
        <v>0.6</v>
      </c>
      <c r="B39" s="41">
        <v>2</v>
      </c>
      <c r="C39" s="47">
        <f>((((A39*1)+(B39*2))*MATERIALES!$C$26)+((A39*2)*MATERIALES!$C$28)+((B39*2)*MATERIALES!$C$28)+((B39*2)*MATERIALES!$C$27))*MATERIALES!$F$2</f>
        <v>7521.3028800000002</v>
      </c>
      <c r="D39" s="58">
        <f>(2*MATERIALES!$C$146)+(16*MATERIALES!$C$158)+(16*MATERIALES!$C$159)+((8*2)*MATERIALES!$C$145)+(3*MATERIALES!$C$160)+(((B39*2)+(A39*1))*MATERIALES!$C$149)+(((A39*2)+(B39*6))*MATERIALES!$C$141)+(1*MATERIALES!$C$162)+(((A39*5)*2)*MATERIALES!$C$147)+(4*MATERIALES!$C$148)</f>
        <v>2044.08464</v>
      </c>
      <c r="E39" s="74"/>
      <c r="F39" s="54">
        <f>(A39*B39)*MATERIALES!$D$82</f>
        <v>636</v>
      </c>
      <c r="G39" s="47">
        <f>SUM(C39:F39)</f>
        <v>10201.38752</v>
      </c>
      <c r="H39" s="49">
        <f t="shared" ref="H39:H46" si="6">(SUM(C39:E39)*1.3)+(F39*2)</f>
        <v>13707.003776000001</v>
      </c>
      <c r="M39" s="40">
        <v>0.6</v>
      </c>
      <c r="N39" s="41">
        <v>2</v>
      </c>
      <c r="O39" s="47">
        <f>((((M39*1)+(N39*2))*MATERIALES!$C$26)+((M39*5)*MATERIALES!$C$28)+((N39*2)*MATERIALES!$C$27))*MATERIALES!$F$2</f>
        <v>6149.0520000000006</v>
      </c>
      <c r="P39" s="58">
        <f>(2*MATERIALES!$C$146)+(12*MATERIALES!$C$158)+(12*MATERIALES!$C$159)+((8*2)*MATERIALES!$C$145)+(3*MATERIALES!$C$160)+(((N39*2)+(M39*1))*MATERIALES!$C$149)+(((M39*8)+(N39*2))*MATERIALES!$C$141)+(1*MATERIALES!$C$162)+(((M39*5)*2)*MATERIALES!$C$147)+(4*MATERIALES!$C$148)</f>
        <v>1889.8651200000002</v>
      </c>
      <c r="Q39" s="74"/>
      <c r="R39" s="54">
        <f>(M39*N39)*MATERIALES!$D$82</f>
        <v>636</v>
      </c>
      <c r="S39" s="47">
        <f>SUM(O39:R39)</f>
        <v>8674.9171200000019</v>
      </c>
      <c r="T39" s="49">
        <f>(SUM(O39:Q39)*1.3)+(R39*2)</f>
        <v>11722.592256000002</v>
      </c>
      <c r="AJ39" s="595">
        <f>+H98</f>
        <v>18999.039824000003</v>
      </c>
      <c r="AK39" s="496"/>
      <c r="AL39" s="597">
        <f>+T27</f>
        <v>15178.941768000004</v>
      </c>
      <c r="AM39" s="497"/>
      <c r="AN39" s="596">
        <f>+T41</f>
        <v>13116.700928000002</v>
      </c>
      <c r="AO39" s="496"/>
      <c r="AP39" s="596">
        <f>+T98</f>
        <v>14368.139168000002</v>
      </c>
      <c r="AQ39" s="498"/>
      <c r="AR39" s="596">
        <f>+T112</f>
        <v>17786.277736000004</v>
      </c>
      <c r="AT39" s="4"/>
    </row>
    <row r="40" spans="1:47" ht="15" customHeight="1">
      <c r="A40" s="42">
        <v>0.7</v>
      </c>
      <c r="B40" s="37">
        <v>2</v>
      </c>
      <c r="C40" s="38">
        <f>((((A40*1)+(B40*2))*MATERIALES!$C$26)+((A40*2)*MATERIALES!$C$28)+((B40*2)*MATERIALES!$C$28)+((B40*2)*MATERIALES!$C$27))*MATERIALES!$F$2</f>
        <v>7688.9685600000012</v>
      </c>
      <c r="D40" s="59">
        <f>(2*MATERIALES!$C$146)+(16*MATERIALES!$C$158)+(16*MATERIALES!$C$159)+((8*2)*MATERIALES!$C$145)+(3*MATERIALES!$C$160)+(((B40*2)+(A40*1))*MATERIALES!$C$149)+(((A40*2)+(B40*6))*MATERIALES!$C$141)+(1*MATERIALES!$C$162)+(((A40*5)*2)*MATERIALES!$C$147)+(4*MATERIALES!$C$148)</f>
        <v>2049.60808</v>
      </c>
      <c r="E40" s="75"/>
      <c r="F40" s="55">
        <f>(A40*B40)*MATERIALES!$D$82</f>
        <v>742</v>
      </c>
      <c r="G40" s="38">
        <f t="shared" ref="G40:G46" si="7">SUM(C40:F40)</f>
        <v>10480.576640000001</v>
      </c>
      <c r="H40" s="43">
        <f t="shared" si="6"/>
        <v>14144.149632000002</v>
      </c>
      <c r="M40" s="42">
        <v>0.7</v>
      </c>
      <c r="N40" s="37">
        <v>2</v>
      </c>
      <c r="O40" s="38">
        <f>((((M40*1)+(N40*2))*MATERIALES!$C$26)+((M40*5)*MATERIALES!$C$28)+((N40*2)*MATERIALES!$C$27))*MATERIALES!$F$2</f>
        <v>6503.8428000000013</v>
      </c>
      <c r="P40" s="59">
        <f>(2*MATERIALES!$C$146)+(12*MATERIALES!$C$158)+(12*MATERIALES!$C$159)+((8*2)*MATERIALES!$C$145)+(3*MATERIALES!$C$160)+(((N40*2)+(M40*1))*MATERIALES!$C$149)+(((M40*8)+(N40*2))*MATERIALES!$C$141)+(1*MATERIALES!$C$162)+(((M40*5)*2)*MATERIALES!$C$147)+(4*MATERIALES!$C$148)</f>
        <v>1908.1930400000001</v>
      </c>
      <c r="Q40" s="75"/>
      <c r="R40" s="55">
        <f>(M40*N40)*MATERIALES!$D$82</f>
        <v>742</v>
      </c>
      <c r="S40" s="38">
        <f t="shared" ref="S40:S46" si="8">SUM(O40:R40)</f>
        <v>9154.0358400000005</v>
      </c>
      <c r="T40" s="43">
        <f>(SUM(O40:Q40)*1.3)+(R40*2)</f>
        <v>12419.646592000001</v>
      </c>
      <c r="AL40" s="313"/>
      <c r="AM40" s="288"/>
      <c r="AN40" s="314"/>
      <c r="AP40" s="315"/>
      <c r="AQ40" s="267"/>
      <c r="AR40" s="316"/>
      <c r="AT40" s="4"/>
    </row>
    <row r="41" spans="1:47" ht="15" customHeight="1">
      <c r="A41" s="42">
        <v>0.8</v>
      </c>
      <c r="B41" s="37">
        <v>2</v>
      </c>
      <c r="C41" s="38">
        <f>((((A41*1)+(B41*2))*MATERIALES!$C$26)+((A41*2)*MATERIALES!$C$28)+((B41*2)*MATERIALES!$C$28)+((B41*2)*MATERIALES!$C$27))*MATERIALES!$F$2</f>
        <v>7856.6342400000012</v>
      </c>
      <c r="D41" s="59">
        <f>(2*MATERIALES!$C$146)+(16*MATERIALES!$C$158)+(16*MATERIALES!$C$159)+((8*2)*MATERIALES!$C$145)+(3*MATERIALES!$C$160)+(((B41*2)+(A41*1))*MATERIALES!$C$149)+(((A41*2)+(B41*6))*MATERIALES!$C$141)+(1*MATERIALES!$C$162)+(((A41*5)*2)*MATERIALES!$C$147)+(4*MATERIALES!$C$148)</f>
        <v>2055.1315199999999</v>
      </c>
      <c r="E41" s="75"/>
      <c r="F41" s="55">
        <f>(A41*B41)*MATERIALES!$D$82</f>
        <v>848</v>
      </c>
      <c r="G41" s="38">
        <f t="shared" si="7"/>
        <v>10759.765760000002</v>
      </c>
      <c r="H41" s="43">
        <f t="shared" si="6"/>
        <v>14581.295488000003</v>
      </c>
      <c r="M41" s="42">
        <v>0.8</v>
      </c>
      <c r="N41" s="37">
        <v>2</v>
      </c>
      <c r="O41" s="38">
        <f>((((M41*1)+(N41*2))*MATERIALES!$C$26)+((M41*5)*MATERIALES!$C$28)+((N41*2)*MATERIALES!$C$27))*MATERIALES!$F$2</f>
        <v>6858.6336000000001</v>
      </c>
      <c r="P41" s="59">
        <f>(2*MATERIALES!$C$146)+(12*MATERIALES!$C$158)+(12*MATERIALES!$C$159)+((8*2)*MATERIALES!$C$145)+(3*MATERIALES!$C$160)+(((N41*2)+(M41*1))*MATERIALES!$C$149)+(((M41*8)+(N41*2))*MATERIALES!$C$141)+(1*MATERIALES!$C$162)+(((M41*5)*2)*MATERIALES!$C$147)+(4*MATERIALES!$C$148)</f>
        <v>1926.5209600000001</v>
      </c>
      <c r="Q41" s="75"/>
      <c r="R41" s="55">
        <f>(M41*N41)*MATERIALES!$D$82</f>
        <v>848</v>
      </c>
      <c r="S41" s="38">
        <f t="shared" si="8"/>
        <v>9633.1545600000009</v>
      </c>
      <c r="T41" s="43">
        <f t="shared" ref="T41:T46" si="9">(SUM(O41:Q41)*1.3)+(R41*2)</f>
        <v>13116.700928000002</v>
      </c>
      <c r="AJ41" s="335" t="s">
        <v>641</v>
      </c>
      <c r="AK41" s="339"/>
      <c r="AL41" s="335" t="s">
        <v>642</v>
      </c>
      <c r="AM41" s="342"/>
      <c r="AN41" s="335" t="s">
        <v>643</v>
      </c>
      <c r="AO41" s="295"/>
      <c r="AP41" s="317"/>
      <c r="AQ41" s="293"/>
      <c r="AR41" s="318"/>
      <c r="AT41" s="4"/>
    </row>
    <row r="42" spans="1:47" ht="15" customHeight="1">
      <c r="A42" s="42">
        <v>0.9</v>
      </c>
      <c r="B42" s="37">
        <v>2</v>
      </c>
      <c r="C42" s="38">
        <f>((((A42*1)+(B42*2))*MATERIALES!$C$26)+((A42*2)*MATERIALES!$C$28)+((B42*2)*MATERIALES!$C$28)+((B42*2)*MATERIALES!$C$27))*MATERIALES!$F$2</f>
        <v>8024.2999200000004</v>
      </c>
      <c r="D42" s="59">
        <f>(2*MATERIALES!$C$146)+(16*MATERIALES!$C$158)+(16*MATERIALES!$C$159)+((8*2)*MATERIALES!$C$145)+(3*MATERIALES!$C$160)+(((B42*2)+(A42*1))*MATERIALES!$C$149)+(((A42*2)+(B42*6))*MATERIALES!$C$141)+(1*MATERIALES!$C$162)+(((A42*5)*2)*MATERIALES!$C$147)+(4*MATERIALES!$C$148)</f>
        <v>2060.6549599999998</v>
      </c>
      <c r="E42" s="75"/>
      <c r="F42" s="55">
        <f>(A42*B42)*MATERIALES!$D$82</f>
        <v>954</v>
      </c>
      <c r="G42" s="38">
        <f t="shared" si="7"/>
        <v>11038.954880000001</v>
      </c>
      <c r="H42" s="43">
        <f t="shared" si="6"/>
        <v>15018.441344000003</v>
      </c>
      <c r="M42" s="42">
        <v>0.9</v>
      </c>
      <c r="N42" s="37">
        <v>2</v>
      </c>
      <c r="O42" s="38">
        <f>((((M42*1)+(N42*2))*MATERIALES!$C$26)+((M42*5)*MATERIALES!$C$28)+((N42*2)*MATERIALES!$C$27))*MATERIALES!$F$2</f>
        <v>7213.4243999999999</v>
      </c>
      <c r="P42" s="59">
        <f>(2*MATERIALES!$C$146)+(12*MATERIALES!$C$158)+(12*MATERIALES!$C$159)+((8*2)*MATERIALES!$C$145)+(3*MATERIALES!$C$160)+(((N42*2)+(M42*1))*MATERIALES!$C$149)+(((M42*8)+(N42*2))*MATERIALES!$C$141)+(1*MATERIALES!$C$162)+(((M42*5)*2)*MATERIALES!$C$147)+(4*MATERIALES!$C$148)</f>
        <v>1944.84888</v>
      </c>
      <c r="Q42" s="75"/>
      <c r="R42" s="55">
        <f>(M42*N42)*MATERIALES!$D$82</f>
        <v>954</v>
      </c>
      <c r="S42" s="38">
        <f t="shared" si="8"/>
        <v>10112.273279999999</v>
      </c>
      <c r="T42" s="43">
        <f t="shared" si="9"/>
        <v>13813.755263999999</v>
      </c>
      <c r="AK42" s="291"/>
      <c r="AM42" s="293"/>
      <c r="AO42" s="295"/>
      <c r="AP42" s="317"/>
      <c r="AQ42" s="293"/>
      <c r="AR42" s="318"/>
      <c r="AS42" s="303"/>
      <c r="AT42" s="4"/>
    </row>
    <row r="43" spans="1:47" ht="15" customHeight="1">
      <c r="A43" s="42">
        <v>0.6</v>
      </c>
      <c r="B43" s="37">
        <v>2.1</v>
      </c>
      <c r="C43" s="38">
        <f>((((A43*1)+(B43*2))*MATERIALES!$C$26)+((A43*2)*MATERIALES!$C$28)+((B43*2)*MATERIALES!$C$28)+((B43*2)*MATERIALES!$C$27))*MATERIALES!$F$2</f>
        <v>7847.0683200000012</v>
      </c>
      <c r="D43" s="59">
        <f>(2*MATERIALES!$C$146)+(16*MATERIALES!$C$158)+(16*MATERIALES!$C$159)+((8*2)*MATERIALES!$C$145)+(3*MATERIALES!$C$160)+(((B43*2)+(A43*1))*MATERIALES!$C$149)+(((A43*2)+(B43*6))*MATERIALES!$C$141)+(1*MATERIALES!$C$162)+(((A43*5)*2)*MATERIALES!$C$147)+(4*MATERIALES!$C$148)</f>
        <v>2059.39968</v>
      </c>
      <c r="E43" s="75"/>
      <c r="F43" s="55">
        <f>(A43*B43)*MATERIALES!$D$82</f>
        <v>667.8</v>
      </c>
      <c r="G43" s="38">
        <f t="shared" si="7"/>
        <v>10574.268</v>
      </c>
      <c r="H43" s="43">
        <f t="shared" si="6"/>
        <v>14214.008400000002</v>
      </c>
      <c r="M43" s="42">
        <v>0.6</v>
      </c>
      <c r="N43" s="37">
        <v>2.1</v>
      </c>
      <c r="O43" s="38">
        <f>((((M43*1)+(N43*2))*MATERIALES!$C$26)+((M43*5)*MATERIALES!$C$28)+((N43*2)*MATERIALES!$C$27))*MATERIALES!$F$2</f>
        <v>6350.0673600000009</v>
      </c>
      <c r="P43" s="59">
        <f>(2*MATERIALES!$C$146)+(12*MATERIALES!$C$158)+(12*MATERIALES!$C$159)+((8*2)*MATERIALES!$C$145)+(3*MATERIALES!$C$160)+(((N43*2)+(M43*1))*MATERIALES!$C$149)+(((M43*8)+(N43*2))*MATERIALES!$C$141)+(1*MATERIALES!$C$162)+(((M43*5)*2)*MATERIALES!$C$147)+(4*MATERIALES!$C$148)</f>
        <v>1896.64384</v>
      </c>
      <c r="Q43" s="75"/>
      <c r="R43" s="55">
        <f>(M43*N43)*MATERIALES!$D$82</f>
        <v>667.8</v>
      </c>
      <c r="S43" s="38">
        <f t="shared" si="8"/>
        <v>8914.5112000000008</v>
      </c>
      <c r="T43" s="43">
        <f t="shared" si="9"/>
        <v>12056.324560000003</v>
      </c>
      <c r="AK43" s="319"/>
      <c r="AM43" s="309"/>
      <c r="AO43" s="307"/>
      <c r="AP43" s="317"/>
      <c r="AQ43" s="309"/>
      <c r="AR43" s="320"/>
      <c r="AS43" s="324"/>
      <c r="AT43" s="323"/>
      <c r="AU43" s="303"/>
    </row>
    <row r="44" spans="1:47" ht="15" customHeight="1">
      <c r="A44" s="42">
        <v>0.7</v>
      </c>
      <c r="B44" s="37">
        <v>2.1</v>
      </c>
      <c r="C44" s="38">
        <f>((((A44*1)+(B44*2))*MATERIALES!$C$26)+((A44*2)*MATERIALES!$C$28)+((B44*2)*MATERIALES!$C$28)+((B44*2)*MATERIALES!$C$27))*MATERIALES!$F$2</f>
        <v>8014.7340000000013</v>
      </c>
      <c r="D44" s="59">
        <f>(2*MATERIALES!$C$146)+(16*MATERIALES!$C$158)+(16*MATERIALES!$C$159)+((8*2)*MATERIALES!$C$145)+(3*MATERIALES!$C$160)+(((B44*2)+(A44*1))*MATERIALES!$C$149)+(((A44*2)+(B44*6))*MATERIALES!$C$141)+(1*MATERIALES!$C$162)+(((A44*5)*2)*MATERIALES!$C$147)+(4*MATERIALES!$C$148)</f>
        <v>2064.9231200000004</v>
      </c>
      <c r="E44" s="75"/>
      <c r="F44" s="55">
        <f>(A44*B44)*MATERIALES!$D$82</f>
        <v>779.1</v>
      </c>
      <c r="G44" s="38">
        <f t="shared" si="7"/>
        <v>10858.757120000002</v>
      </c>
      <c r="H44" s="43">
        <f t="shared" si="6"/>
        <v>14661.754256000004</v>
      </c>
      <c r="M44" s="42">
        <v>0.7</v>
      </c>
      <c r="N44" s="37">
        <v>2.1</v>
      </c>
      <c r="O44" s="38">
        <f>((((M44*1)+(N44*2))*MATERIALES!$C$26)+((M44*5)*MATERIALES!$C$28)+((N44*2)*MATERIALES!$C$27))*MATERIALES!$F$2</f>
        <v>6704.8581600000007</v>
      </c>
      <c r="P44" s="59">
        <f>(2*MATERIALES!$C$146)+(12*MATERIALES!$C$158)+(12*MATERIALES!$C$159)+((8*2)*MATERIALES!$C$145)+(3*MATERIALES!$C$160)+(((N44*2)+(M44*1))*MATERIALES!$C$149)+(((M44*8)+(N44*2))*MATERIALES!$C$141)+(1*MATERIALES!$C$162)+(((M44*5)*2)*MATERIALES!$C$147)+(4*MATERIALES!$C$148)</f>
        <v>1914.9717600000001</v>
      </c>
      <c r="Q44" s="75"/>
      <c r="R44" s="55">
        <f>(M44*N44)*MATERIALES!$D$82</f>
        <v>779.1</v>
      </c>
      <c r="S44" s="38">
        <f t="shared" si="8"/>
        <v>9398.9299200000005</v>
      </c>
      <c r="T44" s="43">
        <f t="shared" si="9"/>
        <v>12763.978896000001</v>
      </c>
      <c r="AK44" s="319"/>
      <c r="AL44" s="311"/>
      <c r="AM44" s="309"/>
      <c r="AN44" s="311"/>
      <c r="AO44" s="307"/>
      <c r="AP44" s="317"/>
      <c r="AQ44" s="309"/>
      <c r="AR44" s="320"/>
      <c r="AS44" s="329"/>
      <c r="AT44" s="324"/>
      <c r="AU44" s="324"/>
    </row>
    <row r="45" spans="1:47" ht="15.75" customHeight="1">
      <c r="A45" s="42">
        <v>0.8</v>
      </c>
      <c r="B45" s="37">
        <v>2.1</v>
      </c>
      <c r="C45" s="38">
        <f>((((A45*1)+(B45*2))*MATERIALES!$C$26)+((A45*2)*MATERIALES!$C$28)+((B45*2)*MATERIALES!$C$28)+((B45*2)*MATERIALES!$C$27))*MATERIALES!$F$2</f>
        <v>8182.3996800000023</v>
      </c>
      <c r="D45" s="59">
        <f>(2*MATERIALES!$C$146)+(16*MATERIALES!$C$158)+(16*MATERIALES!$C$159)+((8*2)*MATERIALES!$C$145)+(3*MATERIALES!$C$160)+(((B45*2)+(A45*1))*MATERIALES!$C$149)+(((A45*2)+(B45*6))*MATERIALES!$C$141)+(1*MATERIALES!$C$162)+(((A45*5)*2)*MATERIALES!$C$147)+(4*MATERIALES!$C$148)</f>
        <v>2070.4465600000003</v>
      </c>
      <c r="E45" s="75"/>
      <c r="F45" s="55">
        <f>(A45*B45)*MATERIALES!$D$82</f>
        <v>890.40000000000009</v>
      </c>
      <c r="G45" s="38">
        <f t="shared" si="7"/>
        <v>11143.246240000002</v>
      </c>
      <c r="H45" s="43">
        <f t="shared" si="6"/>
        <v>15109.500112000005</v>
      </c>
      <c r="M45" s="42">
        <v>0.8</v>
      </c>
      <c r="N45" s="37">
        <v>2.1</v>
      </c>
      <c r="O45" s="38">
        <f>((((M45*1)+(N45*2))*MATERIALES!$C$26)+((M45*5)*MATERIALES!$C$28)+((N45*2)*MATERIALES!$C$27))*MATERIALES!$F$2</f>
        <v>7059.6489600000014</v>
      </c>
      <c r="P45" s="59">
        <f>(2*MATERIALES!$C$146)+(12*MATERIALES!$C$158)+(12*MATERIALES!$C$159)+((8*2)*MATERIALES!$C$145)+(3*MATERIALES!$C$160)+(((N45*2)+(M45*1))*MATERIALES!$C$149)+(((M45*8)+(N45*2))*MATERIALES!$C$141)+(1*MATERIALES!$C$162)+(((M45*5)*2)*MATERIALES!$C$147)+(4*MATERIALES!$C$148)</f>
        <v>1933.2996800000001</v>
      </c>
      <c r="Q45" s="75"/>
      <c r="R45" s="55">
        <f>(M45*N45)*MATERIALES!$D$82</f>
        <v>890.40000000000009</v>
      </c>
      <c r="S45" s="38">
        <f t="shared" si="8"/>
        <v>9883.348640000002</v>
      </c>
      <c r="T45" s="43">
        <f t="shared" si="9"/>
        <v>13471.633232000004</v>
      </c>
      <c r="AL45" s="296"/>
      <c r="AM45" s="293"/>
      <c r="AN45" s="297"/>
      <c r="AO45" s="295"/>
      <c r="AP45" s="317"/>
      <c r="AQ45" s="293"/>
      <c r="AR45" s="316"/>
      <c r="AS45" s="292"/>
      <c r="AT45" s="315"/>
      <c r="AU45" s="315"/>
    </row>
    <row r="46" spans="1:47" ht="15" customHeight="1" thickBot="1">
      <c r="A46" s="44">
        <v>0.9</v>
      </c>
      <c r="B46" s="45">
        <v>2.1</v>
      </c>
      <c r="C46" s="50">
        <f>((((A46*1)+(B46*2))*MATERIALES!$C$26)+((A46*2)*MATERIALES!$C$28)+((B46*2)*MATERIALES!$C$28)+((B46*2)*MATERIALES!$C$27))*MATERIALES!$F$2</f>
        <v>8350.0653600000005</v>
      </c>
      <c r="D46" s="60">
        <f>(2*MATERIALES!$C$146)+(16*MATERIALES!$C$158)+(16*MATERIALES!$C$159)+((8*2)*MATERIALES!$C$145)+(3*MATERIALES!$C$160)+(((B46*2)+(A46*1))*MATERIALES!$C$149)+(((A46*2)+(B46*6))*MATERIALES!$C$141)+(1*MATERIALES!$C$162)+(((A46*5)*2)*MATERIALES!$C$147)+(4*MATERIALES!$C$148)</f>
        <v>2075.9700000000003</v>
      </c>
      <c r="E46" s="76"/>
      <c r="F46" s="56">
        <f>(A46*B46)*MATERIALES!$D$82</f>
        <v>1001.7</v>
      </c>
      <c r="G46" s="50">
        <f t="shared" si="7"/>
        <v>11427.735360000002</v>
      </c>
      <c r="H46" s="43">
        <f t="shared" si="6"/>
        <v>15557.245968000003</v>
      </c>
      <c r="M46" s="44">
        <v>0.9</v>
      </c>
      <c r="N46" s="45">
        <v>2.1</v>
      </c>
      <c r="O46" s="50">
        <f>((((M46*1)+(N46*2))*MATERIALES!$C$26)+((M46*5)*MATERIALES!$C$28)+((N46*2)*MATERIALES!$C$27))*MATERIALES!$F$2</f>
        <v>7414.4397600000002</v>
      </c>
      <c r="P46" s="60">
        <f>(2*MATERIALES!$C$146)+(12*MATERIALES!$C$158)+(12*MATERIALES!$C$159)+((8*2)*MATERIALES!$C$145)+(3*MATERIALES!$C$160)+(((N46*2)+(M46*1))*MATERIALES!$C$149)+(((M46*8)+(N46*2))*MATERIALES!$C$141)+(1*MATERIALES!$C$162)+(((M46*5)*2)*MATERIALES!$C$147)+(4*MATERIALES!$C$148)</f>
        <v>1951.6276</v>
      </c>
      <c r="Q46" s="76"/>
      <c r="R46" s="56">
        <f>(M46*N46)*MATERIALES!$D$82</f>
        <v>1001.7</v>
      </c>
      <c r="S46" s="50">
        <f t="shared" si="8"/>
        <v>10367.767360000002</v>
      </c>
      <c r="T46" s="43">
        <f t="shared" si="9"/>
        <v>14179.287568000002</v>
      </c>
      <c r="AL46" s="287"/>
      <c r="AM46" s="293"/>
      <c r="AN46" s="290"/>
      <c r="AO46" s="295"/>
      <c r="AP46" s="317"/>
      <c r="AQ46" s="293"/>
      <c r="AR46" s="316"/>
      <c r="AS46" s="292"/>
      <c r="AT46" s="291"/>
      <c r="AU46" s="291"/>
    </row>
    <row r="47" spans="1:47" ht="15" customHeight="1">
      <c r="AL47" s="296"/>
      <c r="AM47" s="298"/>
      <c r="AN47" s="297"/>
      <c r="AO47" s="295"/>
      <c r="AP47" s="317"/>
      <c r="AQ47" s="298"/>
      <c r="AR47" s="4"/>
      <c r="AS47" s="292"/>
      <c r="AT47" s="291"/>
      <c r="AU47" s="291"/>
    </row>
    <row r="48" spans="1:47" ht="15" customHeight="1" thickBot="1">
      <c r="C48" s="878" t="s">
        <v>221</v>
      </c>
      <c r="D48" s="878"/>
      <c r="E48" s="878"/>
      <c r="F48" s="878"/>
      <c r="O48" s="878" t="s">
        <v>221</v>
      </c>
      <c r="P48" s="878"/>
      <c r="Q48" s="878"/>
      <c r="R48" s="878"/>
      <c r="Y48" s="878" t="s">
        <v>403</v>
      </c>
      <c r="Z48" s="878"/>
      <c r="AA48" s="878"/>
      <c r="AB48" s="878"/>
      <c r="AM48" s="298"/>
      <c r="AO48" s="295"/>
      <c r="AP48" s="317"/>
      <c r="AQ48" s="298"/>
      <c r="AR48" s="4"/>
      <c r="AS48" s="292"/>
      <c r="AT48" s="291"/>
      <c r="AU48" s="291"/>
    </row>
    <row r="49" spans="1:47" ht="15" customHeight="1" thickBot="1">
      <c r="A49" s="32"/>
      <c r="B49" s="32"/>
      <c r="C49" s="801">
        <v>0.2</v>
      </c>
      <c r="D49" s="802"/>
      <c r="E49" s="803"/>
      <c r="F49" s="61">
        <v>1</v>
      </c>
      <c r="G49" s="32"/>
      <c r="H49" s="46" t="s">
        <v>163</v>
      </c>
      <c r="M49" s="32"/>
      <c r="N49" s="32"/>
      <c r="O49" s="801">
        <v>0.2</v>
      </c>
      <c r="P49" s="802"/>
      <c r="Q49" s="802"/>
      <c r="R49" s="803"/>
      <c r="S49" s="32"/>
      <c r="T49" s="46" t="s">
        <v>163</v>
      </c>
      <c r="W49" s="32"/>
      <c r="X49" s="32"/>
      <c r="Y49" s="801">
        <v>0.2</v>
      </c>
      <c r="Z49" s="802"/>
      <c r="AA49" s="803"/>
      <c r="AB49" s="61">
        <v>1</v>
      </c>
      <c r="AC49" s="32"/>
      <c r="AD49" s="46" t="s">
        <v>163</v>
      </c>
      <c r="AM49" s="32"/>
      <c r="AO49" s="321"/>
      <c r="AQ49" s="32"/>
      <c r="AR49" s="4"/>
      <c r="AS49" s="4"/>
      <c r="AT49" s="291"/>
      <c r="AU49" s="291"/>
    </row>
    <row r="50" spans="1:47" ht="15" customHeight="1" thickBot="1">
      <c r="A50" s="792" t="s">
        <v>212</v>
      </c>
      <c r="B50" s="793"/>
      <c r="C50" s="793"/>
      <c r="D50" s="793"/>
      <c r="E50" s="793"/>
      <c r="F50" s="793"/>
      <c r="G50" s="793"/>
      <c r="H50" s="794"/>
      <c r="M50" s="792" t="s">
        <v>219</v>
      </c>
      <c r="N50" s="793"/>
      <c r="O50" s="793"/>
      <c r="P50" s="793"/>
      <c r="Q50" s="793"/>
      <c r="R50" s="793"/>
      <c r="S50" s="793"/>
      <c r="T50" s="794"/>
      <c r="W50" s="792" t="s">
        <v>402</v>
      </c>
      <c r="X50" s="793"/>
      <c r="Y50" s="793"/>
      <c r="Z50" s="793"/>
      <c r="AA50" s="793"/>
      <c r="AB50" s="793"/>
      <c r="AC50" s="793"/>
      <c r="AD50" s="794"/>
      <c r="AQ50" s="322"/>
      <c r="AR50" s="323"/>
      <c r="AS50" s="4"/>
    </row>
    <row r="51" spans="1:47" ht="15" customHeight="1" thickBot="1">
      <c r="A51" s="36" t="s">
        <v>116</v>
      </c>
      <c r="B51" s="36" t="s">
        <v>117</v>
      </c>
      <c r="C51" s="36" t="s">
        <v>162</v>
      </c>
      <c r="D51" s="36" t="s">
        <v>119</v>
      </c>
      <c r="E51" s="36" t="s">
        <v>120</v>
      </c>
      <c r="F51" s="36" t="s">
        <v>118</v>
      </c>
      <c r="G51" s="36" t="s">
        <v>121</v>
      </c>
      <c r="H51" s="36" t="s">
        <v>122</v>
      </c>
      <c r="M51" s="36" t="s">
        <v>116</v>
      </c>
      <c r="N51" s="36" t="s">
        <v>117</v>
      </c>
      <c r="O51" s="36" t="s">
        <v>162</v>
      </c>
      <c r="P51" s="36" t="s">
        <v>119</v>
      </c>
      <c r="Q51" s="36" t="s">
        <v>120</v>
      </c>
      <c r="R51" s="36" t="s">
        <v>217</v>
      </c>
      <c r="S51" s="36" t="s">
        <v>121</v>
      </c>
      <c r="T51" s="36" t="s">
        <v>122</v>
      </c>
      <c r="W51" s="36" t="s">
        <v>116</v>
      </c>
      <c r="X51" s="36" t="s">
        <v>117</v>
      </c>
      <c r="Y51" s="36" t="s">
        <v>162</v>
      </c>
      <c r="Z51" s="36" t="s">
        <v>119</v>
      </c>
      <c r="AA51" s="36" t="s">
        <v>120</v>
      </c>
      <c r="AB51" s="36" t="s">
        <v>118</v>
      </c>
      <c r="AC51" s="36" t="s">
        <v>121</v>
      </c>
      <c r="AD51" s="36" t="s">
        <v>122</v>
      </c>
      <c r="AK51" s="324"/>
      <c r="AL51" s="304"/>
      <c r="AM51" s="325"/>
      <c r="AN51" s="313"/>
      <c r="AO51" s="326"/>
      <c r="AP51" s="4"/>
      <c r="AQ51" s="327"/>
      <c r="AR51" s="324"/>
      <c r="AS51" s="4"/>
    </row>
    <row r="52" spans="1:47" ht="15" customHeight="1" thickBot="1">
      <c r="A52" s="795"/>
      <c r="B52" s="796"/>
      <c r="C52" s="796"/>
      <c r="D52" s="796"/>
      <c r="E52" s="796"/>
      <c r="F52" s="796"/>
      <c r="G52" s="796"/>
      <c r="H52" s="797"/>
      <c r="M52" s="795"/>
      <c r="N52" s="796"/>
      <c r="O52" s="796"/>
      <c r="P52" s="796"/>
      <c r="Q52" s="796"/>
      <c r="R52" s="796"/>
      <c r="S52" s="796"/>
      <c r="T52" s="797"/>
      <c r="W52" s="795"/>
      <c r="X52" s="796"/>
      <c r="Y52" s="796"/>
      <c r="Z52" s="796"/>
      <c r="AA52" s="796"/>
      <c r="AB52" s="796"/>
      <c r="AC52" s="796"/>
      <c r="AD52" s="797"/>
      <c r="AJ52" s="595">
        <f>+T126</f>
        <v>16541.734784000004</v>
      </c>
      <c r="AK52" s="361"/>
      <c r="AL52" s="595">
        <f>+H126</f>
        <v>18623.092482000004</v>
      </c>
      <c r="AM52" s="361"/>
      <c r="AN52" s="595">
        <f>+T55</f>
        <v>14545.918088</v>
      </c>
      <c r="AO52" s="4"/>
      <c r="AP52" s="292"/>
      <c r="AQ52" s="267"/>
      <c r="AR52" s="328"/>
      <c r="AS52" s="4"/>
    </row>
    <row r="53" spans="1:47" ht="27" thickBot="1">
      <c r="A53" s="158">
        <v>0.6</v>
      </c>
      <c r="B53" s="159">
        <v>2</v>
      </c>
      <c r="C53" s="74">
        <f>(((((A53*1)+(B53*2))*MATERIALES!$C$26)+((A53*2)*MATERIALES!$C$28)+((B53*1)*MATERIALES!$C$28)+((B53*2)*MATERIALES!$C$27))*MATERIALES!$F$2)+MATERIALES!$D$243</f>
        <v>10201.07208</v>
      </c>
      <c r="D53" s="74">
        <f>(2*MATERIALES!$C$146)+(12*MATERIALES!$C$158)+(12*MATERIALES!$C$159)+((8*2)*MATERIALES!$C$145)+(3*MATERIALES!$C$160)+(((B53*2)+(A53*1))*MATERIALES!$C$149)+(((A53)+(B53*2))*MATERIALES!$C$141)+(((A53)+(B53*2))*MATERIALES!$C$165)+(1*MATERIALES!$C$162)+(((A53*5)*2)*MATERIALES!$C$147)+(4*MATERIALES!$C$148)+(0.5*MATERIALES!$C$167)</f>
        <v>2034.9014400000001</v>
      </c>
      <c r="E53" s="74"/>
      <c r="F53" s="111">
        <f>((A53/2)*B53)*MATERIALES!$D$82</f>
        <v>318</v>
      </c>
      <c r="G53" s="74">
        <f>SUM(C53:F53)</f>
        <v>12553.97352</v>
      </c>
      <c r="H53" s="160">
        <f>(SUM(C53:E53)*1.3)+(F53*2)</f>
        <v>16542.765575999998</v>
      </c>
      <c r="M53" s="40">
        <v>0.6</v>
      </c>
      <c r="N53" s="41">
        <v>2</v>
      </c>
      <c r="O53" s="47">
        <f>((((M53*1)+(N53*2))*MATERIALES!$C$26)+((M53*2)*MATERIALES!$C$28)+((N53*2)*MATERIALES!$C$27))*MATERIALES!$F$2</f>
        <v>5026.3012800000006</v>
      </c>
      <c r="P53" s="58">
        <f>(2*MATERIALES!$C$146)+(8*MATERIALES!$C$158)+(8*MATERIALES!$C$159)+((8*2)*MATERIALES!$C$145)+(3*MATERIALES!$C$160)+(((N53*2)+(M53*1))*MATERIALES!$C$149)+(1*MATERIALES!$C$162)+(((M53*5)*2)*MATERIALES!$C$147)+(4*MATERIALES!$C$148)+(0.5*MATERIALES!$C$167)+(((M53*2)+(N53*2))*MATERIALES!$C$165)</f>
        <v>1889.2182400000002</v>
      </c>
      <c r="Q53" s="74"/>
      <c r="R53" s="54">
        <f>MATERIALES!$D$243</f>
        <v>3927.27</v>
      </c>
      <c r="S53" s="47">
        <f>SUM(O53:R53)</f>
        <v>10842.78952</v>
      </c>
      <c r="T53" s="49">
        <f>SUM(O53:R53)*1.3</f>
        <v>14095.626376</v>
      </c>
      <c r="W53" s="65">
        <v>0.6</v>
      </c>
      <c r="X53" s="66">
        <v>2</v>
      </c>
      <c r="Y53" s="58">
        <f>((((W53*1)+(X53*2))*MATERIALES!$C$26)+((W53*2)*MATERIALES!$C$28)+((X53*1)*MATERIALES!$C$28)+((X53*2)*MATERIALES!$C$27)+((((W53/2)-0.2)*MATERIALES!$C$30)*(X53/0.12)))*MATERIALES!$F$2</f>
        <v>7352.6980800000001</v>
      </c>
      <c r="Z53" s="58">
        <f>(2*MATERIALES!$C$146)+(12*MATERIALES!$C$158)+(12*MATERIALES!$C$159)+((8*2)*MATERIALES!$C$145)+(3*MATERIALES!$C$160)+(((X53*2)+(W53*1))*MATERIALES!$C$149)+(((W53)+(X53*2))*MATERIALES!$C$141)+(((W53)+(X53*2))*MATERIALES!$C$165)+(1*MATERIALES!$C$162)+(((W53*5)*2)*MATERIALES!$C$147)+(4*MATERIALES!$C$148)+(0.5*MATERIALES!$C$167)</f>
        <v>2034.9014400000001</v>
      </c>
      <c r="AA53" s="74"/>
      <c r="AB53" s="54">
        <f>((W53/2)*X53)*MATERIALES!$D$82</f>
        <v>318</v>
      </c>
      <c r="AC53" s="58">
        <f>SUM(Y53:AB53)</f>
        <v>9705.5995199999998</v>
      </c>
      <c r="AD53" s="67">
        <f>(SUM(Y53:AA53)*1.2)+(AB53*2)</f>
        <v>11901.119423999999</v>
      </c>
      <c r="AK53" s="317"/>
      <c r="AL53" s="4"/>
      <c r="AM53" s="293"/>
      <c r="AN53" s="4"/>
      <c r="AO53" s="330"/>
      <c r="AP53" s="292"/>
      <c r="AQ53" s="298"/>
      <c r="AR53" s="291"/>
      <c r="AS53" s="334"/>
    </row>
    <row r="54" spans="1:47" ht="27" thickBot="1">
      <c r="A54" s="161">
        <v>0.7</v>
      </c>
      <c r="B54" s="162">
        <v>2</v>
      </c>
      <c r="C54" s="75">
        <f>(((((A54*1)+(B54*2))*MATERIALES!$C$26)+((A54*2)*MATERIALES!$C$28)+((B54*1)*MATERIALES!$C$28)+((B54*2)*MATERIALES!$C$27))*MATERIALES!$F$2)+MATERIALES!$D$243</f>
        <v>10368.73776</v>
      </c>
      <c r="D54" s="75">
        <f>(2*MATERIALES!$C$146)+(12*MATERIALES!$C$158)+(12*MATERIALES!$C$159)+((8*2)*MATERIALES!$C$145)+(3*MATERIALES!$C$160)+(((B54*2)+(A54*1))*MATERIALES!$C$149)+(((A54)+(B54*2))*MATERIALES!$C$141)+(((A54)+(B54*2))*MATERIALES!$C$165)+(1*MATERIALES!$C$162)+(((A54*5)*2)*MATERIALES!$C$147)+(4*MATERIALES!$C$148)+(0.5*MATERIALES!$C$167)</f>
        <v>2040.42488</v>
      </c>
      <c r="E54" s="75"/>
      <c r="F54" s="112">
        <f>((A54/2)*B54)*MATERIALES!$D$82</f>
        <v>371</v>
      </c>
      <c r="G54" s="75">
        <f t="shared" ref="G54:G60" si="10">SUM(C54:F54)</f>
        <v>12780.16264</v>
      </c>
      <c r="H54" s="160">
        <f t="shared" ref="H54:H60" si="11">(SUM(C54:E54)*1.3)+(F54*2)</f>
        <v>16873.911432000001</v>
      </c>
      <c r="M54" s="42">
        <v>0.7</v>
      </c>
      <c r="N54" s="37">
        <v>2</v>
      </c>
      <c r="O54" s="38">
        <f>((((M54*1)+(N54*2))*MATERIALES!$C$26)+((M54*2)*MATERIALES!$C$28)+((N54*2)*MATERIALES!$C$27))*MATERIALES!$F$2</f>
        <v>5193.9669600000007</v>
      </c>
      <c r="P54" s="59">
        <f>(2*MATERIALES!$C$146)+(8*MATERIALES!$C$158)+(8*MATERIALES!$C$159)+((8*2)*MATERIALES!$C$145)+(3*MATERIALES!$C$160)+(((N54*2)+(M54*1))*MATERIALES!$C$149)+(1*MATERIALES!$C$162)+(((M54*5)*2)*MATERIALES!$C$147)+(4*MATERIALES!$C$148)+(0.5*MATERIALES!$C$167)+(((M54*2)+(N54*2))*MATERIALES!$C$165)</f>
        <v>1894.7416800000003</v>
      </c>
      <c r="Q54" s="75"/>
      <c r="R54" s="55">
        <f>MATERIALES!$D$243</f>
        <v>3927.27</v>
      </c>
      <c r="S54" s="38">
        <f t="shared" ref="S54:S60" si="12">SUM(O54:R54)</f>
        <v>11015.978640000001</v>
      </c>
      <c r="T54" s="49">
        <f t="shared" ref="T54:T60" si="13">SUM(O54:R54)*1.3</f>
        <v>14320.772232000001</v>
      </c>
      <c r="W54" s="68">
        <v>0.7</v>
      </c>
      <c r="X54" s="69">
        <v>2</v>
      </c>
      <c r="Y54" s="59">
        <f>((((W54*1)+(X54*2))*MATERIALES!$C$26)+((W54*2)*MATERIALES!$C$28)+((X54*1)*MATERIALES!$C$28)+((X54*2)*MATERIALES!$C$27)+((((W54/2)-0.2)*MATERIALES!$C$30)*(X54/0.12)))*MATERIALES!$F$2</f>
        <v>8059.8117600000014</v>
      </c>
      <c r="Z54" s="59">
        <f>(2*MATERIALES!$C$146)+(12*MATERIALES!$C$158)+(12*MATERIALES!$C$159)+((8*2)*MATERIALES!$C$145)+(3*MATERIALES!$C$160)+(((X54*2)+(W54*1))*MATERIALES!$C$149)+(((W54)+(X54*2))*MATERIALES!$C$141)+(((W54)+(X54*2))*MATERIALES!$C$165)+(1*MATERIALES!$C$162)+(((W54*5)*2)*MATERIALES!$C$147)+(4*MATERIALES!$C$148)+(0.5*MATERIALES!$C$167)</f>
        <v>2040.42488</v>
      </c>
      <c r="AA54" s="75"/>
      <c r="AB54" s="55">
        <f>((W54/2)*X54)*MATERIALES!$D$82</f>
        <v>371</v>
      </c>
      <c r="AC54" s="59">
        <f t="shared" ref="AC54:AC60" si="14">SUM(Y54:AB54)</f>
        <v>10471.236640000001</v>
      </c>
      <c r="AD54" s="70">
        <f>(SUM(Y54:AA54)*1.2)+(AB54*2)</f>
        <v>12862.283968000002</v>
      </c>
      <c r="AK54" s="317"/>
      <c r="AL54" s="305"/>
      <c r="AM54" s="293"/>
      <c r="AN54" s="306"/>
      <c r="AO54" s="330"/>
      <c r="AP54" s="310"/>
      <c r="AQ54" s="298"/>
      <c r="AR54" s="330"/>
    </row>
    <row r="55" spans="1:47" ht="27" thickBot="1">
      <c r="A55" s="161">
        <v>0.8</v>
      </c>
      <c r="B55" s="162">
        <v>2</v>
      </c>
      <c r="C55" s="75">
        <f>(((((A55*1)+(B55*2))*MATERIALES!$C$26)+((A55*2)*MATERIALES!$C$28)+((B55*1)*MATERIALES!$C$28)+((B55*2)*MATERIALES!$C$27))*MATERIALES!$F$2)+MATERIALES!$D$243</f>
        <v>10536.40344</v>
      </c>
      <c r="D55" s="75">
        <f>(2*MATERIALES!$C$146)+(12*MATERIALES!$C$158)+(12*MATERIALES!$C$159)+((8*2)*MATERIALES!$C$145)+(3*MATERIALES!$C$160)+(((B55*2)+(A55*1))*MATERIALES!$C$149)+(((A55)+(B55*2))*MATERIALES!$C$141)+(((A55)+(B55*2))*MATERIALES!$C$165)+(1*MATERIALES!$C$162)+(((A55*5)*2)*MATERIALES!$C$147)+(4*MATERIALES!$C$148)+(0.5*MATERIALES!$C$167)</f>
        <v>2045.94832</v>
      </c>
      <c r="E55" s="75"/>
      <c r="F55" s="112">
        <f>((A55/2)*B55)*MATERIALES!$D$82</f>
        <v>424</v>
      </c>
      <c r="G55" s="75">
        <f t="shared" si="10"/>
        <v>13006.35176</v>
      </c>
      <c r="H55" s="160">
        <f t="shared" si="11"/>
        <v>17205.057288</v>
      </c>
      <c r="M55" s="42">
        <v>0.8</v>
      </c>
      <c r="N55" s="37">
        <v>2</v>
      </c>
      <c r="O55" s="38">
        <f>((((M55*1)+(N55*2))*MATERIALES!$C$26)+((M55*2)*MATERIALES!$C$28)+((N55*2)*MATERIALES!$C$27))*MATERIALES!$F$2</f>
        <v>5361.6326399999998</v>
      </c>
      <c r="P55" s="59">
        <f>(2*MATERIALES!$C$146)+(8*MATERIALES!$C$158)+(8*MATERIALES!$C$159)+((8*2)*MATERIALES!$C$145)+(3*MATERIALES!$C$160)+(((N55*2)+(M55*1))*MATERIALES!$C$149)+(1*MATERIALES!$C$162)+(((M55*5)*2)*MATERIALES!$C$147)+(4*MATERIALES!$C$148)+(0.5*MATERIALES!$C$167)+(((M55*2)+(N55*2))*MATERIALES!$C$165)</f>
        <v>1900.26512</v>
      </c>
      <c r="Q55" s="75"/>
      <c r="R55" s="55">
        <f>MATERIALES!$D$243</f>
        <v>3927.27</v>
      </c>
      <c r="S55" s="38">
        <f t="shared" si="12"/>
        <v>11189.16776</v>
      </c>
      <c r="T55" s="49">
        <f t="shared" si="13"/>
        <v>14545.918088</v>
      </c>
      <c r="W55" s="68">
        <v>0.8</v>
      </c>
      <c r="X55" s="69">
        <v>2</v>
      </c>
      <c r="Y55" s="59">
        <f>((((W55*1)+(X55*2))*MATERIALES!$C$26)+((W55*2)*MATERIALES!$C$28)+((X55*1)*MATERIALES!$C$28)+((X55*2)*MATERIALES!$C$27)+((((W55/2)-0.2)*MATERIALES!$C$30)*(X55/0.12)))*MATERIALES!$F$2</f>
        <v>8766.9254399999991</v>
      </c>
      <c r="Z55" s="59">
        <f>(2*MATERIALES!$C$146)+(12*MATERIALES!$C$158)+(12*MATERIALES!$C$159)+((8*2)*MATERIALES!$C$145)+(3*MATERIALES!$C$160)+(((X55*2)+(W55*1))*MATERIALES!$C$149)+(((W55)+(X55*2))*MATERIALES!$C$141)+(((W55)+(X55*2))*MATERIALES!$C$165)+(1*MATERIALES!$C$162)+(((W55*5)*2)*MATERIALES!$C$147)+(4*MATERIALES!$C$148)+(0.5*MATERIALES!$C$167)</f>
        <v>2045.94832</v>
      </c>
      <c r="AA55" s="75"/>
      <c r="AB55" s="55">
        <f>((W55/2)*X55)*MATERIALES!$D$82</f>
        <v>424</v>
      </c>
      <c r="AC55" s="59">
        <f t="shared" si="14"/>
        <v>11236.873759999999</v>
      </c>
      <c r="AD55" s="70">
        <f t="shared" ref="AD55:AD59" si="15">(SUM(Y55:AA55)*1.2)+(AB55*2)</f>
        <v>13823.448511999997</v>
      </c>
      <c r="AK55" s="317"/>
      <c r="AL55" s="331"/>
      <c r="AM55" s="298"/>
      <c r="AN55" s="331"/>
      <c r="AO55" s="332"/>
      <c r="AP55" s="310"/>
      <c r="AQ55" s="309"/>
      <c r="AR55" s="333"/>
    </row>
    <row r="56" spans="1:47" ht="27" thickBot="1">
      <c r="A56" s="161">
        <v>0.9</v>
      </c>
      <c r="B56" s="162">
        <v>2</v>
      </c>
      <c r="C56" s="75">
        <f>(((((A56*1)+(B56*2))*MATERIALES!$C$26)+((A56*2)*MATERIALES!$C$28)+((B56*1)*MATERIALES!$C$28)+((B56*2)*MATERIALES!$C$27))*MATERIALES!$F$2)+MATERIALES!$D$243</f>
        <v>10704.06912</v>
      </c>
      <c r="D56" s="75">
        <f>(2*MATERIALES!$C$146)+(12*MATERIALES!$C$158)+(12*MATERIALES!$C$159)+((8*2)*MATERIALES!$C$145)+(3*MATERIALES!$C$160)+(((B56*2)+(A56*1))*MATERIALES!$C$149)+(((A56)+(B56*2))*MATERIALES!$C$141)+(((A56)+(B56*2))*MATERIALES!$C$165)+(1*MATERIALES!$C$162)+(((A56*5)*2)*MATERIALES!$C$147)+(4*MATERIALES!$C$148)+(0.5*MATERIALES!$C$167)</f>
        <v>2051.4717599999999</v>
      </c>
      <c r="E56" s="75"/>
      <c r="F56" s="112">
        <f>((A56/2)*B56)*MATERIALES!$D$82</f>
        <v>477</v>
      </c>
      <c r="G56" s="75">
        <f t="shared" si="10"/>
        <v>13232.54088</v>
      </c>
      <c r="H56" s="160">
        <f t="shared" si="11"/>
        <v>17536.203144000003</v>
      </c>
      <c r="M56" s="42">
        <v>0.9</v>
      </c>
      <c r="N56" s="37">
        <v>2</v>
      </c>
      <c r="O56" s="38">
        <f>((((M56*1)+(N56*2))*MATERIALES!$C$26)+((M56*2)*MATERIALES!$C$28)+((N56*2)*MATERIALES!$C$27))*MATERIALES!$F$2</f>
        <v>5529.2983199999999</v>
      </c>
      <c r="P56" s="59">
        <f>(2*MATERIALES!$C$146)+(8*MATERIALES!$C$158)+(8*MATERIALES!$C$159)+((8*2)*MATERIALES!$C$145)+(3*MATERIALES!$C$160)+(((N56*2)+(M56*1))*MATERIALES!$C$149)+(1*MATERIALES!$C$162)+(((M56*5)*2)*MATERIALES!$C$147)+(4*MATERIALES!$C$148)+(0.5*MATERIALES!$C$167)+(((M56*2)+(N56*2))*MATERIALES!$C$165)</f>
        <v>1905.7885600000002</v>
      </c>
      <c r="Q56" s="75"/>
      <c r="R56" s="55">
        <f>MATERIALES!$D$243</f>
        <v>3927.27</v>
      </c>
      <c r="S56" s="38">
        <f t="shared" si="12"/>
        <v>11362.356879999999</v>
      </c>
      <c r="T56" s="49">
        <f t="shared" si="13"/>
        <v>14771.063944</v>
      </c>
      <c r="W56" s="68">
        <v>0.9</v>
      </c>
      <c r="X56" s="69">
        <v>2</v>
      </c>
      <c r="Y56" s="59">
        <f>((((W56*1)+(X56*2))*MATERIALES!$C$26)+((W56*2)*MATERIALES!$C$28)+((X56*1)*MATERIALES!$C$28)+((X56*2)*MATERIALES!$C$27)+((((W56/2)-0.2)*MATERIALES!$C$30)*(X56/0.12)))*MATERIALES!$F$2</f>
        <v>9474.0391200000013</v>
      </c>
      <c r="Z56" s="59">
        <f>(2*MATERIALES!$C$146)+(12*MATERIALES!$C$158)+(12*MATERIALES!$C$159)+((8*2)*MATERIALES!$C$145)+(3*MATERIALES!$C$160)+(((X56*2)+(W56*1))*MATERIALES!$C$149)+(((W56)+(X56*2))*MATERIALES!$C$141)+(((W56)+(X56*2))*MATERIALES!$C$165)+(1*MATERIALES!$C$162)+(((W56*5)*2)*MATERIALES!$C$147)+(4*MATERIALES!$C$148)+(0.5*MATERIALES!$C$167)</f>
        <v>2051.4717599999999</v>
      </c>
      <c r="AA56" s="75"/>
      <c r="AB56" s="55">
        <f>((W56/2)*X56)*MATERIALES!$D$82</f>
        <v>477</v>
      </c>
      <c r="AC56" s="59">
        <f t="shared" si="14"/>
        <v>12002.510880000002</v>
      </c>
      <c r="AD56" s="70">
        <f t="shared" si="15"/>
        <v>14784.613056000002</v>
      </c>
      <c r="AK56" s="317"/>
      <c r="AL56" s="294"/>
      <c r="AM56" s="298"/>
      <c r="AN56" s="296"/>
      <c r="AO56" s="332"/>
      <c r="AP56" s="4"/>
      <c r="AQ56" s="309"/>
      <c r="AR56" s="332"/>
    </row>
    <row r="57" spans="1:47" ht="27" thickBot="1">
      <c r="A57" s="161">
        <v>0.6</v>
      </c>
      <c r="B57" s="162">
        <v>2.1</v>
      </c>
      <c r="C57" s="75">
        <f>(((((A57*1)+(B57*2))*MATERIALES!$C$26)+((A57*2)*MATERIALES!$C$28)+((B57*1)*MATERIALES!$C$28)+((B57*2)*MATERIALES!$C$27))*MATERIALES!$F$2)+MATERIALES!$D$243</f>
        <v>10464.462480000002</v>
      </c>
      <c r="D57" s="75">
        <f>(2*MATERIALES!$C$146)+(12*MATERIALES!$C$158)+(12*MATERIALES!$C$159)+((8*2)*MATERIALES!$C$145)+(3*MATERIALES!$C$160)+(((B57*2)+(A57*1))*MATERIALES!$C$149)+(((A57)+(B57*2))*MATERIALES!$C$141)+(((A57)+(B57*2))*MATERIALES!$C$165)+(1*MATERIALES!$C$162)+(((A57*5)*2)*MATERIALES!$C$147)+(4*MATERIALES!$C$148)+(0.5*MATERIALES!$C$167)</f>
        <v>2045.94832</v>
      </c>
      <c r="E57" s="75"/>
      <c r="F57" s="112">
        <f>((A57/2)*B57)*MATERIALES!$D$82</f>
        <v>333.9</v>
      </c>
      <c r="G57" s="75">
        <f t="shared" si="10"/>
        <v>12844.310800000001</v>
      </c>
      <c r="H57" s="160">
        <f t="shared" si="11"/>
        <v>16931.334040000002</v>
      </c>
      <c r="M57" s="42">
        <v>0.6</v>
      </c>
      <c r="N57" s="37">
        <v>2.1</v>
      </c>
      <c r="O57" s="38">
        <f>((((M57*1)+(N57*2))*MATERIALES!$C$26)+((M57*2)*MATERIALES!$C$28)+((N57*2)*MATERIALES!$C$27))*MATERIALES!$F$2</f>
        <v>5227.3166400000009</v>
      </c>
      <c r="P57" s="59">
        <f>(2*MATERIALES!$C$146)+(8*MATERIALES!$C$158)+(8*MATERIALES!$C$159)+((8*2)*MATERIALES!$C$145)+(3*MATERIALES!$C$160)+(((N57*2)+(M57*1))*MATERIALES!$C$149)+(1*MATERIALES!$C$162)+(((M57*5)*2)*MATERIALES!$C$147)+(4*MATERIALES!$C$148)+(0.5*MATERIALES!$C$167)+(((M57*2)+(N57*2))*MATERIALES!$C$165)</f>
        <v>1895.9969600000002</v>
      </c>
      <c r="Q57" s="75"/>
      <c r="R57" s="55">
        <f>MATERIALES!$D$243</f>
        <v>3927.27</v>
      </c>
      <c r="S57" s="38">
        <f t="shared" si="12"/>
        <v>11050.583600000002</v>
      </c>
      <c r="T57" s="49">
        <f t="shared" si="13"/>
        <v>14365.758680000003</v>
      </c>
      <c r="W57" s="68">
        <v>0.6</v>
      </c>
      <c r="X57" s="69">
        <v>2.1</v>
      </c>
      <c r="Y57" s="59">
        <f>((((W57*1)+(X57*2))*MATERIALES!$C$26)+((W57*2)*MATERIALES!$C$28)+((X57*1)*MATERIALES!$C$28)+((X57*2)*MATERIALES!$C$27)+((((W57/2)-0.2)*MATERIALES!$C$30)*(X57/0.12)))*MATERIALES!$F$2</f>
        <v>7670.0332800000006</v>
      </c>
      <c r="Z57" s="59">
        <f>(2*MATERIALES!$C$146)+(12*MATERIALES!$C$158)+(12*MATERIALES!$C$159)+((8*2)*MATERIALES!$C$145)+(3*MATERIALES!$C$160)+(((X57*2)+(W57*1))*MATERIALES!$C$149)+(((W57)+(X57*2))*MATERIALES!$C$141)+(((W57)+(X57*2))*MATERIALES!$C$165)+(1*MATERIALES!$C$162)+(((W57*5)*2)*MATERIALES!$C$147)+(4*MATERIALES!$C$148)+(0.5*MATERIALES!$C$167)</f>
        <v>2045.94832</v>
      </c>
      <c r="AA57" s="75"/>
      <c r="AB57" s="55">
        <f>((W57/2)*X57)*MATERIALES!$D$82</f>
        <v>333.9</v>
      </c>
      <c r="AC57" s="59">
        <f t="shared" si="14"/>
        <v>10049.881600000001</v>
      </c>
      <c r="AD57" s="70">
        <f t="shared" si="15"/>
        <v>12326.977919999999</v>
      </c>
      <c r="AK57" s="317"/>
      <c r="AL57" s="289"/>
      <c r="AM57" s="317"/>
      <c r="AN57" s="287"/>
      <c r="AO57" s="332"/>
      <c r="AP57" s="4"/>
      <c r="AQ57" s="309"/>
      <c r="AR57" s="333"/>
    </row>
    <row r="58" spans="1:47" ht="27" thickBot="1">
      <c r="A58" s="161">
        <v>0.7</v>
      </c>
      <c r="B58" s="162">
        <v>2.1</v>
      </c>
      <c r="C58" s="75">
        <f>(((((A58*1)+(B58*2))*MATERIALES!$C$26)+((A58*2)*MATERIALES!$C$28)+((B58*1)*MATERIALES!$C$28)+((B58*2)*MATERIALES!$C$27))*MATERIALES!$F$2)+MATERIALES!$D$243</f>
        <v>10632.12816</v>
      </c>
      <c r="D58" s="75">
        <f>(2*MATERIALES!$C$146)+(12*MATERIALES!$C$158)+(12*MATERIALES!$C$159)+((8*2)*MATERIALES!$C$145)+(3*MATERIALES!$C$160)+(((B58*2)+(A58*1))*MATERIALES!$C$149)+(((A58)+(B58*2))*MATERIALES!$C$141)+(((A58)+(B58*2))*MATERIALES!$C$165)+(1*MATERIALES!$C$162)+(((A58*5)*2)*MATERIALES!$C$147)+(4*MATERIALES!$C$148)+(0.5*MATERIALES!$C$167)</f>
        <v>2051.4717599999999</v>
      </c>
      <c r="E58" s="75"/>
      <c r="F58" s="112">
        <f>((A58/2)*B58)*MATERIALES!$D$82</f>
        <v>389.55</v>
      </c>
      <c r="G58" s="75">
        <f t="shared" si="10"/>
        <v>13073.14992</v>
      </c>
      <c r="H58" s="160">
        <f t="shared" si="11"/>
        <v>17267.779896</v>
      </c>
      <c r="M58" s="42">
        <v>0.7</v>
      </c>
      <c r="N58" s="37">
        <v>2.1</v>
      </c>
      <c r="O58" s="38">
        <f>((((M58*1)+(N58*2))*MATERIALES!$C$26)+((M58*2)*MATERIALES!$C$28)+((N58*2)*MATERIALES!$C$27))*MATERIALES!$F$2</f>
        <v>5394.9823200000001</v>
      </c>
      <c r="P58" s="59">
        <f>(2*MATERIALES!$C$146)+(8*MATERIALES!$C$158)+(8*MATERIALES!$C$159)+((8*2)*MATERIALES!$C$145)+(3*MATERIALES!$C$160)+(((N58*2)+(M58*1))*MATERIALES!$C$149)+(1*MATERIALES!$C$162)+(((M58*5)*2)*MATERIALES!$C$147)+(4*MATERIALES!$C$148)+(0.5*MATERIALES!$C$167)+(((M58*2)+(N58*2))*MATERIALES!$C$165)</f>
        <v>1901.5204000000001</v>
      </c>
      <c r="Q58" s="75"/>
      <c r="R58" s="55">
        <f>MATERIALES!$D$243</f>
        <v>3927.27</v>
      </c>
      <c r="S58" s="38">
        <f t="shared" si="12"/>
        <v>11223.772720000001</v>
      </c>
      <c r="T58" s="49">
        <f t="shared" si="13"/>
        <v>14590.904536000002</v>
      </c>
      <c r="W58" s="68">
        <v>0.7</v>
      </c>
      <c r="X58" s="69">
        <v>2.1</v>
      </c>
      <c r="Y58" s="59">
        <f>((((W58*1)+(X58*2))*MATERIALES!$C$26)+((W58*2)*MATERIALES!$C$28)+((X58*1)*MATERIALES!$C$28)+((X58*2)*MATERIALES!$C$27)+((((W58/2)-0.2)*MATERIALES!$C$30)*(X58/0.12)))*MATERIALES!$F$2</f>
        <v>8404.1193600000006</v>
      </c>
      <c r="Z58" s="59">
        <f>(2*MATERIALES!$C$146)+(12*MATERIALES!$C$158)+(12*MATERIALES!$C$159)+((8*2)*MATERIALES!$C$145)+(3*MATERIALES!$C$160)+(((X58*2)+(W58*1))*MATERIALES!$C$149)+(((W58)+(X58*2))*MATERIALES!$C$141)+(((W58)+(X58*2))*MATERIALES!$C$165)+(1*MATERIALES!$C$162)+(((W58*5)*2)*MATERIALES!$C$147)+(4*MATERIALES!$C$148)+(0.5*MATERIALES!$C$167)</f>
        <v>2051.4717599999999</v>
      </c>
      <c r="AA58" s="75"/>
      <c r="AB58" s="55">
        <f>((W58/2)*X58)*MATERIALES!$D$82</f>
        <v>389.55</v>
      </c>
      <c r="AC58" s="59">
        <f t="shared" si="14"/>
        <v>10845.14112</v>
      </c>
      <c r="AD58" s="70">
        <f t="shared" si="15"/>
        <v>13325.809344000001</v>
      </c>
      <c r="AK58" s="317"/>
      <c r="AL58" s="294"/>
      <c r="AM58" s="317"/>
      <c r="AN58" s="296"/>
      <c r="AO58" s="332"/>
      <c r="AQ58" s="309"/>
      <c r="AR58" s="332"/>
    </row>
    <row r="59" spans="1:47" ht="27" thickBot="1">
      <c r="A59" s="161">
        <v>0.8</v>
      </c>
      <c r="B59" s="162">
        <v>2.1</v>
      </c>
      <c r="C59" s="75">
        <f>(((((A59*1)+(B59*2))*MATERIALES!$C$26)+((A59*2)*MATERIALES!$C$28)+((B59*1)*MATERIALES!$C$28)+((B59*2)*MATERIALES!$C$27))*MATERIALES!$F$2)+MATERIALES!$D$243</f>
        <v>10799.79384</v>
      </c>
      <c r="D59" s="75">
        <f>(2*MATERIALES!$C$146)+(12*MATERIALES!$C$158)+(12*MATERIALES!$C$159)+((8*2)*MATERIALES!$C$145)+(3*MATERIALES!$C$160)+(((B59*2)+(A59*1))*MATERIALES!$C$149)+(((A59)+(B59*2))*MATERIALES!$C$141)+(((A59)+(B59*2))*MATERIALES!$C$165)+(1*MATERIALES!$C$162)+(((A59*5)*2)*MATERIALES!$C$147)+(4*MATERIALES!$C$148)+(0.5*MATERIALES!$C$167)</f>
        <v>2056.9952000000003</v>
      </c>
      <c r="E59" s="75"/>
      <c r="F59" s="112">
        <f>((A59/2)*B59)*MATERIALES!$D$82</f>
        <v>445.20000000000005</v>
      </c>
      <c r="G59" s="75">
        <f t="shared" si="10"/>
        <v>13301.98904</v>
      </c>
      <c r="H59" s="160">
        <f t="shared" si="11"/>
        <v>17604.225752000002</v>
      </c>
      <c r="M59" s="42">
        <v>0.8</v>
      </c>
      <c r="N59" s="37">
        <v>2.1</v>
      </c>
      <c r="O59" s="38">
        <f>((((M59*1)+(N59*2))*MATERIALES!$C$26)+((M59*2)*MATERIALES!$C$28)+((N59*2)*MATERIALES!$C$27))*MATERIALES!$F$2</f>
        <v>5562.6480000000001</v>
      </c>
      <c r="P59" s="59">
        <f>(2*MATERIALES!$C$146)+(8*MATERIALES!$C$158)+(8*MATERIALES!$C$159)+((8*2)*MATERIALES!$C$145)+(3*MATERIALES!$C$160)+(((N59*2)+(M59*1))*MATERIALES!$C$149)+(1*MATERIALES!$C$162)+(((M59*5)*2)*MATERIALES!$C$147)+(4*MATERIALES!$C$148)+(0.5*MATERIALES!$C$167)+(((M59*2)+(N59*2))*MATERIALES!$C$165)</f>
        <v>1907.0438400000003</v>
      </c>
      <c r="Q59" s="75"/>
      <c r="R59" s="55">
        <f>MATERIALES!$D$243</f>
        <v>3927.27</v>
      </c>
      <c r="S59" s="38">
        <f t="shared" si="12"/>
        <v>11396.96184</v>
      </c>
      <c r="T59" s="49">
        <f t="shared" si="13"/>
        <v>14816.050392000001</v>
      </c>
      <c r="W59" s="68">
        <v>0.8</v>
      </c>
      <c r="X59" s="69">
        <v>2.1</v>
      </c>
      <c r="Y59" s="59">
        <f>((((W59*1)+(X59*2))*MATERIALES!$C$26)+((W59*2)*MATERIALES!$C$28)+((X59*1)*MATERIALES!$C$28)+((X59*2)*MATERIALES!$C$27)+((((W59/2)-0.2)*MATERIALES!$C$30)*(X59/0.12)))*MATERIALES!$F$2</f>
        <v>9138.2054400000015</v>
      </c>
      <c r="Z59" s="59">
        <f>(2*MATERIALES!$C$146)+(12*MATERIALES!$C$158)+(12*MATERIALES!$C$159)+((8*2)*MATERIALES!$C$145)+(3*MATERIALES!$C$160)+(((X59*2)+(W59*1))*MATERIALES!$C$149)+(((W59)+(X59*2))*MATERIALES!$C$141)+(((W59)+(X59*2))*MATERIALES!$C$165)+(1*MATERIALES!$C$162)+(((W59*5)*2)*MATERIALES!$C$147)+(4*MATERIALES!$C$148)+(0.5*MATERIALES!$C$167)</f>
        <v>2056.9952000000003</v>
      </c>
      <c r="AA59" s="75"/>
      <c r="AB59" s="55">
        <f>((W59/2)*X59)*MATERIALES!$D$82</f>
        <v>445.20000000000005</v>
      </c>
      <c r="AC59" s="59">
        <f t="shared" si="14"/>
        <v>11640.400640000003</v>
      </c>
      <c r="AD59" s="70">
        <f t="shared" si="15"/>
        <v>14324.640768000003</v>
      </c>
      <c r="AK59" s="317"/>
      <c r="AL59" s="4"/>
      <c r="AM59" s="317"/>
      <c r="AN59" s="4"/>
      <c r="AO59" s="332"/>
      <c r="AQ59" s="309"/>
      <c r="AR59" s="332"/>
    </row>
    <row r="60" spans="1:47" ht="27" thickBot="1">
      <c r="A60" s="164">
        <v>0.9</v>
      </c>
      <c r="B60" s="165">
        <v>2.1</v>
      </c>
      <c r="C60" s="76">
        <f>(((((A60*1)+(B60*2))*MATERIALES!$C$26)+((A60*2)*MATERIALES!$C$28)+((B60*1)*MATERIALES!$C$28)+((B60*2)*MATERIALES!$C$27))*MATERIALES!$F$2)+MATERIALES!$D$243</f>
        <v>10967.45952</v>
      </c>
      <c r="D60" s="76">
        <f>(2*MATERIALES!$C$146)+(12*MATERIALES!$C$158)+(12*MATERIALES!$C$159)+((8*2)*MATERIALES!$C$145)+(3*MATERIALES!$C$160)+(((B60*2)+(A60*1))*MATERIALES!$C$149)+(((A60)+(B60*2))*MATERIALES!$C$141)+(((A60)+(B60*2))*MATERIALES!$C$165)+(1*MATERIALES!$C$162)+(((A60*5)*2)*MATERIALES!$C$147)+(4*MATERIALES!$C$148)+(0.5*MATERIALES!$C$167)</f>
        <v>2062.5186400000002</v>
      </c>
      <c r="E60" s="76"/>
      <c r="F60" s="113">
        <f>((A60/2)*B60)*MATERIALES!$D$82</f>
        <v>500.85</v>
      </c>
      <c r="G60" s="76">
        <f t="shared" si="10"/>
        <v>13530.828160000001</v>
      </c>
      <c r="H60" s="160">
        <f t="shared" si="11"/>
        <v>17940.671608000001</v>
      </c>
      <c r="M60" s="44">
        <v>0.9</v>
      </c>
      <c r="N60" s="45">
        <v>2.1</v>
      </c>
      <c r="O60" s="50">
        <f>((((M60*1)+(N60*2))*MATERIALES!$C$26)+((M60*2)*MATERIALES!$C$28)+((N60*2)*MATERIALES!$C$27))*MATERIALES!$F$2</f>
        <v>5730.3136800000011</v>
      </c>
      <c r="P60" s="60">
        <f>(2*MATERIALES!$C$146)+(8*MATERIALES!$C$158)+(8*MATERIALES!$C$159)+((8*2)*MATERIALES!$C$145)+(3*MATERIALES!$C$160)+(((N60*2)+(M60*1))*MATERIALES!$C$149)+(1*MATERIALES!$C$162)+(((M60*5)*2)*MATERIALES!$C$147)+(4*MATERIALES!$C$148)+(0.5*MATERIALES!$C$167)+(((M60*2)+(N60*2))*MATERIALES!$C$165)</f>
        <v>1912.5672800000002</v>
      </c>
      <c r="Q60" s="76"/>
      <c r="R60" s="56">
        <f>MATERIALES!$D$243</f>
        <v>3927.27</v>
      </c>
      <c r="S60" s="50">
        <f t="shared" si="12"/>
        <v>11570.150960000001</v>
      </c>
      <c r="T60" s="49">
        <f t="shared" si="13"/>
        <v>15041.196248000002</v>
      </c>
      <c r="W60" s="71">
        <v>0.9</v>
      </c>
      <c r="X60" s="72">
        <v>2.1</v>
      </c>
      <c r="Y60" s="60">
        <f>((((W60*1)+(X60*2))*MATERIALES!$C$26)+((W60*2)*MATERIALES!$C$28)+((X60*1)*MATERIALES!$C$28)+((X60*2)*MATERIALES!$C$27)+((((W60/2)-0.2)*MATERIALES!$C$30)*(X60/0.12)))*MATERIALES!$F$2</f>
        <v>9872.2915200000007</v>
      </c>
      <c r="Z60" s="60">
        <f>(2*MATERIALES!$C$146)+(12*MATERIALES!$C$158)+(12*MATERIALES!$C$159)+((8*2)*MATERIALES!$C$145)+(3*MATERIALES!$C$160)+(((X60*2)+(W60*1))*MATERIALES!$C$149)+(((W60)+(X60*2))*MATERIALES!$C$141)+(((W60)+(X60*2))*MATERIALES!$C$165)+(1*MATERIALES!$C$162)+(((W60*5)*2)*MATERIALES!$C$147)+(4*MATERIALES!$C$148)+(0.5*MATERIALES!$C$167)</f>
        <v>2062.5186400000002</v>
      </c>
      <c r="AA60" s="76"/>
      <c r="AB60" s="56">
        <f>((W60/2)*X60)*MATERIALES!$D$82</f>
        <v>500.85</v>
      </c>
      <c r="AC60" s="60">
        <f t="shared" si="14"/>
        <v>12435.660160000001</v>
      </c>
      <c r="AD60" s="73">
        <f>(SUM(Y60:AA60)*1.2)+(AB60*2)</f>
        <v>15323.472192000001</v>
      </c>
      <c r="AK60" s="317"/>
      <c r="AL60" s="4"/>
      <c r="AM60" s="317"/>
      <c r="AN60" s="4"/>
      <c r="AO60" s="332"/>
      <c r="AQ60" s="309"/>
      <c r="AR60" s="332"/>
    </row>
    <row r="61" spans="1:47">
      <c r="AL61" s="4"/>
      <c r="AM61" s="32"/>
      <c r="AN61" s="4"/>
      <c r="AO61" s="4"/>
      <c r="AQ61" s="267"/>
      <c r="AR61" s="4"/>
    </row>
    <row r="62" spans="1:47" ht="15.75" thickBot="1"/>
    <row r="63" spans="1:47" ht="15.75" thickBot="1">
      <c r="A63" s="32"/>
      <c r="B63" s="32"/>
      <c r="C63" s="801">
        <v>0.2</v>
      </c>
      <c r="D63" s="802"/>
      <c r="E63" s="803"/>
      <c r="F63" s="61">
        <v>1</v>
      </c>
      <c r="G63" s="32"/>
      <c r="H63" s="46" t="s">
        <v>163</v>
      </c>
      <c r="M63" s="32"/>
      <c r="N63" s="32"/>
      <c r="O63" s="801">
        <v>0.2</v>
      </c>
      <c r="P63" s="802"/>
      <c r="Q63" s="803"/>
      <c r="R63" s="61">
        <v>1</v>
      </c>
      <c r="S63" s="32"/>
      <c r="T63" s="46" t="s">
        <v>163</v>
      </c>
    </row>
    <row r="64" spans="1:47" ht="15.75" customHeight="1" thickBot="1">
      <c r="A64" s="792" t="s">
        <v>223</v>
      </c>
      <c r="B64" s="793"/>
      <c r="C64" s="793"/>
      <c r="D64" s="793"/>
      <c r="E64" s="793"/>
      <c r="F64" s="793"/>
      <c r="G64" s="793"/>
      <c r="H64" s="794"/>
      <c r="M64" s="792" t="s">
        <v>220</v>
      </c>
      <c r="N64" s="793"/>
      <c r="O64" s="793"/>
      <c r="P64" s="793"/>
      <c r="Q64" s="793"/>
      <c r="R64" s="793"/>
      <c r="S64" s="793"/>
      <c r="T64" s="794"/>
    </row>
    <row r="65" spans="1:20" ht="15.75" customHeight="1" thickBot="1">
      <c r="A65" s="36" t="s">
        <v>116</v>
      </c>
      <c r="B65" s="36" t="s">
        <v>117</v>
      </c>
      <c r="C65" s="36" t="s">
        <v>162</v>
      </c>
      <c r="D65" s="36" t="s">
        <v>119</v>
      </c>
      <c r="E65" s="36" t="s">
        <v>120</v>
      </c>
      <c r="F65" s="36" t="s">
        <v>118</v>
      </c>
      <c r="G65" s="36" t="s">
        <v>121</v>
      </c>
      <c r="H65" s="36" t="s">
        <v>122</v>
      </c>
      <c r="M65" s="36" t="s">
        <v>116</v>
      </c>
      <c r="N65" s="36" t="s">
        <v>117</v>
      </c>
      <c r="O65" s="36" t="s">
        <v>162</v>
      </c>
      <c r="P65" s="36" t="s">
        <v>119</v>
      </c>
      <c r="Q65" s="36" t="s">
        <v>120</v>
      </c>
      <c r="R65" s="36" t="s">
        <v>118</v>
      </c>
      <c r="S65" s="36" t="s">
        <v>121</v>
      </c>
      <c r="T65" s="36" t="s">
        <v>122</v>
      </c>
    </row>
    <row r="66" spans="1:20" ht="15.75" thickBot="1">
      <c r="A66" s="795"/>
      <c r="B66" s="796"/>
      <c r="C66" s="796"/>
      <c r="D66" s="796"/>
      <c r="E66" s="796"/>
      <c r="F66" s="796"/>
      <c r="G66" s="796"/>
      <c r="H66" s="797"/>
      <c r="M66" s="795"/>
      <c r="N66" s="796"/>
      <c r="O66" s="796"/>
      <c r="P66" s="796"/>
      <c r="Q66" s="796"/>
      <c r="R66" s="796"/>
      <c r="S66" s="796"/>
      <c r="T66" s="797"/>
    </row>
    <row r="67" spans="1:20" ht="15.75" thickBot="1">
      <c r="A67" s="65">
        <v>0.6</v>
      </c>
      <c r="B67" s="66">
        <v>2</v>
      </c>
      <c r="C67" s="58">
        <f>((((A67*1)+(B67*2))*MATERIALES!$C$26)+((A67*5)*MATERIALES!$C$28)+((B67*2)*MATERIALES!$C$27)+(((A67-0.2)*MATERIALES!$C$30)*((B67/2)/0.12)))*MATERIALES!$F$2</f>
        <v>8306.844000000001</v>
      </c>
      <c r="D67" s="58">
        <f>(2*MATERIALES!$C$146)+(20*MATERIALES!$C$158)+(20*MATERIALES!$C$159)+((8*2)*MATERIALES!$C$145)+(3*MATERIALES!$C$160)+(((B67*2)+(A67*1))*MATERIALES!$C$149)+(((A67*6)+((B67/2)*2))*MATERIALES!$C$141)+(((A67*2)+(B67/2)*2)*MATERIALES!$C$165)+(0.5*MATERIALES!$C$167)+(1*MATERIALES!$C$162)+(((A67*5)*2)*MATERIALES!$C$147)+(4*MATERIALES!$C$148)</f>
        <v>2147.0051199999998</v>
      </c>
      <c r="E67" s="74"/>
      <c r="F67" s="54">
        <f>(A67*(B67/2))*MATERIALES!$D$82</f>
        <v>318</v>
      </c>
      <c r="G67" s="58">
        <f>SUM(C67:F67)</f>
        <v>10771.849120000001</v>
      </c>
      <c r="H67" s="67">
        <f>(SUM(C67:E67)*1.3)+(F67*2)</f>
        <v>14226.003856000001</v>
      </c>
      <c r="M67" s="65">
        <v>0.6</v>
      </c>
      <c r="N67" s="66">
        <v>2</v>
      </c>
      <c r="O67" s="58">
        <f>((((M67*1)+(N67*2))*MATERIALES!$C$26)+((M67*3)*MATERIALES!$C$28)+(((N67/2)*2)*MATERIALES!$C$28)+((N67*2)*MATERIALES!$C$27)+(((M67-0.2)*MATERIALES!$C$30)*((N67/2)/0.12)))*MATERIALES!$F$2</f>
        <v>8805.8443200000002</v>
      </c>
      <c r="P67" s="58">
        <f>(2*MATERIALES!$C$146)+(20*MATERIALES!$C$158)+(20*MATERIALES!$C$159)+((8*2)*MATERIALES!$C$145)+(3*MATERIALES!$C$160)+(((N67*2)+(M67*1))*MATERIALES!$C$149)+(((M67*2)+((N67/2)*6))*MATERIALES!$C$141)+(((M67*2)+(N67/2)*2)*MATERIALES!$C$165)+(0.5*MATERIALES!$C$167)+(1*MATERIALES!$C$162)+(((M67*5)*2)*MATERIALES!$C$147)+(4*MATERIALES!$C$148)</f>
        <v>2181.1503999999995</v>
      </c>
      <c r="Q67" s="74"/>
      <c r="R67" s="54">
        <f>(M67*(N67/2))*MATERIALES!$D$82</f>
        <v>318</v>
      </c>
      <c r="S67" s="58">
        <f>SUM(O67:R67)</f>
        <v>11304.994719999999</v>
      </c>
      <c r="T67" s="67">
        <f>(SUM(O67:Q67)*1.3)+(R67*2)</f>
        <v>14919.093136</v>
      </c>
    </row>
    <row r="68" spans="1:20" ht="15.75" thickBot="1">
      <c r="A68" s="68">
        <v>0.7</v>
      </c>
      <c r="B68" s="69">
        <v>2</v>
      </c>
      <c r="C68" s="59">
        <f>((((A68*1)+(B68*2))*MATERIALES!$C$26)+((A68*5)*MATERIALES!$C$28)+((B68*2)*MATERIALES!$C$27)+(((A68-0.2)*MATERIALES!$C$30)*((B68/2)/0.12)))*MATERIALES!$F$2</f>
        <v>9201.082800000002</v>
      </c>
      <c r="D68" s="59">
        <f>(2*MATERIALES!$C$146)+(20*MATERIALES!$C$158)+(20*MATERIALES!$C$159)+((8*2)*MATERIALES!$C$145)+(3*MATERIALES!$C$160)+(((B68*2)+(A68*1))*MATERIALES!$C$149)+(((A68*6)+((B68/2)*2))*MATERIALES!$C$141)+(((A68*2)+(B68/2)*2)*MATERIALES!$C$165)+(0.5*MATERIALES!$C$167)+(1*MATERIALES!$C$162)+(((A68*5)*2)*MATERIALES!$C$147)+(4*MATERIALES!$C$148)</f>
        <v>2165.33304</v>
      </c>
      <c r="E68" s="75"/>
      <c r="F68" s="55">
        <f>(A68*(B68/2))*MATERIALES!$D$82</f>
        <v>371</v>
      </c>
      <c r="G68" s="59">
        <f t="shared" ref="G68:G74" si="16">SUM(C68:F68)</f>
        <v>11737.415840000001</v>
      </c>
      <c r="H68" s="67">
        <f t="shared" ref="H68:H74" si="17">(SUM(C68:E68)*1.3)+(F68*2)</f>
        <v>15518.340592000002</v>
      </c>
      <c r="M68" s="68">
        <v>0.7</v>
      </c>
      <c r="N68" s="69">
        <v>2</v>
      </c>
      <c r="O68" s="59">
        <f>((((M68*1)+(N68*2))*MATERIALES!$C$26)+((M68*3)*MATERIALES!$C$28)+(((N68/2)*2)*MATERIALES!$C$28)+((N68*2)*MATERIALES!$C$27)+(((M68-0.2)*MATERIALES!$C$30)*((N68/2)/0.12)))*MATERIALES!$F$2</f>
        <v>9575.3330399999995</v>
      </c>
      <c r="P68" s="59">
        <f>(2*MATERIALES!$C$146)+(20*MATERIALES!$C$158)+(20*MATERIALES!$C$159)+((8*2)*MATERIALES!$C$145)+(3*MATERIALES!$C$160)+(((N68*2)+(M68*1))*MATERIALES!$C$149)+(((M68*2)+((N68/2)*6))*MATERIALES!$C$141)+(((M68*2)+(N68/2)*2)*MATERIALES!$C$165)+(0.5*MATERIALES!$C$167)+(1*MATERIALES!$C$162)+(((M68*5)*2)*MATERIALES!$C$147)+(4*MATERIALES!$C$148)</f>
        <v>2190.942</v>
      </c>
      <c r="Q68" s="75"/>
      <c r="R68" s="55">
        <f>(M68*(N68/2))*MATERIALES!$D$82</f>
        <v>371</v>
      </c>
      <c r="S68" s="59">
        <f t="shared" ref="S68:S74" si="18">SUM(O68:R68)</f>
        <v>12137.27504</v>
      </c>
      <c r="T68" s="67">
        <f t="shared" ref="T68:T74" si="19">(SUM(O68:Q68)*1.3)+(R68*2)</f>
        <v>16038.157552000001</v>
      </c>
    </row>
    <row r="69" spans="1:20" ht="15.75" thickBot="1">
      <c r="A69" s="68">
        <v>0.8</v>
      </c>
      <c r="B69" s="69">
        <v>2</v>
      </c>
      <c r="C69" s="59">
        <f>((((A69*1)+(B69*2))*MATERIALES!$C$26)+((A69*5)*MATERIALES!$C$28)+((B69*2)*MATERIALES!$C$27)+(((A69-0.2)*MATERIALES!$C$30)*((B69/2)/0.12)))*MATERIALES!$F$2</f>
        <v>10095.321600000001</v>
      </c>
      <c r="D69" s="59">
        <f>(2*MATERIALES!$C$146)+(20*MATERIALES!$C$158)+(20*MATERIALES!$C$159)+((8*2)*MATERIALES!$C$145)+(3*MATERIALES!$C$160)+(((B69*2)+(A69*1))*MATERIALES!$C$149)+(((A69*6)+((B69/2)*2))*MATERIALES!$C$141)+(((A69*2)+(B69/2)*2)*MATERIALES!$C$165)+(0.5*MATERIALES!$C$167)+(1*MATERIALES!$C$162)+(((A69*5)*2)*MATERIALES!$C$147)+(4*MATERIALES!$C$148)</f>
        <v>2183.6609600000002</v>
      </c>
      <c r="E69" s="75"/>
      <c r="F69" s="55">
        <f>(A69*(B69/2))*MATERIALES!$D$82</f>
        <v>424</v>
      </c>
      <c r="G69" s="59">
        <f t="shared" si="16"/>
        <v>12702.98256</v>
      </c>
      <c r="H69" s="67">
        <f t="shared" si="17"/>
        <v>16810.677328000002</v>
      </c>
      <c r="M69" s="68">
        <v>0.8</v>
      </c>
      <c r="N69" s="69">
        <v>2</v>
      </c>
      <c r="O69" s="59">
        <f>((((M69*1)+(N69*2))*MATERIALES!$C$26)+((M69*3)*MATERIALES!$C$28)+(((N69/2)*2)*MATERIALES!$C$28)+((N69*2)*MATERIALES!$C$27)+(((M69-0.2)*MATERIALES!$C$30)*((N69/2)/0.12)))*MATERIALES!$F$2</f>
        <v>10344.821760000003</v>
      </c>
      <c r="P69" s="59">
        <f>(2*MATERIALES!$C$146)+(20*MATERIALES!$C$158)+(20*MATERIALES!$C$159)+((8*2)*MATERIALES!$C$145)+(3*MATERIALES!$C$160)+(((N69*2)+(M69*1))*MATERIALES!$C$149)+(((M69*2)+((N69/2)*6))*MATERIALES!$C$141)+(((M69*2)+(N69/2)*2)*MATERIALES!$C$165)+(0.5*MATERIALES!$C$167)+(1*MATERIALES!$C$162)+(((M69*5)*2)*MATERIALES!$C$147)+(4*MATERIALES!$C$148)</f>
        <v>2200.7336000000005</v>
      </c>
      <c r="Q69" s="75"/>
      <c r="R69" s="55">
        <f>(M69*(N69/2))*MATERIALES!$D$82</f>
        <v>424</v>
      </c>
      <c r="S69" s="59">
        <f t="shared" si="18"/>
        <v>12969.555360000002</v>
      </c>
      <c r="T69" s="67">
        <f t="shared" si="19"/>
        <v>17157.221968000005</v>
      </c>
    </row>
    <row r="70" spans="1:20" ht="15.75" thickBot="1">
      <c r="A70" s="68">
        <v>0.9</v>
      </c>
      <c r="B70" s="69">
        <v>2</v>
      </c>
      <c r="C70" s="59">
        <f>((((A70*1)+(B70*2))*MATERIALES!$C$26)+((A70*5)*MATERIALES!$C$28)+((B70*2)*MATERIALES!$C$27)+(((A70-0.2)*MATERIALES!$C$30)*((B70/2)/0.12)))*MATERIALES!$F$2</f>
        <v>10989.560399999998</v>
      </c>
      <c r="D70" s="59">
        <f>(2*MATERIALES!$C$146)+(20*MATERIALES!$C$158)+(20*MATERIALES!$C$159)+((8*2)*MATERIALES!$C$145)+(3*MATERIALES!$C$160)+(((B70*2)+(A70*1))*MATERIALES!$C$149)+(((A70*6)+((B70/2)*2))*MATERIALES!$C$141)+(((A70*2)+(B70/2)*2)*MATERIALES!$C$165)+(0.5*MATERIALES!$C$167)+(1*MATERIALES!$C$162)+(((A70*5)*2)*MATERIALES!$C$147)+(4*MATERIALES!$C$148)</f>
        <v>2201.9888799999999</v>
      </c>
      <c r="E70" s="75"/>
      <c r="F70" s="55">
        <f>(A70*(B70/2))*MATERIALES!$D$82</f>
        <v>477</v>
      </c>
      <c r="G70" s="59">
        <f t="shared" si="16"/>
        <v>13668.549279999999</v>
      </c>
      <c r="H70" s="67">
        <f t="shared" si="17"/>
        <v>18103.014063999999</v>
      </c>
      <c r="M70" s="68">
        <v>0.9</v>
      </c>
      <c r="N70" s="69">
        <v>2</v>
      </c>
      <c r="O70" s="59">
        <f>((((M70*1)+(N70*2))*MATERIALES!$C$26)+((M70*3)*MATERIALES!$C$28)+(((N70/2)*2)*MATERIALES!$C$28)+((N70*2)*MATERIALES!$C$27)+(((M70-0.2)*MATERIALES!$C$30)*((N70/2)/0.12)))*MATERIALES!$F$2</f>
        <v>11114.310480000002</v>
      </c>
      <c r="P70" s="59">
        <f>(2*MATERIALES!$C$146)+(20*MATERIALES!$C$158)+(20*MATERIALES!$C$159)+((8*2)*MATERIALES!$C$145)+(3*MATERIALES!$C$160)+(((N70*2)+(M70*1))*MATERIALES!$C$149)+(((M70*2)+((N70/2)*6))*MATERIALES!$C$141)+(((M70*2)+(N70/2)*2)*MATERIALES!$C$165)+(0.5*MATERIALES!$C$167)+(1*MATERIALES!$C$162)+(((M70*5)*2)*MATERIALES!$C$147)+(4*MATERIALES!$C$148)</f>
        <v>2210.5252</v>
      </c>
      <c r="Q70" s="75"/>
      <c r="R70" s="55">
        <f>(M70*(N70/2))*MATERIALES!$D$82</f>
        <v>477</v>
      </c>
      <c r="S70" s="59">
        <f t="shared" si="18"/>
        <v>13801.835680000002</v>
      </c>
      <c r="T70" s="67">
        <f t="shared" si="19"/>
        <v>18276.286384000003</v>
      </c>
    </row>
    <row r="71" spans="1:20" ht="15.75" thickBot="1">
      <c r="A71" s="68">
        <v>0.6</v>
      </c>
      <c r="B71" s="69">
        <v>2.1</v>
      </c>
      <c r="C71" s="59">
        <f>((((A71*1)+(B71*2))*MATERIALES!$C$26)+((A71*5)*MATERIALES!$C$28)+((B71*2)*MATERIALES!$C$27)+(((A71-0.2)*MATERIALES!$C$30)*((B71/2)/0.12)))*MATERIALES!$F$2</f>
        <v>8615.7489600000008</v>
      </c>
      <c r="D71" s="59">
        <f>(2*MATERIALES!$C$146)+(20*MATERIALES!$C$158)+(20*MATERIALES!$C$159)+((8*2)*MATERIALES!$C$145)+(3*MATERIALES!$C$160)+(((B71*2)+(A71*1))*MATERIALES!$C$149)+(((A71*6)+((B71/2)*2))*MATERIALES!$C$141)+(((A71*2)+(B71/2)*2)*MATERIALES!$C$165)+(0.5*MATERIALES!$C$167)+(1*MATERIALES!$C$162)+(((A71*5)*2)*MATERIALES!$C$147)+(4*MATERIALES!$C$148)</f>
        <v>2153.7838400000001</v>
      </c>
      <c r="E71" s="75"/>
      <c r="F71" s="55">
        <f>(A71*(B71/2))*MATERIALES!$D$82</f>
        <v>333.9</v>
      </c>
      <c r="G71" s="59">
        <f t="shared" si="16"/>
        <v>11103.4328</v>
      </c>
      <c r="H71" s="67">
        <f t="shared" si="17"/>
        <v>14668.192640000001</v>
      </c>
      <c r="M71" s="68">
        <v>0.6</v>
      </c>
      <c r="N71" s="69">
        <v>2.1</v>
      </c>
      <c r="O71" s="59">
        <f>((((M71*1)+(N71*2))*MATERIALES!$C$26)+((M71*3)*MATERIALES!$C$28)+(((N71/2)*2)*MATERIALES!$C$28)+((N71*2)*MATERIALES!$C$27)+(((M71-0.2)*MATERIALES!$C$30)*((N71/2)/0.12)))*MATERIALES!$F$2</f>
        <v>9177.124319999999</v>
      </c>
      <c r="P71" s="59">
        <f>(2*MATERIALES!$C$146)+(20*MATERIALES!$C$158)+(20*MATERIALES!$C$159)+((8*2)*MATERIALES!$C$145)+(3*MATERIALES!$C$160)+(((N71*2)+(M71*1))*MATERIALES!$C$149)+(((M71*2)+((N71/2)*6))*MATERIALES!$C$141)+(((M71*2)+(N71/2)*2)*MATERIALES!$C$165)+(0.5*MATERIALES!$C$167)+(1*MATERIALES!$C$162)+(((M71*5)*2)*MATERIALES!$C$147)+(4*MATERIALES!$C$148)</f>
        <v>2192.1972800000003</v>
      </c>
      <c r="Q71" s="75"/>
      <c r="R71" s="55">
        <f>(M71*(N71/2))*MATERIALES!$D$82</f>
        <v>333.9</v>
      </c>
      <c r="S71" s="59">
        <f t="shared" si="18"/>
        <v>11703.221599999999</v>
      </c>
      <c r="T71" s="67">
        <f t="shared" si="19"/>
        <v>15447.918079999999</v>
      </c>
    </row>
    <row r="72" spans="1:20" ht="15.75" thickBot="1">
      <c r="A72" s="68">
        <v>0.7</v>
      </c>
      <c r="B72" s="69">
        <v>2.1</v>
      </c>
      <c r="C72" s="59">
        <f>((((A72*1)+(B72*2))*MATERIALES!$C$26)+((A72*5)*MATERIALES!$C$28)+((B72*2)*MATERIALES!$C$27)+(((A72-0.2)*MATERIALES!$C$30)*((B72/2)/0.12)))*MATERIALES!$F$2</f>
        <v>9536.9601600000005</v>
      </c>
      <c r="D72" s="59">
        <f>(2*MATERIALES!$C$146)+(20*MATERIALES!$C$158)+(20*MATERIALES!$C$159)+((8*2)*MATERIALES!$C$145)+(3*MATERIALES!$C$160)+(((B72*2)+(A72*1))*MATERIALES!$C$149)+(((A72*6)+((B72/2)*2))*MATERIALES!$C$141)+(((A72*2)+(B72/2)*2)*MATERIALES!$C$165)+(0.5*MATERIALES!$C$167)+(1*MATERIALES!$C$162)+(((A72*5)*2)*MATERIALES!$C$147)+(4*MATERIALES!$C$148)</f>
        <v>2172.1117599999998</v>
      </c>
      <c r="E72" s="75"/>
      <c r="F72" s="55">
        <f>(A72*(B72/2))*MATERIALES!$D$82</f>
        <v>389.55</v>
      </c>
      <c r="G72" s="59">
        <f t="shared" si="16"/>
        <v>12098.62192</v>
      </c>
      <c r="H72" s="67">
        <f t="shared" si="17"/>
        <v>16000.893496000001</v>
      </c>
      <c r="M72" s="68">
        <v>0.7</v>
      </c>
      <c r="N72" s="69">
        <v>2.1</v>
      </c>
      <c r="O72" s="59">
        <f>((((M72*1)+(N72*2))*MATERIALES!$C$26)+((M72*3)*MATERIALES!$C$28)+(((N72/2)*2)*MATERIALES!$C$28)+((N72*2)*MATERIALES!$C$27)+(((M72-0.2)*MATERIALES!$C$30)*((N72/2)/0.12)))*MATERIALES!$F$2</f>
        <v>9973.5854400000007</v>
      </c>
      <c r="P72" s="59">
        <f>(2*MATERIALES!$C$146)+(20*MATERIALES!$C$158)+(20*MATERIALES!$C$159)+((8*2)*MATERIALES!$C$145)+(3*MATERIALES!$C$160)+(((N72*2)+(M72*1))*MATERIALES!$C$149)+(((M72*2)+((N72/2)*6))*MATERIALES!$C$141)+(((M72*2)+(N72/2)*2)*MATERIALES!$C$165)+(0.5*MATERIALES!$C$167)+(1*MATERIALES!$C$162)+(((M72*5)*2)*MATERIALES!$C$147)+(4*MATERIALES!$C$148)</f>
        <v>2201.9888799999999</v>
      </c>
      <c r="Q72" s="75"/>
      <c r="R72" s="55">
        <f>(M72*(N72/2))*MATERIALES!$D$82</f>
        <v>389.55</v>
      </c>
      <c r="S72" s="59">
        <f t="shared" si="18"/>
        <v>12565.124319999999</v>
      </c>
      <c r="T72" s="67">
        <f t="shared" si="19"/>
        <v>16607.346615999999</v>
      </c>
    </row>
    <row r="73" spans="1:20" ht="15.75" thickBot="1">
      <c r="A73" s="68">
        <v>0.8</v>
      </c>
      <c r="B73" s="69">
        <v>2.1</v>
      </c>
      <c r="C73" s="59">
        <f>((((A73*1)+(B73*2))*MATERIALES!$C$26)+((A73*5)*MATERIALES!$C$28)+((B73*2)*MATERIALES!$C$27)+(((A73-0.2)*MATERIALES!$C$30)*((B73/2)/0.12)))*MATERIALES!$F$2</f>
        <v>10458.171360000002</v>
      </c>
      <c r="D73" s="59">
        <f>(2*MATERIALES!$C$146)+(20*MATERIALES!$C$158)+(20*MATERIALES!$C$159)+((8*2)*MATERIALES!$C$145)+(3*MATERIALES!$C$160)+(((B73*2)+(A73*1))*MATERIALES!$C$149)+(((A73*6)+((B73/2)*2))*MATERIALES!$C$141)+(((A73*2)+(B73/2)*2)*MATERIALES!$C$165)+(0.5*MATERIALES!$C$167)+(1*MATERIALES!$C$162)+(((A73*5)*2)*MATERIALES!$C$147)+(4*MATERIALES!$C$148)</f>
        <v>2190.4396800000004</v>
      </c>
      <c r="E73" s="75"/>
      <c r="F73" s="55">
        <f>(A73*(B73/2))*MATERIALES!$D$82</f>
        <v>445.20000000000005</v>
      </c>
      <c r="G73" s="59">
        <f t="shared" si="16"/>
        <v>13093.811040000004</v>
      </c>
      <c r="H73" s="67">
        <f t="shared" si="17"/>
        <v>17333.594352000007</v>
      </c>
      <c r="M73" s="68">
        <v>0.8</v>
      </c>
      <c r="N73" s="69">
        <v>2.1</v>
      </c>
      <c r="O73" s="59">
        <f>((((M73*1)+(N73*2))*MATERIALES!$C$26)+((M73*3)*MATERIALES!$C$28)+(((N73/2)*2)*MATERIALES!$C$28)+((N73*2)*MATERIALES!$C$27)+(((M73-0.2)*MATERIALES!$C$30)*((N73/2)/0.12)))*MATERIALES!$F$2</f>
        <v>10770.046560000003</v>
      </c>
      <c r="P73" s="59">
        <f>(2*MATERIALES!$C$146)+(20*MATERIALES!$C$158)+(20*MATERIALES!$C$159)+((8*2)*MATERIALES!$C$145)+(3*MATERIALES!$C$160)+(((N73*2)+(M73*1))*MATERIALES!$C$149)+(((M73*2)+((N73/2)*6))*MATERIALES!$C$141)+(((M73*2)+(N73/2)*2)*MATERIALES!$C$165)+(0.5*MATERIALES!$C$167)+(1*MATERIALES!$C$162)+(((M73*5)*2)*MATERIALES!$C$147)+(4*MATERIALES!$C$148)</f>
        <v>2211.7804800000004</v>
      </c>
      <c r="Q73" s="75"/>
      <c r="R73" s="55">
        <f>(M73*(N73/2))*MATERIALES!$D$82</f>
        <v>445.20000000000005</v>
      </c>
      <c r="S73" s="59">
        <f t="shared" si="18"/>
        <v>13427.027040000004</v>
      </c>
      <c r="T73" s="67">
        <f t="shared" si="19"/>
        <v>17766.775152000006</v>
      </c>
    </row>
    <row r="74" spans="1:20" ht="15.75" thickBot="1">
      <c r="A74" s="71">
        <v>0.9</v>
      </c>
      <c r="B74" s="72">
        <v>2.1</v>
      </c>
      <c r="C74" s="60">
        <f>((((A74*1)+(B74*2))*MATERIALES!$C$26)+((A74*5)*MATERIALES!$C$28)+((B74*2)*MATERIALES!$C$27)+(((A74-0.2)*MATERIALES!$C$30)*((B74/2)/0.12)))*MATERIALES!$F$2</f>
        <v>11379.38256</v>
      </c>
      <c r="D74" s="60">
        <f>(2*MATERIALES!$C$146)+(20*MATERIALES!$C$158)+(20*MATERIALES!$C$159)+((8*2)*MATERIALES!$C$145)+(3*MATERIALES!$C$160)+(((B74*2)+(A74*1))*MATERIALES!$C$149)+(((A74*6)+((B74/2)*2))*MATERIALES!$C$141)+(((A74*2)+(B74/2)*2)*MATERIALES!$C$165)+(0.5*MATERIALES!$C$167)+(1*MATERIALES!$C$162)+(((A74*5)*2)*MATERIALES!$C$147)+(4*MATERIALES!$C$148)</f>
        <v>2208.7676000000001</v>
      </c>
      <c r="E74" s="76"/>
      <c r="F74" s="56">
        <f>(A74*(B74/2))*MATERIALES!$D$82</f>
        <v>500.85</v>
      </c>
      <c r="G74" s="60">
        <f t="shared" si="16"/>
        <v>14089.000160000001</v>
      </c>
      <c r="H74" s="67">
        <f t="shared" si="17"/>
        <v>18666.295208000003</v>
      </c>
      <c r="M74" s="71">
        <v>0.9</v>
      </c>
      <c r="N74" s="72">
        <v>2.1</v>
      </c>
      <c r="O74" s="60">
        <f>((((M74*1)+(N74*2))*MATERIALES!$C$26)+((M74*3)*MATERIALES!$C$28)+(((N74/2)*2)*MATERIALES!$C$28)+((N74*2)*MATERIALES!$C$27)+(((M74-0.2)*MATERIALES!$C$30)*((N74/2)/0.12)))*MATERIALES!$F$2</f>
        <v>11566.507680000002</v>
      </c>
      <c r="P74" s="60">
        <f>(2*MATERIALES!$C$146)+(20*MATERIALES!$C$158)+(20*MATERIALES!$C$159)+((8*2)*MATERIALES!$C$145)+(3*MATERIALES!$C$160)+(((N74*2)+(M74*1))*MATERIALES!$C$149)+(((M74*2)+((N74/2)*6))*MATERIALES!$C$141)+(((M74*2)+(N74/2)*2)*MATERIALES!$C$165)+(0.5*MATERIALES!$C$167)+(1*MATERIALES!$C$162)+(((M74*5)*2)*MATERIALES!$C$147)+(4*MATERIALES!$C$148)</f>
        <v>2221.5720799999999</v>
      </c>
      <c r="Q74" s="76"/>
      <c r="R74" s="56">
        <f>(M74*(N74/2))*MATERIALES!$D$82</f>
        <v>500.85</v>
      </c>
      <c r="S74" s="60">
        <f t="shared" si="18"/>
        <v>14288.929760000003</v>
      </c>
      <c r="T74" s="67">
        <f t="shared" si="19"/>
        <v>18926.203688000005</v>
      </c>
    </row>
    <row r="77" spans="1:20" ht="15.75" thickBot="1"/>
    <row r="78" spans="1:20" ht="15.75" thickBot="1">
      <c r="A78" s="32"/>
      <c r="B78" s="32"/>
      <c r="C78" s="801">
        <v>0.2</v>
      </c>
      <c r="D78" s="802"/>
      <c r="E78" s="803"/>
      <c r="F78" s="61">
        <v>1</v>
      </c>
      <c r="G78" s="32"/>
      <c r="H78" s="46" t="s">
        <v>163</v>
      </c>
      <c r="M78" s="32"/>
      <c r="N78" s="32"/>
      <c r="O78" s="801">
        <v>0.2</v>
      </c>
      <c r="P78" s="802"/>
      <c r="Q78" s="803"/>
      <c r="R78" s="61">
        <v>1</v>
      </c>
      <c r="S78" s="32"/>
      <c r="T78" s="46" t="s">
        <v>163</v>
      </c>
    </row>
    <row r="79" spans="1:20" ht="15.75" thickBot="1">
      <c r="A79" s="792" t="s">
        <v>225</v>
      </c>
      <c r="B79" s="793"/>
      <c r="C79" s="793"/>
      <c r="D79" s="793"/>
      <c r="E79" s="793"/>
      <c r="F79" s="793"/>
      <c r="G79" s="793"/>
      <c r="H79" s="794"/>
      <c r="M79" s="792" t="s">
        <v>227</v>
      </c>
      <c r="N79" s="793"/>
      <c r="O79" s="793"/>
      <c r="P79" s="793"/>
      <c r="Q79" s="793"/>
      <c r="R79" s="793"/>
      <c r="S79" s="793"/>
      <c r="T79" s="794"/>
    </row>
    <row r="80" spans="1:20" ht="15.75" thickBot="1">
      <c r="A80" s="36" t="s">
        <v>116</v>
      </c>
      <c r="B80" s="36" t="s">
        <v>117</v>
      </c>
      <c r="C80" s="36" t="s">
        <v>162</v>
      </c>
      <c r="D80" s="36" t="s">
        <v>119</v>
      </c>
      <c r="E80" s="36" t="s">
        <v>120</v>
      </c>
      <c r="F80" s="36" t="s">
        <v>118</v>
      </c>
      <c r="G80" s="36" t="s">
        <v>121</v>
      </c>
      <c r="H80" s="36" t="s">
        <v>122</v>
      </c>
      <c r="M80" s="36" t="s">
        <v>116</v>
      </c>
      <c r="N80" s="36" t="s">
        <v>117</v>
      </c>
      <c r="O80" s="36" t="s">
        <v>162</v>
      </c>
      <c r="P80" s="36" t="s">
        <v>119</v>
      </c>
      <c r="Q80" s="36" t="s">
        <v>120</v>
      </c>
      <c r="R80" s="36" t="s">
        <v>118</v>
      </c>
      <c r="S80" s="36" t="s">
        <v>121</v>
      </c>
      <c r="T80" s="36" t="s">
        <v>122</v>
      </c>
    </row>
    <row r="81" spans="1:21" ht="15.75" thickBot="1">
      <c r="A81" s="795"/>
      <c r="B81" s="796"/>
      <c r="C81" s="796"/>
      <c r="D81" s="796"/>
      <c r="E81" s="796"/>
      <c r="F81" s="796"/>
      <c r="G81" s="796"/>
      <c r="H81" s="797"/>
      <c r="M81" s="795"/>
      <c r="N81" s="796"/>
      <c r="O81" s="796"/>
      <c r="P81" s="796"/>
      <c r="Q81" s="796"/>
      <c r="R81" s="796"/>
      <c r="S81" s="796"/>
      <c r="T81" s="797"/>
    </row>
    <row r="82" spans="1:21" ht="15.75" thickBot="1">
      <c r="A82" s="40">
        <v>0.6</v>
      </c>
      <c r="B82" s="41">
        <v>2</v>
      </c>
      <c r="C82" s="47">
        <f>((((A82*1)+(B82*2))*MATERIALES!$C$26)+((A82*3)*MATERIALES!$C$28)+((B82*2)*MATERIALES!$C$27)+(((A82-0.2)*MATERIALES!$C$30)*((B82-0.36)/0.12)))*MATERIALES!$F$2</f>
        <v>8939.3303999999989</v>
      </c>
      <c r="D82" s="58">
        <f>(2*MATERIALES!$C$146)+(12*MATERIALES!$C$158)+(12*MATERIALES!$C$159)+((8*2)*MATERIALES!$C$145)+(3*MATERIALES!$C$160)+(((B82*2)+(A82*1))*MATERIALES!$C$149)+(((A82*2)+(0.4*2))*MATERIALES!$C$141)+((A82*2)+(B82*2)*MATERIALES!$C$165)+(0.5*MATERIALES!$C$167)+(1*MATERIALES!$C$162)+(((A82*5)*2)*MATERIALES!$C$147)+(4*MATERIALES!$C$148)</f>
        <v>1967.81088</v>
      </c>
      <c r="E82" s="74"/>
      <c r="F82" s="54">
        <f>(A82*0.4)*MATERIALES!$D$82</f>
        <v>127.19999999999999</v>
      </c>
      <c r="G82" s="47">
        <f>SUM(C82:F82)</f>
        <v>11034.341280000001</v>
      </c>
      <c r="H82" s="49">
        <f>(SUM(C82:E82)*1.3)+(F82*2)</f>
        <v>14433.683664</v>
      </c>
      <c r="M82" s="65">
        <v>0.6</v>
      </c>
      <c r="N82" s="66">
        <v>2</v>
      </c>
      <c r="O82" s="58">
        <f>((((M82*1)+(N82*2))*MATERIALES!$C$26)+((M82*3)*MATERIALES!$C$28)+((N82*2)*MATERIALES!$C$28)+((N82*2)*MATERIALES!$C$27)+(((M82-0.2)*MATERIALES!$C$30)*(N82/0.12))*MATERIALES!$F$2)</f>
        <v>4327.6345999999994</v>
      </c>
      <c r="P82" s="58">
        <f>(2*MATERIALES!$C$146)+(20*MATERIALES!$C$158)+(20*MATERIALES!$C$159)+((8*2)*MATERIALES!$C$145)+(3*MATERIALES!$C$160)+(((N82*2)+(M82*1))*MATERIALES!$C$149)+(((M82*2)+(N82*6))*MATERIALES!$C$141)+(((M82*2)+(N82/2)*2)*MATERIALES!$C$165)+(0.25*MATERIALES!$C$167)+(1*MATERIALES!$C$162)+(((M82*5)*2)*MATERIALES!$C$147)+(4*MATERIALES!$C$148)</f>
        <v>2240.9452000000001</v>
      </c>
      <c r="Q82" s="74"/>
      <c r="R82" s="54">
        <f>(M82*N82)*MATERIALES!$D$82</f>
        <v>636</v>
      </c>
      <c r="S82" s="58">
        <f>SUM(O82:R82)</f>
        <v>7204.5797999999995</v>
      </c>
      <c r="T82" s="67">
        <f>(SUM(O82:Q82)*1.3)+(R82*2)</f>
        <v>9811.1537399999997</v>
      </c>
    </row>
    <row r="83" spans="1:21" ht="15.75" thickBot="1">
      <c r="A83" s="42">
        <v>0.7</v>
      </c>
      <c r="B83" s="37">
        <v>2</v>
      </c>
      <c r="C83" s="38">
        <f>((((A83*1)+(B83*2))*MATERIALES!$C$26)+((A83*3)*MATERIALES!$C$28)+((B83*2)*MATERIALES!$C$27)+(((A83-0.2)*MATERIALES!$C$30)*((B83-0.36)/0.12)))*MATERIALES!$F$2</f>
        <v>10054.065840000001</v>
      </c>
      <c r="D83" s="59">
        <f>(2*MATERIALES!$C$146)+(12*MATERIALES!$C$158)+(12*MATERIALES!$C$159)+((8*2)*MATERIALES!$C$145)+(3*MATERIALES!$C$160)+(((B83*2)+(A83*1))*MATERIALES!$C$149)+(((A83*2)+(0.4*2))*MATERIALES!$C$141)+((A83*2)+(B83*2)*MATERIALES!$C$165)+(0.5*MATERIALES!$C$167)+(1*MATERIALES!$C$162)+(((A83*5)*2)*MATERIALES!$C$147)+(4*MATERIALES!$C$148)</f>
        <v>1973.53432</v>
      </c>
      <c r="E83" s="75"/>
      <c r="F83" s="55">
        <f>(A83*0.4)*MATERIALES!$D$82</f>
        <v>148.39999999999998</v>
      </c>
      <c r="G83" s="38">
        <f t="shared" ref="G83:G89" si="20">SUM(C83:F83)</f>
        <v>12176.000160000001</v>
      </c>
      <c r="H83" s="49">
        <f t="shared" ref="H83:H89" si="21">(SUM(C83:E83)*1.3)+(F83*2)</f>
        <v>15932.680208000002</v>
      </c>
      <c r="M83" s="68">
        <v>0.7</v>
      </c>
      <c r="N83" s="69">
        <v>2</v>
      </c>
      <c r="O83" s="59">
        <f>((((M83*1)+(N83*2))*MATERIALES!$C$26)+((M83*3)*MATERIALES!$C$28)+((N83*2)*MATERIALES!$C$28)+((N83*2)*MATERIALES!$C$27)+(((M83-0.2)*MATERIALES!$C$30)*(N83/0.12))*MATERIALES!$F$2)</f>
        <v>5406.8816999999999</v>
      </c>
      <c r="P83" s="59">
        <f>(2*MATERIALES!$C$146)+(20*MATERIALES!$C$158)+(20*MATERIALES!$C$159)+((8*2)*MATERIALES!$C$145)+(3*MATERIALES!$C$160)+(((N83*2)+(M83*1))*MATERIALES!$C$149)+(((M83*2)+(N83*6))*MATERIALES!$C$141)+(((M83*2)+(N83/2)*2)*MATERIALES!$C$165)+(0.25*MATERIALES!$C$167)+(1*MATERIALES!$C$162)+(((M83*5)*2)*MATERIALES!$C$147)+(4*MATERIALES!$C$148)</f>
        <v>2250.7367999999997</v>
      </c>
      <c r="Q83" s="75"/>
      <c r="R83" s="55">
        <f>(M83*N83)*MATERIALES!$D$82</f>
        <v>742</v>
      </c>
      <c r="S83" s="59">
        <f t="shared" ref="S83:S89" si="22">SUM(O83:R83)</f>
        <v>8399.6185000000005</v>
      </c>
      <c r="T83" s="67">
        <f t="shared" ref="T83:T89" si="23">(SUM(O83:Q83)*1.3)+(R83*2)</f>
        <v>11438.904049999999</v>
      </c>
    </row>
    <row r="84" spans="1:21" ht="15.75" thickBot="1">
      <c r="A84" s="42">
        <v>0.8</v>
      </c>
      <c r="B84" s="37">
        <v>2</v>
      </c>
      <c r="C84" s="38">
        <f>((((A84*1)+(B84*2))*MATERIALES!$C$26)+((A84*3)*MATERIALES!$C$28)+((B84*2)*MATERIALES!$C$27)+(((A84-0.2)*MATERIALES!$C$30)*((B84-0.36)/0.12)))*MATERIALES!$F$2</f>
        <v>11168.801280000001</v>
      </c>
      <c r="D84" s="59">
        <f>(2*MATERIALES!$C$146)+(12*MATERIALES!$C$158)+(12*MATERIALES!$C$159)+((8*2)*MATERIALES!$C$145)+(3*MATERIALES!$C$160)+(((B84*2)+(A84*1))*MATERIALES!$C$149)+(((A84*2)+(0.4*2))*MATERIALES!$C$141)+((A84*2)+(B84*2)*MATERIALES!$C$165)+(0.5*MATERIALES!$C$167)+(1*MATERIALES!$C$162)+(((A84*5)*2)*MATERIALES!$C$147)+(4*MATERIALES!$C$148)</f>
        <v>1979.25776</v>
      </c>
      <c r="E84" s="75"/>
      <c r="F84" s="55">
        <f>(A84*0.4)*MATERIALES!$D$82</f>
        <v>169.60000000000002</v>
      </c>
      <c r="G84" s="38">
        <f t="shared" si="20"/>
        <v>13317.659040000002</v>
      </c>
      <c r="H84" s="49">
        <f t="shared" si="21"/>
        <v>17431.676752000003</v>
      </c>
      <c r="M84" s="68">
        <v>0.8</v>
      </c>
      <c r="N84" s="69">
        <v>2</v>
      </c>
      <c r="O84" s="59">
        <f>((((M84*1)+(N84*2))*MATERIALES!$C$26)+((M84*3)*MATERIALES!$C$28)+((N84*2)*MATERIALES!$C$28)+((N84*2)*MATERIALES!$C$27)+(((M84-0.2)*MATERIALES!$C$30)*(N84/0.12))*MATERIALES!$F$2)</f>
        <v>6486.1288000000022</v>
      </c>
      <c r="P84" s="59">
        <f>(2*MATERIALES!$C$146)+(20*MATERIALES!$C$158)+(20*MATERIALES!$C$159)+((8*2)*MATERIALES!$C$145)+(3*MATERIALES!$C$160)+(((N84*2)+(M84*1))*MATERIALES!$C$149)+(((M84*2)+(N84*6))*MATERIALES!$C$141)+(((M84*2)+(N84/2)*2)*MATERIALES!$C$165)+(0.25*MATERIALES!$C$167)+(1*MATERIALES!$C$162)+(((M84*5)*2)*MATERIALES!$C$147)+(4*MATERIALES!$C$148)</f>
        <v>2260.5284000000001</v>
      </c>
      <c r="Q84" s="75"/>
      <c r="R84" s="55">
        <f>(M84*N84)*MATERIALES!$D$82</f>
        <v>848</v>
      </c>
      <c r="S84" s="59">
        <f t="shared" si="22"/>
        <v>9594.6572000000015</v>
      </c>
      <c r="T84" s="67">
        <f t="shared" si="23"/>
        <v>13066.654360000002</v>
      </c>
    </row>
    <row r="85" spans="1:21" ht="15.75" thickBot="1">
      <c r="A85" s="42">
        <v>0.9</v>
      </c>
      <c r="B85" s="37">
        <v>2</v>
      </c>
      <c r="C85" s="38">
        <f>((((A85*1)+(B85*2))*MATERIALES!$C$26)+((A85*3)*MATERIALES!$C$28)+((B85*2)*MATERIALES!$C$27)+(((A85-0.2)*MATERIALES!$C$30)*((B85-0.36)/0.12)))*MATERIALES!$F$2</f>
        <v>12283.536720000002</v>
      </c>
      <c r="D85" s="59">
        <f>(2*MATERIALES!$C$146)+(12*MATERIALES!$C$158)+(12*MATERIALES!$C$159)+((8*2)*MATERIALES!$C$145)+(3*MATERIALES!$C$160)+(((B85*2)+(A85*1))*MATERIALES!$C$149)+(((A85*2)+(0.4*2))*MATERIALES!$C$141)+((A85*2)+(B85*2)*MATERIALES!$C$165)+(0.5*MATERIALES!$C$167)+(1*MATERIALES!$C$162)+(((A85*5)*2)*MATERIALES!$C$147)+(4*MATERIALES!$C$148)</f>
        <v>1984.9812000000002</v>
      </c>
      <c r="E85" s="75"/>
      <c r="F85" s="55">
        <f>(A85*0.4)*MATERIALES!$D$82</f>
        <v>190.8</v>
      </c>
      <c r="G85" s="38">
        <f t="shared" si="20"/>
        <v>14459.317920000001</v>
      </c>
      <c r="H85" s="49">
        <f t="shared" si="21"/>
        <v>18930.673296000001</v>
      </c>
      <c r="M85" s="68">
        <v>0.9</v>
      </c>
      <c r="N85" s="69">
        <v>2</v>
      </c>
      <c r="O85" s="59">
        <f>((((M85*1)+(N85*2))*MATERIALES!$C$26)+((M85*3)*MATERIALES!$C$28)+((N85*2)*MATERIALES!$C$28)+((N85*2)*MATERIALES!$C$27)+(((M85-0.2)*MATERIALES!$C$30)*(N85/0.12))*MATERIALES!$F$2)</f>
        <v>7565.3759000000009</v>
      </c>
      <c r="P85" s="59">
        <f>(2*MATERIALES!$C$146)+(20*MATERIALES!$C$158)+(20*MATERIALES!$C$159)+((8*2)*MATERIALES!$C$145)+(3*MATERIALES!$C$160)+(((N85*2)+(M85*1))*MATERIALES!$C$149)+(((M85*2)+(N85*6))*MATERIALES!$C$141)+(((M85*2)+(N85/2)*2)*MATERIALES!$C$165)+(0.25*MATERIALES!$C$167)+(1*MATERIALES!$C$162)+(((M85*5)*2)*MATERIALES!$C$147)+(4*MATERIALES!$C$148)</f>
        <v>2270.3199999999997</v>
      </c>
      <c r="Q85" s="75"/>
      <c r="R85" s="55">
        <f>(M85*N85)*MATERIALES!$D$82</f>
        <v>954</v>
      </c>
      <c r="S85" s="59">
        <f t="shared" si="22"/>
        <v>10789.695900000001</v>
      </c>
      <c r="T85" s="67">
        <f t="shared" si="23"/>
        <v>14694.404670000002</v>
      </c>
    </row>
    <row r="86" spans="1:21" ht="15.75" thickBot="1">
      <c r="A86" s="42">
        <v>0.6</v>
      </c>
      <c r="B86" s="37">
        <v>2.1</v>
      </c>
      <c r="C86" s="38">
        <f>((((A86*1)+(B86*2))*MATERIALES!$C$26)+((A86*3)*MATERIALES!$C$28)+((B86*2)*MATERIALES!$C$27)+(((A86-0.2)*MATERIALES!$C$30)*((B86-0.36)/0.12)))*MATERIALES!$F$2</f>
        <v>9356.124960000001</v>
      </c>
      <c r="D86" s="59">
        <f>(2*MATERIALES!$C$146)+(12*MATERIALES!$C$158)+(12*MATERIALES!$C$159)+((8*2)*MATERIALES!$C$145)+(3*MATERIALES!$C$160)+(((B86*2)+(A86*1))*MATERIALES!$C$149)+(((A86*2)+(0.4*2))*MATERIALES!$C$141)+((A86*2)+(B86*2)*MATERIALES!$C$165)+(0.5*MATERIALES!$C$167)+(1*MATERIALES!$C$162)+(((A86*5)*2)*MATERIALES!$C$147)+(4*MATERIALES!$C$148)</f>
        <v>1974.5896</v>
      </c>
      <c r="E86" s="75"/>
      <c r="F86" s="55">
        <f>(A86*0.4)*MATERIALES!$D$82</f>
        <v>127.19999999999999</v>
      </c>
      <c r="G86" s="38">
        <f t="shared" si="20"/>
        <v>11457.914560000001</v>
      </c>
      <c r="H86" s="49">
        <f t="shared" si="21"/>
        <v>14984.328928000001</v>
      </c>
      <c r="M86" s="68">
        <v>0.6</v>
      </c>
      <c r="N86" s="69">
        <v>2.1</v>
      </c>
      <c r="O86" s="59">
        <f>((((M86*1)+(N86*2))*MATERIALES!$C$26)+((M86*3)*MATERIALES!$C$28)+((N86*2)*MATERIALES!$C$28)+((N86*2)*MATERIALES!$C$27)+(((M86-0.2)*MATERIALES!$C$30)*(N86/0.12))*MATERIALES!$F$2)</f>
        <v>4543.9110000000001</v>
      </c>
      <c r="P86" s="59">
        <f>(2*MATERIALES!$C$146)+(20*MATERIALES!$C$158)+(20*MATERIALES!$C$159)+((8*2)*MATERIALES!$C$145)+(3*MATERIALES!$C$160)+(((N86*2)+(M86*1))*MATERIALES!$C$149)+(((M86*2)+(N86*6))*MATERIALES!$C$141)+(((M86*2)+(N86/2)*2)*MATERIALES!$C$165)+(0.25*MATERIALES!$C$167)+(1*MATERIALES!$C$162)+(((M86*5)*2)*MATERIALES!$C$147)+(4*MATERIALES!$C$148)</f>
        <v>2258.3943200000003</v>
      </c>
      <c r="Q86" s="75"/>
      <c r="R86" s="55">
        <f>(M86*N86)*MATERIALES!$D$82</f>
        <v>667.8</v>
      </c>
      <c r="S86" s="59">
        <f t="shared" si="22"/>
        <v>7470.1053200000006</v>
      </c>
      <c r="T86" s="67">
        <f t="shared" si="23"/>
        <v>10178.596916</v>
      </c>
    </row>
    <row r="87" spans="1:21" ht="15.75" thickBot="1">
      <c r="A87" s="42">
        <v>0.7</v>
      </c>
      <c r="B87" s="37">
        <v>2.1</v>
      </c>
      <c r="C87" s="38">
        <f>((((A87*1)+(B87*2))*MATERIALES!$C$26)+((A87*3)*MATERIALES!$C$28)+((B87*2)*MATERIALES!$C$27)+(((A87-0.2)*MATERIALES!$C$30)*((B87-0.36)/0.12)))*MATERIALES!$F$2</f>
        <v>10524.805200000001</v>
      </c>
      <c r="D87" s="59">
        <f>(2*MATERIALES!$C$146)+(12*MATERIALES!$C$158)+(12*MATERIALES!$C$159)+((8*2)*MATERIALES!$C$145)+(3*MATERIALES!$C$160)+(((B87*2)+(A87*1))*MATERIALES!$C$149)+(((A87*2)+(0.4*2))*MATERIALES!$C$141)+((A87*2)+(B87*2)*MATERIALES!$C$165)+(0.5*MATERIALES!$C$167)+(1*MATERIALES!$C$162)+(((A87*5)*2)*MATERIALES!$C$147)+(4*MATERIALES!$C$148)</f>
        <v>1980.31304</v>
      </c>
      <c r="E87" s="75"/>
      <c r="F87" s="55">
        <f>(A87*0.4)*MATERIALES!$D$82</f>
        <v>148.39999999999998</v>
      </c>
      <c r="G87" s="38">
        <f t="shared" si="20"/>
        <v>12653.518239999999</v>
      </c>
      <c r="H87" s="49">
        <f t="shared" si="21"/>
        <v>16553.453712000002</v>
      </c>
      <c r="M87" s="68">
        <v>0.7</v>
      </c>
      <c r="N87" s="69">
        <v>2.1</v>
      </c>
      <c r="O87" s="59">
        <f>((((M87*1)+(N87*2))*MATERIALES!$C$26)+((M87*3)*MATERIALES!$C$28)+((N87*2)*MATERIALES!$C$28)+((N87*2)*MATERIALES!$C$27)+(((M87-0.2)*MATERIALES!$C$30)*(N87/0.12))*MATERIALES!$F$2)</f>
        <v>5677.1028999999999</v>
      </c>
      <c r="P87" s="59">
        <f>(2*MATERIALES!$C$146)+(20*MATERIALES!$C$158)+(20*MATERIALES!$C$159)+((8*2)*MATERIALES!$C$145)+(3*MATERIALES!$C$160)+(((N87*2)+(M87*1))*MATERIALES!$C$149)+(((M87*2)+(N87*6))*MATERIALES!$C$141)+(((M87*2)+(N87/2)*2)*MATERIALES!$C$165)+(0.25*MATERIALES!$C$167)+(1*MATERIALES!$C$162)+(((M87*5)*2)*MATERIALES!$C$147)+(4*MATERIALES!$C$148)</f>
        <v>2268.1859199999999</v>
      </c>
      <c r="Q87" s="75"/>
      <c r="R87" s="55">
        <f>(M87*N87)*MATERIALES!$D$82</f>
        <v>779.1</v>
      </c>
      <c r="S87" s="59">
        <f t="shared" si="22"/>
        <v>8724.3888200000001</v>
      </c>
      <c r="T87" s="67">
        <f t="shared" si="23"/>
        <v>11887.075466</v>
      </c>
    </row>
    <row r="88" spans="1:21" ht="15.75" thickBot="1">
      <c r="A88" s="42">
        <v>0.8</v>
      </c>
      <c r="B88" s="37">
        <v>2.1</v>
      </c>
      <c r="C88" s="38">
        <f>((((A88*1)+(B88*2))*MATERIALES!$C$26)+((A88*3)*MATERIALES!$C$28)+((B88*2)*MATERIALES!$C$27)+(((A88-0.2)*MATERIALES!$C$30)*((B88-0.36)/0.12)))*MATERIALES!$F$2</f>
        <v>11693.485440000004</v>
      </c>
      <c r="D88" s="59">
        <f>(2*MATERIALES!$C$146)+(12*MATERIALES!$C$158)+(12*MATERIALES!$C$159)+((8*2)*MATERIALES!$C$145)+(3*MATERIALES!$C$160)+(((B88*2)+(A88*1))*MATERIALES!$C$149)+(((A88*2)+(0.4*2))*MATERIALES!$C$141)+((A88*2)+(B88*2)*MATERIALES!$C$165)+(0.5*MATERIALES!$C$167)+(1*MATERIALES!$C$162)+(((A88*5)*2)*MATERIALES!$C$147)+(4*MATERIALES!$C$148)</f>
        <v>1986.0364800000002</v>
      </c>
      <c r="E88" s="75"/>
      <c r="F88" s="55">
        <f>(A88*0.4)*MATERIALES!$D$82</f>
        <v>169.60000000000002</v>
      </c>
      <c r="G88" s="38">
        <f t="shared" si="20"/>
        <v>13849.121920000005</v>
      </c>
      <c r="H88" s="49">
        <f t="shared" si="21"/>
        <v>18122.578496000009</v>
      </c>
      <c r="M88" s="68">
        <v>0.8</v>
      </c>
      <c r="N88" s="69">
        <v>2.1</v>
      </c>
      <c r="O88" s="59">
        <f>((((M88*1)+(N88*2))*MATERIALES!$C$26)+((M88*3)*MATERIALES!$C$28)+((N88*2)*MATERIALES!$C$28)+((N88*2)*MATERIALES!$C$27)+(((M88-0.2)*MATERIALES!$C$30)*(N88/0.12))*MATERIALES!$F$2)</f>
        <v>6810.2948000000024</v>
      </c>
      <c r="P88" s="59">
        <f>(2*MATERIALES!$C$146)+(20*MATERIALES!$C$158)+(20*MATERIALES!$C$159)+((8*2)*MATERIALES!$C$145)+(3*MATERIALES!$C$160)+(((N88*2)+(M88*1))*MATERIALES!$C$149)+(((M88*2)+(N88*6))*MATERIALES!$C$141)+(((M88*2)+(N88/2)*2)*MATERIALES!$C$165)+(0.25*MATERIALES!$C$167)+(1*MATERIALES!$C$162)+(((M88*5)*2)*MATERIALES!$C$147)+(4*MATERIALES!$C$148)</f>
        <v>2277.9775200000004</v>
      </c>
      <c r="Q88" s="75"/>
      <c r="R88" s="55">
        <f>(M88*N88)*MATERIALES!$D$82</f>
        <v>890.40000000000009</v>
      </c>
      <c r="S88" s="59">
        <f t="shared" si="22"/>
        <v>9978.6723200000033</v>
      </c>
      <c r="T88" s="67">
        <f t="shared" si="23"/>
        <v>13595.554016000006</v>
      </c>
    </row>
    <row r="89" spans="1:21" ht="15.75" thickBot="1">
      <c r="A89" s="44">
        <v>0.9</v>
      </c>
      <c r="B89" s="45">
        <v>2.1</v>
      </c>
      <c r="C89" s="50">
        <f>((((A89*1)+(B89*2))*MATERIALES!$C$26)+((A89*3)*MATERIALES!$C$28)+((B89*2)*MATERIALES!$C$27)+(((A89-0.2)*MATERIALES!$C$30)*((B89-0.36)/0.12)))*MATERIALES!$F$2</f>
        <v>12862.165680000004</v>
      </c>
      <c r="D89" s="60">
        <f>(2*MATERIALES!$C$146)+(12*MATERIALES!$C$158)+(12*MATERIALES!$C$159)+((8*2)*MATERIALES!$C$145)+(3*MATERIALES!$C$160)+(((B89*2)+(A89*1))*MATERIALES!$C$149)+(((A89*2)+(0.4*2))*MATERIALES!$C$141)+((A89*2)+(B89*2)*MATERIALES!$C$165)+(0.5*MATERIALES!$C$167)+(1*MATERIALES!$C$162)+(((A89*5)*2)*MATERIALES!$C$147)+(4*MATERIALES!$C$148)</f>
        <v>1991.75992</v>
      </c>
      <c r="E89" s="76"/>
      <c r="F89" s="56">
        <f>(A89*0.4)*MATERIALES!$D$82</f>
        <v>190.8</v>
      </c>
      <c r="G89" s="50">
        <f t="shared" si="20"/>
        <v>15044.725600000003</v>
      </c>
      <c r="H89" s="49">
        <f t="shared" si="21"/>
        <v>19691.703280000005</v>
      </c>
      <c r="M89" s="71">
        <v>0.9</v>
      </c>
      <c r="N89" s="72">
        <v>2.1</v>
      </c>
      <c r="O89" s="60">
        <f>((((M89*1)+(N89*2))*MATERIALES!$C$26)+((M89*3)*MATERIALES!$C$28)+((N89*2)*MATERIALES!$C$28)+((N89*2)*MATERIALES!$C$27)+(((M89-0.2)*MATERIALES!$C$30)*(N89/0.12))*MATERIALES!$F$2)</f>
        <v>7943.4867000000004</v>
      </c>
      <c r="P89" s="60">
        <f>(2*MATERIALES!$C$146)+(20*MATERIALES!$C$158)+(20*MATERIALES!$C$159)+((8*2)*MATERIALES!$C$145)+(3*MATERIALES!$C$160)+(((N89*2)+(M89*1))*MATERIALES!$C$149)+(((M89*2)+(N89*6))*MATERIALES!$C$141)+(((M89*2)+(N89/2)*2)*MATERIALES!$C$165)+(0.25*MATERIALES!$C$167)+(1*MATERIALES!$C$162)+(((M89*5)*2)*MATERIALES!$C$147)+(4*MATERIALES!$C$148)</f>
        <v>2287.7691199999999</v>
      </c>
      <c r="Q89" s="76"/>
      <c r="R89" s="56">
        <f>(M89*N89)*MATERIALES!$D$82</f>
        <v>1001.7</v>
      </c>
      <c r="S89" s="60">
        <f t="shared" si="22"/>
        <v>11232.955820000001</v>
      </c>
      <c r="T89" s="67">
        <f t="shared" si="23"/>
        <v>15304.032566</v>
      </c>
    </row>
    <row r="91" spans="1:21" ht="15.75" thickBot="1">
      <c r="O91" s="78"/>
    </row>
    <row r="92" spans="1:21" ht="15.75" thickBot="1">
      <c r="A92" s="32"/>
      <c r="B92" s="32"/>
      <c r="C92" s="801">
        <v>0.2</v>
      </c>
      <c r="D92" s="802"/>
      <c r="E92" s="803"/>
      <c r="F92" s="61">
        <v>1</v>
      </c>
      <c r="G92" s="32"/>
      <c r="H92" s="46" t="s">
        <v>163</v>
      </c>
      <c r="M92" s="32"/>
      <c r="N92" s="32"/>
      <c r="O92" s="879">
        <v>0.3</v>
      </c>
      <c r="P92" s="880"/>
      <c r="Q92" s="880"/>
      <c r="R92" s="881"/>
      <c r="S92" s="32"/>
      <c r="T92" s="46" t="s">
        <v>163</v>
      </c>
    </row>
    <row r="93" spans="1:21" ht="15.75" thickBot="1">
      <c r="A93" s="792" t="s">
        <v>224</v>
      </c>
      <c r="B93" s="793"/>
      <c r="C93" s="793"/>
      <c r="D93" s="793"/>
      <c r="E93" s="793"/>
      <c r="F93" s="793"/>
      <c r="G93" s="793"/>
      <c r="H93" s="794"/>
      <c r="M93" s="792" t="s">
        <v>222</v>
      </c>
      <c r="N93" s="793"/>
      <c r="O93" s="793"/>
      <c r="P93" s="793"/>
      <c r="Q93" s="793"/>
      <c r="R93" s="793"/>
      <c r="S93" s="793"/>
      <c r="T93" s="794"/>
      <c r="U93" s="882" t="s">
        <v>254</v>
      </c>
    </row>
    <row r="94" spans="1:21" ht="15.75" thickBot="1">
      <c r="A94" s="36" t="s">
        <v>116</v>
      </c>
      <c r="B94" s="36" t="s">
        <v>117</v>
      </c>
      <c r="C94" s="36" t="s">
        <v>162</v>
      </c>
      <c r="D94" s="36" t="s">
        <v>119</v>
      </c>
      <c r="E94" s="36" t="s">
        <v>120</v>
      </c>
      <c r="F94" s="36" t="s">
        <v>118</v>
      </c>
      <c r="G94" s="36" t="s">
        <v>121</v>
      </c>
      <c r="H94" s="36" t="s">
        <v>122</v>
      </c>
      <c r="M94" s="36" t="s">
        <v>116</v>
      </c>
      <c r="N94" s="36" t="s">
        <v>117</v>
      </c>
      <c r="O94" s="36" t="s">
        <v>162</v>
      </c>
      <c r="P94" s="36" t="s">
        <v>119</v>
      </c>
      <c r="Q94" s="36" t="s">
        <v>120</v>
      </c>
      <c r="R94" s="36" t="s">
        <v>118</v>
      </c>
      <c r="S94" s="36" t="s">
        <v>121</v>
      </c>
      <c r="T94" s="36" t="s">
        <v>122</v>
      </c>
      <c r="U94" s="883"/>
    </row>
    <row r="95" spans="1:21" ht="15.75" thickBot="1">
      <c r="A95" s="795"/>
      <c r="B95" s="796"/>
      <c r="C95" s="796"/>
      <c r="D95" s="796"/>
      <c r="E95" s="796"/>
      <c r="F95" s="796"/>
      <c r="G95" s="796"/>
      <c r="H95" s="797"/>
      <c r="M95" s="795"/>
      <c r="N95" s="796"/>
      <c r="O95" s="796"/>
      <c r="P95" s="796"/>
      <c r="Q95" s="796"/>
      <c r="R95" s="796"/>
      <c r="S95" s="796"/>
      <c r="T95" s="797"/>
      <c r="U95" s="883"/>
    </row>
    <row r="96" spans="1:21" ht="15.75" thickBot="1">
      <c r="A96" s="40">
        <v>0.6</v>
      </c>
      <c r="B96" s="41">
        <v>2</v>
      </c>
      <c r="C96" s="47">
        <f>((((A96*1)+(B96*2))*MATERIALES!$C$26)+((A96*4)*MATERIALES!$C$28)+((B96*2)*MATERIALES!$C$27)+(((A96-0.2)*MATERIALES!$C$30)*((B96-0.12)/0.12)))*MATERIALES!$F$2</f>
        <v>9831.4507200000007</v>
      </c>
      <c r="D96" s="58">
        <f>(2*MATERIALES!$C$146)+(16*MATERIALES!$C$158)+(16*MATERIALES!$C$159)+((8*2)*MATERIALES!$C$145)+(3*MATERIALES!$C$160)+(((B96*2)+(A96*1))*MATERIALES!$C$149)+(((A96*2)+(0.2*4))*MATERIALES!$C$141)+((A96*2)+(B96*2)*MATERIALES!$C$165)+(0.5*MATERIALES!$C$167)+(1*MATERIALES!$C$162)+(((A96*5)*2)*MATERIALES!$C$147)+(4*MATERIALES!$C$148)</f>
        <v>2028.1308799999999</v>
      </c>
      <c r="E96" s="74"/>
      <c r="F96" s="54">
        <f>(A96*0.2)*MATERIALES!$D$82</f>
        <v>63.599999999999994</v>
      </c>
      <c r="G96" s="47">
        <f>SUM(C96:F96)</f>
        <v>11923.181600000002</v>
      </c>
      <c r="H96" s="49">
        <f>(SUM(C96:E96)*1.3)+(F96*2)</f>
        <v>15544.656080000002</v>
      </c>
      <c r="M96" s="96">
        <v>0.6</v>
      </c>
      <c r="N96" s="97">
        <v>2</v>
      </c>
      <c r="O96" s="99">
        <f>((((M96*1)+(N96*2))*MATERIALES!$C$26)+((M96*2)*MATERIALES!$C$28)+((N96*2)*MATERIALES!$C$27)+(((M96*2)+(N96*2))*MATERIALES!$C$31)+((M96*2)+(N96)*MATERIALES!$C$32))*MATERIALES!$F$2</f>
        <v>7110.8856000000005</v>
      </c>
      <c r="P96" s="99">
        <f>(2*MATERIALES!$C$146)+(14*MATERIALES!$C$158)+(14*MATERIALES!$C$159)+((8*2)*MATERIALES!$C$145)+(3*MATERIALES!$C$160)+(((N96*2)+(M96*1))*MATERIALES!$C$149)+(((M96*6)+(N96*4))*MATERIALES!$C$166)+(1*MATERIALES!$C$162)+(((M96*5)*2)*MATERIALES!$C$147)+(4*MATERIALES!$C$148)</f>
        <v>1950.7051200000001</v>
      </c>
      <c r="Q96" s="229"/>
      <c r="R96" s="100">
        <f>(M96*N96)*MATERIALES!$D$82</f>
        <v>636</v>
      </c>
      <c r="S96" s="99">
        <f>SUM(O96:R96)</f>
        <v>9697.5907200000001</v>
      </c>
      <c r="T96" s="101">
        <f>((SUM(O96:Q96)*1.3)+(R96*2))</f>
        <v>13052.067936000001</v>
      </c>
      <c r="U96" s="787"/>
    </row>
    <row r="97" spans="1:21" ht="15.75" thickBot="1">
      <c r="A97" s="42">
        <v>0.7</v>
      </c>
      <c r="B97" s="37">
        <v>2</v>
      </c>
      <c r="C97" s="38">
        <f>((((A97*1)+(B97*2))*MATERIALES!$C$26)+((A97*4)*MATERIALES!$C$28)+((B97*2)*MATERIALES!$C$27)+(((A97-0.2)*MATERIALES!$C$30)*((B97-0.12)/0.12)))*MATERIALES!$F$2</f>
        <v>11138.02872</v>
      </c>
      <c r="D97" s="59">
        <f>(2*MATERIALES!$C$146)+(16*MATERIALES!$C$158)+(16*MATERIALES!$C$159)+((8*2)*MATERIALES!$C$145)+(3*MATERIALES!$C$160)+(((B97*2)+(A97*1))*MATERIALES!$C$149)+(((A97*2)+(0.2*4))*MATERIALES!$C$141)+((A97*2)+(B97*2)*MATERIALES!$C$165)+(0.5*MATERIALES!$C$167)+(1*MATERIALES!$C$162)+(((A97*5)*2)*MATERIALES!$C$147)+(4*MATERIALES!$C$148)</f>
        <v>2033.8543200000001</v>
      </c>
      <c r="E97" s="75"/>
      <c r="F97" s="55">
        <f>(A97*0.2)*MATERIALES!$D$82</f>
        <v>74.199999999999989</v>
      </c>
      <c r="G97" s="38">
        <f t="shared" ref="G97:G103" si="24">SUM(C97:F97)</f>
        <v>13246.083040000001</v>
      </c>
      <c r="H97" s="49">
        <f t="shared" ref="H97:H103" si="25">(SUM(C97:E97)*1.3)+(F97*2)</f>
        <v>17271.847952000004</v>
      </c>
      <c r="M97" s="102">
        <v>0.7</v>
      </c>
      <c r="N97" s="103">
        <v>2</v>
      </c>
      <c r="O97" s="98">
        <f>((((M97*1)+(N97*2))*MATERIALES!$C$26)+((M97*2)*MATERIALES!$C$28)+((N97*2)*MATERIALES!$C$27)+(((M97*2)+(N97*2))*MATERIALES!$C$31)+((M97*2)+(N97)*MATERIALES!$C$32))*MATERIALES!$F$2</f>
        <v>7441.434000000002</v>
      </c>
      <c r="P97" s="98">
        <f>(2*MATERIALES!$C$146)+(14*MATERIALES!$C$158)+(14*MATERIALES!$C$159)+((8*2)*MATERIALES!$C$145)+(3*MATERIALES!$C$160)+(((N97*2)+(M97*1))*MATERIALES!$C$149)+(((M97*6)+(N97*4))*MATERIALES!$C$166)+(1*MATERIALES!$C$162)+(((M97*5)*2)*MATERIALES!$C$147)+(4*MATERIALES!$C$148)</f>
        <v>1963.2610400000001</v>
      </c>
      <c r="Q97" s="230"/>
      <c r="R97" s="104">
        <f>(M97*N97)*MATERIALES!$D$82</f>
        <v>742</v>
      </c>
      <c r="S97" s="98">
        <f t="shared" ref="S97:S103" si="26">SUM(O97:R97)</f>
        <v>10146.695040000002</v>
      </c>
      <c r="T97" s="105">
        <f t="shared" ref="T97:T103" si="27">((SUM(O97:Q97)*1.3)+(R97*2))</f>
        <v>13710.103552000004</v>
      </c>
      <c r="U97" s="787"/>
    </row>
    <row r="98" spans="1:21" ht="15.75" thickBot="1">
      <c r="A98" s="42">
        <v>0.8</v>
      </c>
      <c r="B98" s="37">
        <v>2</v>
      </c>
      <c r="C98" s="38">
        <f>((((A98*1)+(B98*2))*MATERIALES!$C$26)+((A98*4)*MATERIALES!$C$28)+((B98*2)*MATERIALES!$C$27)+(((A98-0.2)*MATERIALES!$C$30)*((B98-0.12)/0.12)))*MATERIALES!$F$2</f>
        <v>12444.606720000002</v>
      </c>
      <c r="D98" s="59">
        <f>(2*MATERIALES!$C$146)+(16*MATERIALES!$C$158)+(16*MATERIALES!$C$159)+((8*2)*MATERIALES!$C$145)+(3*MATERIALES!$C$160)+(((B98*2)+(A98*1))*MATERIALES!$C$149)+(((A98*2)+(0.2*4))*MATERIALES!$C$141)+((A98*2)+(B98*2)*MATERIALES!$C$165)+(0.5*MATERIALES!$C$167)+(1*MATERIALES!$C$162)+(((A98*5)*2)*MATERIALES!$C$147)+(4*MATERIALES!$C$148)</f>
        <v>2039.5777599999999</v>
      </c>
      <c r="E98" s="75"/>
      <c r="F98" s="55">
        <f>(A98*0.2)*MATERIALES!$D$82</f>
        <v>84.800000000000011</v>
      </c>
      <c r="G98" s="38">
        <f t="shared" si="24"/>
        <v>14568.984480000001</v>
      </c>
      <c r="H98" s="49">
        <f t="shared" si="25"/>
        <v>18999.039824000003</v>
      </c>
      <c r="M98" s="102">
        <v>0.8</v>
      </c>
      <c r="N98" s="103">
        <v>2</v>
      </c>
      <c r="O98" s="98">
        <f>((((M98*1)+(N98*2))*MATERIALES!$C$26)+((M98*2)*MATERIALES!$C$28)+((N98*2)*MATERIALES!$C$27)+(((M98*2)+(N98*2))*MATERIALES!$C$31)+((M98*2)+(N98)*MATERIALES!$C$32))*MATERIALES!$F$2</f>
        <v>7771.9823999999999</v>
      </c>
      <c r="P98" s="98">
        <f>(2*MATERIALES!$C$146)+(14*MATERIALES!$C$158)+(14*MATERIALES!$C$159)+((8*2)*MATERIALES!$C$145)+(3*MATERIALES!$C$160)+(((N98*2)+(M98*1))*MATERIALES!$C$149)+(((M98*6)+(N98*4))*MATERIALES!$C$166)+(1*MATERIALES!$C$162)+(((M98*5)*2)*MATERIALES!$C$147)+(4*MATERIALES!$C$148)</f>
        <v>1975.8169600000001</v>
      </c>
      <c r="Q98" s="230"/>
      <c r="R98" s="104">
        <f>(M98*N98)*MATERIALES!$D$82</f>
        <v>848</v>
      </c>
      <c r="S98" s="98">
        <f t="shared" si="26"/>
        <v>10595.799360000001</v>
      </c>
      <c r="T98" s="105">
        <f t="shared" si="27"/>
        <v>14368.139168000002</v>
      </c>
      <c r="U98" s="787"/>
    </row>
    <row r="99" spans="1:21" ht="15.75" thickBot="1">
      <c r="A99" s="42">
        <v>0.9</v>
      </c>
      <c r="B99" s="37">
        <v>2</v>
      </c>
      <c r="C99" s="38">
        <f>((((A99*1)+(B99*2))*MATERIALES!$C$26)+((A99*4)*MATERIALES!$C$28)+((B99*2)*MATERIALES!$C$27)+(((A99-0.2)*MATERIALES!$C$30)*((B99-0.12)/0.12)))*MATERIALES!$F$2</f>
        <v>13751.184720000001</v>
      </c>
      <c r="D99" s="59">
        <f>(2*MATERIALES!$C$146)+(16*MATERIALES!$C$158)+(16*MATERIALES!$C$159)+((8*2)*MATERIALES!$C$145)+(3*MATERIALES!$C$160)+(((B99*2)+(A99*1))*MATERIALES!$C$149)+(((A99*2)+(0.2*4))*MATERIALES!$C$141)+((A99*2)+(B99*2)*MATERIALES!$C$165)+(0.5*MATERIALES!$C$167)+(1*MATERIALES!$C$162)+(((A99*5)*2)*MATERIALES!$C$147)+(4*MATERIALES!$C$148)</f>
        <v>2045.3011999999999</v>
      </c>
      <c r="E99" s="75"/>
      <c r="F99" s="55">
        <f>(A99*0.2)*MATERIALES!$D$82</f>
        <v>95.4</v>
      </c>
      <c r="G99" s="38">
        <f t="shared" si="24"/>
        <v>15891.885920000001</v>
      </c>
      <c r="H99" s="49">
        <f t="shared" si="25"/>
        <v>20726.231696000003</v>
      </c>
      <c r="M99" s="102">
        <v>0.9</v>
      </c>
      <c r="N99" s="103">
        <v>2</v>
      </c>
      <c r="O99" s="98">
        <f>((((M99*1)+(N99*2))*MATERIALES!$C$26)+((M99*2)*MATERIALES!$C$28)+((N99*2)*MATERIALES!$C$27)+(((M99*2)+(N99*2))*MATERIALES!$C$31)+((M99*2)+(N99)*MATERIALES!$C$32))*MATERIALES!$F$2</f>
        <v>8102.5307999999995</v>
      </c>
      <c r="P99" s="98">
        <f>(2*MATERIALES!$C$146)+(14*MATERIALES!$C$158)+(14*MATERIALES!$C$159)+((8*2)*MATERIALES!$C$145)+(3*MATERIALES!$C$160)+(((N99*2)+(M99*1))*MATERIALES!$C$149)+(((M99*6)+(N99*4))*MATERIALES!$C$166)+(1*MATERIALES!$C$162)+(((M99*5)*2)*MATERIALES!$C$147)+(4*MATERIALES!$C$148)</f>
        <v>1988.3728800000001</v>
      </c>
      <c r="Q99" s="230"/>
      <c r="R99" s="104">
        <f>(M99*N99)*MATERIALES!$D$82</f>
        <v>954</v>
      </c>
      <c r="S99" s="98">
        <f t="shared" si="26"/>
        <v>11044.903679999999</v>
      </c>
      <c r="T99" s="105">
        <f t="shared" si="27"/>
        <v>15026.174783999999</v>
      </c>
      <c r="U99" s="787"/>
    </row>
    <row r="100" spans="1:21" ht="15.75" thickBot="1">
      <c r="A100" s="42">
        <v>0.6</v>
      </c>
      <c r="B100" s="37">
        <v>2.1</v>
      </c>
      <c r="C100" s="38">
        <f>((((A100*1)+(B100*2))*MATERIALES!$C$26)+((A100*4)*MATERIALES!$C$28)+((B100*2)*MATERIALES!$C$27)+(((A100-0.2)*MATERIALES!$C$30)*((B100-0.12)/0.12)))*MATERIALES!$F$2</f>
        <v>10248.245279999999</v>
      </c>
      <c r="D100" s="59">
        <f>(2*MATERIALES!$C$146)+(16*MATERIALES!$C$158)+(16*MATERIALES!$C$159)+((8*2)*MATERIALES!$C$145)+(3*MATERIALES!$C$160)+(((B100*2)+(A100*1))*MATERIALES!$C$149)+(((A100*2)+(0.2*4))*MATERIALES!$C$141)+((A100*2)+(B100*2)*MATERIALES!$C$165)+(0.5*MATERIALES!$C$167)+(1*MATERIALES!$C$162)+(((A100*5)*2)*MATERIALES!$C$147)+(4*MATERIALES!$C$148)</f>
        <v>2034.9096</v>
      </c>
      <c r="E100" s="75"/>
      <c r="F100" s="55">
        <f>(A100*0.2)*MATERIALES!$D$82</f>
        <v>63.599999999999994</v>
      </c>
      <c r="G100" s="38">
        <f t="shared" si="24"/>
        <v>12346.754879999999</v>
      </c>
      <c r="H100" s="49">
        <f t="shared" si="25"/>
        <v>16095.301344</v>
      </c>
      <c r="M100" s="102">
        <v>0.6</v>
      </c>
      <c r="N100" s="103">
        <v>2.1</v>
      </c>
      <c r="O100" s="98">
        <f>((((M100*1)+(N100*2))*MATERIALES!$C$26)+((M100*2)*MATERIALES!$C$28)+((N100*2)*MATERIALES!$C$27)+(((M100*2)+(N100*2))*MATERIALES!$C$31)+((M100*2)+(N100)*MATERIALES!$C$32))*MATERIALES!$F$2</f>
        <v>7367.2653600000021</v>
      </c>
      <c r="P100" s="98">
        <f>(2*MATERIALES!$C$146)+(14*MATERIALES!$C$158)+(14*MATERIALES!$C$159)+((8*2)*MATERIALES!$C$145)+(3*MATERIALES!$C$160)+(((N100*2)+(M100*1))*MATERIALES!$C$149)+(((M100*6)+(N100*4))*MATERIALES!$C$166)+(1*MATERIALES!$C$162)+(((M100*5)*2)*MATERIALES!$C$147)+(4*MATERIALES!$C$148)</f>
        <v>1960.74944</v>
      </c>
      <c r="Q100" s="230"/>
      <c r="R100" s="104">
        <f>(M100*N100)*MATERIALES!$D$82</f>
        <v>667.8</v>
      </c>
      <c r="S100" s="98">
        <f t="shared" si="26"/>
        <v>9995.8148000000019</v>
      </c>
      <c r="T100" s="105">
        <f t="shared" si="27"/>
        <v>13462.019240000005</v>
      </c>
      <c r="U100" s="787"/>
    </row>
    <row r="101" spans="1:21" ht="15.75" thickBot="1">
      <c r="A101" s="42">
        <v>0.7</v>
      </c>
      <c r="B101" s="37">
        <v>2.1</v>
      </c>
      <c r="C101" s="38">
        <f>((((A101*1)+(B101*2))*MATERIALES!$C$26)+((A101*4)*MATERIALES!$C$28)+((B101*2)*MATERIALES!$C$27)+(((A101-0.2)*MATERIALES!$C$30)*((B101-0.12)/0.12)))*MATERIALES!$F$2</f>
        <v>11608.768080000002</v>
      </c>
      <c r="D101" s="59">
        <f>(2*MATERIALES!$C$146)+(16*MATERIALES!$C$158)+(16*MATERIALES!$C$159)+((8*2)*MATERIALES!$C$145)+(3*MATERIALES!$C$160)+(((B101*2)+(A101*1))*MATERIALES!$C$149)+(((A101*2)+(0.2*4))*MATERIALES!$C$141)+((A101*2)+(B101*2)*MATERIALES!$C$165)+(0.5*MATERIALES!$C$167)+(1*MATERIALES!$C$162)+(((A101*5)*2)*MATERIALES!$C$147)+(4*MATERIALES!$C$148)</f>
        <v>2040.6330399999999</v>
      </c>
      <c r="E101" s="75"/>
      <c r="F101" s="55">
        <f>(A101*0.2)*MATERIALES!$D$82</f>
        <v>74.199999999999989</v>
      </c>
      <c r="G101" s="38">
        <f t="shared" si="24"/>
        <v>13723.601120000003</v>
      </c>
      <c r="H101" s="49">
        <f t="shared" si="25"/>
        <v>17892.621456000004</v>
      </c>
      <c r="M101" s="102">
        <v>0.7</v>
      </c>
      <c r="N101" s="103">
        <v>2.1</v>
      </c>
      <c r="O101" s="98">
        <f>((((M101*1)+(N101*2))*MATERIALES!$C$26)+((M101*2)*MATERIALES!$C$28)+((N101*2)*MATERIALES!$C$27)+(((M101*2)+(N101*2))*MATERIALES!$C$31)+((M101*2)+(N101)*MATERIALES!$C$32))*MATERIALES!$F$2</f>
        <v>7697.81376</v>
      </c>
      <c r="P101" s="98">
        <f>(2*MATERIALES!$C$146)+(14*MATERIALES!$C$158)+(14*MATERIALES!$C$159)+((8*2)*MATERIALES!$C$145)+(3*MATERIALES!$C$160)+(((N101*2)+(M101*1))*MATERIALES!$C$149)+(((M101*6)+(N101*4))*MATERIALES!$C$166)+(1*MATERIALES!$C$162)+(((M101*5)*2)*MATERIALES!$C$147)+(4*MATERIALES!$C$148)</f>
        <v>1973.3053600000001</v>
      </c>
      <c r="Q101" s="230"/>
      <c r="R101" s="104">
        <f>(M101*N101)*MATERIALES!$D$82</f>
        <v>779.1</v>
      </c>
      <c r="S101" s="98">
        <f t="shared" si="26"/>
        <v>10450.21912</v>
      </c>
      <c r="T101" s="105">
        <f t="shared" si="27"/>
        <v>14130.654856000001</v>
      </c>
      <c r="U101" s="787"/>
    </row>
    <row r="102" spans="1:21" ht="15.75" thickBot="1">
      <c r="A102" s="42">
        <v>0.8</v>
      </c>
      <c r="B102" s="37">
        <v>2.1</v>
      </c>
      <c r="C102" s="38">
        <f>((((A102*1)+(B102*2))*MATERIALES!$C$26)+((A102*4)*MATERIALES!$C$28)+((B102*2)*MATERIALES!$C$27)+(((A102-0.2)*MATERIALES!$C$30)*((B102-0.12)/0.12)))*MATERIALES!$F$2</f>
        <v>12969.290880000002</v>
      </c>
      <c r="D102" s="59">
        <f>(2*MATERIALES!$C$146)+(16*MATERIALES!$C$158)+(16*MATERIALES!$C$159)+((8*2)*MATERIALES!$C$145)+(3*MATERIALES!$C$160)+(((B102*2)+(A102*1))*MATERIALES!$C$149)+(((A102*2)+(0.2*4))*MATERIALES!$C$141)+((A102*2)+(B102*2)*MATERIALES!$C$165)+(0.5*MATERIALES!$C$167)+(1*MATERIALES!$C$162)+(((A102*5)*2)*MATERIALES!$C$147)+(4*MATERIALES!$C$148)</f>
        <v>2046.3564799999999</v>
      </c>
      <c r="E102" s="75"/>
      <c r="F102" s="55">
        <f>(A102*0.2)*MATERIALES!$D$82</f>
        <v>84.800000000000011</v>
      </c>
      <c r="G102" s="38">
        <f t="shared" si="24"/>
        <v>15100.447360000002</v>
      </c>
      <c r="H102" s="49">
        <f t="shared" si="25"/>
        <v>19689.941568000002</v>
      </c>
      <c r="M102" s="102">
        <v>0.8</v>
      </c>
      <c r="N102" s="103">
        <v>2.1</v>
      </c>
      <c r="O102" s="98">
        <f>((((M102*1)+(N102*2))*MATERIALES!$C$26)+((M102*2)*MATERIALES!$C$28)+((N102*2)*MATERIALES!$C$27)+(((M102*2)+(N102*2))*MATERIALES!$C$31)+((M102*2)+(N102)*MATERIALES!$C$32))*MATERIALES!$F$2</f>
        <v>8028.3621600000006</v>
      </c>
      <c r="P102" s="98">
        <f>(2*MATERIALES!$C$146)+(14*MATERIALES!$C$158)+(14*MATERIALES!$C$159)+((8*2)*MATERIALES!$C$145)+(3*MATERIALES!$C$160)+(((N102*2)+(M102*1))*MATERIALES!$C$149)+(((M102*6)+(N102*4))*MATERIALES!$C$166)+(1*MATERIALES!$C$162)+(((M102*5)*2)*MATERIALES!$C$147)+(4*MATERIALES!$C$148)</f>
        <v>1985.8612800000001</v>
      </c>
      <c r="Q102" s="230"/>
      <c r="R102" s="104">
        <f>(M102*N102)*MATERIALES!$D$82</f>
        <v>890.40000000000009</v>
      </c>
      <c r="S102" s="98">
        <f t="shared" si="26"/>
        <v>10904.623440000001</v>
      </c>
      <c r="T102" s="105">
        <f t="shared" si="27"/>
        <v>14799.290472000004</v>
      </c>
      <c r="U102" s="787"/>
    </row>
    <row r="103" spans="1:21" ht="15.75" thickBot="1">
      <c r="A103" s="44">
        <v>0.9</v>
      </c>
      <c r="B103" s="45">
        <v>2.1</v>
      </c>
      <c r="C103" s="50">
        <f>((((A103*1)+(B103*2))*MATERIALES!$C$26)+((A103*4)*MATERIALES!$C$28)+((B103*2)*MATERIALES!$C$27)+(((A103-0.2)*MATERIALES!$C$30)*((B103-0.12)/0.12)))*MATERIALES!$F$2</f>
        <v>14329.813680000001</v>
      </c>
      <c r="D103" s="60">
        <f>(2*MATERIALES!$C$146)+(16*MATERIALES!$C$158)+(16*MATERIALES!$C$159)+((8*2)*MATERIALES!$C$145)+(3*MATERIALES!$C$160)+(((B103*2)+(A103*1))*MATERIALES!$C$149)+(((A103*2)+(0.2*4))*MATERIALES!$C$141)+((A103*2)+(B103*2)*MATERIALES!$C$165)+(0.5*MATERIALES!$C$167)+(1*MATERIALES!$C$162)+(((A103*5)*2)*MATERIALES!$C$147)+(4*MATERIALES!$C$148)</f>
        <v>2052.0799200000001</v>
      </c>
      <c r="E103" s="76"/>
      <c r="F103" s="56">
        <f>(A103*0.2)*MATERIALES!$D$82</f>
        <v>95.4</v>
      </c>
      <c r="G103" s="50">
        <f t="shared" si="24"/>
        <v>16477.293600000001</v>
      </c>
      <c r="H103" s="49">
        <f t="shared" si="25"/>
        <v>21487.261680000003</v>
      </c>
      <c r="M103" s="106">
        <v>0.9</v>
      </c>
      <c r="N103" s="107">
        <v>2.1</v>
      </c>
      <c r="O103" s="108">
        <f>((((M103*1)+(N103*2))*MATERIALES!$C$26)+((M103*2)*MATERIALES!$C$28)+((N103*2)*MATERIALES!$C$27)+(((M103*2)+(N103*2))*MATERIALES!$C$31)+((M103*2)+(N103)*MATERIALES!$C$32))*MATERIALES!$F$2</f>
        <v>8358.9105600000021</v>
      </c>
      <c r="P103" s="108">
        <f>(2*MATERIALES!$C$146)+(14*MATERIALES!$C$158)+(14*MATERIALES!$C$159)+((8*2)*MATERIALES!$C$145)+(3*MATERIALES!$C$160)+(((N103*2)+(M103*1))*MATERIALES!$C$149)+(((M103*6)+(N103*4))*MATERIALES!$C$166)+(1*MATERIALES!$C$162)+(((M103*5)*2)*MATERIALES!$C$147)+(4*MATERIALES!$C$148)</f>
        <v>1998.4172000000001</v>
      </c>
      <c r="Q103" s="231"/>
      <c r="R103" s="109">
        <f>(M103*N103)*MATERIALES!$D$82</f>
        <v>1001.7</v>
      </c>
      <c r="S103" s="108">
        <f t="shared" si="26"/>
        <v>11359.027760000003</v>
      </c>
      <c r="T103" s="110">
        <f t="shared" si="27"/>
        <v>15467.926088000002</v>
      </c>
      <c r="U103" s="788"/>
    </row>
    <row r="105" spans="1:21" ht="15.75" thickBot="1">
      <c r="O105" s="78"/>
    </row>
    <row r="106" spans="1:21" ht="15.75" thickBot="1">
      <c r="A106" s="32"/>
      <c r="B106" s="32"/>
      <c r="C106" s="801">
        <v>0.2</v>
      </c>
      <c r="D106" s="802"/>
      <c r="E106" s="803"/>
      <c r="F106" s="61">
        <v>1</v>
      </c>
      <c r="G106" s="32"/>
      <c r="H106" s="46" t="s">
        <v>163</v>
      </c>
      <c r="M106" s="32"/>
      <c r="N106" s="32"/>
      <c r="O106" s="801">
        <v>0.2</v>
      </c>
      <c r="P106" s="802"/>
      <c r="Q106" s="803"/>
      <c r="R106" s="61">
        <v>1</v>
      </c>
      <c r="S106" s="32"/>
      <c r="T106" s="46" t="s">
        <v>163</v>
      </c>
    </row>
    <row r="107" spans="1:21" ht="15.75" thickBot="1">
      <c r="A107" s="792" t="s">
        <v>226</v>
      </c>
      <c r="B107" s="793"/>
      <c r="C107" s="793"/>
      <c r="D107" s="793"/>
      <c r="E107" s="793"/>
      <c r="F107" s="793"/>
      <c r="G107" s="793"/>
      <c r="H107" s="794"/>
      <c r="M107" s="792" t="s">
        <v>228</v>
      </c>
      <c r="N107" s="793"/>
      <c r="O107" s="793"/>
      <c r="P107" s="793"/>
      <c r="Q107" s="793"/>
      <c r="R107" s="793"/>
      <c r="S107" s="793"/>
      <c r="T107" s="794"/>
      <c r="U107" s="882" t="s">
        <v>254</v>
      </c>
    </row>
    <row r="108" spans="1:21" ht="15.75" thickBot="1">
      <c r="A108" s="36" t="s">
        <v>116</v>
      </c>
      <c r="B108" s="36" t="s">
        <v>117</v>
      </c>
      <c r="C108" s="36" t="s">
        <v>162</v>
      </c>
      <c r="D108" s="36" t="s">
        <v>119</v>
      </c>
      <c r="E108" s="36" t="s">
        <v>120</v>
      </c>
      <c r="F108" s="36" t="s">
        <v>118</v>
      </c>
      <c r="G108" s="36" t="s">
        <v>121</v>
      </c>
      <c r="H108" s="36" t="s">
        <v>122</v>
      </c>
      <c r="M108" s="36" t="s">
        <v>116</v>
      </c>
      <c r="N108" s="36" t="s">
        <v>117</v>
      </c>
      <c r="O108" s="36" t="s">
        <v>162</v>
      </c>
      <c r="P108" s="36" t="s">
        <v>119</v>
      </c>
      <c r="Q108" s="36" t="s">
        <v>120</v>
      </c>
      <c r="R108" s="36" t="s">
        <v>118</v>
      </c>
      <c r="S108" s="36" t="s">
        <v>121</v>
      </c>
      <c r="T108" s="36" t="s">
        <v>122</v>
      </c>
      <c r="U108" s="883"/>
    </row>
    <row r="109" spans="1:21" ht="15.75" thickBot="1">
      <c r="A109" s="795"/>
      <c r="B109" s="796"/>
      <c r="C109" s="796"/>
      <c r="D109" s="796"/>
      <c r="E109" s="796"/>
      <c r="F109" s="796"/>
      <c r="G109" s="796"/>
      <c r="H109" s="797"/>
      <c r="M109" s="795"/>
      <c r="N109" s="796"/>
      <c r="O109" s="796"/>
      <c r="P109" s="796"/>
      <c r="Q109" s="796"/>
      <c r="R109" s="796"/>
      <c r="S109" s="796"/>
      <c r="T109" s="797"/>
      <c r="U109" s="883"/>
    </row>
    <row r="110" spans="1:21" ht="15.75" thickBot="1">
      <c r="A110" s="40">
        <v>0.6</v>
      </c>
      <c r="B110" s="41">
        <v>2</v>
      </c>
      <c r="C110" s="47">
        <f>((((A110*1)+(B110*2))*MATERIALES!$C$26)+((A110*3)*MATERIALES!$C$28)+((0.4*2)*MATERIALES!$C$28)+((B110*2)*MATERIALES!$C$27)+(((A110-0.2)*MATERIALES!$C$30)*((B110-0.36)/0.12)))*MATERIALES!$F$2</f>
        <v>9438.3307199999999</v>
      </c>
      <c r="D110" s="58">
        <f>(2*MATERIALES!$C$146)+(20*MATERIALES!$C$158)+(20*MATERIALES!$C$159)+((8*2)*MATERIALES!$C$145)+(3*MATERIALES!$C$160)+(((B110*2)+(A110*1))*MATERIALES!$C$149)+(((A110*2)+(0.4*6))*MATERIALES!$C$141)+((A110*2)+(B110*2)*MATERIALES!$C$165)+(0.5*MATERIALES!$C$167)+(1*MATERIALES!$C$162)+(((A110*5)*2)*MATERIALES!$C$147)+(4*MATERIALES!$C$148)</f>
        <v>2122.5961600000001</v>
      </c>
      <c r="E110" s="74"/>
      <c r="F110" s="54">
        <f>(A110*0.4)*MATERIALES!$D$82</f>
        <v>127.19999999999999</v>
      </c>
      <c r="G110" s="47">
        <f>SUM(C110:F110)</f>
        <v>11688.12688</v>
      </c>
      <c r="H110" s="49">
        <f>((SUM(C110:E110)*1.3)+(F110*2))</f>
        <v>15283.604943999999</v>
      </c>
      <c r="M110" s="65">
        <v>0.6</v>
      </c>
      <c r="N110" s="66">
        <v>2</v>
      </c>
      <c r="O110" s="58">
        <f>((((M110*1)+(N110*2))*MATERIALES!$C$26)+((M110*3)*MATERIALES!$C$28)+((N110*2)*MATERIALES!$C$27)+(((M110-0.2)*MATERIALES!$C$30)*(0.6/0.12))+(((M110*2)+(N110*2))*MATERIALES!$C$31)+((M110*2)+(N110)*MATERIALES!$C$32))*MATERIALES!$F$2</f>
        <v>8779.8110399999987</v>
      </c>
      <c r="P110" s="58">
        <f>(2*MATERIALES!$C$146)+(18*MATERIALES!$C$158)+(18*MATERIALES!$C$159)+((8*2)*MATERIALES!$C$145)+(3*MATERIALES!$C$160)+(((N110*2)+(M110*1))*MATERIALES!$C$149)+(((M110*6)+(N110*4))*MATERIALES!$C$166)+(0.25*MATERIALES!$C$167)+(((M110*2)+(0.6*2))*MATERIALES!$C$165)+(1*MATERIALES!$C$162)+(((M110*5)*2)*MATERIALES!$C$147)+(4*MATERIALES!$C$148)</f>
        <v>2130.4930400000003</v>
      </c>
      <c r="Q110" s="74"/>
      <c r="R110" s="54">
        <f>(M110*N110)*MATERIALES!$D$82</f>
        <v>636</v>
      </c>
      <c r="S110" s="58">
        <f>SUM(O110:R110)</f>
        <v>11546.304079999998</v>
      </c>
      <c r="T110" s="67">
        <f>(SUM(O110:Q110)*1.3)+(R110*2)</f>
        <v>15455.395303999998</v>
      </c>
      <c r="U110" s="787"/>
    </row>
    <row r="111" spans="1:21" ht="15.75" thickBot="1">
      <c r="A111" s="42">
        <v>0.7</v>
      </c>
      <c r="B111" s="37">
        <v>2</v>
      </c>
      <c r="C111" s="38">
        <f>((((A111*1)+(B111*2))*MATERIALES!$C$26)+((A111*3)*MATERIALES!$C$28)+((0.4*2)*MATERIALES!$C$28)+((B111*2)*MATERIALES!$C$27)+(((A111-0.2)*MATERIALES!$C$30)*((B111-0.36)/0.12)))*MATERIALES!$F$2</f>
        <v>10553.066160000002</v>
      </c>
      <c r="D111" s="59">
        <f>(2*MATERIALES!$C$146)+(20*MATERIALES!$C$158)+(20*MATERIALES!$C$159)+((8*2)*MATERIALES!$C$145)+(3*MATERIALES!$C$160)+(((B111*2)+(A111*1))*MATERIALES!$C$149)+(((A111*2)+(0.4*6))*MATERIALES!$C$141)+((A111*2)+(B111*2)*MATERIALES!$C$165)+(0.5*MATERIALES!$C$167)+(1*MATERIALES!$C$162)+(((A111*5)*2)*MATERIALES!$C$147)+(4*MATERIALES!$C$148)</f>
        <v>2128.3195999999998</v>
      </c>
      <c r="E111" s="75"/>
      <c r="F111" s="55">
        <f>(A111*0.4)*MATERIALES!$D$82</f>
        <v>148.39999999999998</v>
      </c>
      <c r="G111" s="38">
        <f t="shared" ref="G111:G117" si="28">SUM(C111:F111)</f>
        <v>12829.785760000001</v>
      </c>
      <c r="H111" s="49">
        <f t="shared" ref="H111:H117" si="29">((SUM(C111:E111)*1.3)+(F111*2))</f>
        <v>16782.601488</v>
      </c>
      <c r="M111" s="68">
        <v>0.7</v>
      </c>
      <c r="N111" s="69">
        <v>2</v>
      </c>
      <c r="O111" s="59">
        <f>((((M111*1)+(N111*2))*MATERIALES!$C$26)+((M111*3)*MATERIALES!$C$28)+((N111*2)*MATERIALES!$C$27)+(((M111-0.2)*MATERIALES!$C$30)*(0.6/0.12))+(((M111*2)+(N111*2))*MATERIALES!$C$31)+((M111*2)+(N111)*MATERIALES!$C$32))*MATERIALES!$F$2</f>
        <v>9496.4032800000023</v>
      </c>
      <c r="P111" s="59">
        <f>(2*MATERIALES!$C$146)+(18*MATERIALES!$C$158)+(18*MATERIALES!$C$159)+((8*2)*MATERIALES!$C$145)+(3*MATERIALES!$C$160)+(((N111*2)+(M111*1))*MATERIALES!$C$149)+(((M111*6)+(N111*4))*MATERIALES!$C$166)+(0.25*MATERIALES!$C$167)+(((M111*2)+(0.6*2))*MATERIALES!$C$165)+(1*MATERIALES!$C$162)+(((M111*5)*2)*MATERIALES!$C$147)+(4*MATERIALES!$C$148)</f>
        <v>2147.3171199999997</v>
      </c>
      <c r="Q111" s="75"/>
      <c r="R111" s="55">
        <f>(M111*N111)*MATERIALES!$D$82</f>
        <v>742</v>
      </c>
      <c r="S111" s="59">
        <f t="shared" ref="S111:S117" si="30">SUM(O111:R111)</f>
        <v>12385.720400000002</v>
      </c>
      <c r="T111" s="67">
        <f t="shared" ref="T111:T117" si="31">(SUM(O111:Q111)*1.3)+(R111*2)</f>
        <v>16620.836520000004</v>
      </c>
      <c r="U111" s="787"/>
    </row>
    <row r="112" spans="1:21" ht="15.75" thickBot="1">
      <c r="A112" s="42">
        <v>0.8</v>
      </c>
      <c r="B112" s="37">
        <v>2</v>
      </c>
      <c r="C112" s="38">
        <f>((((A112*1)+(B112*2))*MATERIALES!$C$26)+((A112*3)*MATERIALES!$C$28)+((0.4*2)*MATERIALES!$C$28)+((B112*2)*MATERIALES!$C$27)+(((A112-0.2)*MATERIALES!$C$30)*((B112-0.36)/0.12)))*MATERIALES!$F$2</f>
        <v>11667.801600000001</v>
      </c>
      <c r="D112" s="59">
        <f>(2*MATERIALES!$C$146)+(20*MATERIALES!$C$158)+(20*MATERIALES!$C$159)+((8*2)*MATERIALES!$C$145)+(3*MATERIALES!$C$160)+(((B112*2)+(A112*1))*MATERIALES!$C$149)+(((A112*2)+(0.4*6))*MATERIALES!$C$141)+((A112*2)+(B112*2)*MATERIALES!$C$165)+(0.5*MATERIALES!$C$167)+(1*MATERIALES!$C$162)+(((A112*5)*2)*MATERIALES!$C$147)+(4*MATERIALES!$C$148)</f>
        <v>2134.04304</v>
      </c>
      <c r="E112" s="75"/>
      <c r="F112" s="55">
        <f>(A112*0.4)*MATERIALES!$D$82</f>
        <v>169.60000000000002</v>
      </c>
      <c r="G112" s="38">
        <f t="shared" si="28"/>
        <v>13971.444640000002</v>
      </c>
      <c r="H112" s="49">
        <f t="shared" si="29"/>
        <v>18281.598032000002</v>
      </c>
      <c r="M112" s="68">
        <v>0.8</v>
      </c>
      <c r="N112" s="69">
        <v>2</v>
      </c>
      <c r="O112" s="59">
        <f>((((M112*1)+(N112*2))*MATERIALES!$C$26)+((M112*3)*MATERIALES!$C$28)+((N112*2)*MATERIALES!$C$27)+(((M112-0.2)*MATERIALES!$C$30)*(0.6/0.12))+(((M112*2)+(N112*2))*MATERIALES!$C$31)+((M112*2)+(N112)*MATERIALES!$C$32))*MATERIALES!$F$2</f>
        <v>10212.99552</v>
      </c>
      <c r="P112" s="59">
        <f>(2*MATERIALES!$C$146)+(18*MATERIALES!$C$158)+(18*MATERIALES!$C$159)+((8*2)*MATERIALES!$C$145)+(3*MATERIALES!$C$160)+(((N112*2)+(M112*1))*MATERIALES!$C$149)+(((M112*6)+(N112*4))*MATERIALES!$C$166)+(0.25*MATERIALES!$C$167)+(((M112*2)+(0.6*2))*MATERIALES!$C$165)+(1*MATERIALES!$C$162)+(((M112*5)*2)*MATERIALES!$C$147)+(4*MATERIALES!$C$148)</f>
        <v>2164.1412</v>
      </c>
      <c r="Q112" s="75"/>
      <c r="R112" s="55">
        <f>(M112*N112)*MATERIALES!$D$82</f>
        <v>848</v>
      </c>
      <c r="S112" s="59">
        <f t="shared" si="30"/>
        <v>13225.13672</v>
      </c>
      <c r="T112" s="67">
        <f t="shared" si="31"/>
        <v>17786.277736000004</v>
      </c>
      <c r="U112" s="787"/>
    </row>
    <row r="113" spans="1:21" ht="15.75" thickBot="1">
      <c r="A113" s="42">
        <v>0.9</v>
      </c>
      <c r="B113" s="37">
        <v>2</v>
      </c>
      <c r="C113" s="38">
        <f>((((A113*1)+(B113*2))*MATERIALES!$C$26)+((A113*3)*MATERIALES!$C$28)+((0.4*2)*MATERIALES!$C$28)+((B113*2)*MATERIALES!$C$27)+(((A113-0.2)*MATERIALES!$C$30)*((B113-0.36)/0.12)))*MATERIALES!$F$2</f>
        <v>12782.537040000003</v>
      </c>
      <c r="D113" s="59">
        <f>(2*MATERIALES!$C$146)+(20*MATERIALES!$C$158)+(20*MATERIALES!$C$159)+((8*2)*MATERIALES!$C$145)+(3*MATERIALES!$C$160)+(((B113*2)+(A113*1))*MATERIALES!$C$149)+(((A113*2)+(0.4*6))*MATERIALES!$C$141)+((A113*2)+(B113*2)*MATERIALES!$C$165)+(0.5*MATERIALES!$C$167)+(1*MATERIALES!$C$162)+(((A113*5)*2)*MATERIALES!$C$147)+(4*MATERIALES!$C$148)</f>
        <v>2139.7664800000002</v>
      </c>
      <c r="E113" s="75"/>
      <c r="F113" s="55">
        <f>(A113*0.4)*MATERIALES!$D$82</f>
        <v>190.8</v>
      </c>
      <c r="G113" s="38">
        <f t="shared" si="28"/>
        <v>15113.103520000002</v>
      </c>
      <c r="H113" s="49">
        <f t="shared" si="29"/>
        <v>19780.594576000003</v>
      </c>
      <c r="M113" s="68">
        <v>0.9</v>
      </c>
      <c r="N113" s="69">
        <v>2</v>
      </c>
      <c r="O113" s="59">
        <f>((((M113*1)+(N113*2))*MATERIALES!$C$26)+((M113*3)*MATERIALES!$C$28)+((N113*2)*MATERIALES!$C$27)+(((M113-0.2)*MATERIALES!$C$30)*(0.6/0.12))+(((M113*2)+(N113*2))*MATERIALES!$C$31)+((M113*2)+(N113)*MATERIALES!$C$32))*MATERIALES!$F$2</f>
        <v>10929.58776</v>
      </c>
      <c r="P113" s="59">
        <f>(2*MATERIALES!$C$146)+(18*MATERIALES!$C$158)+(18*MATERIALES!$C$159)+((8*2)*MATERIALES!$C$145)+(3*MATERIALES!$C$160)+(((N113*2)+(M113*1))*MATERIALES!$C$149)+(((M113*6)+(N113*4))*MATERIALES!$C$166)+(0.25*MATERIALES!$C$167)+(((M113*2)+(0.6*2))*MATERIALES!$C$165)+(1*MATERIALES!$C$162)+(((M113*5)*2)*MATERIALES!$C$147)+(4*MATERIALES!$C$148)</f>
        <v>2180.9652800000003</v>
      </c>
      <c r="Q113" s="75"/>
      <c r="R113" s="55">
        <f>(M113*N113)*MATERIALES!$D$82</f>
        <v>954</v>
      </c>
      <c r="S113" s="59">
        <f t="shared" si="30"/>
        <v>14064.553040000001</v>
      </c>
      <c r="T113" s="67">
        <f t="shared" si="31"/>
        <v>18951.718952000003</v>
      </c>
      <c r="U113" s="787"/>
    </row>
    <row r="114" spans="1:21" ht="15.75" thickBot="1">
      <c r="A114" s="42">
        <v>0.6</v>
      </c>
      <c r="B114" s="37">
        <v>2.1</v>
      </c>
      <c r="C114" s="38">
        <f>((((A114*1)+(B114*2))*MATERIALES!$C$26)+((A114*3)*MATERIALES!$C$28)+((0.4*2)*MATERIALES!$C$28)+((B114*2)*MATERIALES!$C$27)+(((A114-0.2)*MATERIALES!$C$30)*((B114-0.36)/0.12)))*MATERIALES!$F$2</f>
        <v>9855.1252800000002</v>
      </c>
      <c r="D114" s="59">
        <f>(2*MATERIALES!$C$146)+(20*MATERIALES!$C$158)+(20*MATERIALES!$C$159)+((8*2)*MATERIALES!$C$145)+(3*MATERIALES!$C$160)+(((B114*2)+(A114*1))*MATERIALES!$C$149)+(((A114*2)+(0.4*6))*MATERIALES!$C$141)+((A114*2)+(B114*2)*MATERIALES!$C$165)+(0.5*MATERIALES!$C$167)+(1*MATERIALES!$C$162)+(((A114*5)*2)*MATERIALES!$C$147)+(4*MATERIALES!$C$148)</f>
        <v>2129.3748800000003</v>
      </c>
      <c r="E114" s="75"/>
      <c r="F114" s="55">
        <f>(A114*0.4)*MATERIALES!$D$82</f>
        <v>127.19999999999999</v>
      </c>
      <c r="G114" s="38">
        <f t="shared" si="28"/>
        <v>12111.70016</v>
      </c>
      <c r="H114" s="49">
        <f t="shared" si="29"/>
        <v>15834.250207999999</v>
      </c>
      <c r="M114" s="68">
        <v>0.6</v>
      </c>
      <c r="N114" s="69">
        <v>2.1</v>
      </c>
      <c r="O114" s="59">
        <f>((((M114*1)+(N114*2))*MATERIALES!$C$26)+((M114*3)*MATERIALES!$C$28)+((N114*2)*MATERIALES!$C$27)+(((M114-0.2)*MATERIALES!$C$30)*(0.6/0.12))+(((M114*2)+(N114*2))*MATERIALES!$C$31)+((M114*2)+(N114)*MATERIALES!$C$32))*MATERIALES!$F$2</f>
        <v>9036.1908000000003</v>
      </c>
      <c r="P114" s="59">
        <f>(2*MATERIALES!$C$146)+(18*MATERIALES!$C$158)+(18*MATERIALES!$C$159)+((8*2)*MATERIALES!$C$145)+(3*MATERIALES!$C$160)+(((N114*2)+(M114*1))*MATERIALES!$C$149)+(((M114*6)+(N114*4))*MATERIALES!$C$166)+(0.25*MATERIALES!$C$167)+(((M114*2)+(0.6*2))*MATERIALES!$C$165)+(1*MATERIALES!$C$162)+(((M114*5)*2)*MATERIALES!$C$147)+(4*MATERIALES!$C$148)</f>
        <v>2140.5373600000003</v>
      </c>
      <c r="Q114" s="75"/>
      <c r="R114" s="55">
        <f>(M114*N114)*MATERIALES!$D$82</f>
        <v>667.8</v>
      </c>
      <c r="S114" s="59">
        <f t="shared" si="30"/>
        <v>11844.52816</v>
      </c>
      <c r="T114" s="67">
        <f t="shared" si="31"/>
        <v>15865.346608000002</v>
      </c>
      <c r="U114" s="787"/>
    </row>
    <row r="115" spans="1:21" ht="15.75" thickBot="1">
      <c r="A115" s="42">
        <v>0.7</v>
      </c>
      <c r="B115" s="37">
        <v>2.1</v>
      </c>
      <c r="C115" s="38">
        <f>((((A115*1)+(B115*2))*MATERIALES!$C$26)+((A115*3)*MATERIALES!$C$28)+((0.4*2)*MATERIALES!$C$28)+((B115*2)*MATERIALES!$C$27)+(((A115-0.2)*MATERIALES!$C$30)*((B115-0.36)/0.12)))*MATERIALES!$F$2</f>
        <v>11023.80552</v>
      </c>
      <c r="D115" s="59">
        <f>(2*MATERIALES!$C$146)+(20*MATERIALES!$C$158)+(20*MATERIALES!$C$159)+((8*2)*MATERIALES!$C$145)+(3*MATERIALES!$C$160)+(((B115*2)+(A115*1))*MATERIALES!$C$149)+(((A115*2)+(0.4*6))*MATERIALES!$C$141)+((A115*2)+(B115*2)*MATERIALES!$C$165)+(0.5*MATERIALES!$C$167)+(1*MATERIALES!$C$162)+(((A115*5)*2)*MATERIALES!$C$147)+(4*MATERIALES!$C$148)</f>
        <v>2135.0983200000001</v>
      </c>
      <c r="E115" s="75"/>
      <c r="F115" s="55">
        <f>(A115*0.4)*MATERIALES!$D$82</f>
        <v>148.39999999999998</v>
      </c>
      <c r="G115" s="38">
        <f t="shared" si="28"/>
        <v>13307.303839999999</v>
      </c>
      <c r="H115" s="49">
        <f t="shared" si="29"/>
        <v>17403.374991999997</v>
      </c>
      <c r="M115" s="68">
        <v>0.7</v>
      </c>
      <c r="N115" s="69">
        <v>2.1</v>
      </c>
      <c r="O115" s="59">
        <f>((((M115*1)+(N115*2))*MATERIALES!$C$26)+((M115*3)*MATERIALES!$C$28)+((N115*2)*MATERIALES!$C$27)+(((M115-0.2)*MATERIALES!$C$30)*(0.6/0.12))+(((M115*2)+(N115*2))*MATERIALES!$C$31)+((M115*2)+(N115)*MATERIALES!$C$32))*MATERIALES!$F$2</f>
        <v>9752.7830400000003</v>
      </c>
      <c r="P115" s="59">
        <f>(2*MATERIALES!$C$146)+(18*MATERIALES!$C$158)+(18*MATERIALES!$C$159)+((8*2)*MATERIALES!$C$145)+(3*MATERIALES!$C$160)+(((N115*2)+(M115*1))*MATERIALES!$C$149)+(((M115*6)+(N115*4))*MATERIALES!$C$166)+(0.25*MATERIALES!$C$167)+(((M115*2)+(0.6*2))*MATERIALES!$C$165)+(1*MATERIALES!$C$162)+(((M115*5)*2)*MATERIALES!$C$147)+(4*MATERIALES!$C$148)</f>
        <v>2157.3614399999997</v>
      </c>
      <c r="Q115" s="75"/>
      <c r="R115" s="55">
        <f>(M115*N115)*MATERIALES!$D$82</f>
        <v>779.1</v>
      </c>
      <c r="S115" s="59">
        <f t="shared" si="30"/>
        <v>12689.244479999999</v>
      </c>
      <c r="T115" s="67">
        <f t="shared" si="31"/>
        <v>17041.387823999998</v>
      </c>
      <c r="U115" s="787"/>
    </row>
    <row r="116" spans="1:21" ht="15.75" thickBot="1">
      <c r="A116" s="42">
        <v>0.8</v>
      </c>
      <c r="B116" s="37">
        <v>2.1</v>
      </c>
      <c r="C116" s="38">
        <f>((((A116*1)+(B116*2))*MATERIALES!$C$26)+((A116*3)*MATERIALES!$C$28)+((0.4*2)*MATERIALES!$C$28)+((B116*2)*MATERIALES!$C$27)+(((A116-0.2)*MATERIALES!$C$30)*((B116-0.36)/0.12)))*MATERIALES!$F$2</f>
        <v>12192.485760000003</v>
      </c>
      <c r="D116" s="59">
        <f>(2*MATERIALES!$C$146)+(20*MATERIALES!$C$158)+(20*MATERIALES!$C$159)+((8*2)*MATERIALES!$C$145)+(3*MATERIALES!$C$160)+(((B116*2)+(A116*1))*MATERIALES!$C$149)+(((A116*2)+(0.4*6))*MATERIALES!$C$141)+((A116*2)+(B116*2)*MATERIALES!$C$165)+(0.5*MATERIALES!$C$167)+(1*MATERIALES!$C$162)+(((A116*5)*2)*MATERIALES!$C$147)+(4*MATERIALES!$C$148)</f>
        <v>2140.8217599999998</v>
      </c>
      <c r="E116" s="75"/>
      <c r="F116" s="55">
        <f>(A116*0.4)*MATERIALES!$D$82</f>
        <v>169.60000000000002</v>
      </c>
      <c r="G116" s="38">
        <f t="shared" si="28"/>
        <v>14502.907520000002</v>
      </c>
      <c r="H116" s="49">
        <f t="shared" si="29"/>
        <v>18972.499776000004</v>
      </c>
      <c r="M116" s="68">
        <v>0.8</v>
      </c>
      <c r="N116" s="69">
        <v>2.1</v>
      </c>
      <c r="O116" s="59">
        <f>((((M116*1)+(N116*2))*MATERIALES!$C$26)+((M116*3)*MATERIALES!$C$28)+((N116*2)*MATERIALES!$C$27)+(((M116-0.2)*MATERIALES!$C$30)*(0.6/0.12))+(((M116*2)+(N116*2))*MATERIALES!$C$31)+((M116*2)+(N116)*MATERIALES!$C$32))*MATERIALES!$F$2</f>
        <v>10469.375280000002</v>
      </c>
      <c r="P116" s="59">
        <f>(2*MATERIALES!$C$146)+(18*MATERIALES!$C$158)+(18*MATERIALES!$C$159)+((8*2)*MATERIALES!$C$145)+(3*MATERIALES!$C$160)+(((N116*2)+(M116*1))*MATERIALES!$C$149)+(((M116*6)+(N116*4))*MATERIALES!$C$166)+(0.25*MATERIALES!$C$167)+(((M116*2)+(0.6*2))*MATERIALES!$C$165)+(1*MATERIALES!$C$162)+(((M116*5)*2)*MATERIALES!$C$147)+(4*MATERIALES!$C$148)</f>
        <v>2174.18552</v>
      </c>
      <c r="Q116" s="75"/>
      <c r="R116" s="55">
        <f>(M116*N116)*MATERIALES!$D$82</f>
        <v>890.40000000000009</v>
      </c>
      <c r="S116" s="59">
        <f t="shared" si="30"/>
        <v>13533.960800000003</v>
      </c>
      <c r="T116" s="67">
        <f t="shared" si="31"/>
        <v>18217.429040000003</v>
      </c>
      <c r="U116" s="787"/>
    </row>
    <row r="117" spans="1:21" ht="15.75" thickBot="1">
      <c r="A117" s="44">
        <v>0.9</v>
      </c>
      <c r="B117" s="45">
        <v>2.1</v>
      </c>
      <c r="C117" s="50">
        <f>((((A117*1)+(B117*2))*MATERIALES!$C$26)+((A117*3)*MATERIALES!$C$28)+((0.4*2)*MATERIALES!$C$28)+((B117*2)*MATERIALES!$C$27)+(((A117-0.2)*MATERIALES!$C$30)*((B117-0.36)/0.12)))*MATERIALES!$F$2</f>
        <v>13361.166000000005</v>
      </c>
      <c r="D117" s="60">
        <f>(2*MATERIALES!$C$146)+(20*MATERIALES!$C$158)+(20*MATERIALES!$C$159)+((8*2)*MATERIALES!$C$145)+(3*MATERIALES!$C$160)+(((B117*2)+(A117*1))*MATERIALES!$C$149)+(((A117*2)+(0.4*6))*MATERIALES!$C$141)+((A117*2)+(B117*2)*MATERIALES!$C$165)+(0.5*MATERIALES!$C$167)+(1*MATERIALES!$C$162)+(((A117*5)*2)*MATERIALES!$C$147)+(4*MATERIALES!$C$148)</f>
        <v>2146.5452000000005</v>
      </c>
      <c r="E117" s="76"/>
      <c r="F117" s="56">
        <f>(A117*0.4)*MATERIALES!$D$82</f>
        <v>190.8</v>
      </c>
      <c r="G117" s="50">
        <f t="shared" si="28"/>
        <v>15698.511200000004</v>
      </c>
      <c r="H117" s="49">
        <f t="shared" si="29"/>
        <v>20541.624560000007</v>
      </c>
      <c r="M117" s="71">
        <v>0.9</v>
      </c>
      <c r="N117" s="72">
        <v>2.1</v>
      </c>
      <c r="O117" s="60">
        <f>((((M117*1)+(N117*2))*MATERIALES!$C$26)+((M117*3)*MATERIALES!$C$28)+((N117*2)*MATERIALES!$C$27)+(((M117-0.2)*MATERIALES!$C$30)*(0.6/0.12))+(((M117*2)+(N117*2))*MATERIALES!$C$31)+((M117*2)+(N117)*MATERIALES!$C$32))*MATERIALES!$F$2</f>
        <v>11185.967520000002</v>
      </c>
      <c r="P117" s="60">
        <f>(2*MATERIALES!$C$146)+(18*MATERIALES!$C$158)+(18*MATERIALES!$C$159)+((8*2)*MATERIALES!$C$145)+(3*MATERIALES!$C$160)+(((N117*2)+(M117*1))*MATERIALES!$C$149)+(((M117*6)+(N117*4))*MATERIALES!$C$166)+(0.25*MATERIALES!$C$167)+(((M117*2)+(0.6*2))*MATERIALES!$C$165)+(1*MATERIALES!$C$162)+(((M117*5)*2)*MATERIALES!$C$147)+(4*MATERIALES!$C$148)</f>
        <v>2191.0096000000003</v>
      </c>
      <c r="Q117" s="76"/>
      <c r="R117" s="56">
        <f>(M117*N117)*MATERIALES!$D$82</f>
        <v>1001.7</v>
      </c>
      <c r="S117" s="60">
        <f t="shared" si="30"/>
        <v>14378.677120000004</v>
      </c>
      <c r="T117" s="67">
        <f t="shared" si="31"/>
        <v>19393.470256000008</v>
      </c>
      <c r="U117" s="788"/>
    </row>
    <row r="119" spans="1:21" ht="15.75" thickBot="1">
      <c r="C119" s="78"/>
      <c r="O119" s="78"/>
    </row>
    <row r="120" spans="1:21" ht="15.75" thickBot="1">
      <c r="A120" s="32"/>
      <c r="B120" s="32"/>
      <c r="C120" s="801">
        <v>0.2</v>
      </c>
      <c r="D120" s="802"/>
      <c r="E120" s="803"/>
      <c r="F120" s="61">
        <v>1</v>
      </c>
      <c r="G120" s="32"/>
      <c r="H120" s="46" t="s">
        <v>163</v>
      </c>
      <c r="M120" s="32"/>
      <c r="N120" s="32"/>
      <c r="O120" s="801">
        <v>0.2</v>
      </c>
      <c r="P120" s="802"/>
      <c r="Q120" s="803"/>
      <c r="R120" s="61">
        <v>1</v>
      </c>
      <c r="S120" s="32"/>
      <c r="T120" s="46" t="s">
        <v>163</v>
      </c>
    </row>
    <row r="121" spans="1:21" ht="15.75" thickBot="1">
      <c r="A121" s="792" t="s">
        <v>230</v>
      </c>
      <c r="B121" s="793"/>
      <c r="C121" s="793"/>
      <c r="D121" s="793"/>
      <c r="E121" s="793"/>
      <c r="F121" s="793"/>
      <c r="G121" s="793"/>
      <c r="H121" s="794"/>
      <c r="I121" s="882" t="s">
        <v>255</v>
      </c>
      <c r="M121" s="792" t="s">
        <v>229</v>
      </c>
      <c r="N121" s="793"/>
      <c r="O121" s="793"/>
      <c r="P121" s="793"/>
      <c r="Q121" s="793"/>
      <c r="R121" s="793"/>
      <c r="S121" s="793"/>
      <c r="T121" s="794"/>
      <c r="U121" s="882" t="s">
        <v>255</v>
      </c>
    </row>
    <row r="122" spans="1:21" ht="15.75" thickBot="1">
      <c r="A122" s="36" t="s">
        <v>116</v>
      </c>
      <c r="B122" s="36" t="s">
        <v>117</v>
      </c>
      <c r="C122" s="36" t="s">
        <v>162</v>
      </c>
      <c r="D122" s="36" t="s">
        <v>119</v>
      </c>
      <c r="E122" s="36" t="s">
        <v>120</v>
      </c>
      <c r="F122" s="36" t="s">
        <v>118</v>
      </c>
      <c r="G122" s="36" t="s">
        <v>121</v>
      </c>
      <c r="H122" s="36" t="s">
        <v>122</v>
      </c>
      <c r="I122" s="883"/>
      <c r="M122" s="36" t="s">
        <v>116</v>
      </c>
      <c r="N122" s="36" t="s">
        <v>117</v>
      </c>
      <c r="O122" s="36" t="s">
        <v>162</v>
      </c>
      <c r="P122" s="36" t="s">
        <v>119</v>
      </c>
      <c r="Q122" s="36" t="s">
        <v>120</v>
      </c>
      <c r="R122" s="36" t="s">
        <v>118</v>
      </c>
      <c r="S122" s="36" t="s">
        <v>121</v>
      </c>
      <c r="T122" s="36" t="s">
        <v>122</v>
      </c>
      <c r="U122" s="883"/>
    </row>
    <row r="123" spans="1:21" ht="15.75" thickBot="1">
      <c r="A123" s="795"/>
      <c r="B123" s="796"/>
      <c r="C123" s="796"/>
      <c r="D123" s="796"/>
      <c r="E123" s="796"/>
      <c r="F123" s="796"/>
      <c r="G123" s="796"/>
      <c r="H123" s="797"/>
      <c r="I123" s="883"/>
      <c r="M123" s="795"/>
      <c r="N123" s="796"/>
      <c r="O123" s="796"/>
      <c r="P123" s="796"/>
      <c r="Q123" s="796"/>
      <c r="R123" s="796"/>
      <c r="S123" s="796"/>
      <c r="T123" s="797"/>
      <c r="U123" s="883"/>
    </row>
    <row r="124" spans="1:21" ht="15.75" thickBot="1">
      <c r="A124" s="65">
        <v>0.6</v>
      </c>
      <c r="B124" s="66">
        <v>2</v>
      </c>
      <c r="C124" s="58">
        <f>((((A124*1)+(B124*2))*MATERIALES!$C$26)+((A124*3)*MATERIALES!$C$28)+((B124*2)*MATERIALES!$C$27)+(((A124-0.2)*MATERIALES!$C$30)*((B124-0.36)/0.12))+(((A124*2)+(0.6*2))*MATERIALES!$C$31)+((A124+0.6)*MATERIALES!$C$32))*MATERIALES!$F$2</f>
        <v>9603.7031999999981</v>
      </c>
      <c r="D124" s="58">
        <f>(2*MATERIALES!$C$146)+(16*MATERIALES!$C$158)+(16*MATERIALES!$C$159)+((8*2)*MATERIALES!$C$145)+(3*MATERIALES!$C$160)+(((B124*2)+(A124*1))*MATERIALES!$C$149)+(((A124*4)+(0.6*4))*MATERIALES!$C$166)+(0.5*MATERIALES!$C$52)+(((A124*2)+(B124*2))*MATERIALES!$C$165)+(1*MATERIALES!$C$162)+(((A124*5)*2)*MATERIALES!$C$147)+(4*MATERIALES!$C$148)</f>
        <v>1964.05386</v>
      </c>
      <c r="E124" s="74"/>
      <c r="F124" s="54">
        <f>(A124*0.6)*MATERIALES!$D$82</f>
        <v>190.79999999999998</v>
      </c>
      <c r="G124" s="58">
        <f>SUM(C124:F124)</f>
        <v>11758.557059999997</v>
      </c>
      <c r="H124" s="67">
        <f>((SUM(C124:E124)*1.3)+(F124*2))</f>
        <v>15419.684177999998</v>
      </c>
      <c r="I124" s="787"/>
      <c r="M124" s="65">
        <v>0.6</v>
      </c>
      <c r="N124" s="66">
        <v>2</v>
      </c>
      <c r="O124" s="58">
        <f>((((M124*1)+(N124*2))*MATERIALES!$C$26)+((M124*3)*MATERIALES!$C$28)+((N124*2)*MATERIALES!$C$27)+(((M124-0.2)*MATERIALES!$C$30)*((N124/2)/0.12))+(((M124*2)+((N124/2)*2))*MATERIALES!$C$31)+((M124+(N124/2))*MATERIALES!$C$32))*MATERIALES!$F$2</f>
        <v>8444.1739200000011</v>
      </c>
      <c r="P124" s="58">
        <f>(2*MATERIALES!$C$146)+(16*MATERIALES!$C$158)+(16*MATERIALES!$C$159)+((8*2)*MATERIALES!$C$145)+(3*MATERIALES!$C$160)+(((N124*2)+(M124*1))*MATERIALES!$C$149)+(((M124*2)+((N124/2)*2))*MATERIALES!$C$165)+(1*MATERIALES!$C$162)+(0.5*MATERIALES!$C$167)+(((M124*5)*2)*MATERIALES!$C$147)+(4*MATERIALES!$C$148)</f>
        <v>1967.1766399999999</v>
      </c>
      <c r="Q124" s="74"/>
      <c r="R124" s="54">
        <f>(M124*(N124/2))*MATERIALES!$D$82</f>
        <v>318</v>
      </c>
      <c r="S124" s="58">
        <f>SUM(O124:R124)</f>
        <v>10729.350560000001</v>
      </c>
      <c r="T124" s="67">
        <f>(SUM(O124:Q124)*1.3)+(R124*2)</f>
        <v>14170.755728000002</v>
      </c>
      <c r="U124" s="787"/>
    </row>
    <row r="125" spans="1:21" ht="15.75" thickBot="1">
      <c r="A125" s="68">
        <v>0.7</v>
      </c>
      <c r="B125" s="69">
        <v>2</v>
      </c>
      <c r="C125" s="59">
        <f>((((A125*1)+(B125*2))*MATERIALES!$C$26)+((A125*3)*MATERIALES!$C$28)+((B125*2)*MATERIALES!$C$27)+(((A125-0.2)*MATERIALES!$C$30)*((B125-0.36)/0.12))+(((A125*2)+(0.6*2))*MATERIALES!$C$31)+((A125+0.6)*MATERIALES!$C$32))*MATERIALES!$F$2</f>
        <v>10773.803040000003</v>
      </c>
      <c r="D125" s="59">
        <f>(2*MATERIALES!$C$146)+(16*MATERIALES!$C$158)+(16*MATERIALES!$C$159)+((8*2)*MATERIALES!$C$145)+(3*MATERIALES!$C$160)+(((B125*2)+(A125*1))*MATERIALES!$C$149)+(((A125*4)+(0.6*4))*MATERIALES!$C$166)+(0.5*MATERIALES!$C$52)+(((A125*2)+(B125*2))*MATERIALES!$C$165)+(1*MATERIALES!$C$162)+(((A125*5)*2)*MATERIALES!$C$147)+(4*MATERIALES!$C$148)</f>
        <v>1977.1110600000002</v>
      </c>
      <c r="E125" s="75"/>
      <c r="F125" s="55">
        <f>(A125*0.6)*MATERIALES!$D$82</f>
        <v>222.6</v>
      </c>
      <c r="G125" s="59">
        <f t="shared" ref="G125:G131" si="32">SUM(C125:F125)</f>
        <v>12973.514100000002</v>
      </c>
      <c r="H125" s="67">
        <f t="shared" ref="H125:H131" si="33">((SUM(C125:E125)*1.3)+(F125*2))</f>
        <v>17021.388330000005</v>
      </c>
      <c r="I125" s="787"/>
      <c r="M125" s="68">
        <v>0.7</v>
      </c>
      <c r="N125" s="69">
        <v>2</v>
      </c>
      <c r="O125" s="59">
        <f>((((M125*1)+(N125*2))*MATERIALES!$C$26)+((M125*3)*MATERIALES!$C$28)+((N125*2)*MATERIALES!$C$27)+(((M125-0.2)*MATERIALES!$C$30)*((N125/2)/0.12))+(((M125*2)+((N125/2)*2))*MATERIALES!$C$31)+((M125+(N125/2))*MATERIALES!$C$32))*MATERIALES!$F$2</f>
        <v>9269.0270400000009</v>
      </c>
      <c r="P125" s="59">
        <f>(2*MATERIALES!$C$146)+(16*MATERIALES!$C$158)+(16*MATERIALES!$C$159)+((8*2)*MATERIALES!$C$145)+(3*MATERIALES!$C$160)+(((N125*2)+(M125*1))*MATERIALES!$C$149)+(((M125*2)+((N125/2)*2))*MATERIALES!$C$165)+(1*MATERIALES!$C$162)+(0.5*MATERIALES!$C$167)+(((M125*5)*2)*MATERIALES!$C$147)+(4*MATERIALES!$C$148)</f>
        <v>1972.7000800000001</v>
      </c>
      <c r="Q125" s="75"/>
      <c r="R125" s="55">
        <f>(M125*(N125/2))*MATERIALES!$D$82</f>
        <v>371</v>
      </c>
      <c r="S125" s="59">
        <f t="shared" ref="S125:S131" si="34">SUM(O125:R125)</f>
        <v>11612.727120000001</v>
      </c>
      <c r="T125" s="67">
        <f t="shared" ref="T125:T131" si="35">(SUM(O125:Q125)*1.3)+(R125*2)</f>
        <v>15356.245256000002</v>
      </c>
      <c r="U125" s="787"/>
    </row>
    <row r="126" spans="1:21" ht="15.75" thickBot="1">
      <c r="A126" s="68">
        <v>0.8</v>
      </c>
      <c r="B126" s="69">
        <v>2</v>
      </c>
      <c r="C126" s="59">
        <f>((((A126*1)+(B126*2))*MATERIALES!$C$26)+((A126*3)*MATERIALES!$C$28)+((B126*2)*MATERIALES!$C$27)+(((A126-0.2)*MATERIALES!$C$30)*((B126-0.36)/0.12))+(((A126*2)+(0.6*2))*MATERIALES!$C$31)+((A126+0.6)*MATERIALES!$C$32))*MATERIALES!$F$2</f>
        <v>11943.902880000001</v>
      </c>
      <c r="D126" s="59">
        <f>(2*MATERIALES!$C$146)+(16*MATERIALES!$C$158)+(16*MATERIALES!$C$159)+((8*2)*MATERIALES!$C$145)+(3*MATERIALES!$C$160)+(((B126*2)+(A126*1))*MATERIALES!$C$149)+(((A126*4)+(0.6*4))*MATERIALES!$C$166)+(0.5*MATERIALES!$C$52)+(((A126*2)+(B126*2))*MATERIALES!$C$165)+(1*MATERIALES!$C$162)+(((A126*5)*2)*MATERIALES!$C$147)+(4*MATERIALES!$C$148)</f>
        <v>1990.1682599999999</v>
      </c>
      <c r="E126" s="75"/>
      <c r="F126" s="55">
        <f>(A126*0.6)*MATERIALES!$D$82</f>
        <v>254.39999999999998</v>
      </c>
      <c r="G126" s="59">
        <f t="shared" si="32"/>
        <v>14188.471140000001</v>
      </c>
      <c r="H126" s="67">
        <f t="shared" si="33"/>
        <v>18623.092482000004</v>
      </c>
      <c r="I126" s="787"/>
      <c r="M126" s="68">
        <v>0.8</v>
      </c>
      <c r="N126" s="69">
        <v>2</v>
      </c>
      <c r="O126" s="59">
        <f>((((M126*1)+(N126*2))*MATERIALES!$C$26)+((M126*3)*MATERIALES!$C$28)+((N126*2)*MATERIALES!$C$27)+(((M126-0.2)*MATERIALES!$C$30)*((N126/2)/0.12))+(((M126*2)+((N126/2)*2))*MATERIALES!$C$31)+((M126+(N126/2))*MATERIALES!$C$32))*MATERIALES!$F$2</f>
        <v>10093.880160000002</v>
      </c>
      <c r="P126" s="59">
        <f>(2*MATERIALES!$C$146)+(16*MATERIALES!$C$158)+(16*MATERIALES!$C$159)+((8*2)*MATERIALES!$C$145)+(3*MATERIALES!$C$160)+(((N126*2)+(M126*1))*MATERIALES!$C$149)+(((M126*2)+((N126/2)*2))*MATERIALES!$C$165)+(1*MATERIALES!$C$162)+(0.5*MATERIALES!$C$167)+(((M126*5)*2)*MATERIALES!$C$147)+(4*MATERIALES!$C$148)</f>
        <v>1978.22352</v>
      </c>
      <c r="Q126" s="75"/>
      <c r="R126" s="55">
        <f>(M126*(N126/2))*MATERIALES!$D$82</f>
        <v>424</v>
      </c>
      <c r="S126" s="59">
        <f t="shared" si="34"/>
        <v>12496.103680000002</v>
      </c>
      <c r="T126" s="67">
        <f t="shared" si="35"/>
        <v>16541.734784000004</v>
      </c>
      <c r="U126" s="787"/>
    </row>
    <row r="127" spans="1:21" ht="15" customHeight="1" thickBot="1">
      <c r="A127" s="68">
        <v>0.9</v>
      </c>
      <c r="B127" s="69">
        <v>2</v>
      </c>
      <c r="C127" s="59">
        <f>((((A127*1)+(B127*2))*MATERIALES!$C$26)+((A127*3)*MATERIALES!$C$28)+((B127*2)*MATERIALES!$C$27)+(((A127-0.2)*MATERIALES!$C$30)*((B127-0.36)/0.12))+(((A127*2)+(0.6*2))*MATERIALES!$C$31)+((A127+0.6)*MATERIALES!$C$32))*MATERIALES!$F$2</f>
        <v>13114.00272</v>
      </c>
      <c r="D127" s="59">
        <f>(2*MATERIALES!$C$146)+(16*MATERIALES!$C$158)+(16*MATERIALES!$C$159)+((8*2)*MATERIALES!$C$145)+(3*MATERIALES!$C$160)+(((B127*2)+(A127*1))*MATERIALES!$C$149)+(((A127*4)+(0.6*4))*MATERIALES!$C$166)+(0.5*MATERIALES!$C$52)+(((A127*2)+(B127*2))*MATERIALES!$C$165)+(1*MATERIALES!$C$162)+(((A127*5)*2)*MATERIALES!$C$147)+(4*MATERIALES!$C$148)</f>
        <v>2003.2254600000001</v>
      </c>
      <c r="E127" s="75"/>
      <c r="F127" s="55">
        <f>(A127*0.6)*MATERIALES!$D$82</f>
        <v>286.20000000000005</v>
      </c>
      <c r="G127" s="59">
        <f t="shared" si="32"/>
        <v>15403.428180000001</v>
      </c>
      <c r="H127" s="67">
        <f t="shared" si="33"/>
        <v>20224.796634000002</v>
      </c>
      <c r="I127" s="787"/>
      <c r="M127" s="68">
        <v>0.9</v>
      </c>
      <c r="N127" s="69">
        <v>2</v>
      </c>
      <c r="O127" s="59">
        <f>((((M127*1)+(N127*2))*MATERIALES!$C$26)+((M127*3)*MATERIALES!$C$28)+((N127*2)*MATERIALES!$C$27)+(((M127-0.2)*MATERIALES!$C$30)*((N127/2)/0.12))+(((M127*2)+((N127/2)*2))*MATERIALES!$C$31)+((M127+(N127/2))*MATERIALES!$C$32))*MATERIALES!$F$2</f>
        <v>10918.733279999999</v>
      </c>
      <c r="P127" s="59">
        <f>(2*MATERIALES!$C$146)+(16*MATERIALES!$C$158)+(16*MATERIALES!$C$159)+((8*2)*MATERIALES!$C$145)+(3*MATERIALES!$C$160)+(((N127*2)+(M127*1))*MATERIALES!$C$149)+(((M127*2)+((N127/2)*2))*MATERIALES!$C$165)+(1*MATERIALES!$C$162)+(0.5*MATERIALES!$C$167)+(((M127*5)*2)*MATERIALES!$C$147)+(4*MATERIALES!$C$148)</f>
        <v>1983.7469599999999</v>
      </c>
      <c r="Q127" s="75"/>
      <c r="R127" s="55">
        <f>(M127*(N127/2))*MATERIALES!$D$82</f>
        <v>477</v>
      </c>
      <c r="S127" s="59">
        <f t="shared" si="34"/>
        <v>13379.480239999999</v>
      </c>
      <c r="T127" s="67">
        <f t="shared" si="35"/>
        <v>17727.224311999998</v>
      </c>
      <c r="U127" s="787"/>
    </row>
    <row r="128" spans="1:21" ht="15.75" thickBot="1">
      <c r="A128" s="68">
        <v>0.6</v>
      </c>
      <c r="B128" s="69">
        <v>2.1</v>
      </c>
      <c r="C128" s="59">
        <f>((((A128*1)+(B128*2))*MATERIALES!$C$26)+((A128*3)*MATERIALES!$C$28)+((B128*2)*MATERIALES!$C$27)+(((A128-0.2)*MATERIALES!$C$30)*((B128-0.36)/0.12))+(((A128*2)+(0.6*2))*MATERIALES!$C$31)+((A128+0.6)*MATERIALES!$C$32))*MATERIALES!$F$2</f>
        <v>10020.49776</v>
      </c>
      <c r="D128" s="59">
        <f>(2*MATERIALES!$C$146)+(16*MATERIALES!$C$158)+(16*MATERIALES!$C$159)+((8*2)*MATERIALES!$C$145)+(3*MATERIALES!$C$160)+(((B128*2)+(A128*1))*MATERIALES!$C$149)+(((A128*4)+(0.6*4))*MATERIALES!$C$166)+(0.5*MATERIALES!$C$52)+(((A128*2)+(B128*2))*MATERIALES!$C$165)+(1*MATERIALES!$C$162)+(((A128*5)*2)*MATERIALES!$C$147)+(4*MATERIALES!$C$148)</f>
        <v>1970.83258</v>
      </c>
      <c r="E128" s="75"/>
      <c r="F128" s="55">
        <f>(A128*0.6)*MATERIALES!$D$82</f>
        <v>190.79999999999998</v>
      </c>
      <c r="G128" s="59">
        <f t="shared" si="32"/>
        <v>12182.13034</v>
      </c>
      <c r="H128" s="67">
        <f t="shared" si="33"/>
        <v>15970.329442000002</v>
      </c>
      <c r="I128" s="787"/>
      <c r="M128" s="68">
        <v>0.6</v>
      </c>
      <c r="N128" s="69">
        <v>2.1</v>
      </c>
      <c r="O128" s="59">
        <f>((((M128*1)+(N128*2))*MATERIALES!$C$26)+((M128*3)*MATERIALES!$C$28)+((N128*2)*MATERIALES!$C$27)+(((M128-0.2)*MATERIALES!$C$30)*((N128/2)/0.12))+(((M128*2)+((N128/2)*2))*MATERIALES!$C$31)+((M128+(N128/2))*MATERIALES!$C$32))*MATERIALES!$F$2</f>
        <v>8780.7610800000002</v>
      </c>
      <c r="P128" s="59">
        <f>(2*MATERIALES!$C$146)+(16*MATERIALES!$C$158)+(16*MATERIALES!$C$159)+((8*2)*MATERIALES!$C$145)+(3*MATERIALES!$C$160)+(((N128*2)+(M128*1))*MATERIALES!$C$149)+(((M128*2)+((N128/2)*2))*MATERIALES!$C$165)+(1*MATERIALES!$C$162)+(0.5*MATERIALES!$C$167)+(((M128*5)*2)*MATERIALES!$C$147)+(4*MATERIALES!$C$148)</f>
        <v>1971.8212799999999</v>
      </c>
      <c r="Q128" s="75"/>
      <c r="R128" s="55">
        <f>(M128*(N128/2))*MATERIALES!$D$82</f>
        <v>333.9</v>
      </c>
      <c r="S128" s="59">
        <f t="shared" si="34"/>
        <v>11086.48236</v>
      </c>
      <c r="T128" s="67">
        <f t="shared" si="35"/>
        <v>14646.157068</v>
      </c>
      <c r="U128" s="787"/>
    </row>
    <row r="129" spans="1:21" ht="15.75" thickBot="1">
      <c r="A129" s="68">
        <v>0.7</v>
      </c>
      <c r="B129" s="69">
        <v>2.1</v>
      </c>
      <c r="C129" s="59">
        <f>((((A129*1)+(B129*2))*MATERIALES!$C$26)+((A129*3)*MATERIALES!$C$28)+((B129*2)*MATERIALES!$C$27)+(((A129-0.2)*MATERIALES!$C$30)*((B129-0.36)/0.12))+(((A129*2)+(0.6*2))*MATERIALES!$C$31)+((A129+0.6)*MATERIALES!$C$32))*MATERIALES!$F$2</f>
        <v>11244.5424</v>
      </c>
      <c r="D129" s="59">
        <f>(2*MATERIALES!$C$146)+(16*MATERIALES!$C$158)+(16*MATERIALES!$C$159)+((8*2)*MATERIALES!$C$145)+(3*MATERIALES!$C$160)+(((B129*2)+(A129*1))*MATERIALES!$C$149)+(((A129*4)+(0.6*4))*MATERIALES!$C$166)+(0.5*MATERIALES!$C$52)+(((A129*2)+(B129*2))*MATERIALES!$C$165)+(1*MATERIALES!$C$162)+(((A129*5)*2)*MATERIALES!$C$147)+(4*MATERIALES!$C$148)</f>
        <v>1983.88978</v>
      </c>
      <c r="E129" s="75"/>
      <c r="F129" s="55">
        <f>(A129*0.6)*MATERIALES!$D$82</f>
        <v>222.6</v>
      </c>
      <c r="G129" s="59">
        <f t="shared" si="32"/>
        <v>13451.03218</v>
      </c>
      <c r="H129" s="67">
        <f t="shared" si="33"/>
        <v>17642.161834000002</v>
      </c>
      <c r="I129" s="787"/>
      <c r="M129" s="68">
        <v>0.7</v>
      </c>
      <c r="N129" s="69">
        <v>2.1</v>
      </c>
      <c r="O129" s="59">
        <f>((((M129*1)+(N129*2))*MATERIALES!$C$26)+((M129*3)*MATERIALES!$C$28)+((N129*2)*MATERIALES!$C$27)+(((M129-0.2)*MATERIALES!$C$30)*((N129/2)/0.12))+(((M129*2)+((N129/2)*2))*MATERIALES!$C$31)+((M129+(N129/2))*MATERIALES!$C$32))*MATERIALES!$F$2</f>
        <v>9632.5866000000005</v>
      </c>
      <c r="P129" s="59">
        <f>(2*MATERIALES!$C$146)+(16*MATERIALES!$C$158)+(16*MATERIALES!$C$159)+((8*2)*MATERIALES!$C$145)+(3*MATERIALES!$C$160)+(((N129*2)+(M129*1))*MATERIALES!$C$149)+(((M129*2)+((N129/2)*2))*MATERIALES!$C$165)+(1*MATERIALES!$C$162)+(0.5*MATERIALES!$C$167)+(((M129*5)*2)*MATERIALES!$C$147)+(4*MATERIALES!$C$148)</f>
        <v>1977.3447200000001</v>
      </c>
      <c r="Q129" s="75"/>
      <c r="R129" s="55">
        <f>(M129*(N129/2))*MATERIALES!$D$82</f>
        <v>389.55</v>
      </c>
      <c r="S129" s="59">
        <f t="shared" si="34"/>
        <v>11999.481319999999</v>
      </c>
      <c r="T129" s="67">
        <f t="shared" si="35"/>
        <v>15872.010716000001</v>
      </c>
      <c r="U129" s="787"/>
    </row>
    <row r="130" spans="1:21" ht="15.75" thickBot="1">
      <c r="A130" s="68">
        <v>0.8</v>
      </c>
      <c r="B130" s="69">
        <v>2.1</v>
      </c>
      <c r="C130" s="59">
        <f>((((A130*1)+(B130*2))*MATERIALES!$C$26)+((A130*3)*MATERIALES!$C$28)+((B130*2)*MATERIALES!$C$27)+(((A130-0.2)*MATERIALES!$C$30)*((B130-0.36)/0.12))+(((A130*2)+(0.6*2))*MATERIALES!$C$31)+((A130+0.6)*MATERIALES!$C$32))*MATERIALES!$F$2</f>
        <v>12468.587040000004</v>
      </c>
      <c r="D130" s="59">
        <f>(2*MATERIALES!$C$146)+(16*MATERIALES!$C$158)+(16*MATERIALES!$C$159)+((8*2)*MATERIALES!$C$145)+(3*MATERIALES!$C$160)+(((B130*2)+(A130*1))*MATERIALES!$C$149)+(((A130*4)+(0.6*4))*MATERIALES!$C$166)+(0.5*MATERIALES!$C$52)+(((A130*2)+(B130*2))*MATERIALES!$C$165)+(1*MATERIALES!$C$162)+(((A130*5)*2)*MATERIALES!$C$147)+(4*MATERIALES!$C$148)</f>
        <v>1996.9469800000002</v>
      </c>
      <c r="E130" s="75"/>
      <c r="F130" s="55">
        <f>(A130*0.6)*MATERIALES!$D$82</f>
        <v>254.39999999999998</v>
      </c>
      <c r="G130" s="59">
        <f t="shared" si="32"/>
        <v>14719.934020000004</v>
      </c>
      <c r="H130" s="67">
        <f t="shared" si="33"/>
        <v>19313.994226000006</v>
      </c>
      <c r="I130" s="787"/>
      <c r="M130" s="68">
        <v>0.8</v>
      </c>
      <c r="N130" s="69">
        <v>2.1</v>
      </c>
      <c r="O130" s="59">
        <f>((((M130*1)+(N130*2))*MATERIALES!$C$26)+((M130*3)*MATERIALES!$C$28)+((N130*2)*MATERIALES!$C$27)+(((M130-0.2)*MATERIALES!$C$30)*((N130/2)/0.12))+(((M130*2)+((N130/2)*2))*MATERIALES!$C$31)+((M130+(N130/2))*MATERIALES!$C$32))*MATERIALES!$F$2</f>
        <v>10484.412120000005</v>
      </c>
      <c r="P130" s="59">
        <f>(2*MATERIALES!$C$146)+(16*MATERIALES!$C$158)+(16*MATERIALES!$C$159)+((8*2)*MATERIALES!$C$145)+(3*MATERIALES!$C$160)+(((N130*2)+(M130*1))*MATERIALES!$C$149)+(((M130*2)+((N130/2)*2))*MATERIALES!$C$165)+(1*MATERIALES!$C$162)+(0.5*MATERIALES!$C$167)+(((M130*5)*2)*MATERIALES!$C$147)+(4*MATERIALES!$C$148)</f>
        <v>1982.86816</v>
      </c>
      <c r="Q130" s="75"/>
      <c r="R130" s="55">
        <f>(M130*(N130/2))*MATERIALES!$D$82</f>
        <v>445.20000000000005</v>
      </c>
      <c r="S130" s="59">
        <f t="shared" si="34"/>
        <v>12912.480280000005</v>
      </c>
      <c r="T130" s="67">
        <f t="shared" si="35"/>
        <v>17097.864364000008</v>
      </c>
      <c r="U130" s="787"/>
    </row>
    <row r="131" spans="1:21" ht="15.75" thickBot="1">
      <c r="A131" s="71">
        <v>0.9</v>
      </c>
      <c r="B131" s="72">
        <v>2.1</v>
      </c>
      <c r="C131" s="60">
        <f>((((A131*1)+(B131*2))*MATERIALES!$C$26)+((A131*3)*MATERIALES!$C$28)+((B131*2)*MATERIALES!$C$27)+(((A131-0.2)*MATERIALES!$C$30)*((B131-0.36)/0.12))+(((A131*2)+(0.6*2))*MATERIALES!$C$31)+((A131+0.6)*MATERIALES!$C$32))*MATERIALES!$F$2</f>
        <v>13692.631680000002</v>
      </c>
      <c r="D131" s="60">
        <f>(2*MATERIALES!$C$146)+(16*MATERIALES!$C$158)+(16*MATERIALES!$C$159)+((8*2)*MATERIALES!$C$145)+(3*MATERIALES!$C$160)+(((B131*2)+(A131*1))*MATERIALES!$C$149)+(((A131*4)+(0.6*4))*MATERIALES!$C$166)+(0.5*MATERIALES!$C$52)+(((A131*2)+(B131*2))*MATERIALES!$C$165)+(1*MATERIALES!$C$162)+(((A131*5)*2)*MATERIALES!$C$147)+(4*MATERIALES!$C$148)</f>
        <v>2010.0041800000001</v>
      </c>
      <c r="E131" s="76"/>
      <c r="F131" s="56">
        <f>(A131*0.6)*MATERIALES!$D$82</f>
        <v>286.20000000000005</v>
      </c>
      <c r="G131" s="60">
        <f t="shared" si="32"/>
        <v>15988.835860000003</v>
      </c>
      <c r="H131" s="67">
        <f t="shared" si="33"/>
        <v>20985.826618000006</v>
      </c>
      <c r="I131" s="788"/>
      <c r="M131" s="71">
        <v>0.9</v>
      </c>
      <c r="N131" s="72">
        <v>2.1</v>
      </c>
      <c r="O131" s="60">
        <f>((((M131*1)+(N131*2))*MATERIALES!$C$26)+((M131*3)*MATERIALES!$C$28)+((N131*2)*MATERIALES!$C$27)+(((M131-0.2)*MATERIALES!$C$30)*((N131/2)/0.12))+(((M131*2)+((N131/2)*2))*MATERIALES!$C$31)+((M131+(N131/2))*MATERIALES!$C$32))*MATERIALES!$F$2</f>
        <v>11336.237640000001</v>
      </c>
      <c r="P131" s="60">
        <f>(2*MATERIALES!$C$146)+(16*MATERIALES!$C$158)+(16*MATERIALES!$C$159)+((8*2)*MATERIALES!$C$145)+(3*MATERIALES!$C$160)+(((N131*2)+(M131*1))*MATERIALES!$C$149)+(((M131*2)+((N131/2)*2))*MATERIALES!$C$165)+(1*MATERIALES!$C$162)+(0.5*MATERIALES!$C$167)+(((M131*5)*2)*MATERIALES!$C$147)+(4*MATERIALES!$C$148)</f>
        <v>1988.3915999999999</v>
      </c>
      <c r="Q131" s="76"/>
      <c r="R131" s="56">
        <f>(M131*(N131/2))*MATERIALES!$D$82</f>
        <v>500.85</v>
      </c>
      <c r="S131" s="60">
        <f t="shared" si="34"/>
        <v>13825.479240000002</v>
      </c>
      <c r="T131" s="67">
        <f t="shared" si="35"/>
        <v>18323.718012000005</v>
      </c>
      <c r="U131" s="788"/>
    </row>
    <row r="132" spans="1:21">
      <c r="U132" s="95"/>
    </row>
  </sheetData>
  <mergeCells count="65">
    <mergeCell ref="Y48:AB48"/>
    <mergeCell ref="Y49:AA49"/>
    <mergeCell ref="W50:AD50"/>
    <mergeCell ref="W52:AD52"/>
    <mergeCell ref="U93:U103"/>
    <mergeCell ref="A123:H123"/>
    <mergeCell ref="C106:E106"/>
    <mergeCell ref="A107:H107"/>
    <mergeCell ref="A109:H109"/>
    <mergeCell ref="U121:U131"/>
    <mergeCell ref="I121:I131"/>
    <mergeCell ref="U107:U117"/>
    <mergeCell ref="M123:T123"/>
    <mergeCell ref="M107:T107"/>
    <mergeCell ref="M109:T109"/>
    <mergeCell ref="O120:Q120"/>
    <mergeCell ref="M121:T121"/>
    <mergeCell ref="O106:Q106"/>
    <mergeCell ref="M81:T81"/>
    <mergeCell ref="O92:R92"/>
    <mergeCell ref="M93:T93"/>
    <mergeCell ref="C120:E120"/>
    <mergeCell ref="A121:H121"/>
    <mergeCell ref="A81:H81"/>
    <mergeCell ref="A93:H93"/>
    <mergeCell ref="A95:H95"/>
    <mergeCell ref="M95:T95"/>
    <mergeCell ref="C78:E78"/>
    <mergeCell ref="C92:E92"/>
    <mergeCell ref="C63:E63"/>
    <mergeCell ref="A64:H64"/>
    <mergeCell ref="A66:H66"/>
    <mergeCell ref="A79:H79"/>
    <mergeCell ref="O63:Q63"/>
    <mergeCell ref="M64:T64"/>
    <mergeCell ref="M66:T66"/>
    <mergeCell ref="O78:Q78"/>
    <mergeCell ref="M79:T79"/>
    <mergeCell ref="M24:T24"/>
    <mergeCell ref="O35:Q35"/>
    <mergeCell ref="M52:T52"/>
    <mergeCell ref="A52:H52"/>
    <mergeCell ref="A38:H38"/>
    <mergeCell ref="M36:T36"/>
    <mergeCell ref="A24:H24"/>
    <mergeCell ref="C35:E35"/>
    <mergeCell ref="A36:H36"/>
    <mergeCell ref="C48:F48"/>
    <mergeCell ref="M38:T38"/>
    <mergeCell ref="C49:E49"/>
    <mergeCell ref="A50:H50"/>
    <mergeCell ref="O49:R49"/>
    <mergeCell ref="M50:T50"/>
    <mergeCell ref="O48:R48"/>
    <mergeCell ref="AT1:AT13"/>
    <mergeCell ref="C3:E3"/>
    <mergeCell ref="C19:E19"/>
    <mergeCell ref="A20:H20"/>
    <mergeCell ref="O3:R3"/>
    <mergeCell ref="O19:Q19"/>
    <mergeCell ref="M20:T20"/>
    <mergeCell ref="M4:T4"/>
    <mergeCell ref="M6:T6"/>
    <mergeCell ref="A4:H4"/>
    <mergeCell ref="A6:H6"/>
  </mergeCells>
  <pageMargins left="0.59055118110236227" right="0.59055118110236227" top="0" bottom="0" header="0.31496062992125984" footer="0.31496062992125984"/>
  <pageSetup scale="94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260"/>
  <sheetViews>
    <sheetView topLeftCell="Z210" workbookViewId="0">
      <selection activeCell="T41" sqref="T41"/>
    </sheetView>
  </sheetViews>
  <sheetFormatPr baseColWidth="10" defaultRowHeight="15"/>
  <cols>
    <col min="1" max="1" width="7.140625" style="32" hidden="1" customWidth="1"/>
    <col min="2" max="2" width="4.85546875" style="32" hidden="1" customWidth="1"/>
    <col min="3" max="4" width="11.28515625" style="32" hidden="1" customWidth="1"/>
    <col min="5" max="5" width="8.42578125" style="32" hidden="1" customWidth="1"/>
    <col min="6" max="6" width="12" style="32" hidden="1" customWidth="1"/>
    <col min="7" max="7" width="11.28515625" style="32" hidden="1" customWidth="1"/>
    <col min="8" max="8" width="11.28515625" style="2" hidden="1" customWidth="1"/>
    <col min="9" max="11" width="12.28515625" hidden="1" customWidth="1"/>
    <col min="12" max="12" width="11.28515625" hidden="1" customWidth="1"/>
    <col min="13" max="13" width="13" hidden="1" customWidth="1"/>
    <col min="14" max="14" width="29.7109375" style="32" hidden="1" customWidth="1"/>
    <col min="15" max="15" width="11.28515625" style="32" hidden="1" customWidth="1"/>
    <col min="16" max="16" width="10.5703125" style="32" hidden="1" customWidth="1"/>
    <col min="17" max="17" width="11.28515625" style="32" hidden="1" customWidth="1"/>
    <col min="18" max="18" width="12" style="32" hidden="1" customWidth="1"/>
    <col min="19" max="20" width="11.28515625" style="32" hidden="1" customWidth="1"/>
    <col min="21" max="21" width="11.28515625" style="2" hidden="1" customWidth="1"/>
    <col min="22" max="22" width="11.28515625" hidden="1" customWidth="1"/>
    <col min="23" max="25" width="12.28515625" hidden="1" customWidth="1"/>
    <col min="27" max="27" width="16.5703125" bestFit="1" customWidth="1"/>
    <col min="28" max="30" width="15.42578125" customWidth="1"/>
    <col min="31" max="31" width="15" customWidth="1"/>
    <col min="32" max="32" width="15.42578125" customWidth="1"/>
    <col min="33" max="33" width="7.28515625" customWidth="1"/>
    <col min="34" max="34" width="5.5703125" customWidth="1"/>
  </cols>
  <sheetData>
    <row r="1" spans="1:30" ht="15.75" hidden="1" thickBot="1"/>
    <row r="2" spans="1:30" ht="15.75" hidden="1" thickBot="1">
      <c r="C2" s="789">
        <v>0.3</v>
      </c>
      <c r="D2" s="790"/>
      <c r="E2" s="791"/>
      <c r="F2" s="801">
        <v>1</v>
      </c>
      <c r="G2" s="803"/>
      <c r="H2" s="115">
        <v>0.5</v>
      </c>
      <c r="I2" s="62" t="s">
        <v>163</v>
      </c>
      <c r="N2" s="117"/>
      <c r="O2" s="117"/>
      <c r="Q2" s="801">
        <v>0.3</v>
      </c>
      <c r="R2" s="802"/>
      <c r="S2" s="803"/>
      <c r="T2" s="801">
        <v>1</v>
      </c>
      <c r="U2" s="803"/>
      <c r="V2" s="115">
        <v>0.5</v>
      </c>
      <c r="W2" s="62" t="s">
        <v>163</v>
      </c>
      <c r="AC2" s="9"/>
      <c r="AD2" s="9"/>
    </row>
    <row r="3" spans="1:30" ht="15.75" hidden="1" thickBot="1">
      <c r="A3" s="792" t="s">
        <v>264</v>
      </c>
      <c r="B3" s="793"/>
      <c r="C3" s="793"/>
      <c r="D3" s="793"/>
      <c r="E3" s="793"/>
      <c r="F3" s="793"/>
      <c r="G3" s="793"/>
      <c r="H3" s="793"/>
      <c r="I3" s="793"/>
      <c r="J3" s="793"/>
      <c r="K3" s="794"/>
      <c r="L3" s="94"/>
      <c r="M3">
        <v>1.3</v>
      </c>
      <c r="N3" s="94"/>
      <c r="O3" s="792" t="s">
        <v>265</v>
      </c>
      <c r="P3" s="793"/>
      <c r="Q3" s="793"/>
      <c r="R3" s="793"/>
      <c r="S3" s="793"/>
      <c r="T3" s="793"/>
      <c r="U3" s="793"/>
      <c r="V3" s="793"/>
      <c r="W3" s="793"/>
      <c r="X3" s="793"/>
      <c r="Y3" s="794"/>
      <c r="Z3" s="94"/>
      <c r="AC3" s="9"/>
      <c r="AD3" s="9"/>
    </row>
    <row r="4" spans="1:30" ht="15.75" hidden="1" thickBot="1">
      <c r="A4" s="36" t="s">
        <v>116</v>
      </c>
      <c r="B4" s="36" t="s">
        <v>117</v>
      </c>
      <c r="C4" s="36" t="s">
        <v>162</v>
      </c>
      <c r="D4" s="36" t="s">
        <v>119</v>
      </c>
      <c r="E4" s="36" t="s">
        <v>120</v>
      </c>
      <c r="F4" s="36" t="s">
        <v>520</v>
      </c>
      <c r="G4" s="114" t="s">
        <v>260</v>
      </c>
      <c r="H4" s="36" t="s">
        <v>259</v>
      </c>
      <c r="I4" s="36" t="s">
        <v>521</v>
      </c>
      <c r="J4" s="116" t="s">
        <v>262</v>
      </c>
      <c r="K4" s="116" t="s">
        <v>263</v>
      </c>
      <c r="M4" s="349" t="s">
        <v>646</v>
      </c>
      <c r="N4" s="9"/>
      <c r="O4" s="36" t="s">
        <v>116</v>
      </c>
      <c r="P4" s="36" t="s">
        <v>117</v>
      </c>
      <c r="Q4" s="36" t="s">
        <v>162</v>
      </c>
      <c r="R4" s="36" t="s">
        <v>119</v>
      </c>
      <c r="S4" s="36" t="s">
        <v>120</v>
      </c>
      <c r="T4" s="36" t="s">
        <v>520</v>
      </c>
      <c r="U4" s="114" t="s">
        <v>260</v>
      </c>
      <c r="V4" s="36" t="s">
        <v>259</v>
      </c>
      <c r="W4" s="36" t="s">
        <v>521</v>
      </c>
      <c r="X4" s="116" t="s">
        <v>262</v>
      </c>
      <c r="Y4" s="116" t="s">
        <v>263</v>
      </c>
      <c r="AA4" s="9"/>
      <c r="AB4" s="9"/>
    </row>
    <row r="5" spans="1:30" ht="15.75" hidden="1" thickBot="1">
      <c r="A5" s="795"/>
      <c r="B5" s="796"/>
      <c r="C5" s="796"/>
      <c r="D5" s="796"/>
      <c r="E5" s="796"/>
      <c r="F5" s="796"/>
      <c r="G5" s="796"/>
      <c r="H5" s="796"/>
      <c r="I5" s="796"/>
      <c r="J5" s="796"/>
      <c r="K5" s="797"/>
      <c r="M5" s="348"/>
      <c r="N5" s="9"/>
      <c r="O5" s="91"/>
      <c r="P5" s="92"/>
      <c r="Q5" s="92"/>
      <c r="R5" s="92"/>
      <c r="S5" s="92"/>
      <c r="T5" s="92"/>
      <c r="U5" s="92"/>
      <c r="V5" s="92"/>
      <c r="W5" s="92"/>
      <c r="X5" s="92"/>
      <c r="Y5" s="93"/>
      <c r="AA5" s="9"/>
      <c r="AB5" s="9"/>
    </row>
    <row r="6" spans="1:30" hidden="1">
      <c r="A6" s="65">
        <v>0.6</v>
      </c>
      <c r="B6" s="66">
        <v>0.4</v>
      </c>
      <c r="C6" s="58">
        <f>(((A6*2)*MATERIALES!$C$46)+((B6*2)*MATERIALES!$C$47)+((B6*2)*MATERIALES!$C$48)+((B6*2)*MATERIALES!$C$52)+((A6*2)*MATERIALES!$C$49))*(MATERIALES!$F$2*MATERIALES!$J$15)</f>
        <v>0</v>
      </c>
      <c r="D6" s="58">
        <f>(2*MATERIALES!$C$177)+(4*MATERIALES!$C$179)+(4*MATERIALES!$C$181)+(1*MATERIALES!$C$182)+(4*MATERIALES!$C$183)+(4*MATERIALES!$C$184)+(4*MATERIALES!$C$185)+(2*MATERIALES!$C$186)+(8*MATERIALES!$C$158)+(8*MATERIALES!$C$174)+(((A6*4)+(B6*6))*MATERIALES!$C$188)+(((A6*2)+(B6*4))*MATERIALES!$C$141)+(4*MATERIALES!$C$148)+(((A6*5)*2)*MATERIALES!$C$147)+(2*MATERIALES!$C$187)+(8*MATERIALES!$C$174)+(2*MATERIALES!$C$187)</f>
        <v>1320.1988799999999</v>
      </c>
      <c r="E6" s="74"/>
      <c r="F6" s="54">
        <f>(A6*B6)*MATERIALES!$D$82</f>
        <v>127.19999999999999</v>
      </c>
      <c r="G6" s="54">
        <f>(((A6*B6)*2)*MATERIALES!$D$83)+(8*MATERIALES!$C$229)+(((A6*2)+(B6*4))*MATERIALES!$C$230)+(((A6*2)+(B6*4))*MATERIALES!$C$231)+((((A6*2)+(B6*2))/15)*MATERIALES!$C$232)+((((A6*2)+(B6*2))/15)*(MATERIALES!$C$233*0.15))</f>
        <v>959.7743999999999</v>
      </c>
      <c r="H6" s="54">
        <f>(A6*B6)*MATERIALES!$D$89</f>
        <v>429.59999999999997</v>
      </c>
      <c r="I6" s="125">
        <f>(SUM(C6:E6)*1.3)+(F6*2)</f>
        <v>1970.6585439999999</v>
      </c>
      <c r="J6" s="125">
        <f>(SUM(C6:E6)*1.3)+(G6*2)</f>
        <v>3635.8073439999998</v>
      </c>
      <c r="K6" s="67">
        <f>(SUM(C6:E6)*1.3)+(H6*1.5)</f>
        <v>2360.6585439999999</v>
      </c>
      <c r="M6" s="9">
        <f>((((B6*2)*MATERIALES!$C$64)+(B6*MATERIALES!$C$75)+(B6*MATERIALES!$C$65))*(MATERIALES!$F$2*MATERIALES!$J$15))*$M$3</f>
        <v>0</v>
      </c>
      <c r="O6" s="65">
        <v>0.6</v>
      </c>
      <c r="P6" s="66">
        <v>0.4</v>
      </c>
      <c r="Q6" s="58">
        <f>(((O6*2)*MATERIALES!$C$46)+((P6*2)*MATERIALES!$C$47)+((P6*2)*MATERIALES!$C$48)+((P6*2)*MATERIALES!$C$52)+((O6*2)*MATERIALES!$C$49)+((P6*2)*MATERIALES!$C$64)+(P6*MATERIALES!$C$65)+(P6*MATERIALES!$C$75))*(MATERIALES!$F$2*MATERIALES!$J$15)</f>
        <v>0</v>
      </c>
      <c r="R6" s="58">
        <f>(2*MATERIALES!$C$177)+(4*MATERIALES!$C$179)+(4*MATERIALES!$C$181)+(1*MATERIALES!$C$182)+(4*MATERIALES!$C$183)+(4*MATERIALES!$C$184)+(4*MATERIALES!$C$185)+(2*MATERIALES!$C$186)+(8*MATERIALES!$C$158)+(8*MATERIALES!$C$174)+(((O6*4)+(P6*6))*MATERIALES!$C$188)+(((O6*2)+(P6*4))*MATERIALES!$C$141)+(4*MATERIALES!$C$148)+(((O6*5)*2)*MATERIALES!$C$147)+(10*MATERIALES!$C$145)+(2*MATERIALES!$C$188)</f>
        <v>1326.7716800000003</v>
      </c>
      <c r="S6" s="74"/>
      <c r="T6" s="54">
        <f>(O6*P6)*MATERIALES!$D$82</f>
        <v>127.19999999999999</v>
      </c>
      <c r="U6" s="54">
        <f>(((O6*P6)*2)*MATERIALES!$D$83)+(8*MATERIALES!$C$229)+(((O6*2)+(P6*4))*MATERIALES!$C$230)+(((O6*2)+(P6*4))*MATERIALES!$C$231)+((((O6*2)+(P6*2))/15)*MATERIALES!$C$232)+((((O6*2)+(P6*2))/15)*(MATERIALES!$C$233*0.15))</f>
        <v>959.7743999999999</v>
      </c>
      <c r="V6" s="54">
        <f>(O6*P6)*MATERIALES!$D$89</f>
        <v>429.59999999999997</v>
      </c>
      <c r="W6" s="125">
        <f>(SUM(Q6:S6)*1.3)+(T6*2)</f>
        <v>1979.2031840000004</v>
      </c>
      <c r="X6" s="125">
        <f t="shared" ref="X6:X59" si="0">(SUM(Q6:S6)*1.3)+(U6*2)</f>
        <v>3644.3519839999999</v>
      </c>
      <c r="Y6" s="67">
        <f t="shared" ref="Y6:Y59" si="1">(SUM(Q6:S6)*1.3)+(V6*1.5)</f>
        <v>2369.2031840000004</v>
      </c>
      <c r="Z6" s="53"/>
      <c r="AA6" s="9"/>
      <c r="AB6" s="9"/>
    </row>
    <row r="7" spans="1:30" hidden="1">
      <c r="A7" s="68">
        <v>0.6</v>
      </c>
      <c r="B7" s="69">
        <v>0.6</v>
      </c>
      <c r="C7" s="59">
        <f>(((A7*2)*MATERIALES!$C$46)+((B7*2)*MATERIALES!$C$47)+((B7*2)*MATERIALES!$C$48)+((B7*2)*MATERIALES!$C$52)+((A7*2)*MATERIALES!$C$49))*(MATERIALES!$F$2*MATERIALES!$J$15)</f>
        <v>0</v>
      </c>
      <c r="D7" s="59">
        <f>(2*MATERIALES!$C$177)+(4*MATERIALES!$C$179)+(4*MATERIALES!$C$181)+(1*MATERIALES!$C$182)+(4*MATERIALES!$C$183)+(4*MATERIALES!$C$184)+(4*MATERIALES!$C$185)+(2*MATERIALES!$C$186)+(8*MATERIALES!$C$158)+(8*MATERIALES!$C$174)+(((A7*4)+(B7*6))*MATERIALES!$C$188)+(((A7*2)+(B7*4))*MATERIALES!$C$141)+(4*MATERIALES!$C$148)+(((A7*5)*2)*MATERIALES!$C$147)+(2*MATERIALES!$C$187)+(8*MATERIALES!$C$174)+(2*MATERIALES!$C$187)</f>
        <v>1352.3348800000001</v>
      </c>
      <c r="E7" s="75"/>
      <c r="F7" s="55">
        <f>(A7*B7)*MATERIALES!$D$82</f>
        <v>190.79999999999998</v>
      </c>
      <c r="G7" s="55">
        <f>(((A7*B7)*2)*MATERIALES!$D$83)+(8*MATERIALES!$C$229)+(((A7*2)+(B7*4))*MATERIALES!$C$230)+(((A7*2)+(B7*4))*MATERIALES!$C$231)+((((A7*2)+(B7*2))/15)*MATERIALES!$C$232)+((((A7*2)+(B7*2))/15)*(MATERIALES!$C$233*0.15))</f>
        <v>1278.5260799999999</v>
      </c>
      <c r="H7" s="55">
        <f>(A7*B7)*MATERIALES!$D$89</f>
        <v>644.4</v>
      </c>
      <c r="I7" s="124">
        <f t="shared" ref="I7:I37" si="2">(SUM(C7:E7)*1.3)+(F7*2)</f>
        <v>2139.6353440000003</v>
      </c>
      <c r="J7" s="124">
        <f t="shared" ref="J7:J37" si="3">(SUM(C7:E7)*1.3)+(G7*2)</f>
        <v>4315.0875040000001</v>
      </c>
      <c r="K7" s="70">
        <f t="shared" ref="K7:K37" si="4">(SUM(C7:E7)*1.3)+(H7*1.5)</f>
        <v>2724.6353440000003</v>
      </c>
      <c r="M7" s="9">
        <f>((((B7*2)*MATERIALES!$C$64)+(B7*MATERIALES!$C$75)+(B7*MATERIALES!$C$65))*(MATERIALES!$F$2*MATERIALES!$J$15))*$M$3</f>
        <v>0</v>
      </c>
      <c r="N7" s="9"/>
      <c r="O7" s="68">
        <v>0.6</v>
      </c>
      <c r="P7" s="69">
        <v>0.6</v>
      </c>
      <c r="Q7" s="59">
        <f>(((O7*2)*MATERIALES!$C$46)+((P7*2)*MATERIALES!$C$47)+((P7*2)*MATERIALES!$C$48)+((P7*2)*MATERIALES!$C$52)+((O7*2)*MATERIALES!$C$49)+((P7*2)*MATERIALES!$C$64)+(P7*MATERIALES!$C$65)+(P7*MATERIALES!$C$75))*(MATERIALES!$F$2*MATERIALES!$J$15)</f>
        <v>0</v>
      </c>
      <c r="R7" s="59">
        <f>(2*MATERIALES!$C$177)+(4*MATERIALES!$C$179)+(4*MATERIALES!$C$181)+(1*MATERIALES!$C$182)+(4*MATERIALES!$C$183)+(4*MATERIALES!$C$184)+(4*MATERIALES!$C$185)+(2*MATERIALES!$C$186)+(8*MATERIALES!$C$158)+(8*MATERIALES!$C$174)+(((O7*4)+(P7*6))*MATERIALES!$C$188)+(((O7*2)+(P7*4))*MATERIALES!$C$141)+(4*MATERIALES!$C$148)+(((O7*5)*2)*MATERIALES!$C$147)+(10*MATERIALES!$C$145)+(2*MATERIALES!$C$188)</f>
        <v>1358.9076800000005</v>
      </c>
      <c r="S7" s="75"/>
      <c r="T7" s="55">
        <f>(O7*P7)*MATERIALES!$D$82</f>
        <v>190.79999999999998</v>
      </c>
      <c r="U7" s="55">
        <f>(((O7*P7)*2)*MATERIALES!$D$83)+(8*MATERIALES!$C$229)+(((O7*2)+(P7*4))*MATERIALES!$C$230)+(((O7*2)+(P7*4))*MATERIALES!$C$231)+((((O7*2)+(P7*2))/15)*MATERIALES!$C$232)+((((O7*2)+(P7*2))/15)*(MATERIALES!$C$233*0.15))</f>
        <v>1278.5260799999999</v>
      </c>
      <c r="V7" s="55">
        <f>(O7*P7)*MATERIALES!$D$89</f>
        <v>644.4</v>
      </c>
      <c r="W7" s="124">
        <f t="shared" ref="W7:W59" si="5">(SUM(Q7:S7)*1.3)+(T7*2)</f>
        <v>2148.1799840000008</v>
      </c>
      <c r="X7" s="124">
        <f t="shared" si="0"/>
        <v>4323.6321440000002</v>
      </c>
      <c r="Y7" s="70">
        <f t="shared" si="1"/>
        <v>2733.1799840000003</v>
      </c>
      <c r="AA7" s="9"/>
      <c r="AB7" s="9"/>
    </row>
    <row r="8" spans="1:30" hidden="1">
      <c r="A8" s="68">
        <v>0.8</v>
      </c>
      <c r="B8" s="69">
        <v>0.4</v>
      </c>
      <c r="C8" s="59">
        <f>(((A8*2)*MATERIALES!$C$46)+((B8*2)*MATERIALES!$C$47)+((B8*2)*MATERIALES!$C$48)+((B8*2)*MATERIALES!$C$52)+((A8*2)*MATERIALES!$C$49))*(MATERIALES!$F$2*MATERIALES!$J$15)</f>
        <v>0</v>
      </c>
      <c r="D8" s="59">
        <f>(2*MATERIALES!$C$177)+(4*MATERIALES!$C$179)+(4*MATERIALES!$C$181)+(1*MATERIALES!$C$182)+(4*MATERIALES!$C$183)+(4*MATERIALES!$C$184)+(4*MATERIALES!$C$185)+(2*MATERIALES!$C$186)+(8*MATERIALES!$C$158)+(8*MATERIALES!$C$174)+(((A8*4)+(B8*6))*MATERIALES!$C$188)+(((A8*2)+(B8*4))*MATERIALES!$C$141)+(4*MATERIALES!$C$148)+(((A8*5)*2)*MATERIALES!$C$147)+(2*MATERIALES!$C$187)+(8*MATERIALES!$C$174)+(2*MATERIALES!$C$187)</f>
        <v>1338.7774399999998</v>
      </c>
      <c r="E8" s="75"/>
      <c r="F8" s="55">
        <f>(A8*B8)*MATERIALES!$D$82</f>
        <v>169.60000000000002</v>
      </c>
      <c r="G8" s="55">
        <f>(((A8*B8)*2)*MATERIALES!$D$83)+(8*MATERIALES!$C$229)+(((A8*2)+(B8*4))*MATERIALES!$C$230)+(((A8*2)+(B8*4))*MATERIALES!$C$231)+((((A8*2)+(B8*2))/15)*MATERIALES!$C$232)+((((A8*2)+(B8*2))/15)*(MATERIALES!$C$233*0.15))</f>
        <v>1156.6380800000002</v>
      </c>
      <c r="H8" s="55">
        <f>(A8*B8)*MATERIALES!$D$89</f>
        <v>572.80000000000007</v>
      </c>
      <c r="I8" s="124">
        <f t="shared" si="2"/>
        <v>2079.6106719999998</v>
      </c>
      <c r="J8" s="124">
        <f t="shared" si="3"/>
        <v>4053.6868320000003</v>
      </c>
      <c r="K8" s="70">
        <f t="shared" si="4"/>
        <v>2599.6106719999998</v>
      </c>
      <c r="M8" s="9">
        <f>((((B8*2)*MATERIALES!$C$64)+(B8*MATERIALES!$C$75)+(B8*MATERIALES!$C$65))*(MATERIALES!$F$2*MATERIALES!$J$15))*$M$3</f>
        <v>0</v>
      </c>
      <c r="N8" s="9"/>
      <c r="O8" s="68">
        <v>0.8</v>
      </c>
      <c r="P8" s="69">
        <v>0.4</v>
      </c>
      <c r="Q8" s="59">
        <f>(((O8*2)*MATERIALES!$C$46)+((P8*2)*MATERIALES!$C$47)+((P8*2)*MATERIALES!$C$48)+((P8*2)*MATERIALES!$C$52)+((O8*2)*MATERIALES!$C$49)+((P8*2)*MATERIALES!$C$64)+(P8*MATERIALES!$C$65)+(P8*MATERIALES!$C$75))*(MATERIALES!$F$2*MATERIALES!$J$15)</f>
        <v>0</v>
      </c>
      <c r="R8" s="59">
        <f>(2*MATERIALES!$C$177)+(4*MATERIALES!$C$179)+(4*MATERIALES!$C$181)+(1*MATERIALES!$C$182)+(4*MATERIALES!$C$183)+(4*MATERIALES!$C$184)+(4*MATERIALES!$C$185)+(2*MATERIALES!$C$186)+(8*MATERIALES!$C$158)+(8*MATERIALES!$C$174)+(((O8*4)+(P8*6))*MATERIALES!$C$188)+(((O8*2)+(P8*4))*MATERIALES!$C$141)+(4*MATERIALES!$C$148)+(((O8*5)*2)*MATERIALES!$C$147)+(10*MATERIALES!$C$145)+(2*MATERIALES!$C$188)</f>
        <v>1345.3502400000002</v>
      </c>
      <c r="S8" s="75"/>
      <c r="T8" s="55">
        <f>(O8*P8)*MATERIALES!$D$82</f>
        <v>169.60000000000002</v>
      </c>
      <c r="U8" s="55">
        <f>(((O8*P8)*2)*MATERIALES!$D$83)+(8*MATERIALES!$C$229)+(((O8*2)+(P8*4))*MATERIALES!$C$230)+(((O8*2)+(P8*4))*MATERIALES!$C$231)+((((O8*2)+(P8*2))/15)*MATERIALES!$C$232)+((((O8*2)+(P8*2))/15)*(MATERIALES!$C$233*0.15))</f>
        <v>1156.6380800000002</v>
      </c>
      <c r="V8" s="55">
        <f>(O8*P8)*MATERIALES!$D$89</f>
        <v>572.80000000000007</v>
      </c>
      <c r="W8" s="124">
        <f t="shared" si="5"/>
        <v>2088.1553120000003</v>
      </c>
      <c r="X8" s="124">
        <f t="shared" si="0"/>
        <v>4062.2314720000004</v>
      </c>
      <c r="Y8" s="70">
        <f t="shared" si="1"/>
        <v>2608.1553120000003</v>
      </c>
      <c r="AA8" s="9"/>
      <c r="AB8" s="9"/>
    </row>
    <row r="9" spans="1:30" hidden="1">
      <c r="A9" s="68">
        <v>0.8</v>
      </c>
      <c r="B9" s="69">
        <v>0.6</v>
      </c>
      <c r="C9" s="59">
        <f>(((A9*2)*MATERIALES!$C$46)+((B9*2)*MATERIALES!$C$47)+((B9*2)*MATERIALES!$C$48)+((B9*2)*MATERIALES!$C$52)+((A9*2)*MATERIALES!$C$49))*(MATERIALES!$F$2*MATERIALES!$J$15)</f>
        <v>0</v>
      </c>
      <c r="D9" s="59">
        <f>(2*MATERIALES!$C$177)+(4*MATERIALES!$C$179)+(4*MATERIALES!$C$181)+(1*MATERIALES!$C$182)+(4*MATERIALES!$C$183)+(4*MATERIALES!$C$184)+(4*MATERIALES!$C$185)+(2*MATERIALES!$C$186)+(8*MATERIALES!$C$158)+(8*MATERIALES!$C$174)+(((A9*4)+(B9*6))*MATERIALES!$C$188)+(((A9*2)+(B9*4))*MATERIALES!$C$141)+(4*MATERIALES!$C$148)+(((A9*5)*2)*MATERIALES!$C$147)+(2*MATERIALES!$C$187)+(8*MATERIALES!$C$174)+(2*MATERIALES!$C$187)</f>
        <v>1370.91344</v>
      </c>
      <c r="E9" s="75"/>
      <c r="F9" s="55">
        <f>(A9*B9)*MATERIALES!$D$82</f>
        <v>254.39999999999998</v>
      </c>
      <c r="G9" s="55">
        <f>(((A9*B9)*2)*MATERIALES!$D$83)+(8*MATERIALES!$C$229)+(((A9*2)+(B9*4))*MATERIALES!$C$230)+(((A9*2)+(B9*4))*MATERIALES!$C$231)+((((A9*2)+(B9*2))/15)*MATERIALES!$C$232)+((((A9*2)+(B9*2))/15)*(MATERIALES!$C$233*0.15))</f>
        <v>1527.3897600000003</v>
      </c>
      <c r="H9" s="55">
        <f>(A9*B9)*MATERIALES!$D$89</f>
        <v>859.19999999999993</v>
      </c>
      <c r="I9" s="124">
        <f t="shared" si="2"/>
        <v>2290.9874719999998</v>
      </c>
      <c r="J9" s="124">
        <f t="shared" si="3"/>
        <v>4836.9669920000006</v>
      </c>
      <c r="K9" s="70">
        <f t="shared" si="4"/>
        <v>3070.9874719999998</v>
      </c>
      <c r="M9" s="9">
        <f>((((B9*2)*MATERIALES!$C$64)+(B9*MATERIALES!$C$75)+(B9*MATERIALES!$C$65))*(MATERIALES!$F$2*MATERIALES!$J$15))*$M$3</f>
        <v>0</v>
      </c>
      <c r="N9"/>
      <c r="O9" s="68">
        <v>0.8</v>
      </c>
      <c r="P9" s="69">
        <v>0.6</v>
      </c>
      <c r="Q9" s="59">
        <f>(((O9*2)*MATERIALES!$C$46)+((P9*2)*MATERIALES!$C$47)+((P9*2)*MATERIALES!$C$48)+((P9*2)*MATERIALES!$C$52)+((O9*2)*MATERIALES!$C$49)+((P9*2)*MATERIALES!$C$64)+(P9*MATERIALES!$C$65)+(P9*MATERIALES!$C$75))*(MATERIALES!$F$2*MATERIALES!$J$15)</f>
        <v>0</v>
      </c>
      <c r="R9" s="59">
        <f>(2*MATERIALES!$C$177)+(4*MATERIALES!$C$179)+(4*MATERIALES!$C$181)+(1*MATERIALES!$C$182)+(4*MATERIALES!$C$183)+(4*MATERIALES!$C$184)+(4*MATERIALES!$C$185)+(2*MATERIALES!$C$186)+(8*MATERIALES!$C$158)+(8*MATERIALES!$C$174)+(((O9*4)+(P9*6))*MATERIALES!$C$188)+(((O9*2)+(P9*4))*MATERIALES!$C$141)+(4*MATERIALES!$C$148)+(((O9*5)*2)*MATERIALES!$C$147)+(10*MATERIALES!$C$145)+(2*MATERIALES!$C$188)</f>
        <v>1377.4862400000004</v>
      </c>
      <c r="S9" s="75"/>
      <c r="T9" s="55">
        <f>(O9*P9)*MATERIALES!$D$82</f>
        <v>254.39999999999998</v>
      </c>
      <c r="U9" s="55">
        <f>(((O9*P9)*2)*MATERIALES!$D$83)+(8*MATERIALES!$C$229)+(((O9*2)+(P9*4))*MATERIALES!$C$230)+(((O9*2)+(P9*4))*MATERIALES!$C$231)+((((O9*2)+(P9*2))/15)*MATERIALES!$C$232)+((((O9*2)+(P9*2))/15)*(MATERIALES!$C$233*0.15))</f>
        <v>1527.3897600000003</v>
      </c>
      <c r="V9" s="55">
        <f>(O9*P9)*MATERIALES!$D$89</f>
        <v>859.19999999999993</v>
      </c>
      <c r="W9" s="124">
        <f t="shared" si="5"/>
        <v>2299.5321120000008</v>
      </c>
      <c r="X9" s="124">
        <f t="shared" si="0"/>
        <v>4845.5116320000016</v>
      </c>
      <c r="Y9" s="70">
        <f t="shared" si="1"/>
        <v>3079.5321120000008</v>
      </c>
    </row>
    <row r="10" spans="1:30" hidden="1">
      <c r="A10" s="68">
        <v>0.8</v>
      </c>
      <c r="B10" s="69">
        <v>0.8</v>
      </c>
      <c r="C10" s="59">
        <f>(((A10*2)*MATERIALES!$C$46)+((B10*2)*MATERIALES!$C$47)+((B10*2)*MATERIALES!$C$48)+((B10*2)*MATERIALES!$C$52)+((A10*2)*MATERIALES!$C$49))*(MATERIALES!$F$2*MATERIALES!$J$15)</f>
        <v>0</v>
      </c>
      <c r="D10" s="59">
        <f>(2*MATERIALES!$C$177)+(4*MATERIALES!$C$179)+(4*MATERIALES!$C$181)+(1*MATERIALES!$C$182)+(4*MATERIALES!$C$183)+(4*MATERIALES!$C$184)+(4*MATERIALES!$C$185)+(2*MATERIALES!$C$186)+(8*MATERIALES!$C$158)+(8*MATERIALES!$C$174)+(((A10*4)+(B10*6))*MATERIALES!$C$188)+(((A10*2)+(B10*4))*MATERIALES!$C$141)+(4*MATERIALES!$C$148)+(((A10*5)*2)*MATERIALES!$C$147)+(2*MATERIALES!$C$187)+(8*MATERIALES!$C$174)+(2*MATERIALES!$C$187)</f>
        <v>1403.04944</v>
      </c>
      <c r="E10" s="75"/>
      <c r="F10" s="55">
        <f>(A10*B10)*MATERIALES!$D$82</f>
        <v>339.20000000000005</v>
      </c>
      <c r="G10" s="55">
        <f>(((A10*B10)*2)*MATERIALES!$D$83)+(8*MATERIALES!$C$229)+(((A10*2)+(B10*4))*MATERIALES!$C$230)+(((A10*2)+(B10*4))*MATERIALES!$C$231)+((((A10*2)+(B10*2))/15)*MATERIALES!$C$232)+((((A10*2)+(B10*2))/15)*(MATERIALES!$C$233*0.15))</f>
        <v>1898.1414400000001</v>
      </c>
      <c r="H10" s="55">
        <f>(A10*B10)*MATERIALES!$D$89</f>
        <v>1145.6000000000001</v>
      </c>
      <c r="I10" s="124">
        <f t="shared" si="2"/>
        <v>2502.3642720000003</v>
      </c>
      <c r="J10" s="124">
        <f t="shared" si="3"/>
        <v>5620.2471519999999</v>
      </c>
      <c r="K10" s="70">
        <f t="shared" si="4"/>
        <v>3542.3642720000003</v>
      </c>
      <c r="M10" s="9">
        <f>((((B10*2)*MATERIALES!$C$64)+(B10*MATERIALES!$C$75)+(B10*MATERIALES!$C$65))*(MATERIALES!$F$2*MATERIALES!$J$15))*$M$3</f>
        <v>0</v>
      </c>
      <c r="N10"/>
      <c r="O10" s="68">
        <v>0.8</v>
      </c>
      <c r="P10" s="69">
        <v>0.8</v>
      </c>
      <c r="Q10" s="59">
        <f>(((O10*2)*MATERIALES!$C$46)+((P10*2)*MATERIALES!$C$47)+((P10*2)*MATERIALES!$C$48)+((P10*2)*MATERIALES!$C$52)+((O10*2)*MATERIALES!$C$49)+((P10*2)*MATERIALES!$C$64)+(P10*MATERIALES!$C$65)+(P10*MATERIALES!$C$75))*(MATERIALES!$F$2*MATERIALES!$J$15)</f>
        <v>0</v>
      </c>
      <c r="R10" s="59">
        <f>(2*MATERIALES!$C$177)+(4*MATERIALES!$C$179)+(4*MATERIALES!$C$181)+(1*MATERIALES!$C$182)+(4*MATERIALES!$C$183)+(4*MATERIALES!$C$184)+(4*MATERIALES!$C$185)+(2*MATERIALES!$C$186)+(8*MATERIALES!$C$158)+(8*MATERIALES!$C$174)+(((O10*4)+(P10*6))*MATERIALES!$C$188)+(((O10*2)+(P10*4))*MATERIALES!$C$141)+(4*MATERIALES!$C$148)+(((O10*5)*2)*MATERIALES!$C$147)+(10*MATERIALES!$C$145)+(2*MATERIALES!$C$188)</f>
        <v>1409.6222400000004</v>
      </c>
      <c r="S10" s="75"/>
      <c r="T10" s="55">
        <f>(O10*P10)*MATERIALES!$D$82</f>
        <v>339.20000000000005</v>
      </c>
      <c r="U10" s="55">
        <f>(((O10*P10)*2)*MATERIALES!$D$83)+(8*MATERIALES!$C$229)+(((O10*2)+(P10*4))*MATERIALES!$C$230)+(((O10*2)+(P10*4))*MATERIALES!$C$231)+((((O10*2)+(P10*2))/15)*MATERIALES!$C$232)+((((O10*2)+(P10*2))/15)*(MATERIALES!$C$233*0.15))</f>
        <v>1898.1414400000001</v>
      </c>
      <c r="V10" s="55">
        <f>(O10*P10)*MATERIALES!$D$89</f>
        <v>1145.6000000000001</v>
      </c>
      <c r="W10" s="124">
        <f t="shared" si="5"/>
        <v>2510.9089120000008</v>
      </c>
      <c r="X10" s="124">
        <f t="shared" si="0"/>
        <v>5628.7917920000009</v>
      </c>
      <c r="Y10" s="70">
        <f t="shared" si="1"/>
        <v>3550.9089120000008</v>
      </c>
    </row>
    <row r="11" spans="1:30" hidden="1">
      <c r="A11" s="68">
        <v>1</v>
      </c>
      <c r="B11" s="69">
        <v>0.4</v>
      </c>
      <c r="C11" s="59">
        <f>(((A11*2)*MATERIALES!$C$46)+((B11*2)*MATERIALES!$C$47)+((B11*2)*MATERIALES!$C$48)+((B11*2)*MATERIALES!$C$52)+((A11*2)*MATERIALES!$C$49))*(MATERIALES!$F$2*MATERIALES!$J$15)</f>
        <v>0</v>
      </c>
      <c r="D11" s="59">
        <f>(2*MATERIALES!$C$177)+(4*MATERIALES!$C$179)+(4*MATERIALES!$C$181)+(1*MATERIALES!$C$182)+(4*MATERIALES!$C$183)+(4*MATERIALES!$C$184)+(4*MATERIALES!$C$185)+(2*MATERIALES!$C$186)+(8*MATERIALES!$C$158)+(8*MATERIALES!$C$174)+(((A11*4)+(B11*6))*MATERIALES!$C$188)+(((A11*2)+(B11*4))*MATERIALES!$C$141)+(4*MATERIALES!$C$148)+(((A11*5)*2)*MATERIALES!$C$147)+(2*MATERIALES!$C$187)+(8*MATERIALES!$C$174)+(2*MATERIALES!$C$187)</f>
        <v>1357.356</v>
      </c>
      <c r="E11" s="75"/>
      <c r="F11" s="55">
        <f>(A11*B11)*MATERIALES!$D$82</f>
        <v>212</v>
      </c>
      <c r="G11" s="55">
        <f>(((A11*B11)*2)*MATERIALES!$D$83)+(8*MATERIALES!$C$229)+(((A11*2)+(B11*4))*MATERIALES!$C$230)+(((A11*2)+(B11*4))*MATERIALES!$C$231)+((((A11*2)+(B11*2))/15)*MATERIALES!$C$232)+((((A11*2)+(B11*2))/15)*(MATERIALES!$C$233*0.15))</f>
        <v>1353.5017600000001</v>
      </c>
      <c r="H11" s="55">
        <f>(A11*B11)*MATERIALES!$D$89</f>
        <v>716</v>
      </c>
      <c r="I11" s="124">
        <f t="shared" si="2"/>
        <v>2188.5628000000002</v>
      </c>
      <c r="J11" s="124">
        <f t="shared" si="3"/>
        <v>4471.5663199999999</v>
      </c>
      <c r="K11" s="70">
        <f t="shared" si="4"/>
        <v>2838.5628000000002</v>
      </c>
      <c r="M11" s="9">
        <f>((((B11*2)*MATERIALES!$C$64)+(B11*MATERIALES!$C$75)+(B11*MATERIALES!$C$65))*(MATERIALES!$F$2*MATERIALES!$J$15))*$M$3</f>
        <v>0</v>
      </c>
      <c r="N11"/>
      <c r="O11" s="68">
        <v>1</v>
      </c>
      <c r="P11" s="69">
        <v>0.4</v>
      </c>
      <c r="Q11" s="59">
        <f>(((O11*2)*MATERIALES!$C$46)+((P11*2)*MATERIALES!$C$47)+((P11*2)*MATERIALES!$C$48)+((P11*2)*MATERIALES!$C$52)+((O11*2)*MATERIALES!$C$49)+((P11*2)*MATERIALES!$C$64)+(P11*MATERIALES!$C$65)+(P11*MATERIALES!$C$75))*(MATERIALES!$F$2*MATERIALES!$J$15)</f>
        <v>0</v>
      </c>
      <c r="R11" s="59">
        <f>(2*MATERIALES!$C$177)+(4*MATERIALES!$C$179)+(4*MATERIALES!$C$181)+(1*MATERIALES!$C$182)+(4*MATERIALES!$C$183)+(4*MATERIALES!$C$184)+(4*MATERIALES!$C$185)+(2*MATERIALES!$C$186)+(8*MATERIALES!$C$158)+(8*MATERIALES!$C$174)+(((O11*4)+(P11*6))*MATERIALES!$C$188)+(((O11*2)+(P11*4))*MATERIALES!$C$141)+(4*MATERIALES!$C$148)+(((O11*5)*2)*MATERIALES!$C$147)+(10*MATERIALES!$C$145)+(2*MATERIALES!$C$188)</f>
        <v>1363.9288000000004</v>
      </c>
      <c r="S11" s="75"/>
      <c r="T11" s="55">
        <f>(O11*P11)*MATERIALES!$D$82</f>
        <v>212</v>
      </c>
      <c r="U11" s="55">
        <f>(((O11*P11)*2)*MATERIALES!$D$83)+(8*MATERIALES!$C$229)+(((O11*2)+(P11*4))*MATERIALES!$C$230)+(((O11*2)+(P11*4))*MATERIALES!$C$231)+((((O11*2)+(P11*2))/15)*MATERIALES!$C$232)+((((O11*2)+(P11*2))/15)*(MATERIALES!$C$233*0.15))</f>
        <v>1353.5017600000001</v>
      </c>
      <c r="V11" s="55">
        <f>(O11*P11)*MATERIALES!$D$89</f>
        <v>716</v>
      </c>
      <c r="W11" s="124">
        <f t="shared" si="5"/>
        <v>2197.1074400000007</v>
      </c>
      <c r="X11" s="124">
        <f t="shared" si="0"/>
        <v>4480.1109600000009</v>
      </c>
      <c r="Y11" s="70">
        <f t="shared" si="1"/>
        <v>2847.1074400000007</v>
      </c>
    </row>
    <row r="12" spans="1:30" hidden="1">
      <c r="A12" s="68">
        <v>1</v>
      </c>
      <c r="B12" s="69">
        <v>0.6</v>
      </c>
      <c r="C12" s="59">
        <f>(((A12*2)*MATERIALES!$C$46)+((B12*2)*MATERIALES!$C$47)+((B12*2)*MATERIALES!$C$48)+((B12*2)*MATERIALES!$C$52)+((A12*2)*MATERIALES!$C$49))*(MATERIALES!$F$2*MATERIALES!$J$15)</f>
        <v>0</v>
      </c>
      <c r="D12" s="59">
        <f>(2*MATERIALES!$C$177)+(4*MATERIALES!$C$179)+(4*MATERIALES!$C$181)+(1*MATERIALES!$C$182)+(4*MATERIALES!$C$183)+(4*MATERIALES!$C$184)+(4*MATERIALES!$C$185)+(2*MATERIALES!$C$186)+(8*MATERIALES!$C$158)+(8*MATERIALES!$C$174)+(((A12*4)+(B12*6))*MATERIALES!$C$188)+(((A12*2)+(B12*4))*MATERIALES!$C$141)+(4*MATERIALES!$C$148)+(((A12*5)*2)*MATERIALES!$C$147)+(2*MATERIALES!$C$187)+(8*MATERIALES!$C$174)+(2*MATERIALES!$C$187)</f>
        <v>1389.492</v>
      </c>
      <c r="E12" s="75"/>
      <c r="F12" s="55">
        <f>(A12*B12)*MATERIALES!$D$82</f>
        <v>318</v>
      </c>
      <c r="G12" s="55">
        <f>(((A12*B12)*2)*MATERIALES!$D$83)+(8*MATERIALES!$C$229)+(((A12*2)+(B12*4))*MATERIALES!$C$230)+(((A12*2)+(B12*4))*MATERIALES!$C$231)+((((A12*2)+(B12*2))/15)*MATERIALES!$C$232)+((((A12*2)+(B12*2))/15)*(MATERIALES!$C$233*0.15))</f>
        <v>1776.2534400000002</v>
      </c>
      <c r="H12" s="55">
        <f>(A12*B12)*MATERIALES!$D$89</f>
        <v>1074</v>
      </c>
      <c r="I12" s="124">
        <f t="shared" si="2"/>
        <v>2442.3396000000002</v>
      </c>
      <c r="J12" s="124">
        <f t="shared" si="3"/>
        <v>5358.8464800000002</v>
      </c>
      <c r="K12" s="70">
        <f t="shared" si="4"/>
        <v>3417.3396000000002</v>
      </c>
      <c r="M12" s="9">
        <f>((((B12*2)*MATERIALES!$C$64)+(B12*MATERIALES!$C$75)+(B12*MATERIALES!$C$65))*(MATERIALES!$F$2*MATERIALES!$J$15))*$M$3</f>
        <v>0</v>
      </c>
      <c r="N12"/>
      <c r="O12" s="68">
        <v>1</v>
      </c>
      <c r="P12" s="69">
        <v>0.6</v>
      </c>
      <c r="Q12" s="59">
        <f>(((O12*2)*MATERIALES!$C$46)+((P12*2)*MATERIALES!$C$47)+((P12*2)*MATERIALES!$C$48)+((P12*2)*MATERIALES!$C$52)+((O12*2)*MATERIALES!$C$49)+((P12*2)*MATERIALES!$C$64)+(P12*MATERIALES!$C$65)+(P12*MATERIALES!$C$75))*(MATERIALES!$F$2*MATERIALES!$J$15)</f>
        <v>0</v>
      </c>
      <c r="R12" s="59">
        <f>(2*MATERIALES!$C$177)+(4*MATERIALES!$C$179)+(4*MATERIALES!$C$181)+(1*MATERIALES!$C$182)+(4*MATERIALES!$C$183)+(4*MATERIALES!$C$184)+(4*MATERIALES!$C$185)+(2*MATERIALES!$C$186)+(8*MATERIALES!$C$158)+(8*MATERIALES!$C$174)+(((O12*4)+(P12*6))*MATERIALES!$C$188)+(((O12*2)+(P12*4))*MATERIALES!$C$141)+(4*MATERIALES!$C$148)+(((O12*5)*2)*MATERIALES!$C$147)+(10*MATERIALES!$C$145)+(2*MATERIALES!$C$188)</f>
        <v>1396.0648000000003</v>
      </c>
      <c r="S12" s="75"/>
      <c r="T12" s="55">
        <f>(O12*P12)*MATERIALES!$D$82</f>
        <v>318</v>
      </c>
      <c r="U12" s="55">
        <f>(((O12*P12)*2)*MATERIALES!$D$83)+(8*MATERIALES!$C$229)+(((O12*2)+(P12*4))*MATERIALES!$C$230)+(((O12*2)+(P12*4))*MATERIALES!$C$231)+((((O12*2)+(P12*2))/15)*MATERIALES!$C$232)+((((O12*2)+(P12*2))/15)*(MATERIALES!$C$233*0.15))</f>
        <v>1776.2534400000002</v>
      </c>
      <c r="V12" s="55">
        <f>(O12*P12)*MATERIALES!$D$89</f>
        <v>1074</v>
      </c>
      <c r="W12" s="124">
        <f t="shared" si="5"/>
        <v>2450.8842400000003</v>
      </c>
      <c r="X12" s="124">
        <f t="shared" si="0"/>
        <v>5367.3911200000011</v>
      </c>
      <c r="Y12" s="70">
        <f t="shared" si="1"/>
        <v>3425.8842400000003</v>
      </c>
    </row>
    <row r="13" spans="1:30" hidden="1">
      <c r="A13" s="68">
        <v>1</v>
      </c>
      <c r="B13" s="69">
        <v>0.8</v>
      </c>
      <c r="C13" s="59">
        <f>(((A13*2)*MATERIALES!$C$46)+((B13*2)*MATERIALES!$C$47)+((B13*2)*MATERIALES!$C$48)+((B13*2)*MATERIALES!$C$52)+((A13*2)*MATERIALES!$C$49))*(MATERIALES!$F$2*MATERIALES!$J$15)</f>
        <v>0</v>
      </c>
      <c r="D13" s="59">
        <f>(2*MATERIALES!$C$177)+(4*MATERIALES!$C$179)+(4*MATERIALES!$C$181)+(1*MATERIALES!$C$182)+(4*MATERIALES!$C$183)+(4*MATERIALES!$C$184)+(4*MATERIALES!$C$185)+(2*MATERIALES!$C$186)+(8*MATERIALES!$C$158)+(8*MATERIALES!$C$174)+(((A13*4)+(B13*6))*MATERIALES!$C$188)+(((A13*2)+(B13*4))*MATERIALES!$C$141)+(4*MATERIALES!$C$148)+(((A13*5)*2)*MATERIALES!$C$147)+(2*MATERIALES!$C$187)+(8*MATERIALES!$C$174)+(2*MATERIALES!$C$187)</f>
        <v>1421.6279999999999</v>
      </c>
      <c r="E13" s="75"/>
      <c r="F13" s="55">
        <f>(A13*B13)*MATERIALES!$D$82</f>
        <v>424</v>
      </c>
      <c r="G13" s="55">
        <f>(((A13*B13)*2)*MATERIALES!$D$83)+(8*MATERIALES!$C$229)+(((A13*2)+(B13*4))*MATERIALES!$C$230)+(((A13*2)+(B13*4))*MATERIALES!$C$231)+((((A13*2)+(B13*2))/15)*MATERIALES!$C$232)+((((A13*2)+(B13*2))/15)*(MATERIALES!$C$233*0.15))</f>
        <v>2199.0051200000003</v>
      </c>
      <c r="H13" s="55">
        <f>(A13*B13)*MATERIALES!$D$89</f>
        <v>1432</v>
      </c>
      <c r="I13" s="124">
        <f t="shared" si="2"/>
        <v>2696.1163999999999</v>
      </c>
      <c r="J13" s="124">
        <f t="shared" si="3"/>
        <v>6246.1266400000004</v>
      </c>
      <c r="K13" s="70">
        <f t="shared" si="4"/>
        <v>3996.1163999999999</v>
      </c>
      <c r="M13" s="9">
        <f>((((B13*2)*MATERIALES!$C$64)+(B13*MATERIALES!$C$75)+(B13*MATERIALES!$C$65))*(MATERIALES!$F$2*MATERIALES!$J$15))*$M$3</f>
        <v>0</v>
      </c>
      <c r="N13"/>
      <c r="O13" s="68">
        <v>1</v>
      </c>
      <c r="P13" s="69">
        <v>0.8</v>
      </c>
      <c r="Q13" s="59">
        <f>(((O13*2)*MATERIALES!$C$46)+((P13*2)*MATERIALES!$C$47)+((P13*2)*MATERIALES!$C$48)+((P13*2)*MATERIALES!$C$52)+((O13*2)*MATERIALES!$C$49)+((P13*2)*MATERIALES!$C$64)+(P13*MATERIALES!$C$65)+(P13*MATERIALES!$C$75))*(MATERIALES!$F$2*MATERIALES!$J$15)</f>
        <v>0</v>
      </c>
      <c r="R13" s="59">
        <f>(2*MATERIALES!$C$177)+(4*MATERIALES!$C$179)+(4*MATERIALES!$C$181)+(1*MATERIALES!$C$182)+(4*MATERIALES!$C$183)+(4*MATERIALES!$C$184)+(4*MATERIALES!$C$185)+(2*MATERIALES!$C$186)+(8*MATERIALES!$C$158)+(8*MATERIALES!$C$174)+(((O13*4)+(P13*6))*MATERIALES!$C$188)+(((O13*2)+(P13*4))*MATERIALES!$C$141)+(4*MATERIALES!$C$148)+(((O13*5)*2)*MATERIALES!$C$147)+(10*MATERIALES!$C$145)+(2*MATERIALES!$C$188)</f>
        <v>1428.2008000000003</v>
      </c>
      <c r="S13" s="75"/>
      <c r="T13" s="55">
        <f>(O13*P13)*MATERIALES!$D$82</f>
        <v>424</v>
      </c>
      <c r="U13" s="55">
        <f>(((O13*P13)*2)*MATERIALES!$D$83)+(8*MATERIALES!$C$229)+(((O13*2)+(P13*4))*MATERIALES!$C$230)+(((O13*2)+(P13*4))*MATERIALES!$C$231)+((((O13*2)+(P13*2))/15)*MATERIALES!$C$232)+((((O13*2)+(P13*2))/15)*(MATERIALES!$C$233*0.15))</f>
        <v>2199.0051200000003</v>
      </c>
      <c r="V13" s="55">
        <f>(O13*P13)*MATERIALES!$D$89</f>
        <v>1432</v>
      </c>
      <c r="W13" s="124">
        <f t="shared" si="5"/>
        <v>2704.6610400000004</v>
      </c>
      <c r="X13" s="124">
        <f t="shared" si="0"/>
        <v>6254.6712800000005</v>
      </c>
      <c r="Y13" s="70">
        <f t="shared" si="1"/>
        <v>4004.6610400000004</v>
      </c>
    </row>
    <row r="14" spans="1:30" hidden="1">
      <c r="A14" s="68">
        <v>1</v>
      </c>
      <c r="B14" s="69">
        <v>1</v>
      </c>
      <c r="C14" s="59">
        <f>(((A14*2)*MATERIALES!$C$46)+((B14*2)*MATERIALES!$C$47)+((B14*2)*MATERIALES!$C$48)+((B14*2)*MATERIALES!$C$52)+((A14*2)*MATERIALES!$C$49))*(MATERIALES!$F$2*MATERIALES!$J$15)</f>
        <v>0</v>
      </c>
      <c r="D14" s="59">
        <f>(2*MATERIALES!$C$177)+(4*MATERIALES!$C$179)+(4*MATERIALES!$C$181)+(1*MATERIALES!$C$182)+(4*MATERIALES!$C$183)+(4*MATERIALES!$C$184)+(4*MATERIALES!$C$185)+(2*MATERIALES!$C$186)+(8*MATERIALES!$C$158)+(8*MATERIALES!$C$174)+(((A14*4)+(B14*6))*MATERIALES!$C$188)+(((A14*2)+(B14*4))*MATERIALES!$C$141)+(4*MATERIALES!$C$148)+(((A14*5)*2)*MATERIALES!$C$147)+(2*MATERIALES!$C$187)+(8*MATERIALES!$C$174)+(2*MATERIALES!$C$187)</f>
        <v>1453.7640000000001</v>
      </c>
      <c r="E14" s="75"/>
      <c r="F14" s="55">
        <f>(A14*B14)*MATERIALES!$D$82</f>
        <v>530</v>
      </c>
      <c r="G14" s="55">
        <f>(((A14*B14)*2)*MATERIALES!$D$83)+(8*MATERIALES!$C$229)+(((A14*2)+(B14*4))*MATERIALES!$C$230)+(((A14*2)+(B14*4))*MATERIALES!$C$231)+((((A14*2)+(B14*2))/15)*MATERIALES!$C$232)+((((A14*2)+(B14*2))/15)*(MATERIALES!$C$233*0.15))</f>
        <v>2621.7568000000001</v>
      </c>
      <c r="H14" s="55">
        <f>(A14*B14)*MATERIALES!$D$89</f>
        <v>1790</v>
      </c>
      <c r="I14" s="124">
        <f t="shared" si="2"/>
        <v>2949.8932000000004</v>
      </c>
      <c r="J14" s="124">
        <f t="shared" si="3"/>
        <v>7133.4068000000007</v>
      </c>
      <c r="K14" s="70">
        <f t="shared" si="4"/>
        <v>4574.8932000000004</v>
      </c>
      <c r="M14" s="9">
        <f>((((B14*2)*MATERIALES!$C$64)+(B14*MATERIALES!$C$75)+(B14*MATERIALES!$C$65))*(MATERIALES!$F$2*MATERIALES!$J$15))*$M$3</f>
        <v>0</v>
      </c>
      <c r="N14"/>
      <c r="O14" s="68">
        <v>1</v>
      </c>
      <c r="P14" s="69">
        <v>1</v>
      </c>
      <c r="Q14" s="59">
        <f>(((O14*2)*MATERIALES!$C$46)+((P14*2)*MATERIALES!$C$47)+((P14*2)*MATERIALES!$C$48)+((P14*2)*MATERIALES!$C$52)+((O14*2)*MATERIALES!$C$49)+((P14*2)*MATERIALES!$C$64)+(P14*MATERIALES!$C$65)+(P14*MATERIALES!$C$75))*(MATERIALES!$F$2*MATERIALES!$J$15)</f>
        <v>0</v>
      </c>
      <c r="R14" s="59">
        <f>(2*MATERIALES!$C$177)+(4*MATERIALES!$C$179)+(4*MATERIALES!$C$181)+(1*MATERIALES!$C$182)+(4*MATERIALES!$C$183)+(4*MATERIALES!$C$184)+(4*MATERIALES!$C$185)+(2*MATERIALES!$C$186)+(8*MATERIALES!$C$158)+(8*MATERIALES!$C$174)+(((O14*4)+(P14*6))*MATERIALES!$C$188)+(((O14*2)+(P14*4))*MATERIALES!$C$141)+(4*MATERIALES!$C$148)+(((O14*5)*2)*MATERIALES!$C$147)+(10*MATERIALES!$C$145)+(2*MATERIALES!$C$188)</f>
        <v>1460.3368000000005</v>
      </c>
      <c r="S14" s="75"/>
      <c r="T14" s="55">
        <f>(O14*P14)*MATERIALES!$D$82</f>
        <v>530</v>
      </c>
      <c r="U14" s="55">
        <f>(((O14*P14)*2)*MATERIALES!$D$83)+(8*MATERIALES!$C$229)+(((O14*2)+(P14*4))*MATERIALES!$C$230)+(((O14*2)+(P14*4))*MATERIALES!$C$231)+((((O14*2)+(P14*2))/15)*MATERIALES!$C$232)+((((O14*2)+(P14*2))/15)*(MATERIALES!$C$233*0.15))</f>
        <v>2621.7568000000001</v>
      </c>
      <c r="V14" s="55">
        <f>(O14*P14)*MATERIALES!$D$89</f>
        <v>1790</v>
      </c>
      <c r="W14" s="124">
        <f t="shared" si="5"/>
        <v>2958.4378400000005</v>
      </c>
      <c r="X14" s="124">
        <f t="shared" si="0"/>
        <v>7141.9514400000007</v>
      </c>
      <c r="Y14" s="70">
        <f t="shared" si="1"/>
        <v>4583.4378400000005</v>
      </c>
    </row>
    <row r="15" spans="1:30" hidden="1">
      <c r="A15" s="68">
        <v>1</v>
      </c>
      <c r="B15" s="69">
        <v>1.1000000000000001</v>
      </c>
      <c r="C15" s="59">
        <f>(((A15*2)*MATERIALES!$C$46)+((B15*2)*MATERIALES!$C$47)+((B15*2)*MATERIALES!$C$48)+((B15*2)*MATERIALES!$C$52)+((A15*2)*MATERIALES!$C$49))*(MATERIALES!$F$2*MATERIALES!$J$15)</f>
        <v>0</v>
      </c>
      <c r="D15" s="59">
        <f>(2*MATERIALES!$C$177)+(4*MATERIALES!$C$179)+(4*MATERIALES!$C$181)+(1*MATERIALES!$C$182)+(4*MATERIALES!$C$183)+(4*MATERIALES!$C$184)+(4*MATERIALES!$C$185)+(2*MATERIALES!$C$186)+(8*MATERIALES!$C$158)+(8*MATERIALES!$C$174)+(((A15*4)+(B15*6))*MATERIALES!$C$188)+(((A15*2)+(B15*4))*MATERIALES!$C$141)+(4*MATERIALES!$C$148)+(((A15*5)*2)*MATERIALES!$C$147)+(2*MATERIALES!$C$187)+(8*MATERIALES!$C$174)+(2*MATERIALES!$C$187)</f>
        <v>1469.8320000000001</v>
      </c>
      <c r="E15" s="75"/>
      <c r="F15" s="55">
        <f>(A15*B15)*MATERIALES!$D$82</f>
        <v>583</v>
      </c>
      <c r="G15" s="55">
        <f>(((A15*B15)*2)*MATERIALES!$D$83)+(8*MATERIALES!$C$229)+(((A15*2)+(B15*4))*MATERIALES!$C$230)+(((A15*2)+(B15*4))*MATERIALES!$C$231)+((((A15*2)+(B15*2))/15)*MATERIALES!$C$232)+((((A15*2)+(B15*2))/15)*(MATERIALES!$C$233*0.15))</f>
        <v>2833.1326400000003</v>
      </c>
      <c r="H15" s="55">
        <f>(A15*B15)*MATERIALES!$D$89</f>
        <v>1969.0000000000002</v>
      </c>
      <c r="I15" s="124">
        <f t="shared" si="2"/>
        <v>3076.7816000000003</v>
      </c>
      <c r="J15" s="124">
        <f t="shared" si="3"/>
        <v>7577.0468800000008</v>
      </c>
      <c r="K15" s="70">
        <f t="shared" si="4"/>
        <v>4864.2816000000003</v>
      </c>
      <c r="M15" s="9">
        <f>((((B15*2)*MATERIALES!$C$64)+(B15*MATERIALES!$C$75)+(B15*MATERIALES!$C$65))*(MATERIALES!$F$2*MATERIALES!$J$15))*$M$3</f>
        <v>0</v>
      </c>
      <c r="N15"/>
      <c r="O15" s="68">
        <v>1</v>
      </c>
      <c r="P15" s="69">
        <v>1.1000000000000001</v>
      </c>
      <c r="Q15" s="59">
        <f>(((O15*2)*MATERIALES!$C$46)+((P15*2)*MATERIALES!$C$47)+((P15*2)*MATERIALES!$C$48)+((P15*2)*MATERIALES!$C$52)+((O15*2)*MATERIALES!$C$49)+((P15*2)*MATERIALES!$C$64)+(P15*MATERIALES!$C$65)+(P15*MATERIALES!$C$75))*(MATERIALES!$F$2*MATERIALES!$J$15)</f>
        <v>0</v>
      </c>
      <c r="R15" s="59">
        <f>(2*MATERIALES!$C$177)+(4*MATERIALES!$C$179)+(4*MATERIALES!$C$181)+(1*MATERIALES!$C$182)+(4*MATERIALES!$C$183)+(4*MATERIALES!$C$184)+(4*MATERIALES!$C$185)+(2*MATERIALES!$C$186)+(8*MATERIALES!$C$158)+(8*MATERIALES!$C$174)+(((O15*4)+(P15*6))*MATERIALES!$C$188)+(((O15*2)+(P15*4))*MATERIALES!$C$141)+(4*MATERIALES!$C$148)+(((O15*5)*2)*MATERIALES!$C$147)+(10*MATERIALES!$C$145)+(2*MATERIALES!$C$188)</f>
        <v>1476.4048000000005</v>
      </c>
      <c r="S15" s="75"/>
      <c r="T15" s="55">
        <f>(O15*P15)*MATERIALES!$D$82</f>
        <v>583</v>
      </c>
      <c r="U15" s="55">
        <f>(((O15*P15)*2)*MATERIALES!$D$83)+(8*MATERIALES!$C$229)+(((O15*2)+(P15*4))*MATERIALES!$C$230)+(((O15*2)+(P15*4))*MATERIALES!$C$231)+((((O15*2)+(P15*2))/15)*MATERIALES!$C$232)+((((O15*2)+(P15*2))/15)*(MATERIALES!$C$233*0.15))</f>
        <v>2833.1326400000003</v>
      </c>
      <c r="V15" s="55">
        <f>(O15*P15)*MATERIALES!$D$89</f>
        <v>1969.0000000000002</v>
      </c>
      <c r="W15" s="124">
        <f t="shared" si="5"/>
        <v>3085.3262400000008</v>
      </c>
      <c r="X15" s="124">
        <f t="shared" si="0"/>
        <v>7585.5915200000018</v>
      </c>
      <c r="Y15" s="70">
        <f t="shared" si="1"/>
        <v>4872.8262400000012</v>
      </c>
    </row>
    <row r="16" spans="1:30" hidden="1">
      <c r="A16" s="68">
        <v>1</v>
      </c>
      <c r="B16" s="69">
        <v>1.2</v>
      </c>
      <c r="C16" s="59">
        <f>(((A16*2)*MATERIALES!$C$46)+((B16*2)*MATERIALES!$C$47)+((B16*2)*MATERIALES!$C$48)+((B16*2)*MATERIALES!$C$52)+((A16*2)*MATERIALES!$C$49))*(MATERIALES!$F$2*MATERIALES!$J$15)</f>
        <v>0</v>
      </c>
      <c r="D16" s="59">
        <f>(2*MATERIALES!$C$177)+(4*MATERIALES!$C$179)+(4*MATERIALES!$C$181)+(1*MATERIALES!$C$182)+(4*MATERIALES!$C$183)+(4*MATERIALES!$C$184)+(4*MATERIALES!$C$185)+(2*MATERIALES!$C$186)+(8*MATERIALES!$C$158)+(8*MATERIALES!$C$174)+(((A16*4)+(B16*6))*MATERIALES!$C$188)+(((A16*2)+(B16*4))*MATERIALES!$C$141)+(4*MATERIALES!$C$148)+(((A16*5)*2)*MATERIALES!$C$147)+(2*MATERIALES!$C$187)+(8*MATERIALES!$C$174)+(2*MATERIALES!$C$187)</f>
        <v>1485.9</v>
      </c>
      <c r="E16" s="75"/>
      <c r="F16" s="55">
        <f>(A16*B16)*MATERIALES!$D$82</f>
        <v>636</v>
      </c>
      <c r="G16" s="55">
        <f>(((A16*B16)*2)*MATERIALES!$D$83)+(8*MATERIALES!$C$229)+(((A16*2)+(B16*4))*MATERIALES!$C$230)+(((A16*2)+(B16*4))*MATERIALES!$C$231)+((((A16*2)+(B16*2))/15)*MATERIALES!$C$232)+((((A16*2)+(B16*2))/15)*(MATERIALES!$C$233*0.15))</f>
        <v>3044.5084800000004</v>
      </c>
      <c r="H16" s="55">
        <f>(A16*B16)*MATERIALES!$D$89</f>
        <v>2148</v>
      </c>
      <c r="I16" s="124">
        <f t="shared" si="2"/>
        <v>3203.67</v>
      </c>
      <c r="J16" s="124">
        <f t="shared" si="3"/>
        <v>8020.6869600000009</v>
      </c>
      <c r="K16" s="70">
        <f t="shared" si="4"/>
        <v>5153.67</v>
      </c>
      <c r="M16" s="9">
        <f>((((B16*2)*MATERIALES!$C$64)+(B16*MATERIALES!$C$75)+(B16*MATERIALES!$C$65))*(MATERIALES!$F$2*MATERIALES!$J$15))*$M$3</f>
        <v>0</v>
      </c>
      <c r="N16"/>
      <c r="O16" s="68">
        <v>1</v>
      </c>
      <c r="P16" s="69">
        <v>1.2</v>
      </c>
      <c r="Q16" s="59">
        <f>(((O16*2)*MATERIALES!$C$46)+((P16*2)*MATERIALES!$C$47)+((P16*2)*MATERIALES!$C$48)+((P16*2)*MATERIALES!$C$52)+((O16*2)*MATERIALES!$C$49)+((P16*2)*MATERIALES!$C$64)+(P16*MATERIALES!$C$65)+(P16*MATERIALES!$C$75))*(MATERIALES!$F$2*MATERIALES!$J$15)</f>
        <v>0</v>
      </c>
      <c r="R16" s="59">
        <f>(2*MATERIALES!$C$177)+(4*MATERIALES!$C$179)+(4*MATERIALES!$C$181)+(1*MATERIALES!$C$182)+(4*MATERIALES!$C$183)+(4*MATERIALES!$C$184)+(4*MATERIALES!$C$185)+(2*MATERIALES!$C$186)+(8*MATERIALES!$C$158)+(8*MATERIALES!$C$174)+(((O16*4)+(P16*6))*MATERIALES!$C$188)+(((O16*2)+(P16*4))*MATERIALES!$C$141)+(4*MATERIALES!$C$148)+(((O16*5)*2)*MATERIALES!$C$147)+(10*MATERIALES!$C$145)+(2*MATERIALES!$C$188)</f>
        <v>1492.4728000000005</v>
      </c>
      <c r="S16" s="75"/>
      <c r="T16" s="55">
        <f>(O16*P16)*MATERIALES!$D$82</f>
        <v>636</v>
      </c>
      <c r="U16" s="55">
        <f>(((O16*P16)*2)*MATERIALES!$D$83)+(8*MATERIALES!$C$229)+(((O16*2)+(P16*4))*MATERIALES!$C$230)+(((O16*2)+(P16*4))*MATERIALES!$C$231)+((((O16*2)+(P16*2))/15)*MATERIALES!$C$232)+((((O16*2)+(P16*2))/15)*(MATERIALES!$C$233*0.15))</f>
        <v>3044.5084800000004</v>
      </c>
      <c r="V16" s="55">
        <f>(O16*P16)*MATERIALES!$D$89</f>
        <v>2148</v>
      </c>
      <c r="W16" s="124">
        <f t="shared" si="5"/>
        <v>3212.2146400000006</v>
      </c>
      <c r="X16" s="124">
        <f t="shared" si="0"/>
        <v>8029.231600000001</v>
      </c>
      <c r="Y16" s="70">
        <f t="shared" si="1"/>
        <v>5162.2146400000001</v>
      </c>
    </row>
    <row r="17" spans="1:26" hidden="1">
      <c r="A17" s="68">
        <v>1</v>
      </c>
      <c r="B17" s="69">
        <v>1.5</v>
      </c>
      <c r="C17" s="59">
        <f>(((A17*2)*MATERIALES!$C$46)+((B17*2)*MATERIALES!$C$47)+((B17*2)*MATERIALES!$C$48)+((B17*2)*MATERIALES!$C$52)+((A17*2)*MATERIALES!$C$49))*(MATERIALES!$F$2*MATERIALES!$J$15)</f>
        <v>0</v>
      </c>
      <c r="D17" s="59">
        <f>(2*MATERIALES!$C$177)+(4*MATERIALES!$C$179)+(4*MATERIALES!$C$181)+(1*MATERIALES!$C$182)+(4*MATERIALES!$C$183)+(4*MATERIALES!$C$184)+(4*MATERIALES!$C$185)+(2*MATERIALES!$C$186)+(8*MATERIALES!$C$158)+(8*MATERIALES!$C$174)+(((A17*4)+(B17*6))*MATERIALES!$C$188)+(((A17*2)+(B17*4))*MATERIALES!$C$141)+(4*MATERIALES!$C$148)+(((A17*5)*2)*MATERIALES!$C$147)+(2*MATERIALES!$C$187)+(8*MATERIALES!$C$174)+(2*MATERIALES!$C$187)</f>
        <v>1534.104</v>
      </c>
      <c r="E17" s="75"/>
      <c r="F17" s="55">
        <f>(A17*B17)*MATERIALES!$D$82</f>
        <v>795</v>
      </c>
      <c r="G17" s="55">
        <f>(((A17*B17)*2)*MATERIALES!$D$83)+(8*MATERIALES!$C$229)+(((A17*2)+(B17*4))*MATERIALES!$C$230)+(((A17*2)+(B17*4))*MATERIALES!$C$231)+((((A17*2)+(B17*2))/15)*MATERIALES!$C$232)+((((A17*2)+(B17*2))/15)*(MATERIALES!$C$233*0.15))</f>
        <v>3678.636</v>
      </c>
      <c r="H17" s="55">
        <f>(A17*B17)*MATERIALES!$D$89</f>
        <v>2685</v>
      </c>
      <c r="I17" s="124">
        <f t="shared" si="2"/>
        <v>3584.3352000000004</v>
      </c>
      <c r="J17" s="124">
        <f t="shared" si="3"/>
        <v>9351.6072000000004</v>
      </c>
      <c r="K17" s="70">
        <f t="shared" si="4"/>
        <v>6021.8352000000004</v>
      </c>
      <c r="M17" s="9">
        <f>((((B17*2)*MATERIALES!$C$64)+(B17*MATERIALES!$C$75)+(B17*MATERIALES!$C$65))*(MATERIALES!$F$2*MATERIALES!$J$15))*$M$3</f>
        <v>0</v>
      </c>
      <c r="N17"/>
      <c r="O17" s="68">
        <v>1</v>
      </c>
      <c r="P17" s="69">
        <v>1.5</v>
      </c>
      <c r="Q17" s="59">
        <f>(((O17*2)*MATERIALES!$C$46)+((P17*2)*MATERIALES!$C$47)+((P17*2)*MATERIALES!$C$48)+((P17*2)*MATERIALES!$C$52)+((O17*2)*MATERIALES!$C$49)+((P17*2)*MATERIALES!$C$64)+(P17*MATERIALES!$C$65)+(P17*MATERIALES!$C$75))*(MATERIALES!$F$2*MATERIALES!$J$15)</f>
        <v>0</v>
      </c>
      <c r="R17" s="59">
        <f>(2*MATERIALES!$C$177)+(4*MATERIALES!$C$179)+(4*MATERIALES!$C$181)+(1*MATERIALES!$C$182)+(4*MATERIALES!$C$183)+(4*MATERIALES!$C$184)+(4*MATERIALES!$C$185)+(2*MATERIALES!$C$186)+(8*MATERIALES!$C$158)+(8*MATERIALES!$C$174)+(((O17*4)+(P17*6))*MATERIALES!$C$188)+(((O17*2)+(P17*4))*MATERIALES!$C$141)+(4*MATERIALES!$C$148)+(((O17*5)*2)*MATERIALES!$C$147)+(10*MATERIALES!$C$145)+(2*MATERIALES!$C$188)</f>
        <v>1540.6768000000004</v>
      </c>
      <c r="S17" s="75"/>
      <c r="T17" s="55">
        <f>(O17*P17)*MATERIALES!$D$82</f>
        <v>795</v>
      </c>
      <c r="U17" s="55">
        <f>(((O17*P17)*2)*MATERIALES!$D$83)+(8*MATERIALES!$C$229)+(((O17*2)+(P17*4))*MATERIALES!$C$230)+(((O17*2)+(P17*4))*MATERIALES!$C$231)+((((O17*2)+(P17*2))/15)*MATERIALES!$C$232)+((((O17*2)+(P17*2))/15)*(MATERIALES!$C$233*0.15))</f>
        <v>3678.636</v>
      </c>
      <c r="V17" s="55">
        <f>(O17*P17)*MATERIALES!$D$89</f>
        <v>2685</v>
      </c>
      <c r="W17" s="124">
        <f t="shared" si="5"/>
        <v>3592.8798400000005</v>
      </c>
      <c r="X17" s="124">
        <f t="shared" si="0"/>
        <v>9360.1518400000004</v>
      </c>
      <c r="Y17" s="70">
        <f t="shared" si="1"/>
        <v>6030.3798400000005</v>
      </c>
    </row>
    <row r="18" spans="1:26" hidden="1">
      <c r="A18" s="68">
        <v>1.2</v>
      </c>
      <c r="B18" s="69">
        <v>0.4</v>
      </c>
      <c r="C18" s="59">
        <f>(((A18*2)*MATERIALES!$C$46)+((B18*2)*MATERIALES!$C$47)+((B18*2)*MATERIALES!$C$48)+((B18*2)*MATERIALES!$C$52)+((A18*2)*MATERIALES!$C$49))*(MATERIALES!$F$2*MATERIALES!$J$15)</f>
        <v>0</v>
      </c>
      <c r="D18" s="59">
        <f>(2*MATERIALES!$C$177)+(4*MATERIALES!$C$179)+(4*MATERIALES!$C$181)+(1*MATERIALES!$C$182)+(4*MATERIALES!$C$183)+(4*MATERIALES!$C$184)+(4*MATERIALES!$C$185)+(2*MATERIALES!$C$186)+(8*MATERIALES!$C$158)+(8*MATERIALES!$C$174)+(((A18*4)+(B18*6))*MATERIALES!$C$188)+(((A18*2)+(B18*4))*MATERIALES!$C$141)+(4*MATERIALES!$C$148)+(((A18*5)*2)*MATERIALES!$C$147)+(2*MATERIALES!$C$187)+(8*MATERIALES!$C$174)+(2*MATERIALES!$C$187)</f>
        <v>1375.9345599999999</v>
      </c>
      <c r="E18" s="75"/>
      <c r="F18" s="55">
        <f>(A18*B18)*MATERIALES!$D$82</f>
        <v>254.39999999999998</v>
      </c>
      <c r="G18" s="55">
        <f>(((A18*B18)*2)*MATERIALES!$D$83)+(8*MATERIALES!$C$229)+(((A18*2)+(B18*4))*MATERIALES!$C$230)+(((A18*2)+(B18*4))*MATERIALES!$C$231)+((((A18*2)+(B18*2))/15)*MATERIALES!$C$232)+((((A18*2)+(B18*2))/15)*(MATERIALES!$C$233*0.15))</f>
        <v>1550.3654400000003</v>
      </c>
      <c r="H18" s="55">
        <f>(A18*B18)*MATERIALES!$D$89</f>
        <v>859.19999999999993</v>
      </c>
      <c r="I18" s="124">
        <f t="shared" si="2"/>
        <v>2297.5149279999996</v>
      </c>
      <c r="J18" s="124">
        <f t="shared" si="3"/>
        <v>4889.4458080000004</v>
      </c>
      <c r="K18" s="70">
        <f t="shared" si="4"/>
        <v>3077.5149279999996</v>
      </c>
      <c r="M18" s="9">
        <f>((((B18*2)*MATERIALES!$C$64)+(B18*MATERIALES!$C$75)+(B18*MATERIALES!$C$65))*(MATERIALES!$F$2*MATERIALES!$J$15))*$M$3</f>
        <v>0</v>
      </c>
      <c r="N18"/>
      <c r="O18" s="68">
        <v>1.2</v>
      </c>
      <c r="P18" s="69">
        <v>0.4</v>
      </c>
      <c r="Q18" s="59">
        <f>(((O18*2)*MATERIALES!$C$46)+((P18*2)*MATERIALES!$C$47)+((P18*2)*MATERIALES!$C$48)+((P18*2)*MATERIALES!$C$52)+((O18*2)*MATERIALES!$C$49)+((P18*2)*MATERIALES!$C$64)+(P18*MATERIALES!$C$65)+(P18*MATERIALES!$C$75))*(MATERIALES!$F$2*MATERIALES!$J$15)</f>
        <v>0</v>
      </c>
      <c r="R18" s="59">
        <f>(2*MATERIALES!$C$177)+(4*MATERIALES!$C$179)+(4*MATERIALES!$C$181)+(1*MATERIALES!$C$182)+(4*MATERIALES!$C$183)+(4*MATERIALES!$C$184)+(4*MATERIALES!$C$185)+(2*MATERIALES!$C$186)+(8*MATERIALES!$C$158)+(8*MATERIALES!$C$174)+(((O18*4)+(P18*6))*MATERIALES!$C$188)+(((O18*2)+(P18*4))*MATERIALES!$C$141)+(4*MATERIALES!$C$148)+(((O18*5)*2)*MATERIALES!$C$147)+(10*MATERIALES!$C$145)+(2*MATERIALES!$C$188)</f>
        <v>1382.5073600000003</v>
      </c>
      <c r="S18" s="75"/>
      <c r="T18" s="55">
        <f>(O18*P18)*MATERIALES!$D$82</f>
        <v>254.39999999999998</v>
      </c>
      <c r="U18" s="55">
        <f>(((O18*P18)*2)*MATERIALES!$D$83)+(8*MATERIALES!$C$229)+(((O18*2)+(P18*4))*MATERIALES!$C$230)+(((O18*2)+(P18*4))*MATERIALES!$C$231)+((((O18*2)+(P18*2))/15)*MATERIALES!$C$232)+((((O18*2)+(P18*2))/15)*(MATERIALES!$C$233*0.15))</f>
        <v>1550.3654400000003</v>
      </c>
      <c r="V18" s="55">
        <f>(O18*P18)*MATERIALES!$D$89</f>
        <v>859.19999999999993</v>
      </c>
      <c r="W18" s="124">
        <f t="shared" si="5"/>
        <v>2306.0595680000006</v>
      </c>
      <c r="X18" s="124">
        <f t="shared" si="0"/>
        <v>4897.9904480000005</v>
      </c>
      <c r="Y18" s="70">
        <f t="shared" si="1"/>
        <v>3086.0595680000006</v>
      </c>
    </row>
    <row r="19" spans="1:26" hidden="1">
      <c r="A19" s="68">
        <v>1.2</v>
      </c>
      <c r="B19" s="69">
        <v>0.6</v>
      </c>
      <c r="C19" s="59">
        <f>(((A19*2)*MATERIALES!$C$46)+((B19*2)*MATERIALES!$C$47)+((B19*2)*MATERIALES!$C$48)+((B19*2)*MATERIALES!$C$52)+((A19*2)*MATERIALES!$C$49))*(MATERIALES!$F$2*MATERIALES!$J$15)</f>
        <v>0</v>
      </c>
      <c r="D19" s="59">
        <f>(2*MATERIALES!$C$177)+(4*MATERIALES!$C$179)+(4*MATERIALES!$C$181)+(1*MATERIALES!$C$182)+(4*MATERIALES!$C$183)+(4*MATERIALES!$C$184)+(4*MATERIALES!$C$185)+(2*MATERIALES!$C$186)+(8*MATERIALES!$C$158)+(8*MATERIALES!$C$174)+(((A19*4)+(B19*6))*MATERIALES!$C$188)+(((A19*2)+(B19*4))*MATERIALES!$C$141)+(4*MATERIALES!$C$148)+(((A19*5)*2)*MATERIALES!$C$147)+(2*MATERIALES!$C$187)+(8*MATERIALES!$C$174)+(2*MATERIALES!$C$187)</f>
        <v>1408.0705600000001</v>
      </c>
      <c r="E19" s="75"/>
      <c r="F19" s="55">
        <f>(A19*B19)*MATERIALES!$D$82</f>
        <v>381.59999999999997</v>
      </c>
      <c r="G19" s="55">
        <f>(((A19*B19)*2)*MATERIALES!$D$83)+(8*MATERIALES!$C$229)+(((A19*2)+(B19*4))*MATERIALES!$C$230)+(((A19*2)+(B19*4))*MATERIALES!$C$231)+((((A19*2)+(B19*2))/15)*MATERIALES!$C$232)+((((A19*2)+(B19*2))/15)*(MATERIALES!$C$233*0.15))</f>
        <v>2025.1171199999999</v>
      </c>
      <c r="H19" s="55">
        <f>(A19*B19)*MATERIALES!$D$89</f>
        <v>1288.8</v>
      </c>
      <c r="I19" s="124">
        <f t="shared" si="2"/>
        <v>2593.6917280000002</v>
      </c>
      <c r="J19" s="124">
        <f t="shared" si="3"/>
        <v>5880.7259679999997</v>
      </c>
      <c r="K19" s="70">
        <f t="shared" si="4"/>
        <v>3763.6917279999998</v>
      </c>
      <c r="M19" s="9">
        <f>((((B19*2)*MATERIALES!$C$64)+(B19*MATERIALES!$C$75)+(B19*MATERIALES!$C$65))*(MATERIALES!$F$2*MATERIALES!$J$15))*$M$3</f>
        <v>0</v>
      </c>
      <c r="N19"/>
      <c r="O19" s="68">
        <v>1.2</v>
      </c>
      <c r="P19" s="69">
        <v>0.6</v>
      </c>
      <c r="Q19" s="59">
        <f>(((O19*2)*MATERIALES!$C$46)+((P19*2)*MATERIALES!$C$47)+((P19*2)*MATERIALES!$C$48)+((P19*2)*MATERIALES!$C$52)+((O19*2)*MATERIALES!$C$49)+((P19*2)*MATERIALES!$C$64)+(P19*MATERIALES!$C$65)+(P19*MATERIALES!$C$75))*(MATERIALES!$F$2*MATERIALES!$J$15)</f>
        <v>0</v>
      </c>
      <c r="R19" s="59">
        <f>(2*MATERIALES!$C$177)+(4*MATERIALES!$C$179)+(4*MATERIALES!$C$181)+(1*MATERIALES!$C$182)+(4*MATERIALES!$C$183)+(4*MATERIALES!$C$184)+(4*MATERIALES!$C$185)+(2*MATERIALES!$C$186)+(8*MATERIALES!$C$158)+(8*MATERIALES!$C$174)+(((O19*4)+(P19*6))*MATERIALES!$C$188)+(((O19*2)+(P19*4))*MATERIALES!$C$141)+(4*MATERIALES!$C$148)+(((O19*5)*2)*MATERIALES!$C$147)+(10*MATERIALES!$C$145)+(2*MATERIALES!$C$188)</f>
        <v>1414.6433600000005</v>
      </c>
      <c r="S19" s="75"/>
      <c r="T19" s="55">
        <f>(O19*P19)*MATERIALES!$D$82</f>
        <v>381.59999999999997</v>
      </c>
      <c r="U19" s="55">
        <f>(((O19*P19)*2)*MATERIALES!$D$83)+(8*MATERIALES!$C$229)+(((O19*2)+(P19*4))*MATERIALES!$C$230)+(((O19*2)+(P19*4))*MATERIALES!$C$231)+((((O19*2)+(P19*2))/15)*MATERIALES!$C$232)+((((O19*2)+(P19*2))/15)*(MATERIALES!$C$233*0.15))</f>
        <v>2025.1171199999999</v>
      </c>
      <c r="V19" s="55">
        <f>(O19*P19)*MATERIALES!$D$89</f>
        <v>1288.8</v>
      </c>
      <c r="W19" s="124">
        <f t="shared" si="5"/>
        <v>2602.2363680000008</v>
      </c>
      <c r="X19" s="124">
        <f t="shared" si="0"/>
        <v>5889.2706080000007</v>
      </c>
      <c r="Y19" s="70">
        <f t="shared" si="1"/>
        <v>3772.2363680000008</v>
      </c>
    </row>
    <row r="20" spans="1:26" hidden="1">
      <c r="A20" s="68">
        <v>1.2</v>
      </c>
      <c r="B20" s="69">
        <v>0.8</v>
      </c>
      <c r="C20" s="59">
        <f>(((A20*2)*MATERIALES!$C$46)+((B20*2)*MATERIALES!$C$47)+((B20*2)*MATERIALES!$C$48)+((B20*2)*MATERIALES!$C$52)+((A20*2)*MATERIALES!$C$49))*(MATERIALES!$F$2*MATERIALES!$J$15)</f>
        <v>0</v>
      </c>
      <c r="D20" s="59">
        <f>(2*MATERIALES!$C$177)+(4*MATERIALES!$C$179)+(4*MATERIALES!$C$181)+(1*MATERIALES!$C$182)+(4*MATERIALES!$C$183)+(4*MATERIALES!$C$184)+(4*MATERIALES!$C$185)+(2*MATERIALES!$C$186)+(8*MATERIALES!$C$158)+(8*MATERIALES!$C$174)+(((A20*4)+(B20*6))*MATERIALES!$C$188)+(((A20*2)+(B20*4))*MATERIALES!$C$141)+(4*MATERIALES!$C$148)+(((A20*5)*2)*MATERIALES!$C$147)+(2*MATERIALES!$C$187)+(8*MATERIALES!$C$174)+(2*MATERIALES!$C$187)</f>
        <v>1440.2065600000001</v>
      </c>
      <c r="E20" s="75"/>
      <c r="F20" s="55">
        <f>(A20*B20)*MATERIALES!$D$82</f>
        <v>508.79999999999995</v>
      </c>
      <c r="G20" s="55">
        <f>(((A20*B20)*2)*MATERIALES!$D$83)+(8*MATERIALES!$C$229)+(((A20*2)+(B20*4))*MATERIALES!$C$230)+(((A20*2)+(B20*4))*MATERIALES!$C$231)+((((A20*2)+(B20*2))/15)*MATERIALES!$C$232)+((((A20*2)+(B20*2))/15)*(MATERIALES!$C$233*0.15))</f>
        <v>2499.8688000000002</v>
      </c>
      <c r="H20" s="55">
        <f>(A20*B20)*MATERIALES!$D$89</f>
        <v>1718.3999999999999</v>
      </c>
      <c r="I20" s="124">
        <f t="shared" si="2"/>
        <v>2889.868528</v>
      </c>
      <c r="J20" s="124">
        <f t="shared" si="3"/>
        <v>6872.0061280000009</v>
      </c>
      <c r="K20" s="70">
        <f t="shared" si="4"/>
        <v>4449.868528</v>
      </c>
      <c r="M20" s="9">
        <f>((((B20*2)*MATERIALES!$C$64)+(B20*MATERIALES!$C$75)+(B20*MATERIALES!$C$65))*(MATERIALES!$F$2*MATERIALES!$J$15))*$M$3</f>
        <v>0</v>
      </c>
      <c r="N20"/>
      <c r="O20" s="68">
        <v>1.2</v>
      </c>
      <c r="P20" s="69">
        <v>0.8</v>
      </c>
      <c r="Q20" s="59">
        <f>(((O20*2)*MATERIALES!$C$46)+((P20*2)*MATERIALES!$C$47)+((P20*2)*MATERIALES!$C$48)+((P20*2)*MATERIALES!$C$52)+((O20*2)*MATERIALES!$C$49)+((P20*2)*MATERIALES!$C$64)+(P20*MATERIALES!$C$65)+(P20*MATERIALES!$C$75))*(MATERIALES!$F$2*MATERIALES!$J$15)</f>
        <v>0</v>
      </c>
      <c r="R20" s="59">
        <f>(2*MATERIALES!$C$177)+(4*MATERIALES!$C$179)+(4*MATERIALES!$C$181)+(1*MATERIALES!$C$182)+(4*MATERIALES!$C$183)+(4*MATERIALES!$C$184)+(4*MATERIALES!$C$185)+(2*MATERIALES!$C$186)+(8*MATERIALES!$C$158)+(8*MATERIALES!$C$174)+(((O20*4)+(P20*6))*MATERIALES!$C$188)+(((O20*2)+(P20*4))*MATERIALES!$C$141)+(4*MATERIALES!$C$148)+(((O20*5)*2)*MATERIALES!$C$147)+(10*MATERIALES!$C$145)+(2*MATERIALES!$C$188)</f>
        <v>1446.7793600000005</v>
      </c>
      <c r="S20" s="75"/>
      <c r="T20" s="55">
        <f>(O20*P20)*MATERIALES!$D$82</f>
        <v>508.79999999999995</v>
      </c>
      <c r="U20" s="55">
        <f>(((O20*P20)*2)*MATERIALES!$D$83)+(8*MATERIALES!$C$229)+(((O20*2)+(P20*4))*MATERIALES!$C$230)+(((O20*2)+(P20*4))*MATERIALES!$C$231)+((((O20*2)+(P20*2))/15)*MATERIALES!$C$232)+((((O20*2)+(P20*2))/15)*(MATERIALES!$C$233*0.15))</f>
        <v>2499.8688000000002</v>
      </c>
      <c r="V20" s="55">
        <f>(O20*P20)*MATERIALES!$D$89</f>
        <v>1718.3999999999999</v>
      </c>
      <c r="W20" s="124">
        <f t="shared" si="5"/>
        <v>2898.4131680000005</v>
      </c>
      <c r="X20" s="124">
        <f t="shared" si="0"/>
        <v>6880.550768000001</v>
      </c>
      <c r="Y20" s="70">
        <f t="shared" si="1"/>
        <v>4458.413168000001</v>
      </c>
    </row>
    <row r="21" spans="1:26" hidden="1">
      <c r="A21" s="68">
        <v>1.2</v>
      </c>
      <c r="B21" s="69">
        <v>1</v>
      </c>
      <c r="C21" s="59">
        <f>(((A21*2)*MATERIALES!$C$46)+((B21*2)*MATERIALES!$C$47)+((B21*2)*MATERIALES!$C$48)+((B21*2)*MATERIALES!$C$52)+((A21*2)*MATERIALES!$C$49))*(MATERIALES!$F$2*MATERIALES!$J$15)</f>
        <v>0</v>
      </c>
      <c r="D21" s="59">
        <f>(2*MATERIALES!$C$177)+(4*MATERIALES!$C$179)+(4*MATERIALES!$C$181)+(1*MATERIALES!$C$182)+(4*MATERIALES!$C$183)+(4*MATERIALES!$C$184)+(4*MATERIALES!$C$185)+(2*MATERIALES!$C$186)+(8*MATERIALES!$C$158)+(8*MATERIALES!$C$174)+(((A21*4)+(B21*6))*MATERIALES!$C$188)+(((A21*2)+(B21*4))*MATERIALES!$C$141)+(4*MATERIALES!$C$148)+(((A21*5)*2)*MATERIALES!$C$147)+(2*MATERIALES!$C$187)+(8*MATERIALES!$C$174)+(2*MATERIALES!$C$187)</f>
        <v>1472.34256</v>
      </c>
      <c r="E21" s="75"/>
      <c r="F21" s="55">
        <f>(A21*B21)*MATERIALES!$D$82</f>
        <v>636</v>
      </c>
      <c r="G21" s="55">
        <f>(((A21*B21)*2)*MATERIALES!$D$83)+(8*MATERIALES!$C$229)+(((A21*2)+(B21*4))*MATERIALES!$C$230)+(((A21*2)+(B21*4))*MATERIALES!$C$231)+((((A21*2)+(B21*2))/15)*MATERIALES!$C$232)+((((A21*2)+(B21*2))/15)*(MATERIALES!$C$233*0.15))</f>
        <v>2974.6204799999996</v>
      </c>
      <c r="H21" s="55">
        <f>(A21*B21)*MATERIALES!$D$89</f>
        <v>2148</v>
      </c>
      <c r="I21" s="124">
        <f t="shared" si="2"/>
        <v>3186.0453280000002</v>
      </c>
      <c r="J21" s="124">
        <f t="shared" si="3"/>
        <v>7863.2862879999993</v>
      </c>
      <c r="K21" s="70">
        <f t="shared" si="4"/>
        <v>5136.0453280000002</v>
      </c>
      <c r="M21" s="9">
        <f>((((B21*2)*MATERIALES!$C$64)+(B21*MATERIALES!$C$75)+(B21*MATERIALES!$C$65))*(MATERIALES!$F$2*MATERIALES!$J$15))*$M$3</f>
        <v>0</v>
      </c>
      <c r="N21"/>
      <c r="O21" s="68">
        <v>1.2</v>
      </c>
      <c r="P21" s="69">
        <v>1</v>
      </c>
      <c r="Q21" s="59">
        <f>(((O21*2)*MATERIALES!$C$46)+((P21*2)*MATERIALES!$C$47)+((P21*2)*MATERIALES!$C$48)+((P21*2)*MATERIALES!$C$52)+((O21*2)*MATERIALES!$C$49)+((P21*2)*MATERIALES!$C$64)+(P21*MATERIALES!$C$65)+(P21*MATERIALES!$C$75))*(MATERIALES!$F$2*MATERIALES!$J$15)</f>
        <v>0</v>
      </c>
      <c r="R21" s="59">
        <f>(2*MATERIALES!$C$177)+(4*MATERIALES!$C$179)+(4*MATERIALES!$C$181)+(1*MATERIALES!$C$182)+(4*MATERIALES!$C$183)+(4*MATERIALES!$C$184)+(4*MATERIALES!$C$185)+(2*MATERIALES!$C$186)+(8*MATERIALES!$C$158)+(8*MATERIALES!$C$174)+(((O21*4)+(P21*6))*MATERIALES!$C$188)+(((O21*2)+(P21*4))*MATERIALES!$C$141)+(4*MATERIALES!$C$148)+(((O21*5)*2)*MATERIALES!$C$147)+(10*MATERIALES!$C$145)+(2*MATERIALES!$C$188)</f>
        <v>1478.9153600000004</v>
      </c>
      <c r="S21" s="75"/>
      <c r="T21" s="55">
        <f>(O21*P21)*MATERIALES!$D$82</f>
        <v>636</v>
      </c>
      <c r="U21" s="55">
        <f>(((O21*P21)*2)*MATERIALES!$D$83)+(8*MATERIALES!$C$229)+(((O21*2)+(P21*4))*MATERIALES!$C$230)+(((O21*2)+(P21*4))*MATERIALES!$C$231)+((((O21*2)+(P21*2))/15)*MATERIALES!$C$232)+((((O21*2)+(P21*2))/15)*(MATERIALES!$C$233*0.15))</f>
        <v>2974.6204799999996</v>
      </c>
      <c r="V21" s="55">
        <f>(O21*P21)*MATERIALES!$D$89</f>
        <v>2148</v>
      </c>
      <c r="W21" s="124">
        <f t="shared" si="5"/>
        <v>3194.5899680000007</v>
      </c>
      <c r="X21" s="124">
        <f t="shared" si="0"/>
        <v>7871.8309279999994</v>
      </c>
      <c r="Y21" s="70">
        <f t="shared" si="1"/>
        <v>5144.5899680000002</v>
      </c>
    </row>
    <row r="22" spans="1:26" hidden="1">
      <c r="A22" s="68">
        <v>1.2</v>
      </c>
      <c r="B22" s="69">
        <v>1.1000000000000001</v>
      </c>
      <c r="C22" s="59">
        <f>(((A22*2)*MATERIALES!$C$46)+((B22*2)*MATERIALES!$C$47)+((B22*2)*MATERIALES!$C$48)+((B22*2)*MATERIALES!$C$52)+((A22*2)*MATERIALES!$C$49))*(MATERIALES!$F$2*MATERIALES!$J$15)</f>
        <v>0</v>
      </c>
      <c r="D22" s="59">
        <f>(2*MATERIALES!$C$177)+(4*MATERIALES!$C$179)+(4*MATERIALES!$C$181)+(1*MATERIALES!$C$182)+(4*MATERIALES!$C$183)+(4*MATERIALES!$C$184)+(4*MATERIALES!$C$185)+(2*MATERIALES!$C$186)+(8*MATERIALES!$C$158)+(8*MATERIALES!$C$174)+(((A22*4)+(B22*6))*MATERIALES!$C$188)+(((A22*2)+(B22*4))*MATERIALES!$C$141)+(4*MATERIALES!$C$148)+(((A22*5)*2)*MATERIALES!$C$147)+(2*MATERIALES!$C$187)+(8*MATERIALES!$C$174)+(2*MATERIALES!$C$187)</f>
        <v>1488.41056</v>
      </c>
      <c r="E22" s="75"/>
      <c r="F22" s="55">
        <f>(A22*B22)*MATERIALES!$D$82</f>
        <v>699.6</v>
      </c>
      <c r="G22" s="55">
        <f>(((A22*B22)*2)*MATERIALES!$D$83)+(8*MATERIALES!$C$229)+(((A22*2)+(B22*4))*MATERIALES!$C$230)+(((A22*2)+(B22*4))*MATERIALES!$C$231)+((((A22*2)+(B22*2))/15)*MATERIALES!$C$232)+((((A22*2)+(B22*2))/15)*(MATERIALES!$C$233*0.15))</f>
        <v>3211.9963200000002</v>
      </c>
      <c r="H22" s="55">
        <f>(A22*B22)*MATERIALES!$D$89</f>
        <v>2362.8000000000002</v>
      </c>
      <c r="I22" s="124">
        <f t="shared" si="2"/>
        <v>3334.1337280000002</v>
      </c>
      <c r="J22" s="124">
        <f t="shared" si="3"/>
        <v>8358.9263680000004</v>
      </c>
      <c r="K22" s="70">
        <f t="shared" si="4"/>
        <v>5479.1337280000007</v>
      </c>
      <c r="M22" s="9">
        <f>((((B22*2)*MATERIALES!$C$64)+(B22*MATERIALES!$C$75)+(B22*MATERIALES!$C$65))*(MATERIALES!$F$2*MATERIALES!$J$15))*$M$3</f>
        <v>0</v>
      </c>
      <c r="N22"/>
      <c r="O22" s="68">
        <v>1.2</v>
      </c>
      <c r="P22" s="69">
        <v>1.1000000000000001</v>
      </c>
      <c r="Q22" s="59">
        <f>(((O22*2)*MATERIALES!$C$46)+((P22*2)*MATERIALES!$C$47)+((P22*2)*MATERIALES!$C$48)+((P22*2)*MATERIALES!$C$52)+((O22*2)*MATERIALES!$C$49)+((P22*2)*MATERIALES!$C$64)+(P22*MATERIALES!$C$65)+(P22*MATERIALES!$C$75))*(MATERIALES!$F$2*MATERIALES!$J$15)</f>
        <v>0</v>
      </c>
      <c r="R22" s="59">
        <f>(2*MATERIALES!$C$177)+(4*MATERIALES!$C$179)+(4*MATERIALES!$C$181)+(1*MATERIALES!$C$182)+(4*MATERIALES!$C$183)+(4*MATERIALES!$C$184)+(4*MATERIALES!$C$185)+(2*MATERIALES!$C$186)+(8*MATERIALES!$C$158)+(8*MATERIALES!$C$174)+(((O22*4)+(P22*6))*MATERIALES!$C$188)+(((O22*2)+(P22*4))*MATERIALES!$C$141)+(4*MATERIALES!$C$148)+(((O22*5)*2)*MATERIALES!$C$147)+(10*MATERIALES!$C$145)+(2*MATERIALES!$C$188)</f>
        <v>1494.9833600000004</v>
      </c>
      <c r="S22" s="75"/>
      <c r="T22" s="55">
        <f>(O22*P22)*MATERIALES!$D$82</f>
        <v>699.6</v>
      </c>
      <c r="U22" s="55">
        <f>(((O22*P22)*2)*MATERIALES!$D$83)+(8*MATERIALES!$C$229)+(((O22*2)+(P22*4))*MATERIALES!$C$230)+(((O22*2)+(P22*4))*MATERIALES!$C$231)+((((O22*2)+(P22*2))/15)*MATERIALES!$C$232)+((((O22*2)+(P22*2))/15)*(MATERIALES!$C$233*0.15))</f>
        <v>3211.9963200000002</v>
      </c>
      <c r="V22" s="55">
        <f>(O22*P22)*MATERIALES!$D$89</f>
        <v>2362.8000000000002</v>
      </c>
      <c r="W22" s="124">
        <f t="shared" si="5"/>
        <v>3342.6783680000008</v>
      </c>
      <c r="X22" s="124">
        <f t="shared" si="0"/>
        <v>8367.4710080000004</v>
      </c>
      <c r="Y22" s="70">
        <f t="shared" si="1"/>
        <v>5487.6783680000008</v>
      </c>
    </row>
    <row r="23" spans="1:26" hidden="1">
      <c r="A23" s="68">
        <v>1.2</v>
      </c>
      <c r="B23" s="69">
        <v>1.2</v>
      </c>
      <c r="C23" s="59">
        <f>(((A23*2)*MATERIALES!$C$46)+((B23*2)*MATERIALES!$C$47)+((B23*2)*MATERIALES!$C$48)+((B23*2)*MATERIALES!$C$52)+((A23*2)*MATERIALES!$C$49))*(MATERIALES!$F$2*MATERIALES!$J$15)</f>
        <v>0</v>
      </c>
      <c r="D23" s="59">
        <f>(2*MATERIALES!$C$177)+(4*MATERIALES!$C$179)+(4*MATERIALES!$C$181)+(1*MATERIALES!$C$182)+(4*MATERIALES!$C$183)+(4*MATERIALES!$C$184)+(4*MATERIALES!$C$185)+(2*MATERIALES!$C$186)+(8*MATERIALES!$C$158)+(8*MATERIALES!$C$174)+(((A23*4)+(B23*6))*MATERIALES!$C$188)+(((A23*2)+(B23*4))*MATERIALES!$C$141)+(4*MATERIALES!$C$148)+(((A23*5)*2)*MATERIALES!$C$147)+(2*MATERIALES!$C$187)+(8*MATERIALES!$C$174)+(2*MATERIALES!$C$187)</f>
        <v>1504.4785599999998</v>
      </c>
      <c r="E23" s="75"/>
      <c r="F23" s="55">
        <f>(A23*B23)*MATERIALES!$D$82</f>
        <v>763.19999999999993</v>
      </c>
      <c r="G23" s="55">
        <f>(((A23*B23)*2)*MATERIALES!$D$83)+(8*MATERIALES!$C$229)+(((A23*2)+(B23*4))*MATERIALES!$C$230)+(((A23*2)+(B23*4))*MATERIALES!$C$231)+((((A23*2)+(B23*2))/15)*MATERIALES!$C$232)+((((A23*2)+(B23*2))/15)*(MATERIALES!$C$233*0.15))</f>
        <v>3449.3721599999999</v>
      </c>
      <c r="H23" s="55">
        <f>(A23*B23)*MATERIALES!$D$89</f>
        <v>2577.6</v>
      </c>
      <c r="I23" s="124">
        <f t="shared" si="2"/>
        <v>3482.2221279999994</v>
      </c>
      <c r="J23" s="124">
        <f t="shared" si="3"/>
        <v>8854.5664479999996</v>
      </c>
      <c r="K23" s="70">
        <f t="shared" si="4"/>
        <v>5822.2221279999994</v>
      </c>
      <c r="M23" s="9">
        <f>((((B23*2)*MATERIALES!$C$64)+(B23*MATERIALES!$C$75)+(B23*MATERIALES!$C$65))*(MATERIALES!$F$2*MATERIALES!$J$15))*$M$3</f>
        <v>0</v>
      </c>
      <c r="N23"/>
      <c r="O23" s="68">
        <v>1.2</v>
      </c>
      <c r="P23" s="69">
        <v>1.2</v>
      </c>
      <c r="Q23" s="59">
        <f>(((O23*2)*MATERIALES!$C$46)+((P23*2)*MATERIALES!$C$47)+((P23*2)*MATERIALES!$C$48)+((P23*2)*MATERIALES!$C$52)+((O23*2)*MATERIALES!$C$49)+((P23*2)*MATERIALES!$C$64)+(P23*MATERIALES!$C$65)+(P23*MATERIALES!$C$75))*(MATERIALES!$F$2*MATERIALES!$J$15)</f>
        <v>0</v>
      </c>
      <c r="R23" s="59">
        <f>(2*MATERIALES!$C$177)+(4*MATERIALES!$C$179)+(4*MATERIALES!$C$181)+(1*MATERIALES!$C$182)+(4*MATERIALES!$C$183)+(4*MATERIALES!$C$184)+(4*MATERIALES!$C$185)+(2*MATERIALES!$C$186)+(8*MATERIALES!$C$158)+(8*MATERIALES!$C$174)+(((O23*4)+(P23*6))*MATERIALES!$C$188)+(((O23*2)+(P23*4))*MATERIALES!$C$141)+(4*MATERIALES!$C$148)+(((O23*5)*2)*MATERIALES!$C$147)+(10*MATERIALES!$C$145)+(2*MATERIALES!$C$188)</f>
        <v>1511.0513600000002</v>
      </c>
      <c r="S23" s="75"/>
      <c r="T23" s="55">
        <f>(O23*P23)*MATERIALES!$D$82</f>
        <v>763.19999999999993</v>
      </c>
      <c r="U23" s="55">
        <f>(((O23*P23)*2)*MATERIALES!$D$83)+(8*MATERIALES!$C$229)+(((O23*2)+(P23*4))*MATERIALES!$C$230)+(((O23*2)+(P23*4))*MATERIALES!$C$231)+((((O23*2)+(P23*2))/15)*MATERIALES!$C$232)+((((O23*2)+(P23*2))/15)*(MATERIALES!$C$233*0.15))</f>
        <v>3449.3721599999999</v>
      </c>
      <c r="V23" s="55">
        <f>(O23*P23)*MATERIALES!$D$89</f>
        <v>2577.6</v>
      </c>
      <c r="W23" s="124">
        <f t="shared" si="5"/>
        <v>3490.7667680000004</v>
      </c>
      <c r="X23" s="124">
        <f t="shared" si="0"/>
        <v>8863.1110879999997</v>
      </c>
      <c r="Y23" s="70">
        <f t="shared" si="1"/>
        <v>5830.7667679999995</v>
      </c>
    </row>
    <row r="24" spans="1:26" hidden="1">
      <c r="A24" s="68">
        <v>1.2</v>
      </c>
      <c r="B24" s="69">
        <v>1.5</v>
      </c>
      <c r="C24" s="59">
        <f>(((A24*2)*MATERIALES!$C$46)+((B24*2)*MATERIALES!$C$47)+((B24*2)*MATERIALES!$C$48)+((B24*2)*MATERIALES!$C$52)+((A24*2)*MATERIALES!$C$49))*(MATERIALES!$F$2*MATERIALES!$J$15)</f>
        <v>0</v>
      </c>
      <c r="D24" s="59">
        <f>(2*MATERIALES!$C$177)+(4*MATERIALES!$C$179)+(4*MATERIALES!$C$181)+(1*MATERIALES!$C$182)+(4*MATERIALES!$C$183)+(4*MATERIALES!$C$184)+(4*MATERIALES!$C$185)+(2*MATERIALES!$C$186)+(8*MATERIALES!$C$158)+(8*MATERIALES!$C$174)+(((A24*4)+(B24*6))*MATERIALES!$C$188)+(((A24*2)+(B24*4))*MATERIALES!$C$141)+(4*MATERIALES!$C$148)+(((A24*5)*2)*MATERIALES!$C$147)+(2*MATERIALES!$C$187)+(8*MATERIALES!$C$174)+(2*MATERIALES!$C$187)</f>
        <v>1552.68256</v>
      </c>
      <c r="E24" s="75"/>
      <c r="F24" s="55">
        <f>(A24*B24)*MATERIALES!$D$82</f>
        <v>953.99999999999989</v>
      </c>
      <c r="G24" s="55">
        <f>(((A24*B24)*2)*MATERIALES!$D$83)+(8*MATERIALES!$C$229)+(((A24*2)+(B24*4))*MATERIALES!$C$230)+(((A24*2)+(B24*4))*MATERIALES!$C$231)+((((A24*2)+(B24*2))/15)*MATERIALES!$C$232)+((((A24*2)+(B24*2))/15)*(MATERIALES!$C$233*0.15))</f>
        <v>4161.499679999999</v>
      </c>
      <c r="H24" s="55">
        <f>(A24*B24)*MATERIALES!$D$89</f>
        <v>3221.9999999999995</v>
      </c>
      <c r="I24" s="124">
        <f t="shared" si="2"/>
        <v>3926.4873279999997</v>
      </c>
      <c r="J24" s="124">
        <f t="shared" si="3"/>
        <v>10341.486687999997</v>
      </c>
      <c r="K24" s="70">
        <f>(SUM(C24:E24)*1.3)+(H24*2)</f>
        <v>8462.4873279999993</v>
      </c>
      <c r="M24" s="9">
        <f>((((B24*2)*MATERIALES!$C$64)+(B24*MATERIALES!$C$75)+(B24*MATERIALES!$C$65))*(MATERIALES!$F$2*MATERIALES!$J$15))*$M$3</f>
        <v>0</v>
      </c>
      <c r="N24"/>
      <c r="O24" s="68">
        <v>1.2</v>
      </c>
      <c r="P24" s="69">
        <v>1.5</v>
      </c>
      <c r="Q24" s="59">
        <f>(((O24*2)*MATERIALES!$C$46)+((P24*2)*MATERIALES!$C$47)+((P24*2)*MATERIALES!$C$48)+((P24*2)*MATERIALES!$C$52)+((O24*2)*MATERIALES!$C$49)+((P24*2)*MATERIALES!$C$64)+(P24*MATERIALES!$C$65)+(P24*MATERIALES!$C$75))*(MATERIALES!$F$2*MATERIALES!$J$15)</f>
        <v>0</v>
      </c>
      <c r="R24" s="59">
        <f>(2*MATERIALES!$C$177)+(4*MATERIALES!$C$179)+(4*MATERIALES!$C$181)+(1*MATERIALES!$C$182)+(4*MATERIALES!$C$183)+(4*MATERIALES!$C$184)+(4*MATERIALES!$C$185)+(2*MATERIALES!$C$186)+(8*MATERIALES!$C$158)+(8*MATERIALES!$C$174)+(((O24*4)+(P24*6))*MATERIALES!$C$188)+(((O24*2)+(P24*4))*MATERIALES!$C$141)+(4*MATERIALES!$C$148)+(((O24*5)*2)*MATERIALES!$C$147)+(10*MATERIALES!$C$145)+(2*MATERIALES!$C$188)</f>
        <v>1559.2553600000003</v>
      </c>
      <c r="S24" s="75"/>
      <c r="T24" s="55">
        <f>(O24*P24)*MATERIALES!$D$82</f>
        <v>953.99999999999989</v>
      </c>
      <c r="U24" s="55">
        <f>(((O24*P24)*2)*MATERIALES!$D$83)+(8*MATERIALES!$C$229)+(((O24*2)+(P24*4))*MATERIALES!$C$230)+(((O24*2)+(P24*4))*MATERIALES!$C$231)+((((O24*2)+(P24*2))/15)*MATERIALES!$C$232)+((((O24*2)+(P24*2))/15)*(MATERIALES!$C$233*0.15))</f>
        <v>4161.499679999999</v>
      </c>
      <c r="V24" s="55">
        <f>(O24*P24)*MATERIALES!$D$89</f>
        <v>3221.9999999999995</v>
      </c>
      <c r="W24" s="124">
        <f t="shared" si="5"/>
        <v>3935.0319680000002</v>
      </c>
      <c r="X24" s="124">
        <f t="shared" si="0"/>
        <v>10350.031327999999</v>
      </c>
      <c r="Y24" s="70">
        <f t="shared" si="1"/>
        <v>6860.0319679999993</v>
      </c>
    </row>
    <row r="25" spans="1:26" hidden="1">
      <c r="A25" s="68">
        <v>1.2</v>
      </c>
      <c r="B25" s="69">
        <v>1.8</v>
      </c>
      <c r="C25" s="59">
        <f>(((A25*2)*MATERIALES!$C$46)+((B25*2)*MATERIALES!$C$47)+((B25*2)*MATERIALES!$C$48)+((B25*2)*MATERIALES!$C$52)+((A25*2)*MATERIALES!$C$49))*(MATERIALES!$F$2*MATERIALES!$J$15)</f>
        <v>0</v>
      </c>
      <c r="D25" s="59">
        <f>(2*MATERIALES!$C$177)+(4*MATERIALES!$C$179)+(4*MATERIALES!$C$181)+(1*MATERIALES!$C$182)+(4*MATERIALES!$C$183)+(4*MATERIALES!$C$184)+(4*MATERIALES!$C$185)+(2*MATERIALES!$C$186)+(8*MATERIALES!$C$158)+(8*MATERIALES!$C$174)+(((A25*4)+(B25*6))*MATERIALES!$C$188)+(((A25*2)+(B25*4))*MATERIALES!$C$141)+(4*MATERIALES!$C$148)+(((A25*5)*2)*MATERIALES!$C$147)+(2*MATERIALES!$C$187)+(8*MATERIALES!$C$174)+(2*MATERIALES!$C$187)</f>
        <v>1600.8865599999999</v>
      </c>
      <c r="E25" s="75"/>
      <c r="F25" s="55">
        <f>(A25*B25)*MATERIALES!$D$82</f>
        <v>1144.8000000000002</v>
      </c>
      <c r="G25" s="55">
        <f>(((A25*B25)*2)*MATERIALES!$D$83)+(8*MATERIALES!$C$229)+(((A25*2)+(B25*4))*MATERIALES!$C$230)+(((A25*2)+(B25*4))*MATERIALES!$C$231)+((((A25*2)+(B25*2))/15)*MATERIALES!$C$232)+((((A25*2)+(B25*2))/15)*(MATERIALES!$C$233*0.15))</f>
        <v>4873.6271999999999</v>
      </c>
      <c r="H25" s="55">
        <f>(A25*B25)*MATERIALES!$D$89</f>
        <v>3866.4</v>
      </c>
      <c r="I25" s="124">
        <f t="shared" si="2"/>
        <v>4370.7525280000009</v>
      </c>
      <c r="J25" s="124">
        <f t="shared" si="3"/>
        <v>11828.406928</v>
      </c>
      <c r="K25" s="70">
        <f t="shared" si="4"/>
        <v>7880.7525280000009</v>
      </c>
      <c r="M25" s="9">
        <f>((((B25*2)*MATERIALES!$C$64)+(B25*MATERIALES!$C$75)+(B25*MATERIALES!$C$65))*(MATERIALES!$F$2*MATERIALES!$J$15))*$M$3</f>
        <v>0</v>
      </c>
      <c r="N25"/>
      <c r="O25" s="68">
        <v>1.2</v>
      </c>
      <c r="P25" s="69">
        <v>1.8</v>
      </c>
      <c r="Q25" s="59">
        <f>(((O25*2)*MATERIALES!$C$46)+((P25*2)*MATERIALES!$C$47)+((P25*2)*MATERIALES!$C$48)+((P25*2)*MATERIALES!$C$52)+((O25*2)*MATERIALES!$C$49)+((P25*2)*MATERIALES!$C$64)+(P25*MATERIALES!$C$65)+(P25*MATERIALES!$C$75))*(MATERIALES!$F$2*MATERIALES!$J$15)</f>
        <v>0</v>
      </c>
      <c r="R25" s="59">
        <f>(2*MATERIALES!$C$177)+(4*MATERIALES!$C$179)+(4*MATERIALES!$C$181)+(1*MATERIALES!$C$182)+(4*MATERIALES!$C$183)+(4*MATERIALES!$C$184)+(4*MATERIALES!$C$185)+(2*MATERIALES!$C$186)+(8*MATERIALES!$C$158)+(8*MATERIALES!$C$174)+(((O25*4)+(P25*6))*MATERIALES!$C$188)+(((O25*2)+(P25*4))*MATERIALES!$C$141)+(4*MATERIALES!$C$148)+(((O25*5)*2)*MATERIALES!$C$147)+(10*MATERIALES!$C$145)+(2*MATERIALES!$C$188)</f>
        <v>1607.4593600000003</v>
      </c>
      <c r="S25" s="75"/>
      <c r="T25" s="55">
        <f>(O25*P25)*MATERIALES!$D$82</f>
        <v>1144.8000000000002</v>
      </c>
      <c r="U25" s="55">
        <f>(((O25*P25)*2)*MATERIALES!$D$83)+(8*MATERIALES!$C$229)+(((O25*2)+(P25*4))*MATERIALES!$C$230)+(((O25*2)+(P25*4))*MATERIALES!$C$231)+((((O25*2)+(P25*2))/15)*MATERIALES!$C$232)+((((O25*2)+(P25*2))/15)*(MATERIALES!$C$233*0.15))</f>
        <v>4873.6271999999999</v>
      </c>
      <c r="V25" s="55">
        <f>(O25*P25)*MATERIALES!$D$89</f>
        <v>3866.4</v>
      </c>
      <c r="W25" s="124">
        <f t="shared" si="5"/>
        <v>4379.297168000001</v>
      </c>
      <c r="X25" s="124">
        <f t="shared" si="0"/>
        <v>11836.951568</v>
      </c>
      <c r="Y25" s="70">
        <f t="shared" si="1"/>
        <v>7889.297168000001</v>
      </c>
    </row>
    <row r="26" spans="1:26" hidden="1">
      <c r="A26" s="68">
        <v>1.5</v>
      </c>
      <c r="B26" s="69">
        <v>0.4</v>
      </c>
      <c r="C26" s="59">
        <f>(((A26*2)*MATERIALES!$C$46)+((B26*2)*MATERIALES!$C$47)+((B26*2)*MATERIALES!$C$48)+((B26*2)*MATERIALES!$C$52)+((A26*2)*MATERIALES!$C$49))*(MATERIALES!$F$2*MATERIALES!$J$15)</f>
        <v>0</v>
      </c>
      <c r="D26" s="59">
        <f>(2*MATERIALES!$C$177)+(4*MATERIALES!$C$179)+(4*MATERIALES!$C$181)+(1*MATERIALES!$C$182)+(4*MATERIALES!$C$183)+(4*MATERIALES!$C$184)+(4*MATERIALES!$C$185)+(2*MATERIALES!$C$186)+(8*MATERIALES!$C$158)+(8*MATERIALES!$C$174)+(((A26*4)+(B26*6))*MATERIALES!$C$188)+(((A26*2)+(B26*4))*MATERIALES!$C$141)+(4*MATERIALES!$C$148)+(((A26*5)*2)*MATERIALES!$C$147)+(2*MATERIALES!$C$187)+(8*MATERIALES!$C$174)+(2*MATERIALES!$C$187)</f>
        <v>1403.8024</v>
      </c>
      <c r="E26" s="75"/>
      <c r="F26" s="55">
        <f>(A26*B26)*MATERIALES!$D$82</f>
        <v>318.00000000000006</v>
      </c>
      <c r="G26" s="55">
        <f>(((A26*B26)*2)*MATERIALES!$D$83)+(8*MATERIALES!$C$229)+(((A26*2)+(B26*4))*MATERIALES!$C$230)+(((A26*2)+(B26*4))*MATERIALES!$C$231)+((((A26*2)+(B26*2))/15)*MATERIALES!$C$232)+((((A26*2)+(B26*2))/15)*(MATERIALES!$C$233*0.15))</f>
        <v>1845.6609600000002</v>
      </c>
      <c r="H26" s="55">
        <f>(A26*B26)*MATERIALES!$D$89</f>
        <v>1074.0000000000002</v>
      </c>
      <c r="I26" s="124">
        <f t="shared" si="2"/>
        <v>2460.9431200000004</v>
      </c>
      <c r="J26" s="124">
        <f t="shared" si="3"/>
        <v>5516.2650400000002</v>
      </c>
      <c r="K26" s="70">
        <f t="shared" si="4"/>
        <v>3435.9431200000008</v>
      </c>
      <c r="M26" s="9">
        <f>((((B26*2)*MATERIALES!$C$64)+(B26*MATERIALES!$C$75)+(B26*MATERIALES!$C$65))*(MATERIALES!$F$2*MATERIALES!$J$15))*$M$3</f>
        <v>0</v>
      </c>
      <c r="N26"/>
      <c r="O26" s="68">
        <v>1.5</v>
      </c>
      <c r="P26" s="69">
        <v>0.4</v>
      </c>
      <c r="Q26" s="59">
        <f>(((O26*2)*MATERIALES!$C$46)+((P26*2)*MATERIALES!$C$47)+((P26*2)*MATERIALES!$C$48)+((P26*2)*MATERIALES!$C$52)+((O26*2)*MATERIALES!$C$49)+((P26*2)*MATERIALES!$C$64)+(P26*MATERIALES!$C$65)+(P26*MATERIALES!$C$75))*(MATERIALES!$F$2*MATERIALES!$J$15)</f>
        <v>0</v>
      </c>
      <c r="R26" s="59">
        <f>(2*MATERIALES!$C$177)+(4*MATERIALES!$C$179)+(4*MATERIALES!$C$181)+(1*MATERIALES!$C$182)+(4*MATERIALES!$C$183)+(4*MATERIALES!$C$184)+(4*MATERIALES!$C$185)+(2*MATERIALES!$C$186)+(8*MATERIALES!$C$158)+(8*MATERIALES!$C$174)+(((O26*4)+(P26*6))*MATERIALES!$C$188)+(((O26*2)+(P26*4))*MATERIALES!$C$141)+(4*MATERIALES!$C$148)+(((O26*5)*2)*MATERIALES!$C$147)+(10*MATERIALES!$C$145)+(2*MATERIALES!$C$188)</f>
        <v>1410.3752000000004</v>
      </c>
      <c r="S26" s="75"/>
      <c r="T26" s="55">
        <f>(O26*P26)*MATERIALES!$D$82</f>
        <v>318.00000000000006</v>
      </c>
      <c r="U26" s="55">
        <f>(((O26*P26)*2)*MATERIALES!$D$83)+(8*MATERIALES!$C$229)+(((O26*2)+(P26*4))*MATERIALES!$C$230)+(((O26*2)+(P26*4))*MATERIALES!$C$231)+((((O26*2)+(P26*2))/15)*MATERIALES!$C$232)+((((O26*2)+(P26*2))/15)*(MATERIALES!$C$233*0.15))</f>
        <v>1845.6609600000002</v>
      </c>
      <c r="V26" s="55">
        <f>(O26*P26)*MATERIALES!$D$89</f>
        <v>1074.0000000000002</v>
      </c>
      <c r="W26" s="124">
        <f t="shared" si="5"/>
        <v>2469.4877600000009</v>
      </c>
      <c r="X26" s="124">
        <f t="shared" si="0"/>
        <v>5524.8096800000012</v>
      </c>
      <c r="Y26" s="70">
        <f t="shared" si="1"/>
        <v>3444.4877600000009</v>
      </c>
    </row>
    <row r="27" spans="1:26" hidden="1">
      <c r="A27" s="68">
        <v>1.5</v>
      </c>
      <c r="B27" s="69">
        <v>0.6</v>
      </c>
      <c r="C27" s="59">
        <f>(((A27*2)*MATERIALES!$C$46)+((B27*2)*MATERIALES!$C$47)+((B27*2)*MATERIALES!$C$48)+((B27*2)*MATERIALES!$C$52)+((A27*2)*MATERIALES!$C$49))*(MATERIALES!$F$2*MATERIALES!$J$15)</f>
        <v>0</v>
      </c>
      <c r="D27" s="59">
        <f>(2*MATERIALES!$C$177)+(4*MATERIALES!$C$179)+(4*MATERIALES!$C$181)+(1*MATERIALES!$C$182)+(4*MATERIALES!$C$183)+(4*MATERIALES!$C$184)+(4*MATERIALES!$C$185)+(2*MATERIALES!$C$186)+(8*MATERIALES!$C$158)+(8*MATERIALES!$C$174)+(((A27*4)+(B27*6))*MATERIALES!$C$188)+(((A27*2)+(B27*4))*MATERIALES!$C$141)+(4*MATERIALES!$C$148)+(((A27*5)*2)*MATERIALES!$C$147)+(2*MATERIALES!$C$187)+(8*MATERIALES!$C$174)+(2*MATERIALES!$C$187)</f>
        <v>1435.9384</v>
      </c>
      <c r="E27" s="75"/>
      <c r="F27" s="55">
        <f>(A27*B27)*MATERIALES!$D$82</f>
        <v>476.99999999999994</v>
      </c>
      <c r="G27" s="55">
        <f>(((A27*B27)*2)*MATERIALES!$D$83)+(8*MATERIALES!$C$229)+(((A27*2)+(B27*4))*MATERIALES!$C$230)+(((A27*2)+(B27*4))*MATERIALES!$C$231)+((((A27*2)+(B27*2))/15)*MATERIALES!$C$232)+((((A27*2)+(B27*2))/15)*(MATERIALES!$C$233*0.15))</f>
        <v>2398.4126399999996</v>
      </c>
      <c r="H27" s="55">
        <f>(A27*B27)*MATERIALES!$D$89</f>
        <v>1610.9999999999998</v>
      </c>
      <c r="I27" s="124">
        <f t="shared" si="2"/>
        <v>2820.71992</v>
      </c>
      <c r="J27" s="124">
        <f t="shared" si="3"/>
        <v>6663.5451999999987</v>
      </c>
      <c r="K27" s="70">
        <f t="shared" si="4"/>
        <v>4283.2199199999995</v>
      </c>
      <c r="M27" s="9">
        <f>((((B27*2)*MATERIALES!$C$64)+(B27*MATERIALES!$C$75)+(B27*MATERIALES!$C$65))*(MATERIALES!$F$2*MATERIALES!$J$15))*$M$3</f>
        <v>0</v>
      </c>
      <c r="N27"/>
      <c r="O27" s="68">
        <v>1.5</v>
      </c>
      <c r="P27" s="69">
        <v>0.6</v>
      </c>
      <c r="Q27" s="59">
        <f>(((O27*2)*MATERIALES!$C$46)+((P27*2)*MATERIALES!$C$47)+((P27*2)*MATERIALES!$C$48)+((P27*2)*MATERIALES!$C$52)+((O27*2)*MATERIALES!$C$49)+((P27*2)*MATERIALES!$C$64)+(P27*MATERIALES!$C$65)+(P27*MATERIALES!$C$75))*(MATERIALES!$F$2*MATERIALES!$J$15)</f>
        <v>0</v>
      </c>
      <c r="R27" s="59">
        <f>(2*MATERIALES!$C$177)+(4*MATERIALES!$C$179)+(4*MATERIALES!$C$181)+(1*MATERIALES!$C$182)+(4*MATERIALES!$C$183)+(4*MATERIALES!$C$184)+(4*MATERIALES!$C$185)+(2*MATERIALES!$C$186)+(8*MATERIALES!$C$158)+(8*MATERIALES!$C$174)+(((O27*4)+(P27*6))*MATERIALES!$C$188)+(((O27*2)+(P27*4))*MATERIALES!$C$141)+(4*MATERIALES!$C$148)+(((O27*5)*2)*MATERIALES!$C$147)+(10*MATERIALES!$C$145)+(2*MATERIALES!$C$188)</f>
        <v>1442.5112000000004</v>
      </c>
      <c r="S27" s="75"/>
      <c r="T27" s="55">
        <f>(O27*P27)*MATERIALES!$D$82</f>
        <v>476.99999999999994</v>
      </c>
      <c r="U27" s="55">
        <f>(((O27*P27)*2)*MATERIALES!$D$83)+(8*MATERIALES!$C$229)+(((O27*2)+(P27*4))*MATERIALES!$C$230)+(((O27*2)+(P27*4))*MATERIALES!$C$231)+((((O27*2)+(P27*2))/15)*MATERIALES!$C$232)+((((O27*2)+(P27*2))/15)*(MATERIALES!$C$233*0.15))</f>
        <v>2398.4126399999996</v>
      </c>
      <c r="V27" s="55">
        <f>(O27*P27)*MATERIALES!$D$89</f>
        <v>1610.9999999999998</v>
      </c>
      <c r="W27" s="124">
        <f t="shared" si="5"/>
        <v>2829.2645600000005</v>
      </c>
      <c r="X27" s="124">
        <f t="shared" si="0"/>
        <v>6672.0898399999996</v>
      </c>
      <c r="Y27" s="70">
        <f t="shared" si="1"/>
        <v>4291.7645599999996</v>
      </c>
    </row>
    <row r="28" spans="1:26" hidden="1">
      <c r="A28" s="68">
        <v>1.5</v>
      </c>
      <c r="B28" s="69">
        <v>0.8</v>
      </c>
      <c r="C28" s="59">
        <f>(((A28*2)*MATERIALES!$C$46)+((B28*2)*MATERIALES!$C$47)+((B28*2)*MATERIALES!$C$48)+((B28*2)*MATERIALES!$C$52)+((A28*2)*MATERIALES!$C$49))*(MATERIALES!$F$2*MATERIALES!$J$15)</f>
        <v>0</v>
      </c>
      <c r="D28" s="59">
        <f>(2*MATERIALES!$C$177)+(4*MATERIALES!$C$179)+(4*MATERIALES!$C$181)+(1*MATERIALES!$C$182)+(4*MATERIALES!$C$183)+(4*MATERIALES!$C$184)+(4*MATERIALES!$C$185)+(2*MATERIALES!$C$186)+(8*MATERIALES!$C$158)+(8*MATERIALES!$C$174)+(((A28*4)+(B28*6))*MATERIALES!$C$188)+(((A28*2)+(B28*4))*MATERIALES!$C$141)+(4*MATERIALES!$C$148)+(((A28*5)*2)*MATERIALES!$C$147)+(2*MATERIALES!$C$187)+(8*MATERIALES!$C$174)+(2*MATERIALES!$C$187)</f>
        <v>1468.0744</v>
      </c>
      <c r="E28" s="75"/>
      <c r="F28" s="55">
        <f>(A28*B28)*MATERIALES!$D$82</f>
        <v>636.00000000000011</v>
      </c>
      <c r="G28" s="55">
        <f>(((A28*B28)*2)*MATERIALES!$D$83)+(8*MATERIALES!$C$229)+(((A28*2)+(B28*4))*MATERIALES!$C$230)+(((A28*2)+(B28*4))*MATERIALES!$C$231)+((((A28*2)+(B28*2))/15)*MATERIALES!$C$232)+((((A28*2)+(B28*2))/15)*(MATERIALES!$C$233*0.15))</f>
        <v>2951.1643200000008</v>
      </c>
      <c r="H28" s="55">
        <f>(A28*B28)*MATERIALES!$D$89</f>
        <v>2148.0000000000005</v>
      </c>
      <c r="I28" s="124">
        <f t="shared" si="2"/>
        <v>3180.4967200000001</v>
      </c>
      <c r="J28" s="124">
        <f t="shared" si="3"/>
        <v>7810.8253600000016</v>
      </c>
      <c r="K28" s="70">
        <f t="shared" si="4"/>
        <v>5130.496720000001</v>
      </c>
      <c r="M28" s="9">
        <f>((((B28*2)*MATERIALES!$C$64)+(B28*MATERIALES!$C$75)+(B28*MATERIALES!$C$65))*(MATERIALES!$F$2*MATERIALES!$J$15))*$M$3</f>
        <v>0</v>
      </c>
      <c r="N28"/>
      <c r="O28" s="68">
        <v>1.5</v>
      </c>
      <c r="P28" s="69">
        <v>0.8</v>
      </c>
      <c r="Q28" s="59">
        <f>(((O28*2)*MATERIALES!$C$46)+((P28*2)*MATERIALES!$C$47)+((P28*2)*MATERIALES!$C$48)+((P28*2)*MATERIALES!$C$52)+((O28*2)*MATERIALES!$C$49)+((P28*2)*MATERIALES!$C$64)+(P28*MATERIALES!$C$65)+(P28*MATERIALES!$C$75))*(MATERIALES!$F$2*MATERIALES!$J$15)</f>
        <v>0</v>
      </c>
      <c r="R28" s="59">
        <f>(2*MATERIALES!$C$177)+(4*MATERIALES!$C$179)+(4*MATERIALES!$C$181)+(1*MATERIALES!$C$182)+(4*MATERIALES!$C$183)+(4*MATERIALES!$C$184)+(4*MATERIALES!$C$185)+(2*MATERIALES!$C$186)+(8*MATERIALES!$C$158)+(8*MATERIALES!$C$174)+(((O28*4)+(P28*6))*MATERIALES!$C$188)+(((O28*2)+(P28*4))*MATERIALES!$C$141)+(4*MATERIALES!$C$148)+(((O28*5)*2)*MATERIALES!$C$147)+(10*MATERIALES!$C$145)+(2*MATERIALES!$C$188)</f>
        <v>1474.6472000000003</v>
      </c>
      <c r="S28" s="75"/>
      <c r="T28" s="55">
        <f>(O28*P28)*MATERIALES!$D$82</f>
        <v>636.00000000000011</v>
      </c>
      <c r="U28" s="55">
        <f>(((O28*P28)*2)*MATERIALES!$D$83)+(8*MATERIALES!$C$229)+(((O28*2)+(P28*4))*MATERIALES!$C$230)+(((O28*2)+(P28*4))*MATERIALES!$C$231)+((((O28*2)+(P28*2))/15)*MATERIALES!$C$232)+((((O28*2)+(P28*2))/15)*(MATERIALES!$C$233*0.15))</f>
        <v>2951.1643200000008</v>
      </c>
      <c r="V28" s="55">
        <f>(O28*P28)*MATERIALES!$D$89</f>
        <v>2148.0000000000005</v>
      </c>
      <c r="W28" s="124">
        <f t="shared" si="5"/>
        <v>3189.0413600000006</v>
      </c>
      <c r="X28" s="124">
        <f t="shared" si="0"/>
        <v>7819.3700000000017</v>
      </c>
      <c r="Y28" s="70">
        <f t="shared" si="1"/>
        <v>5139.0413600000011</v>
      </c>
    </row>
    <row r="29" spans="1:26" hidden="1">
      <c r="A29" s="68">
        <v>1.5</v>
      </c>
      <c r="B29" s="69">
        <v>1</v>
      </c>
      <c r="C29" s="59">
        <f>(((A29*2)*MATERIALES!$C$46)+((B29*2)*MATERIALES!$C$47)+((B29*2)*MATERIALES!$C$48)+((B29*2)*MATERIALES!$C$52)+((A29*2)*MATERIALES!$C$49))*(MATERIALES!$F$2*MATERIALES!$J$15)</f>
        <v>0</v>
      </c>
      <c r="D29" s="59">
        <f>(2*MATERIALES!$C$177)+(4*MATERIALES!$C$179)+(4*MATERIALES!$C$181)+(1*MATERIALES!$C$182)+(4*MATERIALES!$C$183)+(4*MATERIALES!$C$184)+(4*MATERIALES!$C$185)+(2*MATERIALES!$C$186)+(8*MATERIALES!$C$158)+(8*MATERIALES!$C$174)+(((A29*4)+(B29*6))*MATERIALES!$C$188)+(((A29*2)+(B29*4))*MATERIALES!$C$141)+(4*MATERIALES!$C$148)+(((A29*5)*2)*MATERIALES!$C$147)+(2*MATERIALES!$C$187)+(8*MATERIALES!$C$174)+(2*MATERIALES!$C$187)</f>
        <v>1500.2103999999999</v>
      </c>
      <c r="E29" s="75"/>
      <c r="F29" s="55">
        <f>(A29*B29)*MATERIALES!$D$82</f>
        <v>795</v>
      </c>
      <c r="G29" s="55">
        <f>(((A29*B29)*2)*MATERIALES!$D$83)+(8*MATERIALES!$C$229)+(((A29*2)+(B29*4))*MATERIALES!$C$230)+(((A29*2)+(B29*4))*MATERIALES!$C$231)+((((A29*2)+(B29*2))/15)*MATERIALES!$C$232)+((((A29*2)+(B29*2))/15)*(MATERIALES!$C$233*0.15))</f>
        <v>3503.9160000000002</v>
      </c>
      <c r="H29" s="55">
        <f>(A29*B29)*MATERIALES!$D$89</f>
        <v>2685</v>
      </c>
      <c r="I29" s="124">
        <f t="shared" si="2"/>
        <v>3540.2735199999997</v>
      </c>
      <c r="J29" s="124">
        <f t="shared" si="3"/>
        <v>8958.105520000001</v>
      </c>
      <c r="K29" s="70">
        <f t="shared" si="4"/>
        <v>5977.7735199999997</v>
      </c>
      <c r="M29" s="9">
        <f>((((B29*2)*MATERIALES!$C$64)+(B29*MATERIALES!$C$75)+(B29*MATERIALES!$C$65))*(MATERIALES!$F$2*MATERIALES!$J$15))*$M$3</f>
        <v>0</v>
      </c>
      <c r="N29"/>
      <c r="O29" s="68">
        <v>1.5</v>
      </c>
      <c r="P29" s="69">
        <v>1</v>
      </c>
      <c r="Q29" s="59">
        <f>(((O29*2)*MATERIALES!$C$46)+((P29*2)*MATERIALES!$C$47)+((P29*2)*MATERIALES!$C$48)+((P29*2)*MATERIALES!$C$52)+((O29*2)*MATERIALES!$C$49)+((P29*2)*MATERIALES!$C$64)+(P29*MATERIALES!$C$65)+(P29*MATERIALES!$C$75))*(MATERIALES!$F$2*MATERIALES!$J$15)</f>
        <v>0</v>
      </c>
      <c r="R29" s="59">
        <f>(2*MATERIALES!$C$177)+(4*MATERIALES!$C$179)+(4*MATERIALES!$C$181)+(1*MATERIALES!$C$182)+(4*MATERIALES!$C$183)+(4*MATERIALES!$C$184)+(4*MATERIALES!$C$185)+(2*MATERIALES!$C$186)+(8*MATERIALES!$C$158)+(8*MATERIALES!$C$174)+(((O29*4)+(P29*6))*MATERIALES!$C$188)+(((O29*2)+(P29*4))*MATERIALES!$C$141)+(4*MATERIALES!$C$148)+(((O29*5)*2)*MATERIALES!$C$147)+(10*MATERIALES!$C$145)+(2*MATERIALES!$C$188)</f>
        <v>1506.7832000000003</v>
      </c>
      <c r="S29" s="75"/>
      <c r="T29" s="55">
        <f>(O29*P29)*MATERIALES!$D$82</f>
        <v>795</v>
      </c>
      <c r="U29" s="55">
        <f>(((O29*P29)*2)*MATERIALES!$D$83)+(8*MATERIALES!$C$229)+(((O29*2)+(P29*4))*MATERIALES!$C$230)+(((O29*2)+(P29*4))*MATERIALES!$C$231)+((((O29*2)+(P29*2))/15)*MATERIALES!$C$232)+((((O29*2)+(P29*2))/15)*(MATERIALES!$C$233*0.15))</f>
        <v>3503.9160000000002</v>
      </c>
      <c r="V29" s="55">
        <f>(O29*P29)*MATERIALES!$D$89</f>
        <v>2685</v>
      </c>
      <c r="W29" s="124">
        <f t="shared" si="5"/>
        <v>3548.8181600000007</v>
      </c>
      <c r="X29" s="124">
        <f t="shared" si="0"/>
        <v>8966.6501600000011</v>
      </c>
      <c r="Y29" s="70">
        <f t="shared" si="1"/>
        <v>5986.3181600000007</v>
      </c>
    </row>
    <row r="30" spans="1:26" hidden="1">
      <c r="A30" s="68">
        <v>1.5</v>
      </c>
      <c r="B30" s="69">
        <v>1.1000000000000001</v>
      </c>
      <c r="C30" s="59">
        <f>(((A30*2)*MATERIALES!$C$46)+((B30*2)*MATERIALES!$C$47)+((B30*2)*MATERIALES!$C$48)+((B30*2)*MATERIALES!$C$52)+((A30*2)*MATERIALES!$C$49))*(MATERIALES!$F$2*MATERIALES!$J$15)</f>
        <v>0</v>
      </c>
      <c r="D30" s="59">
        <f>(2*MATERIALES!$C$177)+(4*MATERIALES!$C$179)+(4*MATERIALES!$C$181)+(1*MATERIALES!$C$182)+(4*MATERIALES!$C$183)+(4*MATERIALES!$C$184)+(4*MATERIALES!$C$185)+(2*MATERIALES!$C$186)+(8*MATERIALES!$C$158)+(8*MATERIALES!$C$174)+(((A30*4)+(B30*6))*MATERIALES!$C$188)+(((A30*2)+(B30*4))*MATERIALES!$C$141)+(4*MATERIALES!$C$148)+(((A30*5)*2)*MATERIALES!$C$147)+(2*MATERIALES!$C$187)+(8*MATERIALES!$C$174)+(2*MATERIALES!$C$187)</f>
        <v>1516.2783999999999</v>
      </c>
      <c r="E30" s="75"/>
      <c r="F30" s="55">
        <f>(A30*B30)*MATERIALES!$D$82</f>
        <v>874.50000000000011</v>
      </c>
      <c r="G30" s="55">
        <f>(((A30*B30)*2)*MATERIALES!$D$83)+(8*MATERIALES!$C$229)+(((A30*2)+(B30*4))*MATERIALES!$C$230)+(((A30*2)+(B30*4))*MATERIALES!$C$231)+((((A30*2)+(B30*2))/15)*MATERIALES!$C$232)+((((A30*2)+(B30*2))/15)*(MATERIALES!$C$233*0.15))</f>
        <v>3780.2918399999999</v>
      </c>
      <c r="H30" s="55">
        <f>(A30*B30)*MATERIALES!$D$89</f>
        <v>2953.5000000000005</v>
      </c>
      <c r="I30" s="124">
        <f t="shared" si="2"/>
        <v>3720.1619200000005</v>
      </c>
      <c r="J30" s="124">
        <f t="shared" si="3"/>
        <v>9531.7456000000002</v>
      </c>
      <c r="K30" s="70">
        <f>(SUM(C30:E30)*1.3)+(H30*2)</f>
        <v>7878.1619200000005</v>
      </c>
      <c r="M30" s="9">
        <f>((((B30*2)*MATERIALES!$C$64)+(B30*MATERIALES!$C$75)+(B30*MATERIALES!$C$65))*(MATERIALES!$F$2*MATERIALES!$J$15))*$M$3</f>
        <v>0</v>
      </c>
      <c r="N30"/>
      <c r="O30" s="68">
        <v>1.5</v>
      </c>
      <c r="P30" s="69">
        <v>1.1000000000000001</v>
      </c>
      <c r="Q30" s="59">
        <f>(((O30*2)*MATERIALES!$C$46)+((P30*2)*MATERIALES!$C$47)+((P30*2)*MATERIALES!$C$48)+((P30*2)*MATERIALES!$C$52)+((O30*2)*MATERIALES!$C$49)+((P30*2)*MATERIALES!$C$64)+(P30*MATERIALES!$C$65)+(P30*MATERIALES!$C$75))*(MATERIALES!$F$2*MATERIALES!$J$15)</f>
        <v>0</v>
      </c>
      <c r="R30" s="59">
        <f>(2*MATERIALES!$C$177)+(4*MATERIALES!$C$179)+(4*MATERIALES!$C$181)+(1*MATERIALES!$C$182)+(4*MATERIALES!$C$183)+(4*MATERIALES!$C$184)+(4*MATERIALES!$C$185)+(2*MATERIALES!$C$186)+(8*MATERIALES!$C$158)+(8*MATERIALES!$C$174)+(((O30*4)+(P30*6))*MATERIALES!$C$188)+(((O30*2)+(P30*4))*MATERIALES!$C$141)+(4*MATERIALES!$C$148)+(((O30*5)*2)*MATERIALES!$C$147)+(10*MATERIALES!$C$145)+(2*MATERIALES!$C$188)</f>
        <v>1522.8512000000003</v>
      </c>
      <c r="S30" s="75"/>
      <c r="T30" s="55">
        <f>(O30*P30)*MATERIALES!$D$82</f>
        <v>874.50000000000011</v>
      </c>
      <c r="U30" s="55">
        <f>(((O30*P30)*2)*MATERIALES!$D$83)+(8*MATERIALES!$C$229)+(((O30*2)+(P30*4))*MATERIALES!$C$230)+(((O30*2)+(P30*4))*MATERIALES!$C$231)+((((O30*2)+(P30*2))/15)*MATERIALES!$C$232)+((((O30*2)+(P30*2))/15)*(MATERIALES!$C$233*0.15))</f>
        <v>3780.2918399999999</v>
      </c>
      <c r="V30" s="55">
        <f>(O30*P30)*MATERIALES!$D$89</f>
        <v>2953.5000000000005</v>
      </c>
      <c r="W30" s="124">
        <f t="shared" si="5"/>
        <v>3728.7065600000005</v>
      </c>
      <c r="X30" s="124">
        <f t="shared" si="0"/>
        <v>9540.2902400000003</v>
      </c>
      <c r="Y30" s="70">
        <f t="shared" si="1"/>
        <v>6409.9565600000014</v>
      </c>
    </row>
    <row r="31" spans="1:26" hidden="1">
      <c r="A31" s="68">
        <v>1.5</v>
      </c>
      <c r="B31" s="69">
        <v>1.2</v>
      </c>
      <c r="C31" s="59">
        <f>(((A31*2)*MATERIALES!$C$46)+((B31*2)*MATERIALES!$C$47)+((B31*2)*MATERIALES!$C$48)+((B31*2)*MATERIALES!$C$52)+((A31*2)*MATERIALES!$C$49))*(MATERIALES!$F$2*MATERIALES!$J$15)</f>
        <v>0</v>
      </c>
      <c r="D31" s="59">
        <f>(2*MATERIALES!$C$177)+(4*MATERIALES!$C$179)+(4*MATERIALES!$C$181)+(1*MATERIALES!$C$182)+(4*MATERIALES!$C$183)+(4*MATERIALES!$C$184)+(4*MATERIALES!$C$185)+(2*MATERIALES!$C$186)+(8*MATERIALES!$C$158)+(8*MATERIALES!$C$174)+(((A31*4)+(B31*6))*MATERIALES!$C$188)+(((A31*2)+(B31*4))*MATERIALES!$C$141)+(4*MATERIALES!$C$148)+(((A31*5)*2)*MATERIALES!$C$147)+(2*MATERIALES!$C$187)+(8*MATERIALES!$C$174)+(2*MATERIALES!$C$187)</f>
        <v>1532.3463999999999</v>
      </c>
      <c r="E31" s="75"/>
      <c r="F31" s="55">
        <f>(A31*B31)*MATERIALES!$D$82</f>
        <v>953.99999999999989</v>
      </c>
      <c r="G31" s="55">
        <f>(((A31*B31)*2)*MATERIALES!$D$83)+(8*MATERIALES!$C$229)+(((A31*2)+(B31*4))*MATERIALES!$C$230)+(((A31*2)+(B31*4))*MATERIALES!$C$231)+((((A31*2)+(B31*2))/15)*MATERIALES!$C$232)+((((A31*2)+(B31*2))/15)*(MATERIALES!$C$233*0.15))</f>
        <v>4056.66768</v>
      </c>
      <c r="H31" s="55">
        <f>(A31*B31)*MATERIALES!$D$89</f>
        <v>3221.9999999999995</v>
      </c>
      <c r="I31" s="124">
        <f t="shared" si="2"/>
        <v>3900.0503199999994</v>
      </c>
      <c r="J31" s="124">
        <f t="shared" si="3"/>
        <v>10105.385679999999</v>
      </c>
      <c r="K31" s="70">
        <f t="shared" si="4"/>
        <v>6825.0503199999985</v>
      </c>
      <c r="M31" s="9">
        <f>((((B31*2)*MATERIALES!$C$64)+(B31*MATERIALES!$C$75)+(B31*MATERIALES!$C$65))*(MATERIALES!$F$2*MATERIALES!$J$15))*$M$3</f>
        <v>0</v>
      </c>
      <c r="N31"/>
      <c r="O31" s="68">
        <v>1.5</v>
      </c>
      <c r="P31" s="69">
        <v>1.2</v>
      </c>
      <c r="Q31" s="59">
        <f>(((O31*2)*MATERIALES!$C$46)+((P31*2)*MATERIALES!$C$47)+((P31*2)*MATERIALES!$C$48)+((P31*2)*MATERIALES!$C$52)+((O31*2)*MATERIALES!$C$49)+((P31*2)*MATERIALES!$C$64)+(P31*MATERIALES!$C$65)+(P31*MATERIALES!$C$75))*(MATERIALES!$F$2*MATERIALES!$J$15)</f>
        <v>0</v>
      </c>
      <c r="R31" s="59">
        <f>(2*MATERIALES!$C$177)+(4*MATERIALES!$C$179)+(4*MATERIALES!$C$181)+(1*MATERIALES!$C$182)+(4*MATERIALES!$C$183)+(4*MATERIALES!$C$184)+(4*MATERIALES!$C$185)+(2*MATERIALES!$C$186)+(8*MATERIALES!$C$158)+(8*MATERIALES!$C$174)+(((O31*4)+(P31*6))*MATERIALES!$C$188)+(((O31*2)+(P31*4))*MATERIALES!$C$141)+(4*MATERIALES!$C$148)+(((O31*5)*2)*MATERIALES!$C$147)+(10*MATERIALES!$C$145)+(2*MATERIALES!$C$188)</f>
        <v>1538.9192000000003</v>
      </c>
      <c r="S31" s="75"/>
      <c r="T31" s="55">
        <f>(O31*P31)*MATERIALES!$D$82</f>
        <v>953.99999999999989</v>
      </c>
      <c r="U31" s="55">
        <f>(((O31*P31)*2)*MATERIALES!$D$83)+(8*MATERIALES!$C$229)+(((O31*2)+(P31*4))*MATERIALES!$C$230)+(((O31*2)+(P31*4))*MATERIALES!$C$231)+((((O31*2)+(P31*2))/15)*MATERIALES!$C$232)+((((O31*2)+(P31*2))/15)*(MATERIALES!$C$233*0.15))</f>
        <v>4056.66768</v>
      </c>
      <c r="V31" s="55">
        <f>(O31*P31)*MATERIALES!$D$89</f>
        <v>3221.9999999999995</v>
      </c>
      <c r="W31" s="124">
        <f t="shared" si="5"/>
        <v>3908.5949600000004</v>
      </c>
      <c r="X31" s="124">
        <f t="shared" si="0"/>
        <v>10113.930319999999</v>
      </c>
      <c r="Y31" s="70">
        <f t="shared" si="1"/>
        <v>6833.5949599999994</v>
      </c>
    </row>
    <row r="32" spans="1:26" ht="15" hidden="1" customHeight="1">
      <c r="A32" s="68">
        <v>1.5</v>
      </c>
      <c r="B32" s="69">
        <v>1.5</v>
      </c>
      <c r="C32" s="59">
        <f>(((A32*2)*MATERIALES!$C$46)+((B32*2)*MATERIALES!$C$47)+((B32*2)*MATERIALES!$C$48)+((B32*2)*MATERIALES!$C$52)+((A32*2)*MATERIALES!$C$49))*(MATERIALES!$F$2*MATERIALES!$J$15)</f>
        <v>0</v>
      </c>
      <c r="D32" s="59">
        <f>(2*MATERIALES!$C$177)+(4*MATERIALES!$C$179)+(4*MATERIALES!$C$181)+(1*MATERIALES!$C$182)+(4*MATERIALES!$C$183)+(4*MATERIALES!$C$184)+(4*MATERIALES!$C$185)+(2*MATERIALES!$C$186)+(8*MATERIALES!$C$158)+(8*MATERIALES!$C$174)+(((A32*4)+(B32*6))*MATERIALES!$C$188)+(((A32*2)+(B32*4))*MATERIALES!$C$141)+(4*MATERIALES!$C$148)+(((A32*5)*2)*MATERIALES!$C$147)+(2*MATERIALES!$C$187)+(8*MATERIALES!$C$174)+(2*MATERIALES!$C$187)</f>
        <v>1580.5504000000001</v>
      </c>
      <c r="E32" s="75"/>
      <c r="F32" s="55">
        <f>(A32*B32)*MATERIALES!$D$82</f>
        <v>1192.5</v>
      </c>
      <c r="G32" s="55">
        <f>(((A32*B32)*2)*MATERIALES!$D$83)+(8*MATERIALES!$C$229)+(((A32*2)+(B32*4))*MATERIALES!$C$230)+(((A32*2)+(B32*4))*MATERIALES!$C$231)+((((A32*2)+(B32*2))/15)*MATERIALES!$C$232)+((((A32*2)+(B32*2))/15)*(MATERIALES!$C$233*0.15))</f>
        <v>4885.7951999999996</v>
      </c>
      <c r="H32" s="55">
        <f>(A32*B32)*MATERIALES!$D$89</f>
        <v>4027.5</v>
      </c>
      <c r="I32" s="124">
        <f t="shared" si="2"/>
        <v>4439.7155199999997</v>
      </c>
      <c r="J32" s="124">
        <f t="shared" si="3"/>
        <v>11826.305919999999</v>
      </c>
      <c r="K32" s="70">
        <f t="shared" si="4"/>
        <v>8095.9655199999997</v>
      </c>
      <c r="L32" s="57"/>
      <c r="M32" s="9">
        <f>((((B32*2)*MATERIALES!$C$64)+(B32*MATERIALES!$C$75)+(B32*MATERIALES!$C$65))*(MATERIALES!$F$2*MATERIALES!$J$15))*$M$3</f>
        <v>0</v>
      </c>
      <c r="N32"/>
      <c r="O32" s="68">
        <v>1.5</v>
      </c>
      <c r="P32" s="69">
        <v>1.5</v>
      </c>
      <c r="Q32" s="59">
        <f>(((O32*2)*MATERIALES!$C$46)+((P32*2)*MATERIALES!$C$47)+((P32*2)*MATERIALES!$C$48)+((P32*2)*MATERIALES!$C$52)+((O32*2)*MATERIALES!$C$49)+((P32*2)*MATERIALES!$C$64)+(P32*MATERIALES!$C$65)+(P32*MATERIALES!$C$75))*(MATERIALES!$F$2*MATERIALES!$J$15)</f>
        <v>0</v>
      </c>
      <c r="R32" s="59">
        <f>(2*MATERIALES!$C$177)+(4*MATERIALES!$C$179)+(4*MATERIALES!$C$181)+(1*MATERIALES!$C$182)+(4*MATERIALES!$C$183)+(4*MATERIALES!$C$184)+(4*MATERIALES!$C$185)+(2*MATERIALES!$C$186)+(8*MATERIALES!$C$158)+(8*MATERIALES!$C$174)+(((O32*4)+(P32*6))*MATERIALES!$C$188)+(((O32*2)+(P32*4))*MATERIALES!$C$141)+(4*MATERIALES!$C$148)+(((O32*5)*2)*MATERIALES!$C$147)+(10*MATERIALES!$C$145)+(2*MATERIALES!$C$188)</f>
        <v>1587.1232000000005</v>
      </c>
      <c r="S32" s="75"/>
      <c r="T32" s="55">
        <f>(O32*P32)*MATERIALES!$D$82</f>
        <v>1192.5</v>
      </c>
      <c r="U32" s="55">
        <f>(((O32*P32)*2)*MATERIALES!$D$83)+(8*MATERIALES!$C$229)+(((O32*2)+(P32*4))*MATERIALES!$C$230)+(((O32*2)+(P32*4))*MATERIALES!$C$231)+((((O32*2)+(P32*2))/15)*MATERIALES!$C$232)+((((O32*2)+(P32*2))/15)*(MATERIALES!$C$233*0.15))</f>
        <v>4885.7951999999996</v>
      </c>
      <c r="V32" s="55">
        <f>(O32*P32)*MATERIALES!$D$89</f>
        <v>4027.5</v>
      </c>
      <c r="W32" s="124">
        <f t="shared" si="5"/>
        <v>4448.2601600000007</v>
      </c>
      <c r="X32" s="124">
        <f t="shared" si="0"/>
        <v>11834.850559999999</v>
      </c>
      <c r="Y32" s="70">
        <f t="shared" si="1"/>
        <v>8104.5101600000007</v>
      </c>
      <c r="Z32" s="57"/>
    </row>
    <row r="33" spans="1:26" hidden="1">
      <c r="A33" s="68">
        <v>1.5</v>
      </c>
      <c r="B33" s="69">
        <v>1.8</v>
      </c>
      <c r="C33" s="59">
        <f>(((A33*2)*MATERIALES!$C$46)+((B33*2)*MATERIALES!$C$47)+((B33*2)*MATERIALES!$C$48)+((B33*2)*MATERIALES!$C$52)+((A33*2)*MATERIALES!$C$49))*(MATERIALES!$F$2*MATERIALES!$J$15)</f>
        <v>0</v>
      </c>
      <c r="D33" s="59">
        <f>(2*MATERIALES!$C$177)+(4*MATERIALES!$C$179)+(4*MATERIALES!$C$181)+(1*MATERIALES!$C$182)+(4*MATERIALES!$C$183)+(4*MATERIALES!$C$184)+(4*MATERIALES!$C$185)+(2*MATERIALES!$C$186)+(8*MATERIALES!$C$158)+(8*MATERIALES!$C$174)+(((A33*4)+(B33*6))*MATERIALES!$C$188)+(((A33*2)+(B33*4))*MATERIALES!$C$141)+(4*MATERIALES!$C$148)+(((A33*5)*2)*MATERIALES!$C$147)+(2*MATERIALES!$C$187)+(8*MATERIALES!$C$174)+(2*MATERIALES!$C$187)</f>
        <v>1628.7544</v>
      </c>
      <c r="E33" s="75"/>
      <c r="F33" s="55">
        <f>(A33*B33)*MATERIALES!$D$82</f>
        <v>1431</v>
      </c>
      <c r="G33" s="55">
        <f>(((A33*B33)*2)*MATERIALES!$D$83)+(8*MATERIALES!$C$229)+(((A33*2)+(B33*4))*MATERIALES!$C$230)+(((A33*2)+(B33*4))*MATERIALES!$C$231)+((((A33*2)+(B33*2))/15)*MATERIALES!$C$232)+((((A33*2)+(B33*2))/15)*(MATERIALES!$C$233*0.15))</f>
        <v>5714.9227200000005</v>
      </c>
      <c r="H33" s="55">
        <f>(A33*B33)*MATERIALES!$D$89</f>
        <v>4833</v>
      </c>
      <c r="I33" s="124">
        <f t="shared" si="2"/>
        <v>4979.3807200000001</v>
      </c>
      <c r="J33" s="124">
        <f t="shared" si="3"/>
        <v>13547.226160000002</v>
      </c>
      <c r="K33" s="70">
        <f t="shared" si="4"/>
        <v>9366.880720000001</v>
      </c>
      <c r="L33" s="57"/>
      <c r="M33" s="9">
        <f>((((B33*2)*MATERIALES!$C$64)+(B33*MATERIALES!$C$75)+(B33*MATERIALES!$C$65))*(MATERIALES!$F$2*MATERIALES!$J$15))*$M$3</f>
        <v>0</v>
      </c>
      <c r="N33"/>
      <c r="O33" s="68">
        <v>1.5</v>
      </c>
      <c r="P33" s="69">
        <v>1.8</v>
      </c>
      <c r="Q33" s="59">
        <f>(((O33*2)*MATERIALES!$C$46)+((P33*2)*MATERIALES!$C$47)+((P33*2)*MATERIALES!$C$48)+((P33*2)*MATERIALES!$C$52)+((O33*2)*MATERIALES!$C$49)+((P33*2)*MATERIALES!$C$64)+(P33*MATERIALES!$C$65)+(P33*MATERIALES!$C$75))*(MATERIALES!$F$2*MATERIALES!$J$15)</f>
        <v>0</v>
      </c>
      <c r="R33" s="59">
        <f>(2*MATERIALES!$C$177)+(4*MATERIALES!$C$179)+(4*MATERIALES!$C$181)+(1*MATERIALES!$C$182)+(4*MATERIALES!$C$183)+(4*MATERIALES!$C$184)+(4*MATERIALES!$C$185)+(2*MATERIALES!$C$186)+(8*MATERIALES!$C$158)+(8*MATERIALES!$C$174)+(((O33*4)+(P33*6))*MATERIALES!$C$188)+(((O33*2)+(P33*4))*MATERIALES!$C$141)+(4*MATERIALES!$C$148)+(((O33*5)*2)*MATERIALES!$C$147)+(10*MATERIALES!$C$145)+(2*MATERIALES!$C$188)</f>
        <v>1635.3272000000004</v>
      </c>
      <c r="S33" s="75"/>
      <c r="T33" s="55">
        <f>(O33*P33)*MATERIALES!$D$82</f>
        <v>1431</v>
      </c>
      <c r="U33" s="55">
        <f>(((O33*P33)*2)*MATERIALES!$D$83)+(8*MATERIALES!$C$229)+(((O33*2)+(P33*4))*MATERIALES!$C$230)+(((O33*2)+(P33*4))*MATERIALES!$C$231)+((((O33*2)+(P33*2))/15)*MATERIALES!$C$232)+((((O33*2)+(P33*2))/15)*(MATERIALES!$C$233*0.15))</f>
        <v>5714.9227200000005</v>
      </c>
      <c r="V33" s="55">
        <f>(O33*P33)*MATERIALES!$D$89</f>
        <v>4833</v>
      </c>
      <c r="W33" s="124">
        <f t="shared" si="5"/>
        <v>4987.9253600000011</v>
      </c>
      <c r="X33" s="124">
        <f t="shared" si="0"/>
        <v>13555.770800000002</v>
      </c>
      <c r="Y33" s="70">
        <f t="shared" si="1"/>
        <v>9375.4253600000011</v>
      </c>
      <c r="Z33" s="57"/>
    </row>
    <row r="34" spans="1:26" hidden="1">
      <c r="A34" s="68">
        <v>1.8</v>
      </c>
      <c r="B34" s="69">
        <v>0.8</v>
      </c>
      <c r="C34" s="59">
        <f>(((A34*2)*MATERIALES!$C$46)+((B34*2)*MATERIALES!$C$47)+((B34*2)*MATERIALES!$C$48)+((B34*2)*MATERIALES!$C$52)+((A34*2)*MATERIALES!$C$49))*(MATERIALES!$F$2*MATERIALES!$J$15)</f>
        <v>0</v>
      </c>
      <c r="D34" s="59">
        <f>(2*MATERIALES!$C$177)+(4*MATERIALES!$C$179)+(4*MATERIALES!$C$181)+(1*MATERIALES!$C$182)+(4*MATERIALES!$C$183)+(4*MATERIALES!$C$184)+(4*MATERIALES!$C$185)+(2*MATERIALES!$C$186)+(8*MATERIALES!$C$158)+(8*MATERIALES!$C$174)+(((A34*4)+(B34*6))*MATERIALES!$C$188)+(((A34*2)+(B34*4))*MATERIALES!$C$141)+(4*MATERIALES!$C$148)+(((A34*5)*2)*MATERIALES!$C$147)+(2*MATERIALES!$C$187)+(8*MATERIALES!$C$174)+(2*MATERIALES!$C$187)</f>
        <v>1495.9422399999999</v>
      </c>
      <c r="E34" s="75"/>
      <c r="F34" s="55">
        <f>(A34*B34)*MATERIALES!$D$82</f>
        <v>763.2</v>
      </c>
      <c r="G34" s="55">
        <f>(((A34*B34)*2)*MATERIALES!$D$83)+(8*MATERIALES!$C$229)+(((A34*2)+(B34*4))*MATERIALES!$C$230)+(((A34*2)+(B34*4))*MATERIALES!$C$231)+((((A34*2)+(B34*2))/15)*MATERIALES!$C$232)+((((A34*2)+(B34*2))/15)*(MATERIALES!$C$233*0.15))</f>
        <v>3402.45984</v>
      </c>
      <c r="H34" s="55">
        <f>(A34*B34)*MATERIALES!$D$89</f>
        <v>2577.6000000000004</v>
      </c>
      <c r="I34" s="124">
        <f t="shared" si="2"/>
        <v>3471.1249120000002</v>
      </c>
      <c r="J34" s="124">
        <f t="shared" si="3"/>
        <v>8749.6445920000006</v>
      </c>
      <c r="K34" s="70">
        <f t="shared" si="4"/>
        <v>5811.1249120000002</v>
      </c>
      <c r="L34" s="57"/>
      <c r="M34" s="9">
        <f>((((B34*2)*MATERIALES!$C$64)+(B34*MATERIALES!$C$75)+(B34*MATERIALES!$C$65))*(MATERIALES!$F$2*MATERIALES!$J$15))*$M$3</f>
        <v>0</v>
      </c>
      <c r="N34"/>
      <c r="O34" s="68">
        <v>1.8</v>
      </c>
      <c r="P34" s="69">
        <v>0.8</v>
      </c>
      <c r="Q34" s="59">
        <f>(((O34*2)*MATERIALES!$C$46)+((P34*2)*MATERIALES!$C$47)+((P34*2)*MATERIALES!$C$48)+((P34*2)*MATERIALES!$C$52)+((O34*2)*MATERIALES!$C$49)+((P34*2)*MATERIALES!$C$64)+(P34*MATERIALES!$C$65)+(P34*MATERIALES!$C$75))*(MATERIALES!$F$2*MATERIALES!$J$15)</f>
        <v>0</v>
      </c>
      <c r="R34" s="59">
        <f>(2*MATERIALES!$C$177)+(4*MATERIALES!$C$179)+(4*MATERIALES!$C$181)+(1*MATERIALES!$C$182)+(4*MATERIALES!$C$183)+(4*MATERIALES!$C$184)+(4*MATERIALES!$C$185)+(2*MATERIALES!$C$186)+(8*MATERIALES!$C$158)+(8*MATERIALES!$C$174)+(((O34*4)+(P34*6))*MATERIALES!$C$188)+(((O34*2)+(P34*4))*MATERIALES!$C$141)+(4*MATERIALES!$C$148)+(((O34*5)*2)*MATERIALES!$C$147)+(10*MATERIALES!$C$145)+(2*MATERIALES!$C$188)</f>
        <v>1502.5150400000002</v>
      </c>
      <c r="S34" s="75"/>
      <c r="T34" s="55">
        <f>(O34*P34)*MATERIALES!$D$82</f>
        <v>763.2</v>
      </c>
      <c r="U34" s="55">
        <f>(((O34*P34)*2)*MATERIALES!$D$83)+(8*MATERIALES!$C$229)+(((O34*2)+(P34*4))*MATERIALES!$C$230)+(((O34*2)+(P34*4))*MATERIALES!$C$231)+((((O34*2)+(P34*2))/15)*MATERIALES!$C$232)+((((O34*2)+(P34*2))/15)*(MATERIALES!$C$233*0.15))</f>
        <v>3402.45984</v>
      </c>
      <c r="V34" s="55">
        <f>(O34*P34)*MATERIALES!$D$89</f>
        <v>2577.6000000000004</v>
      </c>
      <c r="W34" s="124">
        <f t="shared" si="5"/>
        <v>3479.6695520000003</v>
      </c>
      <c r="X34" s="124">
        <f t="shared" si="0"/>
        <v>8758.1892320000006</v>
      </c>
      <c r="Y34" s="70">
        <f t="shared" si="1"/>
        <v>5819.6695520000012</v>
      </c>
      <c r="Z34" s="57"/>
    </row>
    <row r="35" spans="1:26" hidden="1">
      <c r="A35" s="68">
        <v>1.8</v>
      </c>
      <c r="B35" s="69">
        <v>1</v>
      </c>
      <c r="C35" s="59">
        <f>(((A35*2)*MATERIALES!$C$46)+((B35*2)*MATERIALES!$C$47)+((B35*2)*MATERIALES!$C$48)+((B35*2)*MATERIALES!$C$52)+((A35*2)*MATERIALES!$C$49))*(MATERIALES!$F$2*MATERIALES!$J$15)</f>
        <v>0</v>
      </c>
      <c r="D35" s="59">
        <f>(2*MATERIALES!$C$177)+(4*MATERIALES!$C$179)+(4*MATERIALES!$C$181)+(1*MATERIALES!$C$182)+(4*MATERIALES!$C$183)+(4*MATERIALES!$C$184)+(4*MATERIALES!$C$185)+(2*MATERIALES!$C$186)+(8*MATERIALES!$C$158)+(8*MATERIALES!$C$174)+(((A35*4)+(B35*6))*MATERIALES!$C$188)+(((A35*2)+(B35*4))*MATERIALES!$C$141)+(4*MATERIALES!$C$148)+(((A35*5)*2)*MATERIALES!$C$147)+(2*MATERIALES!$C$187)+(8*MATERIALES!$C$174)+(2*MATERIALES!$C$187)</f>
        <v>1528.0782400000001</v>
      </c>
      <c r="E35" s="75"/>
      <c r="F35" s="55">
        <f>(A35*B35)*MATERIALES!$D$82</f>
        <v>954</v>
      </c>
      <c r="G35" s="55">
        <f>(((A35*B35)*2)*MATERIALES!$D$83)+(8*MATERIALES!$C$229)+(((A35*2)+(B35*4))*MATERIALES!$C$230)+(((A35*2)+(B35*4))*MATERIALES!$C$231)+((((A35*2)+(B35*2))/15)*MATERIALES!$C$232)+((((A35*2)+(B35*2))/15)*(MATERIALES!$C$233*0.15))</f>
        <v>4033.2115200000003</v>
      </c>
      <c r="H35" s="55">
        <f>(A35*B35)*MATERIALES!$D$89</f>
        <v>3222</v>
      </c>
      <c r="I35" s="124">
        <f t="shared" si="2"/>
        <v>3894.5017120000002</v>
      </c>
      <c r="J35" s="124">
        <f t="shared" si="3"/>
        <v>10052.924752000001</v>
      </c>
      <c r="K35" s="70">
        <f t="shared" si="4"/>
        <v>6819.5017120000002</v>
      </c>
      <c r="L35" s="57"/>
      <c r="M35" s="9">
        <f>((((B35*2)*MATERIALES!$C$64)+(B35*MATERIALES!$C$75)+(B35*MATERIALES!$C$65))*(MATERIALES!$F$2*MATERIALES!$J$15))*$M$3</f>
        <v>0</v>
      </c>
      <c r="N35"/>
      <c r="O35" s="68">
        <v>1.8</v>
      </c>
      <c r="P35" s="69">
        <v>1</v>
      </c>
      <c r="Q35" s="59">
        <f>(((O35*2)*MATERIALES!$C$46)+((P35*2)*MATERIALES!$C$47)+((P35*2)*MATERIALES!$C$48)+((P35*2)*MATERIALES!$C$52)+((O35*2)*MATERIALES!$C$49)+((P35*2)*MATERIALES!$C$64)+(P35*MATERIALES!$C$65)+(P35*MATERIALES!$C$75))*(MATERIALES!$F$2*MATERIALES!$J$15)</f>
        <v>0</v>
      </c>
      <c r="R35" s="59">
        <f>(2*MATERIALES!$C$177)+(4*MATERIALES!$C$179)+(4*MATERIALES!$C$181)+(1*MATERIALES!$C$182)+(4*MATERIALES!$C$183)+(4*MATERIALES!$C$184)+(4*MATERIALES!$C$185)+(2*MATERIALES!$C$186)+(8*MATERIALES!$C$158)+(8*MATERIALES!$C$174)+(((O35*4)+(P35*6))*MATERIALES!$C$188)+(((O35*2)+(P35*4))*MATERIALES!$C$141)+(4*MATERIALES!$C$148)+(((O35*5)*2)*MATERIALES!$C$147)+(10*MATERIALES!$C$145)+(2*MATERIALES!$C$188)</f>
        <v>1534.6510400000004</v>
      </c>
      <c r="S35" s="75"/>
      <c r="T35" s="55">
        <f>(O35*P35)*MATERIALES!$D$82</f>
        <v>954</v>
      </c>
      <c r="U35" s="55">
        <f>(((O35*P35)*2)*MATERIALES!$D$83)+(8*MATERIALES!$C$229)+(((O35*2)+(P35*4))*MATERIALES!$C$230)+(((O35*2)+(P35*4))*MATERIALES!$C$231)+((((O35*2)+(P35*2))/15)*MATERIALES!$C$232)+((((O35*2)+(P35*2))/15)*(MATERIALES!$C$233*0.15))</f>
        <v>4033.2115200000003</v>
      </c>
      <c r="V35" s="55">
        <f>(O35*P35)*MATERIALES!$D$89</f>
        <v>3222</v>
      </c>
      <c r="W35" s="124">
        <f t="shared" si="5"/>
        <v>3903.0463520000003</v>
      </c>
      <c r="X35" s="124">
        <f t="shared" si="0"/>
        <v>10061.469392000001</v>
      </c>
      <c r="Y35" s="70">
        <f t="shared" si="1"/>
        <v>6828.0463520000003</v>
      </c>
      <c r="Z35" s="57"/>
    </row>
    <row r="36" spans="1:26" hidden="1">
      <c r="A36" s="68">
        <v>1.8</v>
      </c>
      <c r="B36" s="69">
        <v>1.1000000000000001</v>
      </c>
      <c r="C36" s="59">
        <f>(((A36*2)*MATERIALES!$C$46)+((B36*2)*MATERIALES!$C$47)+((B36*2)*MATERIALES!$C$48)+((B36*2)*MATERIALES!$C$52)+((A36*2)*MATERIALES!$C$49))*(MATERIALES!$F$2*MATERIALES!$J$15)</f>
        <v>0</v>
      </c>
      <c r="D36" s="59">
        <f>(2*MATERIALES!$C$177)+(4*MATERIALES!$C$179)+(4*MATERIALES!$C$181)+(1*MATERIALES!$C$182)+(4*MATERIALES!$C$183)+(4*MATERIALES!$C$184)+(4*MATERIALES!$C$185)+(2*MATERIALES!$C$186)+(8*MATERIALES!$C$158)+(8*MATERIALES!$C$174)+(((A36*4)+(B36*6))*MATERIALES!$C$188)+(((A36*2)+(B36*4))*MATERIALES!$C$141)+(4*MATERIALES!$C$148)+(((A36*5)*2)*MATERIALES!$C$147)+(2*MATERIALES!$C$187)+(8*MATERIALES!$C$174)+(2*MATERIALES!$C$187)</f>
        <v>1544.14624</v>
      </c>
      <c r="E36" s="75"/>
      <c r="F36" s="55">
        <f>(A36*B36)*MATERIALES!$D$83</f>
        <v>1287.0000000000002</v>
      </c>
      <c r="G36" s="55">
        <f>(((A36*B36)*2)*MATERIALES!$D$83)+(8*MATERIALES!$C$229)+(((A36*2)+(B36*4))*MATERIALES!$C$230)+(((A36*2)+(B36*4))*MATERIALES!$C$231)+((((A36*2)+(B36*2))/15)*MATERIALES!$C$232)+((((A36*2)+(B36*2))/15)*(MATERIALES!$C$233*0.15))</f>
        <v>4348.5873600000004</v>
      </c>
      <c r="H36" s="55">
        <f>(A36*B36)*MATERIALES!$D$89</f>
        <v>3544.2000000000003</v>
      </c>
      <c r="I36" s="124">
        <f t="shared" si="2"/>
        <v>4581.390112000001</v>
      </c>
      <c r="J36" s="124">
        <f t="shared" si="3"/>
        <v>10704.564832</v>
      </c>
      <c r="K36" s="70">
        <f t="shared" si="4"/>
        <v>7323.6901120000002</v>
      </c>
      <c r="L36" s="57"/>
      <c r="M36" s="9">
        <f>((((B36*2)*MATERIALES!$C$64)+(B36*MATERIALES!$C$75)+(B36*MATERIALES!$C$65))*(MATERIALES!$F$2*MATERIALES!$J$15))*$M$3</f>
        <v>0</v>
      </c>
      <c r="N36"/>
      <c r="O36" s="68">
        <v>1.8</v>
      </c>
      <c r="P36" s="69">
        <v>1.1000000000000001</v>
      </c>
      <c r="Q36" s="59">
        <f>(((O36*2)*MATERIALES!$C$46)+((P36*2)*MATERIALES!$C$47)+((P36*2)*MATERIALES!$C$48)+((P36*2)*MATERIALES!$C$52)+((O36*2)*MATERIALES!$C$49)+((P36*2)*MATERIALES!$C$64)+(P36*MATERIALES!$C$65)+(P36*MATERIALES!$C$75))*(MATERIALES!$F$2*MATERIALES!$J$15)</f>
        <v>0</v>
      </c>
      <c r="R36" s="59">
        <f>(2*MATERIALES!$C$177)+(4*MATERIALES!$C$179)+(4*MATERIALES!$C$181)+(1*MATERIALES!$C$182)+(4*MATERIALES!$C$183)+(4*MATERIALES!$C$184)+(4*MATERIALES!$C$185)+(2*MATERIALES!$C$186)+(8*MATERIALES!$C$158)+(8*MATERIALES!$C$174)+(((O36*4)+(P36*6))*MATERIALES!$C$188)+(((O36*2)+(P36*4))*MATERIALES!$C$141)+(4*MATERIALES!$C$148)+(((O36*5)*2)*MATERIALES!$C$147)+(10*MATERIALES!$C$145)+(2*MATERIALES!$C$188)</f>
        <v>1550.7190400000004</v>
      </c>
      <c r="S36" s="75"/>
      <c r="T36" s="55">
        <f>(O36*P36)*MATERIALES!$D$82</f>
        <v>1049.4000000000001</v>
      </c>
      <c r="U36" s="55">
        <f>(((O36*P36)*2)*MATERIALES!$D$83)+(8*MATERIALES!$C$229)+(((O36*2)+(P36*4))*MATERIALES!$C$230)+(((O36*2)+(P36*4))*MATERIALES!$C$231)+((((O36*2)+(P36*2))/15)*MATERIALES!$C$232)+((((O36*2)+(P36*2))/15)*(MATERIALES!$C$233*0.15))</f>
        <v>4348.5873600000004</v>
      </c>
      <c r="V36" s="55">
        <f>(O36*P36)*MATERIALES!$D$89</f>
        <v>3544.2000000000003</v>
      </c>
      <c r="W36" s="124">
        <f t="shared" si="5"/>
        <v>4114.7347520000003</v>
      </c>
      <c r="X36" s="124">
        <f t="shared" si="0"/>
        <v>10713.109472000002</v>
      </c>
      <c r="Y36" s="70">
        <f t="shared" si="1"/>
        <v>7332.2347520000003</v>
      </c>
      <c r="Z36" s="57"/>
    </row>
    <row r="37" spans="1:26" hidden="1">
      <c r="A37" s="68">
        <v>1.8</v>
      </c>
      <c r="B37" s="69">
        <v>1.2</v>
      </c>
      <c r="C37" s="59">
        <f>(((A37*2)*MATERIALES!$C$46)+((B37*2)*MATERIALES!$C$47)+((B37*2)*MATERIALES!$C$48)+((B37*2)*MATERIALES!$C$52)+((A37*2)*MATERIALES!$C$49))*(MATERIALES!$F$2*MATERIALES!$J$15)</f>
        <v>0</v>
      </c>
      <c r="D37" s="59">
        <f>(2*MATERIALES!$C$177)+(4*MATERIALES!$C$179)+(4*MATERIALES!$C$181)+(1*MATERIALES!$C$182)+(4*MATERIALES!$C$183)+(4*MATERIALES!$C$184)+(4*MATERIALES!$C$185)+(2*MATERIALES!$C$186)+(8*MATERIALES!$C$158)+(8*MATERIALES!$C$174)+(((A37*4)+(B37*6))*MATERIALES!$C$188)+(((A37*2)+(B37*4))*MATERIALES!$C$141)+(4*MATERIALES!$C$148)+(((A37*5)*2)*MATERIALES!$C$147)+(2*MATERIALES!$C$187)+(8*MATERIALES!$C$174)+(2*MATERIALES!$C$187)</f>
        <v>1560.21424</v>
      </c>
      <c r="E37" s="75"/>
      <c r="F37" s="55">
        <f>(A37*B37)*MATERIALES!$D$82</f>
        <v>1144.8000000000002</v>
      </c>
      <c r="G37" s="55">
        <f>(((A37*B37)*2)*MATERIALES!$D$83)+(8*MATERIALES!$C$229)+(((A37*2)+(B37*4))*MATERIALES!$C$230)+(((A37*2)+(B37*4))*MATERIALES!$C$231)+((((A37*2)+(B37*2))/15)*MATERIALES!$C$232)+((((A37*2)+(B37*2))/15)*(MATERIALES!$C$233*0.15))</f>
        <v>4663.9632000000001</v>
      </c>
      <c r="H37" s="55">
        <f>(A37*B37)*MATERIALES!$D$89</f>
        <v>3866.4</v>
      </c>
      <c r="I37" s="124">
        <f t="shared" si="2"/>
        <v>4317.8785120000002</v>
      </c>
      <c r="J37" s="124">
        <f t="shared" si="3"/>
        <v>11356.204912000001</v>
      </c>
      <c r="K37" s="70">
        <f t="shared" si="4"/>
        <v>7827.8785120000002</v>
      </c>
      <c r="L37" s="57"/>
      <c r="M37" s="9">
        <f>((((B37*2)*MATERIALES!$C$64)+(B37*MATERIALES!$C$75)+(B37*MATERIALES!$C$65))*(MATERIALES!$F$2*MATERIALES!$J$15))*$M$3</f>
        <v>0</v>
      </c>
      <c r="N37"/>
      <c r="O37" s="68">
        <v>1.8</v>
      </c>
      <c r="P37" s="69">
        <v>1.2</v>
      </c>
      <c r="Q37" s="59">
        <f>(((O37*2)*MATERIALES!$C$46)+((P37*2)*MATERIALES!$C$47)+((P37*2)*MATERIALES!$C$48)+((P37*2)*MATERIALES!$C$52)+((O37*2)*MATERIALES!$C$49)+((P37*2)*MATERIALES!$C$64)+(P37*MATERIALES!$C$65)+(P37*MATERIALES!$C$75))*(MATERIALES!$F$2*MATERIALES!$J$15)</f>
        <v>0</v>
      </c>
      <c r="R37" s="59">
        <f>(2*MATERIALES!$C$177)+(4*MATERIALES!$C$179)+(4*MATERIALES!$C$181)+(1*MATERIALES!$C$182)+(4*MATERIALES!$C$183)+(4*MATERIALES!$C$184)+(4*MATERIALES!$C$185)+(2*MATERIALES!$C$186)+(8*MATERIALES!$C$158)+(8*MATERIALES!$C$174)+(((O37*4)+(P37*6))*MATERIALES!$C$188)+(((O37*2)+(P37*4))*MATERIALES!$C$141)+(4*MATERIALES!$C$148)+(((O37*5)*2)*MATERIALES!$C$147)+(10*MATERIALES!$C$145)+(2*MATERIALES!$C$188)</f>
        <v>1566.7870400000004</v>
      </c>
      <c r="S37" s="75"/>
      <c r="T37" s="55">
        <f>(O37*P37)*MATERIALES!$D$82</f>
        <v>1144.8000000000002</v>
      </c>
      <c r="U37" s="55">
        <f>(((O37*P37)*2)*MATERIALES!$D$83)+(8*MATERIALES!$C$229)+(((O37*2)+(P37*4))*MATERIALES!$C$230)+(((O37*2)+(P37*4))*MATERIALES!$C$231)+((((O37*2)+(P37*2))/15)*MATERIALES!$C$232)+((((O37*2)+(P37*2))/15)*(MATERIALES!$C$233*0.15))</f>
        <v>4663.9632000000001</v>
      </c>
      <c r="V37" s="55">
        <f>(O37*P37)*MATERIALES!$D$89</f>
        <v>3866.4</v>
      </c>
      <c r="W37" s="124">
        <f t="shared" si="5"/>
        <v>4326.4231520000012</v>
      </c>
      <c r="X37" s="124">
        <f t="shared" si="0"/>
        <v>11364.749552000001</v>
      </c>
      <c r="Y37" s="70">
        <f t="shared" si="1"/>
        <v>7836.4231520000012</v>
      </c>
      <c r="Z37" s="57"/>
    </row>
    <row r="38" spans="1:26" hidden="1">
      <c r="A38" s="68">
        <v>1.8</v>
      </c>
      <c r="B38" s="69">
        <v>1.5</v>
      </c>
      <c r="C38" s="59">
        <f>(((A38*2)*MATERIALES!$C$46)+((B38*2)*MATERIALES!$C$47)+((B38*2)*MATERIALES!$C$48)+((B38*2)*MATERIALES!$C$52)+((A38*2)*MATERIALES!$C$49))*(MATERIALES!$F$2*MATERIALES!$J$15)</f>
        <v>0</v>
      </c>
      <c r="D38" s="59">
        <f>(2*MATERIALES!$C$177)+(4*MATERIALES!$C$179)+(4*MATERIALES!$C$181)+(1*MATERIALES!$C$182)+(4*MATERIALES!$C$183)+(4*MATERIALES!$C$184)+(4*MATERIALES!$C$185)+(2*MATERIALES!$C$186)+(8*MATERIALES!$C$158)+(8*MATERIALES!$C$174)+(((A38*4)+(B38*6))*MATERIALES!$C$188)+(((A38*2)+(B38*4))*MATERIALES!$C$141)+(4*MATERIALES!$C$148)+(((A38*5)*2)*MATERIALES!$C$147)+(2*MATERIALES!$C$187)+(8*MATERIALES!$C$174)+(2*MATERIALES!$C$187)</f>
        <v>1608.41824</v>
      </c>
      <c r="E38" s="75"/>
      <c r="F38" s="55">
        <f>(A38*B38)*MATERIALES!$D$82</f>
        <v>1431</v>
      </c>
      <c r="G38" s="55">
        <f>(((A38*B38)*2)*MATERIALES!$D$83)+(8*MATERIALES!$C$229)+(((A38*2)+(B38*4))*MATERIALES!$C$230)+(((A38*2)+(B38*4))*MATERIALES!$C$231)+((((A38*2)+(B38*2))/15)*MATERIALES!$C$232)+((((A38*2)+(B38*2))/15)*(MATERIALES!$C$233*0.15))</f>
        <v>5610.0907200000001</v>
      </c>
      <c r="H38" s="55">
        <f>(A38*B38)*MATERIALES!$D$89</f>
        <v>4833</v>
      </c>
      <c r="I38" s="124">
        <f t="shared" ref="I38:I59" si="6">(SUM(C38:E38)*1.3)+(F38*2)</f>
        <v>4952.9437120000002</v>
      </c>
      <c r="J38" s="124">
        <f t="shared" ref="J38:J59" si="7">(SUM(C38:E38)*1.3)+(G38*2)</f>
        <v>13311.125152000001</v>
      </c>
      <c r="K38" s="70">
        <f t="shared" ref="K38:K59" si="8">(SUM(C38:E38)*1.3)+(H38*1.5)</f>
        <v>9340.4437120000002</v>
      </c>
      <c r="L38" s="57"/>
      <c r="M38" s="9">
        <f>((((B38*2)*MATERIALES!$C$64)+(B38*MATERIALES!$C$75)+(B38*MATERIALES!$C$65))*(MATERIALES!$F$2*MATERIALES!$J$15))*$M$3</f>
        <v>0</v>
      </c>
      <c r="N38"/>
      <c r="O38" s="68">
        <v>1.8</v>
      </c>
      <c r="P38" s="69">
        <v>1.5</v>
      </c>
      <c r="Q38" s="59">
        <f>(((O38*2)*MATERIALES!$C$46)+((P38*2)*MATERIALES!$C$47)+((P38*2)*MATERIALES!$C$48)+((P38*2)*MATERIALES!$C$52)+((O38*2)*MATERIALES!$C$49)+((P38*2)*MATERIALES!$C$64)+(P38*MATERIALES!$C$65)+(P38*MATERIALES!$C$75))*(MATERIALES!$F$2*MATERIALES!$J$15)</f>
        <v>0</v>
      </c>
      <c r="R38" s="59">
        <f>(2*MATERIALES!$C$177)+(4*MATERIALES!$C$179)+(4*MATERIALES!$C$181)+(1*MATERIALES!$C$182)+(4*MATERIALES!$C$183)+(4*MATERIALES!$C$184)+(4*MATERIALES!$C$185)+(2*MATERIALES!$C$186)+(8*MATERIALES!$C$158)+(8*MATERIALES!$C$174)+(((O38*4)+(P38*6))*MATERIALES!$C$188)+(((O38*2)+(P38*4))*MATERIALES!$C$141)+(4*MATERIALES!$C$148)+(((O38*5)*2)*MATERIALES!$C$147)+(10*MATERIALES!$C$145)+(2*MATERIALES!$C$188)</f>
        <v>1614.9910400000003</v>
      </c>
      <c r="S38" s="75"/>
      <c r="T38" s="55">
        <f>(O38*P38)*MATERIALES!$D$82</f>
        <v>1431</v>
      </c>
      <c r="U38" s="55">
        <f>(((O38*P38)*2)*MATERIALES!$D$83)+(8*MATERIALES!$C$229)+(((O38*2)+(P38*4))*MATERIALES!$C$230)+(((O38*2)+(P38*4))*MATERIALES!$C$231)+((((O38*2)+(P38*2))/15)*MATERIALES!$C$232)+((((O38*2)+(P38*2))/15)*(MATERIALES!$C$233*0.15))</f>
        <v>5610.0907200000001</v>
      </c>
      <c r="V38" s="55">
        <f>(O38*P38)*MATERIALES!$D$89</f>
        <v>4833</v>
      </c>
      <c r="W38" s="124">
        <f t="shared" si="5"/>
        <v>4961.4883520000003</v>
      </c>
      <c r="X38" s="124">
        <f t="shared" si="0"/>
        <v>13319.669792000001</v>
      </c>
      <c r="Y38" s="70">
        <f t="shared" si="1"/>
        <v>9348.9883520000003</v>
      </c>
      <c r="Z38" s="57"/>
    </row>
    <row r="39" spans="1:26" hidden="1">
      <c r="A39" s="68">
        <v>1.8</v>
      </c>
      <c r="B39" s="69">
        <v>1.8</v>
      </c>
      <c r="C39" s="59">
        <f>(((A39*2)*MATERIALES!$C$46)+((B39*2)*MATERIALES!$C$47)+((B39*2)*MATERIALES!$C$48)+((B39*2)*MATERIALES!$C$52)+((A39*2)*MATERIALES!$C$49))*(MATERIALES!$F$2*MATERIALES!$J$15)</f>
        <v>0</v>
      </c>
      <c r="D39" s="59">
        <f>(2*MATERIALES!$C$177)+(4*MATERIALES!$C$179)+(4*MATERIALES!$C$181)+(1*MATERIALES!$C$182)+(4*MATERIALES!$C$183)+(4*MATERIALES!$C$184)+(4*MATERIALES!$C$185)+(2*MATERIALES!$C$186)+(8*MATERIALES!$C$158)+(8*MATERIALES!$C$174)+(((A39*4)+(B39*6))*MATERIALES!$C$188)+(((A39*2)+(B39*4))*MATERIALES!$C$141)+(4*MATERIALES!$C$148)+(((A39*5)*2)*MATERIALES!$C$147)+(2*MATERIALES!$C$187)+(8*MATERIALES!$C$174)+(2*MATERIALES!$C$187)</f>
        <v>1656.6222399999999</v>
      </c>
      <c r="E39" s="75"/>
      <c r="F39" s="55">
        <f>(A39*B39)*MATERIALES!$D$82</f>
        <v>1717.2</v>
      </c>
      <c r="G39" s="55">
        <f>(((A39*B39)*2)*MATERIALES!$D$83)+(8*MATERIALES!$C$229)+(((A39*2)+(B39*4))*MATERIALES!$C$230)+(((A39*2)+(B39*4))*MATERIALES!$C$231)+((((A39*2)+(B39*2))/15)*MATERIALES!$C$232)+((((A39*2)+(B39*2))/15)*(MATERIALES!$C$233*0.15))</f>
        <v>6556.2182400000002</v>
      </c>
      <c r="H39" s="55">
        <f>(A39*B39)*MATERIALES!$D$89</f>
        <v>5799.6</v>
      </c>
      <c r="I39" s="124">
        <f t="shared" si="6"/>
        <v>5588.0089120000002</v>
      </c>
      <c r="J39" s="124">
        <f t="shared" si="7"/>
        <v>15266.045392</v>
      </c>
      <c r="K39" s="70">
        <f t="shared" si="8"/>
        <v>10853.008912000001</v>
      </c>
      <c r="L39" s="57"/>
      <c r="M39" s="9">
        <f>((((B39*2)*MATERIALES!$C$64)+(B39*MATERIALES!$C$75)+(B39*MATERIALES!$C$65))*(MATERIALES!$F$2*MATERIALES!$J$15))*$M$3</f>
        <v>0</v>
      </c>
      <c r="N39"/>
      <c r="O39" s="68">
        <v>1.8</v>
      </c>
      <c r="P39" s="69">
        <v>1.8</v>
      </c>
      <c r="Q39" s="59">
        <f>(((O39*2)*MATERIALES!$C$46)+((P39*2)*MATERIALES!$C$47)+((P39*2)*MATERIALES!$C$48)+((P39*2)*MATERIALES!$C$52)+((O39*2)*MATERIALES!$C$49)+((P39*2)*MATERIALES!$C$64)+(P39*MATERIALES!$C$65)+(P39*MATERIALES!$C$75))*(MATERIALES!$F$2*MATERIALES!$J$15)</f>
        <v>0</v>
      </c>
      <c r="R39" s="59">
        <f>(2*MATERIALES!$C$177)+(4*MATERIALES!$C$179)+(4*MATERIALES!$C$181)+(1*MATERIALES!$C$182)+(4*MATERIALES!$C$183)+(4*MATERIALES!$C$184)+(4*MATERIALES!$C$185)+(2*MATERIALES!$C$186)+(8*MATERIALES!$C$158)+(8*MATERIALES!$C$174)+(((O39*4)+(P39*6))*MATERIALES!$C$188)+(((O39*2)+(P39*4))*MATERIALES!$C$141)+(4*MATERIALES!$C$148)+(((O39*5)*2)*MATERIALES!$C$147)+(10*MATERIALES!$C$145)+(2*MATERIALES!$C$188)</f>
        <v>1663.1950400000003</v>
      </c>
      <c r="S39" s="75"/>
      <c r="T39" s="55">
        <f>(O39*P39)*MATERIALES!$D$82</f>
        <v>1717.2</v>
      </c>
      <c r="U39" s="55">
        <f>(((O39*P39)*2)*MATERIALES!$D$83)+(8*MATERIALES!$C$229)+(((O39*2)+(P39*4))*MATERIALES!$C$230)+(((O39*2)+(P39*4))*MATERIALES!$C$231)+((((O39*2)+(P39*2))/15)*MATERIALES!$C$232)+((((O39*2)+(P39*2))/15)*(MATERIALES!$C$233*0.15))</f>
        <v>6556.2182400000002</v>
      </c>
      <c r="V39" s="55">
        <f>(O39*P39)*MATERIALES!$D$89</f>
        <v>5799.6</v>
      </c>
      <c r="W39" s="124">
        <f t="shared" si="5"/>
        <v>5596.5535520000012</v>
      </c>
      <c r="X39" s="124">
        <f t="shared" si="0"/>
        <v>15274.590032</v>
      </c>
      <c r="Y39" s="70">
        <f t="shared" si="1"/>
        <v>10861.553552000001</v>
      </c>
      <c r="Z39" s="57"/>
    </row>
    <row r="40" spans="1:26" hidden="1">
      <c r="A40" s="68">
        <v>2</v>
      </c>
      <c r="B40" s="69">
        <v>0.8</v>
      </c>
      <c r="C40" s="59">
        <f>(((A40*2)*MATERIALES!$C$46)+((B40*2)*MATERIALES!$C$47)+((B40*2)*MATERIALES!$C$48)+((B40*2)*MATERIALES!$C$52)+((A40*2)*MATERIALES!$C$49))*(MATERIALES!$F$2*MATERIALES!$J$15)</f>
        <v>0</v>
      </c>
      <c r="D40" s="59">
        <f>(2*MATERIALES!$C$177)+(4*MATERIALES!$C$179)+(4*MATERIALES!$C$181)+(1*MATERIALES!$C$182)+(4*MATERIALES!$C$183)+(4*MATERIALES!$C$184)+(4*MATERIALES!$C$185)+(2*MATERIALES!$C$186)+(8*MATERIALES!$C$158)+(8*MATERIALES!$C$174)+(((A40*4)+(B40*6))*MATERIALES!$C$188)+(((A40*2)+(B40*4))*MATERIALES!$C$141)+(4*MATERIALES!$C$148)+(((A40*5)*2)*MATERIALES!$C$147)+(2*MATERIALES!$C$187)+(8*MATERIALES!$C$174)+(2*MATERIALES!$C$187)</f>
        <v>1514.5208</v>
      </c>
      <c r="E40" s="75"/>
      <c r="F40" s="55">
        <f>(A40*B40)*MATERIALES!$D$82</f>
        <v>848</v>
      </c>
      <c r="G40" s="55">
        <f>(((A40*B40)*2)*MATERIALES!$D$83)+(8*MATERIALES!$C$229)+(((A40*2)+(B40*4))*MATERIALES!$C$230)+(((A40*2)+(B40*4))*MATERIALES!$C$231)+((((A40*2)+(B40*2))/15)*MATERIALES!$C$232)+((((A40*2)+(B40*2))/15)*(MATERIALES!$C$233*0.15))</f>
        <v>3703.3235199999999</v>
      </c>
      <c r="H40" s="55">
        <f>(A40*B40)*MATERIALES!$D$89</f>
        <v>2864</v>
      </c>
      <c r="I40" s="124">
        <f t="shared" si="6"/>
        <v>3664.8770400000003</v>
      </c>
      <c r="J40" s="124">
        <f t="shared" si="7"/>
        <v>9375.5240799999992</v>
      </c>
      <c r="K40" s="70">
        <f t="shared" si="8"/>
        <v>6264.8770400000003</v>
      </c>
      <c r="L40" s="57"/>
      <c r="M40" s="9">
        <f>((((B40*2)*MATERIALES!$C$64)+(B40*MATERIALES!$C$75)+(B40*MATERIALES!$C$65))*(MATERIALES!$F$2*MATERIALES!$J$15))*$M$3</f>
        <v>0</v>
      </c>
      <c r="N40"/>
      <c r="O40" s="68">
        <v>2</v>
      </c>
      <c r="P40" s="69">
        <v>0.8</v>
      </c>
      <c r="Q40" s="59">
        <f>(((O40*2)*MATERIALES!$C$46)+((P40*2)*MATERIALES!$C$47)+((P40*2)*MATERIALES!$C$48)+((P40*2)*MATERIALES!$C$52)+((O40*2)*MATERIALES!$C$49)+((P40*2)*MATERIALES!$C$64)+(P40*MATERIALES!$C$65)+(P40*MATERIALES!$C$75))*(MATERIALES!$F$2*MATERIALES!$J$15)</f>
        <v>0</v>
      </c>
      <c r="R40" s="59">
        <f>(2*MATERIALES!$C$177)+(4*MATERIALES!$C$179)+(4*MATERIALES!$C$181)+(1*MATERIALES!$C$182)+(4*MATERIALES!$C$183)+(4*MATERIALES!$C$184)+(4*MATERIALES!$C$185)+(2*MATERIALES!$C$186)+(8*MATERIALES!$C$158)+(8*MATERIALES!$C$174)+(((O40*4)+(P40*6))*MATERIALES!$C$188)+(((O40*2)+(P40*4))*MATERIALES!$C$141)+(4*MATERIALES!$C$148)+(((O40*5)*2)*MATERIALES!$C$147)+(10*MATERIALES!$C$145)+(2*MATERIALES!$C$188)</f>
        <v>1521.0936000000004</v>
      </c>
      <c r="S40" s="75"/>
      <c r="T40" s="55">
        <f>(O40*P40)*MATERIALES!$D$82</f>
        <v>848</v>
      </c>
      <c r="U40" s="55">
        <f>(((O40*P40)*2)*MATERIALES!$D$83)+(8*MATERIALES!$C$229)+(((O40*2)+(P40*4))*MATERIALES!$C$230)+(((O40*2)+(P40*4))*MATERIALES!$C$231)+((((O40*2)+(P40*2))/15)*MATERIALES!$C$232)+((((O40*2)+(P40*2))/15)*(MATERIALES!$C$233*0.15))</f>
        <v>3703.3235199999999</v>
      </c>
      <c r="V40" s="55">
        <f>(O40*P40)*MATERIALES!$D$89</f>
        <v>2864</v>
      </c>
      <c r="W40" s="124">
        <f t="shared" si="5"/>
        <v>3673.4216800000004</v>
      </c>
      <c r="X40" s="124">
        <f t="shared" si="0"/>
        <v>9384.0687200000011</v>
      </c>
      <c r="Y40" s="70">
        <f t="shared" si="1"/>
        <v>6273.4216800000004</v>
      </c>
      <c r="Z40" s="57"/>
    </row>
    <row r="41" spans="1:26" hidden="1">
      <c r="A41" s="68">
        <v>2</v>
      </c>
      <c r="B41" s="69">
        <v>1</v>
      </c>
      <c r="C41" s="59">
        <f>(((A41*2)*MATERIALES!$C$46)+((B41*2)*MATERIALES!$C$47)+((B41*2)*MATERIALES!$C$48)+((B41*2)*MATERIALES!$C$52)+((A41*2)*MATERIALES!$C$49))*(MATERIALES!$F$2*MATERIALES!$J$15)</f>
        <v>0</v>
      </c>
      <c r="D41" s="59">
        <f>(2*MATERIALES!$C$177)+(4*MATERIALES!$C$179)+(4*MATERIALES!$C$181)+(1*MATERIALES!$C$182)+(4*MATERIALES!$C$183)+(4*MATERIALES!$C$184)+(4*MATERIALES!$C$185)+(2*MATERIALES!$C$186)+(8*MATERIALES!$C$158)+(8*MATERIALES!$C$174)+(((A41*4)+(B41*6))*MATERIALES!$C$188)+(((A41*2)+(B41*4))*MATERIALES!$C$141)+(4*MATERIALES!$C$148)+(((A41*5)*2)*MATERIALES!$C$147)+(2*MATERIALES!$C$187)+(8*MATERIALES!$C$174)+(2*MATERIALES!$C$187)</f>
        <v>1546.6568</v>
      </c>
      <c r="E41" s="75"/>
      <c r="F41" s="55">
        <f>(A41*B41)*MATERIALES!$D$82</f>
        <v>1060</v>
      </c>
      <c r="G41" s="55">
        <f>(((A41*B41)*2)*MATERIALES!$D$83)+(8*MATERIALES!$C$229)+(((A41*2)+(B41*4))*MATERIALES!$C$230)+(((A41*2)+(B41*4))*MATERIALES!$C$231)+((((A41*2)+(B41*2))/15)*MATERIALES!$C$232)+((((A41*2)+(B41*2))/15)*(MATERIALES!$C$233*0.15))</f>
        <v>4386.0752000000002</v>
      </c>
      <c r="H41" s="55">
        <f>(A41*B41)*MATERIALES!$D$89</f>
        <v>3580</v>
      </c>
      <c r="I41" s="124">
        <f t="shared" si="6"/>
        <v>4130.6538399999999</v>
      </c>
      <c r="J41" s="124">
        <f t="shared" si="7"/>
        <v>10782.804240000001</v>
      </c>
      <c r="K41" s="70">
        <f t="shared" si="8"/>
        <v>7380.6538399999999</v>
      </c>
      <c r="L41" s="57"/>
      <c r="M41" s="9">
        <f>((((B41*2)*MATERIALES!$C$64)+(B41*MATERIALES!$C$75)+(B41*MATERIALES!$C$65))*(MATERIALES!$F$2*MATERIALES!$J$15))*$M$3</f>
        <v>0</v>
      </c>
      <c r="N41"/>
      <c r="O41" s="68">
        <v>2</v>
      </c>
      <c r="P41" s="69">
        <v>1</v>
      </c>
      <c r="Q41" s="59">
        <f>(((O41*2)*MATERIALES!$C$46)+((P41*2)*MATERIALES!$C$47)+((P41*2)*MATERIALES!$C$48)+((P41*2)*MATERIALES!$C$52)+((O41*2)*MATERIALES!$C$49)+((P41*2)*MATERIALES!$C$64)+(P41*MATERIALES!$C$65)+(P41*MATERIALES!$C$75))*(MATERIALES!$F$2*MATERIALES!$J$15)</f>
        <v>0</v>
      </c>
      <c r="R41" s="59">
        <f>(2*MATERIALES!$C$177)+(4*MATERIALES!$C$179)+(4*MATERIALES!$C$181)+(1*MATERIALES!$C$182)+(4*MATERIALES!$C$183)+(4*MATERIALES!$C$184)+(4*MATERIALES!$C$185)+(2*MATERIALES!$C$186)+(8*MATERIALES!$C$158)+(8*MATERIALES!$C$174)+(((O41*4)+(P41*6))*MATERIALES!$C$188)+(((O41*2)+(P41*4))*MATERIALES!$C$141)+(4*MATERIALES!$C$148)+(((O41*5)*2)*MATERIALES!$C$147)+(10*MATERIALES!$C$145)+(2*MATERIALES!$C$188)</f>
        <v>1553.2296000000003</v>
      </c>
      <c r="S41" s="75"/>
      <c r="T41" s="55">
        <f>(O41*P41)*MATERIALES!$D$82</f>
        <v>1060</v>
      </c>
      <c r="U41" s="55">
        <f>(((O41*P41)*2)*MATERIALES!$D$83)+(8*MATERIALES!$C$229)+(((O41*2)+(P41*4))*MATERIALES!$C$230)+(((O41*2)+(P41*4))*MATERIALES!$C$231)+((((O41*2)+(P41*2))/15)*MATERIALES!$C$232)+((((O41*2)+(P41*2))/15)*(MATERIALES!$C$233*0.15))</f>
        <v>4386.0752000000002</v>
      </c>
      <c r="V41" s="55">
        <f>(O41*P41)*MATERIALES!$D$89</f>
        <v>3580</v>
      </c>
      <c r="W41" s="124">
        <f t="shared" si="5"/>
        <v>4139.1984800000009</v>
      </c>
      <c r="X41" s="124">
        <f t="shared" si="0"/>
        <v>10791.348880000001</v>
      </c>
      <c r="Y41" s="70">
        <f t="shared" si="1"/>
        <v>7389.1984800000009</v>
      </c>
      <c r="Z41" s="57"/>
    </row>
    <row r="42" spans="1:26" hidden="1">
      <c r="A42" s="68">
        <v>2</v>
      </c>
      <c r="B42" s="69">
        <v>1.1000000000000001</v>
      </c>
      <c r="C42" s="59">
        <f>(((A42*2)*MATERIALES!$C$46)+((B42*2)*MATERIALES!$C$47)+((B42*2)*MATERIALES!$C$48)+((B42*2)*MATERIALES!$C$52)+((A42*2)*MATERIALES!$C$49))*(MATERIALES!$F$2*MATERIALES!$J$15)</f>
        <v>0</v>
      </c>
      <c r="D42" s="59">
        <f>(2*MATERIALES!$C$177)+(4*MATERIALES!$C$179)+(4*MATERIALES!$C$181)+(1*MATERIALES!$C$182)+(4*MATERIALES!$C$183)+(4*MATERIALES!$C$184)+(4*MATERIALES!$C$185)+(2*MATERIALES!$C$186)+(8*MATERIALES!$C$158)+(8*MATERIALES!$C$174)+(((A42*4)+(B42*6))*MATERIALES!$C$188)+(((A42*2)+(B42*4))*MATERIALES!$C$141)+(4*MATERIALES!$C$148)+(((A42*5)*2)*MATERIALES!$C$147)+(2*MATERIALES!$C$187)+(8*MATERIALES!$C$174)+(2*MATERIALES!$C$187)</f>
        <v>1562.7248</v>
      </c>
      <c r="E42" s="75"/>
      <c r="F42" s="55">
        <f>(A42*B42)*MATERIALES!$D$82</f>
        <v>1166</v>
      </c>
      <c r="G42" s="55">
        <f>(((A42*B42)*2)*MATERIALES!$D$83)+(8*MATERIALES!$C$229)+(((A42*2)+(B42*4))*MATERIALES!$C$230)+(((A42*2)+(B42*4))*MATERIALES!$C$231)+((((A42*2)+(B42*2))/15)*MATERIALES!$C$232)+((((A42*2)+(B42*2))/15)*(MATERIALES!$C$233*0.15))</f>
        <v>4727.4510400000008</v>
      </c>
      <c r="H42" s="55">
        <f>(A42*B42)*MATERIALES!$D$89</f>
        <v>3938.0000000000005</v>
      </c>
      <c r="I42" s="124">
        <f t="shared" si="6"/>
        <v>4363.5422399999998</v>
      </c>
      <c r="J42" s="124">
        <f t="shared" si="7"/>
        <v>11486.444320000002</v>
      </c>
      <c r="K42" s="70">
        <f t="shared" si="8"/>
        <v>7938.5422400000007</v>
      </c>
      <c r="L42" s="57"/>
      <c r="M42" s="9">
        <f>((((B42*2)*MATERIALES!$C$64)+(B42*MATERIALES!$C$75)+(B42*MATERIALES!$C$65))*(MATERIALES!$F$2*MATERIALES!$J$15))*$M$3</f>
        <v>0</v>
      </c>
      <c r="N42"/>
      <c r="O42" s="68">
        <v>2</v>
      </c>
      <c r="P42" s="69">
        <v>1.1000000000000001</v>
      </c>
      <c r="Q42" s="59">
        <f>(((O42*2)*MATERIALES!$C$46)+((P42*2)*MATERIALES!$C$47)+((P42*2)*MATERIALES!$C$48)+((P42*2)*MATERIALES!$C$52)+((O42*2)*MATERIALES!$C$49)+((P42*2)*MATERIALES!$C$64)+(P42*MATERIALES!$C$65)+(P42*MATERIALES!$C$75))*(MATERIALES!$F$2*MATERIALES!$J$15)</f>
        <v>0</v>
      </c>
      <c r="R42" s="59">
        <f>(2*MATERIALES!$C$177)+(4*MATERIALES!$C$179)+(4*MATERIALES!$C$181)+(1*MATERIALES!$C$182)+(4*MATERIALES!$C$183)+(4*MATERIALES!$C$184)+(4*MATERIALES!$C$185)+(2*MATERIALES!$C$186)+(8*MATERIALES!$C$158)+(8*MATERIALES!$C$174)+(((O42*4)+(P42*6))*MATERIALES!$C$188)+(((O42*2)+(P42*4))*MATERIALES!$C$141)+(4*MATERIALES!$C$148)+(((O42*5)*2)*MATERIALES!$C$147)+(10*MATERIALES!$C$145)+(2*MATERIALES!$C$188)</f>
        <v>1569.2976000000003</v>
      </c>
      <c r="S42" s="75"/>
      <c r="T42" s="55">
        <f>(O42*P42)*MATERIALES!$D$82</f>
        <v>1166</v>
      </c>
      <c r="U42" s="55">
        <f>(((O42*P42)*2)*MATERIALES!$D$83)+(8*MATERIALES!$C$229)+(((O42*2)+(P42*4))*MATERIALES!$C$230)+(((O42*2)+(P42*4))*MATERIALES!$C$231)+((((O42*2)+(P42*2))/15)*MATERIALES!$C$232)+((((O42*2)+(P42*2))/15)*(MATERIALES!$C$233*0.15))</f>
        <v>4727.4510400000008</v>
      </c>
      <c r="V42" s="55">
        <f>(O42*P42)*MATERIALES!$D$89</f>
        <v>3938.0000000000005</v>
      </c>
      <c r="W42" s="124">
        <f t="shared" si="5"/>
        <v>4372.0868800000007</v>
      </c>
      <c r="X42" s="124">
        <f t="shared" si="0"/>
        <v>11494.988960000002</v>
      </c>
      <c r="Y42" s="70">
        <f t="shared" si="1"/>
        <v>7947.0868800000017</v>
      </c>
      <c r="Z42" s="57"/>
    </row>
    <row r="43" spans="1:26" hidden="1">
      <c r="A43" s="68">
        <v>2</v>
      </c>
      <c r="B43" s="69">
        <v>1.2</v>
      </c>
      <c r="C43" s="59">
        <f>(((A43*2)*MATERIALES!$C$46)+((B43*2)*MATERIALES!$C$47)+((B43*2)*MATERIALES!$C$48)+((B43*2)*MATERIALES!$C$52)+((A43*2)*MATERIALES!$C$49))*(MATERIALES!$F$2*MATERIALES!$J$15)</f>
        <v>0</v>
      </c>
      <c r="D43" s="59">
        <f>(2*MATERIALES!$C$177)+(4*MATERIALES!$C$179)+(4*MATERIALES!$C$181)+(1*MATERIALES!$C$182)+(4*MATERIALES!$C$183)+(4*MATERIALES!$C$184)+(4*MATERIALES!$C$185)+(2*MATERIALES!$C$186)+(8*MATERIALES!$C$158)+(8*MATERIALES!$C$174)+(((A43*4)+(B43*6))*MATERIALES!$C$188)+(((A43*2)+(B43*4))*MATERIALES!$C$141)+(4*MATERIALES!$C$148)+(((A43*5)*2)*MATERIALES!$C$147)+(2*MATERIALES!$C$187)+(8*MATERIALES!$C$174)+(2*MATERIALES!$C$187)</f>
        <v>1578.7928000000002</v>
      </c>
      <c r="E43" s="75"/>
      <c r="F43" s="55">
        <f>(A43*B43)*MATERIALES!$D$82</f>
        <v>1272</v>
      </c>
      <c r="G43" s="55">
        <f>(((A43*B43)*2)*MATERIALES!$D$83)+(8*MATERIALES!$C$229)+(((A43*2)+(B43*4))*MATERIALES!$C$230)+(((A43*2)+(B43*4))*MATERIALES!$C$231)+((((A43*2)+(B43*2))/15)*MATERIALES!$C$232)+((((A43*2)+(B43*2))/15)*(MATERIALES!$C$233*0.15))</f>
        <v>5068.8268800000005</v>
      </c>
      <c r="H43" s="55">
        <f>(A43*B43)*MATERIALES!$D$89</f>
        <v>4296</v>
      </c>
      <c r="I43" s="124">
        <f t="shared" si="6"/>
        <v>4596.4306400000005</v>
      </c>
      <c r="J43" s="124">
        <f t="shared" si="7"/>
        <v>12190.084400000002</v>
      </c>
      <c r="K43" s="70">
        <f t="shared" si="8"/>
        <v>8496.4306400000005</v>
      </c>
      <c r="L43" s="57"/>
      <c r="M43" s="9">
        <f>((((B43*2)*MATERIALES!$C$64)+(B43*MATERIALES!$C$75)+(B43*MATERIALES!$C$65))*(MATERIALES!$F$2*MATERIALES!$J$15))*$M$3</f>
        <v>0</v>
      </c>
      <c r="N43"/>
      <c r="O43" s="68">
        <v>2</v>
      </c>
      <c r="P43" s="69">
        <v>1.2</v>
      </c>
      <c r="Q43" s="59">
        <f>(((O43*2)*MATERIALES!$C$46)+((P43*2)*MATERIALES!$C$47)+((P43*2)*MATERIALES!$C$48)+((P43*2)*MATERIALES!$C$52)+((O43*2)*MATERIALES!$C$49)+((P43*2)*MATERIALES!$C$64)+(P43*MATERIALES!$C$65)+(P43*MATERIALES!$C$75))*(MATERIALES!$F$2*MATERIALES!$J$15)</f>
        <v>0</v>
      </c>
      <c r="R43" s="59">
        <f>(2*MATERIALES!$C$177)+(4*MATERIALES!$C$179)+(4*MATERIALES!$C$181)+(1*MATERIALES!$C$182)+(4*MATERIALES!$C$183)+(4*MATERIALES!$C$184)+(4*MATERIALES!$C$185)+(2*MATERIALES!$C$186)+(8*MATERIALES!$C$158)+(8*MATERIALES!$C$174)+(((O43*4)+(P43*6))*MATERIALES!$C$188)+(((O43*2)+(P43*4))*MATERIALES!$C$141)+(4*MATERIALES!$C$148)+(((O43*5)*2)*MATERIALES!$C$147)+(10*MATERIALES!$C$145)+(2*MATERIALES!$C$188)</f>
        <v>1585.3656000000005</v>
      </c>
      <c r="S43" s="75"/>
      <c r="T43" s="55">
        <f>(O43*P43)*MATERIALES!$D$82</f>
        <v>1272</v>
      </c>
      <c r="U43" s="55">
        <f>(((O43*P43)*2)*MATERIALES!$D$83)+(8*MATERIALES!$C$229)+(((O43*2)+(P43*4))*MATERIALES!$C$230)+(((O43*2)+(P43*4))*MATERIALES!$C$231)+((((O43*2)+(P43*2))/15)*MATERIALES!$C$232)+((((O43*2)+(P43*2))/15)*(MATERIALES!$C$233*0.15))</f>
        <v>5068.8268800000005</v>
      </c>
      <c r="V43" s="55">
        <f>(O43*P43)*MATERIALES!$D$89</f>
        <v>4296</v>
      </c>
      <c r="W43" s="124">
        <f t="shared" si="5"/>
        <v>4604.9752800000006</v>
      </c>
      <c r="X43" s="124">
        <f t="shared" si="0"/>
        <v>12198.629040000002</v>
      </c>
      <c r="Y43" s="70">
        <f t="shared" si="1"/>
        <v>8504.9752800000006</v>
      </c>
      <c r="Z43" s="57"/>
    </row>
    <row r="44" spans="1:26" hidden="1">
      <c r="A44" s="68">
        <v>2</v>
      </c>
      <c r="B44" s="69">
        <v>1.5</v>
      </c>
      <c r="C44" s="59">
        <f>(((A44*2)*MATERIALES!$C$46)+((B44*2)*MATERIALES!$C$47)+((B44*2)*MATERIALES!$C$48)+((B44*2)*MATERIALES!$C$52)+((A44*2)*MATERIALES!$C$49))*(MATERIALES!$F$2*MATERIALES!$J$15)</f>
        <v>0</v>
      </c>
      <c r="D44" s="59">
        <f>(2*MATERIALES!$C$177)+(4*MATERIALES!$C$179)+(4*MATERIALES!$C$181)+(1*MATERIALES!$C$182)+(4*MATERIALES!$C$183)+(4*MATERIALES!$C$184)+(4*MATERIALES!$C$185)+(2*MATERIALES!$C$186)+(8*MATERIALES!$C$158)+(8*MATERIALES!$C$174)+(((A44*4)+(B44*6))*MATERIALES!$C$188)+(((A44*2)+(B44*4))*MATERIALES!$C$141)+(4*MATERIALES!$C$148)+(((A44*5)*2)*MATERIALES!$C$147)+(2*MATERIALES!$C$187)+(8*MATERIALES!$C$174)+(2*MATERIALES!$C$187)</f>
        <v>1626.9967999999999</v>
      </c>
      <c r="E44" s="75"/>
      <c r="F44" s="55">
        <f>(A44*B44)*MATERIALES!$D$82</f>
        <v>1590</v>
      </c>
      <c r="G44" s="55">
        <f>(((A44*B44)*2)*MATERIALES!$D$83)+(8*MATERIALES!$C$229)+(((A44*2)+(B44*4))*MATERIALES!$C$230)+(((A44*2)+(B44*4))*MATERIALES!$C$231)+((((A44*2)+(B44*2))/15)*MATERIALES!$C$232)+((((A44*2)+(B44*2))/15)*(MATERIALES!$C$233*0.15))</f>
        <v>6092.9543999999996</v>
      </c>
      <c r="H44" s="55">
        <f>(A44*B44)*MATERIALES!$D$89</f>
        <v>5370</v>
      </c>
      <c r="I44" s="124">
        <f t="shared" si="6"/>
        <v>5295.09584</v>
      </c>
      <c r="J44" s="124">
        <f t="shared" si="7"/>
        <v>14301.004639999999</v>
      </c>
      <c r="K44" s="70">
        <f t="shared" si="8"/>
        <v>10170.09584</v>
      </c>
      <c r="L44" s="57"/>
      <c r="M44" s="9">
        <f>((((B44*2)*MATERIALES!$C$64)+(B44*MATERIALES!$C$75)+(B44*MATERIALES!$C$65))*(MATERIALES!$F$2*MATERIALES!$J$15))*$M$3</f>
        <v>0</v>
      </c>
      <c r="N44"/>
      <c r="O44" s="68">
        <v>2</v>
      </c>
      <c r="P44" s="69">
        <v>1.5</v>
      </c>
      <c r="Q44" s="59">
        <f>(((O44*2)*MATERIALES!$C$46)+((P44*2)*MATERIALES!$C$47)+((P44*2)*MATERIALES!$C$48)+((P44*2)*MATERIALES!$C$52)+((O44*2)*MATERIALES!$C$49)+((P44*2)*MATERIALES!$C$64)+(P44*MATERIALES!$C$65)+(P44*MATERIALES!$C$75))*(MATERIALES!$F$2*MATERIALES!$J$15)</f>
        <v>0</v>
      </c>
      <c r="R44" s="59">
        <f>(2*MATERIALES!$C$177)+(4*MATERIALES!$C$179)+(4*MATERIALES!$C$181)+(1*MATERIALES!$C$182)+(4*MATERIALES!$C$183)+(4*MATERIALES!$C$184)+(4*MATERIALES!$C$185)+(2*MATERIALES!$C$186)+(8*MATERIALES!$C$158)+(8*MATERIALES!$C$174)+(((O44*4)+(P44*6))*MATERIALES!$C$188)+(((O44*2)+(P44*4))*MATERIALES!$C$141)+(4*MATERIALES!$C$148)+(((O44*5)*2)*MATERIALES!$C$147)+(10*MATERIALES!$C$145)+(2*MATERIALES!$C$188)</f>
        <v>1633.5696000000003</v>
      </c>
      <c r="S44" s="75"/>
      <c r="T44" s="55">
        <f>(O44*P44)*MATERIALES!$D$82</f>
        <v>1590</v>
      </c>
      <c r="U44" s="55">
        <f>(((O44*P44)*2)*MATERIALES!$D$83)+(8*MATERIALES!$C$229)+(((O44*2)+(P44*4))*MATERIALES!$C$230)+(((O44*2)+(P44*4))*MATERIALES!$C$231)+((((O44*2)+(P44*2))/15)*MATERIALES!$C$232)+((((O44*2)+(P44*2))/15)*(MATERIALES!$C$233*0.15))</f>
        <v>6092.9543999999996</v>
      </c>
      <c r="V44" s="55">
        <f>(O44*P44)*MATERIALES!$D$89</f>
        <v>5370</v>
      </c>
      <c r="W44" s="124">
        <f t="shared" si="5"/>
        <v>5303.64048</v>
      </c>
      <c r="X44" s="124">
        <f t="shared" si="0"/>
        <v>14309.549279999999</v>
      </c>
      <c r="Y44" s="70">
        <f t="shared" si="1"/>
        <v>10178.64048</v>
      </c>
      <c r="Z44" s="57"/>
    </row>
    <row r="45" spans="1:26" hidden="1">
      <c r="A45" s="68">
        <v>2</v>
      </c>
      <c r="B45" s="69">
        <v>1.8</v>
      </c>
      <c r="C45" s="59">
        <f>(((A45*2)*MATERIALES!$C$46)+((B45*2)*MATERIALES!$C$47)+((B45*2)*MATERIALES!$C$48)+((B45*2)*MATERIALES!$C$52)+((A45*2)*MATERIALES!$C$49))*(MATERIALES!$F$2*MATERIALES!$J$15)</f>
        <v>0</v>
      </c>
      <c r="D45" s="59">
        <f>(2*MATERIALES!$C$177)+(4*MATERIALES!$C$179)+(4*MATERIALES!$C$181)+(1*MATERIALES!$C$182)+(4*MATERIALES!$C$183)+(4*MATERIALES!$C$184)+(4*MATERIALES!$C$185)+(2*MATERIALES!$C$186)+(8*MATERIALES!$C$158)+(8*MATERIALES!$C$174)+(((A45*4)+(B45*6))*MATERIALES!$C$188)+(((A45*2)+(B45*4))*MATERIALES!$C$141)+(4*MATERIALES!$C$148)+(((A45*5)*2)*MATERIALES!$C$147)+(2*MATERIALES!$C$187)+(8*MATERIALES!$C$174)+(2*MATERIALES!$C$187)</f>
        <v>1675.2007999999998</v>
      </c>
      <c r="E45" s="75"/>
      <c r="F45" s="55">
        <f>(A45*B45)*MATERIALES!$D$82</f>
        <v>1908</v>
      </c>
      <c r="G45" s="55">
        <f>(((A45*B45)*2)*MATERIALES!$D$83)+(8*MATERIALES!$C$229)+(((A45*2)+(B45*4))*MATERIALES!$C$230)+(((A45*2)+(B45*4))*MATERIALES!$C$231)+((((A45*2)+(B45*2))/15)*MATERIALES!$C$232)+((((A45*2)+(B45*2))/15)*(MATERIALES!$C$233*0.15))</f>
        <v>7117.0819199999996</v>
      </c>
      <c r="H45" s="55">
        <f>(A45*B45)*MATERIALES!$D$89</f>
        <v>6444</v>
      </c>
      <c r="I45" s="124">
        <f t="shared" si="6"/>
        <v>5993.7610399999994</v>
      </c>
      <c r="J45" s="124">
        <f t="shared" si="7"/>
        <v>16411.924879999999</v>
      </c>
      <c r="K45" s="70">
        <f t="shared" si="8"/>
        <v>11843.761039999999</v>
      </c>
      <c r="L45" s="57"/>
      <c r="M45" s="9">
        <f>((((B45*2)*MATERIALES!$C$64)+(B45*MATERIALES!$C$75)+(B45*MATERIALES!$C$65))*(MATERIALES!$F$2*MATERIALES!$J$15))*$M$3</f>
        <v>0</v>
      </c>
      <c r="N45"/>
      <c r="O45" s="68">
        <v>2</v>
      </c>
      <c r="P45" s="69">
        <v>1.8</v>
      </c>
      <c r="Q45" s="59">
        <f>(((O45*2)*MATERIALES!$C$46)+((P45*2)*MATERIALES!$C$47)+((P45*2)*MATERIALES!$C$48)+((P45*2)*MATERIALES!$C$52)+((O45*2)*MATERIALES!$C$49)+((P45*2)*MATERIALES!$C$64)+(P45*MATERIALES!$C$65)+(P45*MATERIALES!$C$75))*(MATERIALES!$F$2*MATERIALES!$J$15)</f>
        <v>0</v>
      </c>
      <c r="R45" s="59">
        <f>(2*MATERIALES!$C$177)+(4*MATERIALES!$C$179)+(4*MATERIALES!$C$181)+(1*MATERIALES!$C$182)+(4*MATERIALES!$C$183)+(4*MATERIALES!$C$184)+(4*MATERIALES!$C$185)+(2*MATERIALES!$C$186)+(8*MATERIALES!$C$158)+(8*MATERIALES!$C$174)+(((O45*4)+(P45*6))*MATERIALES!$C$188)+(((O45*2)+(P45*4))*MATERIALES!$C$141)+(4*MATERIALES!$C$148)+(((O45*5)*2)*MATERIALES!$C$147)+(10*MATERIALES!$C$145)+(2*MATERIALES!$C$188)</f>
        <v>1681.7736000000002</v>
      </c>
      <c r="S45" s="75"/>
      <c r="T45" s="55">
        <f>(O45*P45)*MATERIALES!$D$82</f>
        <v>1908</v>
      </c>
      <c r="U45" s="55">
        <f>(((O45*P45)*2)*MATERIALES!$D$83)+(8*MATERIALES!$C$229)+(((O45*2)+(P45*4))*MATERIALES!$C$230)+(((O45*2)+(P45*4))*MATERIALES!$C$231)+((((O45*2)+(P45*2))/15)*MATERIALES!$C$232)+((((O45*2)+(P45*2))/15)*(MATERIALES!$C$233*0.15))</f>
        <v>7117.0819199999996</v>
      </c>
      <c r="V45" s="55">
        <f>(O45*P45)*MATERIALES!$D$89</f>
        <v>6444</v>
      </c>
      <c r="W45" s="124">
        <f t="shared" si="5"/>
        <v>6002.3056800000004</v>
      </c>
      <c r="X45" s="124">
        <f t="shared" si="0"/>
        <v>16420.469519999999</v>
      </c>
      <c r="Y45" s="70">
        <f t="shared" si="1"/>
        <v>11852.305680000001</v>
      </c>
      <c r="Z45" s="57"/>
    </row>
    <row r="46" spans="1:26" hidden="1">
      <c r="A46" s="68">
        <v>2.2000000000000002</v>
      </c>
      <c r="B46" s="69">
        <v>0.4</v>
      </c>
      <c r="C46" s="59">
        <f>(((A46*2)*MATERIALES!$C$46)+((B46*2)*MATERIALES!$C$47)+((B46*2)*MATERIALES!$C$48)+((B46*2)*MATERIALES!$C$52)+((A46*2)*MATERIALES!$C$49))*(MATERIALES!$F$2*MATERIALES!$J$15)</f>
        <v>0</v>
      </c>
      <c r="D46" s="59">
        <f>(2*MATERIALES!$C$177)+(4*MATERIALES!$C$179)+(4*MATERIALES!$C$181)+(1*MATERIALES!$C$182)+(4*MATERIALES!$C$183)+(4*MATERIALES!$C$184)+(4*MATERIALES!$C$185)+(2*MATERIALES!$C$186)+(8*MATERIALES!$C$158)+(8*MATERIALES!$C$174)+(((A46*4)+(B46*6))*MATERIALES!$C$188)+(((A46*2)+(B46*4))*MATERIALES!$C$141)+(4*MATERIALES!$C$148)+(((A46*5)*2)*MATERIALES!$C$147)+(2*MATERIALES!$C$187)+(8*MATERIALES!$C$174)+(2*MATERIALES!$C$187)</f>
        <v>1468.8273600000002</v>
      </c>
      <c r="E46" s="75"/>
      <c r="F46" s="55">
        <f>(A46*B46)*MATERIALES!$D$82</f>
        <v>466.40000000000003</v>
      </c>
      <c r="G46" s="55">
        <f>(((A46*B46)*2)*MATERIALES!$D$83)+(8*MATERIALES!$C$229)+(((A46*2)+(B46*4))*MATERIALES!$C$230)+(((A46*2)+(B46*4))*MATERIALES!$C$231)+((((A46*2)+(B46*2))/15)*MATERIALES!$C$232)+((((A46*2)+(B46*2))/15)*(MATERIALES!$C$233*0.15))</f>
        <v>2534.6838400000001</v>
      </c>
      <c r="H46" s="55">
        <f>(A46*B46)*MATERIALES!$D$89</f>
        <v>1575.2000000000003</v>
      </c>
      <c r="I46" s="124">
        <f t="shared" si="6"/>
        <v>2842.2755680000005</v>
      </c>
      <c r="J46" s="124">
        <f t="shared" si="7"/>
        <v>6978.843248000001</v>
      </c>
      <c r="K46" s="70">
        <f t="shared" si="8"/>
        <v>4272.2755680000009</v>
      </c>
      <c r="L46" s="57"/>
      <c r="M46" s="9">
        <f>((((B46*2)*MATERIALES!$C$64)+(B46*MATERIALES!$C$75)+(B46*MATERIALES!$C$65))*(MATERIALES!$F$2*MATERIALES!$J$15))*$M$3</f>
        <v>0</v>
      </c>
      <c r="N46"/>
      <c r="O46" s="68">
        <v>2.2000000000000002</v>
      </c>
      <c r="P46" s="69">
        <v>0.4</v>
      </c>
      <c r="Q46" s="59">
        <f>(((O46*2)*MATERIALES!$C$46)+((P46*2)*MATERIALES!$C$47)+((P46*2)*MATERIALES!$C$48)+((P46*2)*MATERIALES!$C$52)+((O46*2)*MATERIALES!$C$49)+((P46*2)*MATERIALES!$C$64)+(P46*MATERIALES!$C$65)+(P46*MATERIALES!$C$75))*(MATERIALES!$F$2*MATERIALES!$J$15)</f>
        <v>0</v>
      </c>
      <c r="R46" s="59">
        <f>(2*MATERIALES!$C$177)+(4*MATERIALES!$C$179)+(4*MATERIALES!$C$181)+(1*MATERIALES!$C$182)+(4*MATERIALES!$C$183)+(4*MATERIALES!$C$184)+(4*MATERIALES!$C$185)+(2*MATERIALES!$C$186)+(8*MATERIALES!$C$158)+(8*MATERIALES!$C$174)+(((O46*4)+(P46*6))*MATERIALES!$C$188)+(((O46*2)+(P46*4))*MATERIALES!$C$141)+(4*MATERIALES!$C$148)+(((O46*5)*2)*MATERIALES!$C$147)+(10*MATERIALES!$C$145)+(2*MATERIALES!$C$188)</f>
        <v>1475.4001600000006</v>
      </c>
      <c r="S46" s="75"/>
      <c r="T46" s="55">
        <f>(O46*P46)*MATERIALES!$D$82</f>
        <v>466.40000000000003</v>
      </c>
      <c r="U46" s="55">
        <f>(((O46*P46)*2)*MATERIALES!$D$83)+(8*MATERIALES!$C$229)+(((O46*2)+(P46*4))*MATERIALES!$C$230)+(((O46*2)+(P46*4))*MATERIALES!$C$231)+((((O46*2)+(P46*2))/15)*MATERIALES!$C$232)+((((O46*2)+(P46*2))/15)*(MATERIALES!$C$233*0.15))</f>
        <v>2534.6838400000001</v>
      </c>
      <c r="V46" s="55">
        <f>(O46*P46)*MATERIALES!$D$89</f>
        <v>1575.2000000000003</v>
      </c>
      <c r="W46" s="124">
        <f t="shared" si="5"/>
        <v>2850.820208000001</v>
      </c>
      <c r="X46" s="124">
        <f t="shared" si="0"/>
        <v>6987.3878880000011</v>
      </c>
      <c r="Y46" s="70">
        <f t="shared" si="1"/>
        <v>4280.820208000001</v>
      </c>
      <c r="Z46" s="57"/>
    </row>
    <row r="47" spans="1:26" hidden="1">
      <c r="A47" s="68">
        <v>2.2000000000000002</v>
      </c>
      <c r="B47" s="69">
        <v>0.6</v>
      </c>
      <c r="C47" s="59">
        <f>(((A47*2)*MATERIALES!$C$46)+((B47*2)*MATERIALES!$C$47)+((B47*2)*MATERIALES!$C$48)+((B47*2)*MATERIALES!$C$52)+((A47*2)*MATERIALES!$C$49))*(MATERIALES!$F$2*MATERIALES!$J$15)</f>
        <v>0</v>
      </c>
      <c r="D47" s="59">
        <f>(2*MATERIALES!$C$177)+(4*MATERIALES!$C$179)+(4*MATERIALES!$C$181)+(1*MATERIALES!$C$182)+(4*MATERIALES!$C$183)+(4*MATERIALES!$C$184)+(4*MATERIALES!$C$185)+(2*MATERIALES!$C$186)+(8*MATERIALES!$C$158)+(8*MATERIALES!$C$174)+(((A47*4)+(B47*6))*MATERIALES!$C$188)+(((A47*2)+(B47*4))*MATERIALES!$C$141)+(4*MATERIALES!$C$148)+(((A47*5)*2)*MATERIALES!$C$147)+(2*MATERIALES!$C$187)+(8*MATERIALES!$C$174)+(2*MATERIALES!$C$187)</f>
        <v>1500.96336</v>
      </c>
      <c r="E47" s="75"/>
      <c r="F47" s="55">
        <f>(A47*B47)*MATERIALES!$D$82</f>
        <v>699.6</v>
      </c>
      <c r="G47" s="55">
        <f>(((A47*B47)*2)*MATERIALES!$D$83)+(8*MATERIALES!$C$229)+(((A47*2)+(B47*4))*MATERIALES!$C$230)+(((A47*2)+(B47*4))*MATERIALES!$C$231)+((((A47*2)+(B47*2))/15)*MATERIALES!$C$232)+((((A47*2)+(B47*2))/15)*(MATERIALES!$C$233*0.15))</f>
        <v>3269.4355200000005</v>
      </c>
      <c r="H47" s="55">
        <f>(A47*B47)*MATERIALES!$D$89</f>
        <v>2362.8000000000002</v>
      </c>
      <c r="I47" s="124">
        <f t="shared" si="6"/>
        <v>3350.4523680000002</v>
      </c>
      <c r="J47" s="124">
        <f t="shared" si="7"/>
        <v>8490.1234080000013</v>
      </c>
      <c r="K47" s="70">
        <f t="shared" si="8"/>
        <v>5495.4523680000002</v>
      </c>
      <c r="L47" s="57"/>
      <c r="M47" s="9">
        <f>((((B47*2)*MATERIALES!$C$64)+(B47*MATERIALES!$C$75)+(B47*MATERIALES!$C$65))*(MATERIALES!$F$2*MATERIALES!$J$15))*$M$3</f>
        <v>0</v>
      </c>
      <c r="N47"/>
      <c r="O47" s="68">
        <v>2.2000000000000002</v>
      </c>
      <c r="P47" s="69">
        <v>0.6</v>
      </c>
      <c r="Q47" s="59">
        <f>(((O47*2)*MATERIALES!$C$46)+((P47*2)*MATERIALES!$C$47)+((P47*2)*MATERIALES!$C$48)+((P47*2)*MATERIALES!$C$52)+((O47*2)*MATERIALES!$C$49)+((P47*2)*MATERIALES!$C$64)+(P47*MATERIALES!$C$65)+(P47*MATERIALES!$C$75))*(MATERIALES!$F$2*MATERIALES!$J$15)</f>
        <v>0</v>
      </c>
      <c r="R47" s="59">
        <f>(2*MATERIALES!$C$177)+(4*MATERIALES!$C$179)+(4*MATERIALES!$C$181)+(1*MATERIALES!$C$182)+(4*MATERIALES!$C$183)+(4*MATERIALES!$C$184)+(4*MATERIALES!$C$185)+(2*MATERIALES!$C$186)+(8*MATERIALES!$C$158)+(8*MATERIALES!$C$174)+(((O47*4)+(P47*6))*MATERIALES!$C$188)+(((O47*2)+(P47*4))*MATERIALES!$C$141)+(4*MATERIALES!$C$148)+(((O47*5)*2)*MATERIALES!$C$147)+(10*MATERIALES!$C$145)+(2*MATERIALES!$C$188)</f>
        <v>1507.5361600000003</v>
      </c>
      <c r="S47" s="75"/>
      <c r="T47" s="55">
        <f>(O47*P47)*MATERIALES!$D$82</f>
        <v>699.6</v>
      </c>
      <c r="U47" s="55">
        <f>(((O47*P47)*2)*MATERIALES!$D$83)+(8*MATERIALES!$C$229)+(((O47*2)+(P47*4))*MATERIALES!$C$230)+(((O47*2)+(P47*4))*MATERIALES!$C$231)+((((O47*2)+(P47*2))/15)*MATERIALES!$C$232)+((((O47*2)+(P47*2))/15)*(MATERIALES!$C$233*0.15))</f>
        <v>3269.4355200000005</v>
      </c>
      <c r="V47" s="55">
        <f>(O47*P47)*MATERIALES!$D$89</f>
        <v>2362.8000000000002</v>
      </c>
      <c r="W47" s="124">
        <f t="shared" si="5"/>
        <v>3358.9970080000003</v>
      </c>
      <c r="X47" s="124">
        <f t="shared" si="0"/>
        <v>8498.6680480000014</v>
      </c>
      <c r="Y47" s="70">
        <f t="shared" si="1"/>
        <v>5503.9970080000003</v>
      </c>
      <c r="Z47" s="57"/>
    </row>
    <row r="48" spans="1:26" hidden="1">
      <c r="A48" s="68">
        <v>2.2000000000000002</v>
      </c>
      <c r="B48" s="69">
        <v>0.8</v>
      </c>
      <c r="C48" s="59">
        <f>(((A48*2)*MATERIALES!$C$46)+((B48*2)*MATERIALES!$C$47)+((B48*2)*MATERIALES!$C$48)+((B48*2)*MATERIALES!$C$52)+((A48*2)*MATERIALES!$C$49))*(MATERIALES!$F$2*MATERIALES!$J$15)</f>
        <v>0</v>
      </c>
      <c r="D48" s="59">
        <f>(2*MATERIALES!$C$177)+(4*MATERIALES!$C$179)+(4*MATERIALES!$C$181)+(1*MATERIALES!$C$182)+(4*MATERIALES!$C$183)+(4*MATERIALES!$C$184)+(4*MATERIALES!$C$185)+(2*MATERIALES!$C$186)+(8*MATERIALES!$C$158)+(8*MATERIALES!$C$174)+(((A48*4)+(B48*6))*MATERIALES!$C$188)+(((A48*2)+(B48*4))*MATERIALES!$C$141)+(4*MATERIALES!$C$148)+(((A48*5)*2)*MATERIALES!$C$147)+(2*MATERIALES!$C$187)+(8*MATERIALES!$C$174)+(2*MATERIALES!$C$187)</f>
        <v>1533.0993600000002</v>
      </c>
      <c r="E48" s="75"/>
      <c r="F48" s="55">
        <f>(A48*B48)*MATERIALES!$D$82</f>
        <v>932.80000000000007</v>
      </c>
      <c r="G48" s="55">
        <f>(((A48*B48)*2)*MATERIALES!$D$83)+(8*MATERIALES!$C$229)+(((A48*2)+(B48*4))*MATERIALES!$C$230)+(((A48*2)+(B48*4))*MATERIALES!$C$231)+((((A48*2)+(B48*2))/15)*MATERIALES!$C$232)+((((A48*2)+(B48*2))/15)*(MATERIALES!$C$233*0.15))</f>
        <v>4004.1872000000003</v>
      </c>
      <c r="H48" s="55">
        <f>(A48*B48)*MATERIALES!$D$89</f>
        <v>3150.4000000000005</v>
      </c>
      <c r="I48" s="124">
        <f t="shared" si="6"/>
        <v>3858.6291680000004</v>
      </c>
      <c r="J48" s="124">
        <f t="shared" si="7"/>
        <v>10001.403568000002</v>
      </c>
      <c r="K48" s="70">
        <f t="shared" si="8"/>
        <v>6718.6291680000004</v>
      </c>
      <c r="L48" s="57"/>
      <c r="M48" s="9">
        <f>((((B48*2)*MATERIALES!$C$64)+(B48*MATERIALES!$C$75)+(B48*MATERIALES!$C$65))*(MATERIALES!$F$2*MATERIALES!$J$15))*$M$3</f>
        <v>0</v>
      </c>
      <c r="N48"/>
      <c r="O48" s="68">
        <v>2.2000000000000002</v>
      </c>
      <c r="P48" s="69">
        <v>0.8</v>
      </c>
      <c r="Q48" s="59">
        <f>(((O48*2)*MATERIALES!$C$46)+((P48*2)*MATERIALES!$C$47)+((P48*2)*MATERIALES!$C$48)+((P48*2)*MATERIALES!$C$52)+((O48*2)*MATERIALES!$C$49)+((P48*2)*MATERIALES!$C$64)+(P48*MATERIALES!$C$65)+(P48*MATERIALES!$C$75))*(MATERIALES!$F$2*MATERIALES!$J$15)</f>
        <v>0</v>
      </c>
      <c r="R48" s="59">
        <f>(2*MATERIALES!$C$177)+(4*MATERIALES!$C$179)+(4*MATERIALES!$C$181)+(1*MATERIALES!$C$182)+(4*MATERIALES!$C$183)+(4*MATERIALES!$C$184)+(4*MATERIALES!$C$185)+(2*MATERIALES!$C$186)+(8*MATERIALES!$C$158)+(8*MATERIALES!$C$174)+(((O48*4)+(P48*6))*MATERIALES!$C$188)+(((O48*2)+(P48*4))*MATERIALES!$C$141)+(4*MATERIALES!$C$148)+(((O48*5)*2)*MATERIALES!$C$147)+(10*MATERIALES!$C$145)+(2*MATERIALES!$C$188)</f>
        <v>1539.6721600000005</v>
      </c>
      <c r="S48" s="75"/>
      <c r="T48" s="55">
        <f>(O48*P48)*MATERIALES!$D$82</f>
        <v>932.80000000000007</v>
      </c>
      <c r="U48" s="55">
        <f>(((O48*P48)*2)*MATERIALES!$D$83)+(8*MATERIALES!$C$229)+(((O48*2)+(P48*4))*MATERIALES!$C$230)+(((O48*2)+(P48*4))*MATERIALES!$C$231)+((((O48*2)+(P48*2))/15)*MATERIALES!$C$232)+((((O48*2)+(P48*2))/15)*(MATERIALES!$C$233*0.15))</f>
        <v>4004.1872000000003</v>
      </c>
      <c r="V48" s="55">
        <f>(O48*P48)*MATERIALES!$D$89</f>
        <v>3150.4000000000005</v>
      </c>
      <c r="W48" s="124">
        <f t="shared" si="5"/>
        <v>3867.1738080000009</v>
      </c>
      <c r="X48" s="124">
        <f t="shared" si="0"/>
        <v>10009.948208000002</v>
      </c>
      <c r="Y48" s="70">
        <f t="shared" si="1"/>
        <v>6727.1738080000014</v>
      </c>
      <c r="Z48" s="57"/>
    </row>
    <row r="49" spans="1:26" hidden="1">
      <c r="A49" s="68">
        <v>2.2000000000000002</v>
      </c>
      <c r="B49" s="69">
        <v>1</v>
      </c>
      <c r="C49" s="59">
        <f>(((A49*2)*MATERIALES!$C$46)+((B49*2)*MATERIALES!$C$47)+((B49*2)*MATERIALES!$C$48)+((B49*2)*MATERIALES!$C$52)+((A49*2)*MATERIALES!$C$49))*(MATERIALES!$F$2*MATERIALES!$J$15)</f>
        <v>0</v>
      </c>
      <c r="D49" s="59">
        <f>(2*MATERIALES!$C$177)+(4*MATERIALES!$C$179)+(4*MATERIALES!$C$181)+(1*MATERIALES!$C$182)+(4*MATERIALES!$C$183)+(4*MATERIALES!$C$184)+(4*MATERIALES!$C$185)+(2*MATERIALES!$C$186)+(8*MATERIALES!$C$158)+(8*MATERIALES!$C$174)+(((A49*4)+(B49*6))*MATERIALES!$C$188)+(((A49*2)+(B49*4))*MATERIALES!$C$141)+(4*MATERIALES!$C$148)+(((A49*5)*2)*MATERIALES!$C$147)+(2*MATERIALES!$C$187)+(8*MATERIALES!$C$174)+(2*MATERIALES!$C$187)</f>
        <v>1565.2353599999999</v>
      </c>
      <c r="E49" s="75"/>
      <c r="F49" s="55">
        <f>(A49*B49)*MATERIALES!$D$82</f>
        <v>1166</v>
      </c>
      <c r="G49" s="55">
        <f>(((A49*B49)*2)*MATERIALES!$D$83)+(8*MATERIALES!$C$229)+(((A49*2)+(B49*4))*MATERIALES!$C$230)+(((A49*2)+(B49*4))*MATERIALES!$C$231)+((((A49*2)+(B49*2))/15)*MATERIALES!$C$232)+((((A49*2)+(B49*2))/15)*(MATERIALES!$C$233*0.15))</f>
        <v>4738.9388800000006</v>
      </c>
      <c r="H49" s="55">
        <f>(A49*B49)*MATERIALES!$D$89</f>
        <v>3938.0000000000005</v>
      </c>
      <c r="I49" s="124">
        <f t="shared" si="6"/>
        <v>4366.8059679999997</v>
      </c>
      <c r="J49" s="124">
        <f t="shared" si="7"/>
        <v>11512.683728000002</v>
      </c>
      <c r="K49" s="70">
        <f t="shared" si="8"/>
        <v>7941.8059680000006</v>
      </c>
      <c r="L49" s="57"/>
      <c r="M49" s="9">
        <f>((((B49*2)*MATERIALES!$C$64)+(B49*MATERIALES!$C$75)+(B49*MATERIALES!$C$65))*(MATERIALES!$F$2*MATERIALES!$J$15))*$M$3</f>
        <v>0</v>
      </c>
      <c r="N49"/>
      <c r="O49" s="68">
        <v>2.2000000000000002</v>
      </c>
      <c r="P49" s="69">
        <v>1</v>
      </c>
      <c r="Q49" s="59">
        <f>(((O49*2)*MATERIALES!$C$46)+((P49*2)*MATERIALES!$C$47)+((P49*2)*MATERIALES!$C$48)+((P49*2)*MATERIALES!$C$52)+((O49*2)*MATERIALES!$C$49)+((P49*2)*MATERIALES!$C$64)+(P49*MATERIALES!$C$65)+(P49*MATERIALES!$C$75))*(MATERIALES!$F$2*MATERIALES!$J$15)</f>
        <v>0</v>
      </c>
      <c r="R49" s="59">
        <f>(2*MATERIALES!$C$177)+(4*MATERIALES!$C$179)+(4*MATERIALES!$C$181)+(1*MATERIALES!$C$182)+(4*MATERIALES!$C$183)+(4*MATERIALES!$C$184)+(4*MATERIALES!$C$185)+(2*MATERIALES!$C$186)+(8*MATERIALES!$C$158)+(8*MATERIALES!$C$174)+(((O49*4)+(P49*6))*MATERIALES!$C$188)+(((O49*2)+(P49*4))*MATERIALES!$C$141)+(4*MATERIALES!$C$148)+(((O49*5)*2)*MATERIALES!$C$147)+(10*MATERIALES!$C$145)+(2*MATERIALES!$C$188)</f>
        <v>1571.8081600000003</v>
      </c>
      <c r="S49" s="75"/>
      <c r="T49" s="55">
        <f>(O49*P49)*MATERIALES!$D$82</f>
        <v>1166</v>
      </c>
      <c r="U49" s="55">
        <f>(((O49*P49)*2)*MATERIALES!$D$83)+(8*MATERIALES!$C$229)+(((O49*2)+(P49*4))*MATERIALES!$C$230)+(((O49*2)+(P49*4))*MATERIALES!$C$231)+((((O49*2)+(P49*2))/15)*MATERIALES!$C$232)+((((O49*2)+(P49*2))/15)*(MATERIALES!$C$233*0.15))</f>
        <v>4738.9388800000006</v>
      </c>
      <c r="V49" s="55">
        <f>(O49*P49)*MATERIALES!$D$89</f>
        <v>3938.0000000000005</v>
      </c>
      <c r="W49" s="124">
        <f t="shared" si="5"/>
        <v>4375.3506080000006</v>
      </c>
      <c r="X49" s="124">
        <f t="shared" si="0"/>
        <v>11521.228368000002</v>
      </c>
      <c r="Y49" s="70">
        <f t="shared" si="1"/>
        <v>7950.3506080000016</v>
      </c>
      <c r="Z49" s="57"/>
    </row>
    <row r="50" spans="1:26" hidden="1">
      <c r="A50" s="68">
        <v>2.2000000000000002</v>
      </c>
      <c r="B50" s="69">
        <v>1.2</v>
      </c>
      <c r="C50" s="59">
        <f>(((A50*2)*MATERIALES!$C$46)+((B50*2)*MATERIALES!$C$47)+((B50*2)*MATERIALES!$C$48)+((B50*2)*MATERIALES!$C$52)+((A50*2)*MATERIALES!$C$49))*(MATERIALES!$F$2*MATERIALES!$J$15)</f>
        <v>0</v>
      </c>
      <c r="D50" s="59">
        <f>(2*MATERIALES!$C$177)+(4*MATERIALES!$C$179)+(4*MATERIALES!$C$181)+(1*MATERIALES!$C$182)+(4*MATERIALES!$C$183)+(4*MATERIALES!$C$184)+(4*MATERIALES!$C$185)+(2*MATERIALES!$C$186)+(8*MATERIALES!$C$158)+(8*MATERIALES!$C$174)+(((A50*4)+(B50*6))*MATERIALES!$C$188)+(((A50*2)+(B50*4))*MATERIALES!$C$141)+(4*MATERIALES!$C$148)+(((A50*5)*2)*MATERIALES!$C$147)+(2*MATERIALES!$C$187)+(8*MATERIALES!$C$174)+(2*MATERIALES!$C$187)</f>
        <v>1597.3713600000001</v>
      </c>
      <c r="E50" s="75"/>
      <c r="F50" s="55">
        <f>(A50*B50)*MATERIALES!$D$82</f>
        <v>1399.2</v>
      </c>
      <c r="G50" s="55">
        <f>(((A50*B50)*2)*MATERIALES!$D$83)+(8*MATERIALES!$C$229)+(((A50*2)+(B50*4))*MATERIALES!$C$230)+(((A50*2)+(B50*4))*MATERIALES!$C$231)+((((A50*2)+(B50*2))/15)*MATERIALES!$C$232)+((((A50*2)+(B50*2))/15)*(MATERIALES!$C$233*0.15))</f>
        <v>5473.6905599999991</v>
      </c>
      <c r="H50" s="55">
        <f>(A50*B50)*MATERIALES!$D$89</f>
        <v>4725.6000000000004</v>
      </c>
      <c r="I50" s="124">
        <f t="shared" si="6"/>
        <v>4874.9827679999999</v>
      </c>
      <c r="J50" s="124">
        <f t="shared" si="7"/>
        <v>13023.963887999998</v>
      </c>
      <c r="K50" s="70">
        <f t="shared" si="8"/>
        <v>9164.9827680000017</v>
      </c>
      <c r="L50" s="57"/>
      <c r="M50" s="9">
        <f>((((B50*2)*MATERIALES!$C$64)+(B50*MATERIALES!$C$75)+(B50*MATERIALES!$C$65))*(MATERIALES!$F$2*MATERIALES!$J$15))*$M$3</f>
        <v>0</v>
      </c>
      <c r="N50"/>
      <c r="O50" s="68">
        <v>2.2000000000000002</v>
      </c>
      <c r="P50" s="69">
        <v>1.2</v>
      </c>
      <c r="Q50" s="59">
        <f>(((O50*2)*MATERIALES!$C$46)+((P50*2)*MATERIALES!$C$47)+((P50*2)*MATERIALES!$C$48)+((P50*2)*MATERIALES!$C$52)+((O50*2)*MATERIALES!$C$49)+((P50*2)*MATERIALES!$C$64)+(P50*MATERIALES!$C$65)+(P50*MATERIALES!$C$75))*(MATERIALES!$F$2*MATERIALES!$J$15)</f>
        <v>0</v>
      </c>
      <c r="R50" s="59">
        <f>(2*MATERIALES!$C$177)+(4*MATERIALES!$C$179)+(4*MATERIALES!$C$181)+(1*MATERIALES!$C$182)+(4*MATERIALES!$C$183)+(4*MATERIALES!$C$184)+(4*MATERIALES!$C$185)+(2*MATERIALES!$C$186)+(8*MATERIALES!$C$158)+(8*MATERIALES!$C$174)+(((O50*4)+(P50*6))*MATERIALES!$C$188)+(((O50*2)+(P50*4))*MATERIALES!$C$141)+(4*MATERIALES!$C$148)+(((O50*5)*2)*MATERIALES!$C$147)+(10*MATERIALES!$C$145)+(2*MATERIALES!$C$188)</f>
        <v>1603.9441600000005</v>
      </c>
      <c r="S50" s="75"/>
      <c r="T50" s="55">
        <f>(O50*P50)*MATERIALES!$D$82</f>
        <v>1399.2</v>
      </c>
      <c r="U50" s="55">
        <f>(((O50*P50)*2)*MATERIALES!$D$83)+(8*MATERIALES!$C$229)+(((O50*2)+(P50*4))*MATERIALES!$C$230)+(((O50*2)+(P50*4))*MATERIALES!$C$231)+((((O50*2)+(P50*2))/15)*MATERIALES!$C$232)+((((O50*2)+(P50*2))/15)*(MATERIALES!$C$233*0.15))</f>
        <v>5473.6905599999991</v>
      </c>
      <c r="V50" s="55">
        <f>(O50*P50)*MATERIALES!$D$89</f>
        <v>4725.6000000000004</v>
      </c>
      <c r="W50" s="124">
        <f t="shared" si="5"/>
        <v>4883.5274080000008</v>
      </c>
      <c r="X50" s="124">
        <f t="shared" si="0"/>
        <v>13032.508527999998</v>
      </c>
      <c r="Y50" s="70">
        <f t="shared" si="1"/>
        <v>9173.5274080000017</v>
      </c>
      <c r="Z50" s="57"/>
    </row>
    <row r="51" spans="1:26" hidden="1">
      <c r="A51" s="68">
        <v>2.2000000000000002</v>
      </c>
      <c r="B51" s="69">
        <v>1.5</v>
      </c>
      <c r="C51" s="59">
        <f>(((A51*2)*MATERIALES!$C$46)+((B51*2)*MATERIALES!$C$47)+((B51*2)*MATERIALES!$C$48)+((B51*2)*MATERIALES!$C$52)+((A51*2)*MATERIALES!$C$49))*(MATERIALES!$F$2*MATERIALES!$J$15)</f>
        <v>0</v>
      </c>
      <c r="D51" s="59">
        <f>(2*MATERIALES!$C$177)+(4*MATERIALES!$C$179)+(4*MATERIALES!$C$181)+(1*MATERIALES!$C$182)+(4*MATERIALES!$C$183)+(4*MATERIALES!$C$184)+(4*MATERIALES!$C$185)+(2*MATERIALES!$C$186)+(8*MATERIALES!$C$158)+(8*MATERIALES!$C$174)+(((A51*4)+(B51*6))*MATERIALES!$C$188)+(((A51*2)+(B51*4))*MATERIALES!$C$141)+(4*MATERIALES!$C$148)+(((A51*5)*2)*MATERIALES!$C$147)+(2*MATERIALES!$C$187)+(8*MATERIALES!$C$174)+(2*MATERIALES!$C$187)</f>
        <v>1645.57536</v>
      </c>
      <c r="E51" s="75"/>
      <c r="F51" s="55">
        <f>(A51*B51)*MATERIALES!$D$82</f>
        <v>1749.0000000000002</v>
      </c>
      <c r="G51" s="55">
        <f>(((A51*B51)*2)*MATERIALES!$D$83)+(8*MATERIALES!$C$229)+(((A51*2)+(B51*4))*MATERIALES!$C$230)+(((A51*2)+(B51*4))*MATERIALES!$C$231)+((((A51*2)+(B51*2))/15)*MATERIALES!$C$232)+((((A51*2)+(B51*2))/15)*(MATERIALES!$C$233*0.15))</f>
        <v>6575.8180800000009</v>
      </c>
      <c r="H51" s="55">
        <f>(A51*B51)*MATERIALES!$D$89</f>
        <v>5907.0000000000009</v>
      </c>
      <c r="I51" s="124">
        <f t="shared" si="6"/>
        <v>5637.2479680000006</v>
      </c>
      <c r="J51" s="124">
        <f t="shared" si="7"/>
        <v>15290.884128000002</v>
      </c>
      <c r="K51" s="70">
        <f t="shared" si="8"/>
        <v>10999.747968000001</v>
      </c>
      <c r="L51" s="57"/>
      <c r="M51" s="9">
        <f>((((B51*2)*MATERIALES!$C$64)+(B51*MATERIALES!$C$75)+(B51*MATERIALES!$C$65))*(MATERIALES!$F$2*MATERIALES!$J$15))*$M$3</f>
        <v>0</v>
      </c>
      <c r="N51"/>
      <c r="O51" s="68">
        <v>2.2000000000000002</v>
      </c>
      <c r="P51" s="69">
        <v>1.5</v>
      </c>
      <c r="Q51" s="59">
        <f>(((O51*2)*MATERIALES!$C$46)+((P51*2)*MATERIALES!$C$47)+((P51*2)*MATERIALES!$C$48)+((P51*2)*MATERIALES!$C$52)+((O51*2)*MATERIALES!$C$49)+((P51*2)*MATERIALES!$C$64)+(P51*MATERIALES!$C$65)+(P51*MATERIALES!$C$75))*(MATERIALES!$F$2*MATERIALES!$J$15)</f>
        <v>0</v>
      </c>
      <c r="R51" s="59">
        <f>(2*MATERIALES!$C$177)+(4*MATERIALES!$C$179)+(4*MATERIALES!$C$181)+(1*MATERIALES!$C$182)+(4*MATERIALES!$C$183)+(4*MATERIALES!$C$184)+(4*MATERIALES!$C$185)+(2*MATERIALES!$C$186)+(8*MATERIALES!$C$158)+(8*MATERIALES!$C$174)+(((O51*4)+(P51*6))*MATERIALES!$C$188)+(((O51*2)+(P51*4))*MATERIALES!$C$141)+(4*MATERIALES!$C$148)+(((O51*5)*2)*MATERIALES!$C$147)+(10*MATERIALES!$C$145)+(2*MATERIALES!$C$188)</f>
        <v>1652.1481600000004</v>
      </c>
      <c r="S51" s="75"/>
      <c r="T51" s="55">
        <f>(O51*P51)*MATERIALES!$D$82</f>
        <v>1749.0000000000002</v>
      </c>
      <c r="U51" s="55">
        <f>(((O51*P51)*2)*MATERIALES!$D$83)+(8*MATERIALES!$C$229)+(((O51*2)+(P51*4))*MATERIALES!$C$230)+(((O51*2)+(P51*4))*MATERIALES!$C$231)+((((O51*2)+(P51*2))/15)*MATERIALES!$C$232)+((((O51*2)+(P51*2))/15)*(MATERIALES!$C$233*0.15))</f>
        <v>6575.8180800000009</v>
      </c>
      <c r="V51" s="55">
        <f>(O51*P51)*MATERIALES!$D$89</f>
        <v>5907.0000000000009</v>
      </c>
      <c r="W51" s="124">
        <f t="shared" si="5"/>
        <v>5645.7926080000016</v>
      </c>
      <c r="X51" s="124">
        <f t="shared" si="0"/>
        <v>15299.428768000002</v>
      </c>
      <c r="Y51" s="70">
        <f t="shared" si="1"/>
        <v>11008.292608000003</v>
      </c>
      <c r="Z51" s="57"/>
    </row>
    <row r="52" spans="1:26" hidden="1">
      <c r="A52" s="68">
        <v>2.2000000000000002</v>
      </c>
      <c r="B52" s="69">
        <v>1.8</v>
      </c>
      <c r="C52" s="59">
        <f>(((A52*2)*MATERIALES!$C$46)+((B52*2)*MATERIALES!$C$47)+((B52*2)*MATERIALES!$C$48)+((B52*2)*MATERIALES!$C$52)+((A52*2)*MATERIALES!$C$49))*(MATERIALES!$F$2*MATERIALES!$J$15)</f>
        <v>0</v>
      </c>
      <c r="D52" s="59">
        <f>(2*MATERIALES!$C$177)+(4*MATERIALES!$C$179)+(4*MATERIALES!$C$181)+(1*MATERIALES!$C$182)+(4*MATERIALES!$C$183)+(4*MATERIALES!$C$184)+(4*MATERIALES!$C$185)+(2*MATERIALES!$C$186)+(8*MATERIALES!$C$158)+(8*MATERIALES!$C$174)+(((A52*4)+(B52*6))*MATERIALES!$C$188)+(((A52*2)+(B52*4))*MATERIALES!$C$141)+(4*MATERIALES!$C$148)+(((A52*5)*2)*MATERIALES!$C$147)+(2*MATERIALES!$C$187)+(8*MATERIALES!$C$174)+(2*MATERIALES!$C$187)</f>
        <v>1693.77936</v>
      </c>
      <c r="E52" s="75"/>
      <c r="F52" s="55">
        <f>(A52*B52)*MATERIALES!$D$82</f>
        <v>2098.8000000000002</v>
      </c>
      <c r="G52" s="55">
        <f>(((A52*B52)*2)*MATERIALES!$D$83)+(8*MATERIALES!$C$229)+(((A52*2)+(B52*4))*MATERIALES!$C$230)+(((A52*2)+(B52*4))*MATERIALES!$C$231)+((((A52*2)+(B52*2))/15)*MATERIALES!$C$232)+((((A52*2)+(B52*2))/15)*(MATERIALES!$C$233*0.15))</f>
        <v>7677.9456000000018</v>
      </c>
      <c r="H52" s="55">
        <f>(A52*B52)*MATERIALES!$D$89</f>
        <v>7088.4000000000005</v>
      </c>
      <c r="I52" s="124">
        <f t="shared" si="6"/>
        <v>6399.5131680000004</v>
      </c>
      <c r="J52" s="124">
        <f t="shared" si="7"/>
        <v>17557.804368000005</v>
      </c>
      <c r="K52" s="70">
        <f t="shared" si="8"/>
        <v>12834.513168000001</v>
      </c>
      <c r="L52" s="57"/>
      <c r="M52" s="9">
        <f>((((B52*2)*MATERIALES!$C$64)+(B52*MATERIALES!$C$75)+(B52*MATERIALES!$C$65))*(MATERIALES!$F$2*MATERIALES!$J$15))*$M$3</f>
        <v>0</v>
      </c>
      <c r="N52"/>
      <c r="O52" s="68">
        <v>2.2000000000000002</v>
      </c>
      <c r="P52" s="69">
        <v>1.8</v>
      </c>
      <c r="Q52" s="59">
        <f>(((O52*2)*MATERIALES!$C$46)+((P52*2)*MATERIALES!$C$47)+((P52*2)*MATERIALES!$C$48)+((P52*2)*MATERIALES!$C$52)+((O52*2)*MATERIALES!$C$49)+((P52*2)*MATERIALES!$C$64)+(P52*MATERIALES!$C$65)+(P52*MATERIALES!$C$75))*(MATERIALES!$F$2*MATERIALES!$J$15)</f>
        <v>0</v>
      </c>
      <c r="R52" s="59">
        <f>(2*MATERIALES!$C$177)+(4*MATERIALES!$C$179)+(4*MATERIALES!$C$181)+(1*MATERIALES!$C$182)+(4*MATERIALES!$C$183)+(4*MATERIALES!$C$184)+(4*MATERIALES!$C$185)+(2*MATERIALES!$C$186)+(8*MATERIALES!$C$158)+(8*MATERIALES!$C$174)+(((O52*4)+(P52*6))*MATERIALES!$C$188)+(((O52*2)+(P52*4))*MATERIALES!$C$141)+(4*MATERIALES!$C$148)+(((O52*5)*2)*MATERIALES!$C$147)+(10*MATERIALES!$C$145)+(2*MATERIALES!$C$188)</f>
        <v>1700.3521600000004</v>
      </c>
      <c r="S52" s="75"/>
      <c r="T52" s="55">
        <f>(O52*P52)*MATERIALES!$D$82</f>
        <v>2098.8000000000002</v>
      </c>
      <c r="U52" s="55">
        <f>(((O52*P52)*2)*MATERIALES!$D$83)+(8*MATERIALES!$C$229)+(((O52*2)+(P52*4))*MATERIALES!$C$230)+(((O52*2)+(P52*4))*MATERIALES!$C$231)+((((O52*2)+(P52*2))/15)*MATERIALES!$C$232)+((((O52*2)+(P52*2))/15)*(MATERIALES!$C$233*0.15))</f>
        <v>7677.9456000000018</v>
      </c>
      <c r="V52" s="55">
        <f>(O52*P52)*MATERIALES!$D$89</f>
        <v>7088.4000000000005</v>
      </c>
      <c r="W52" s="124">
        <f t="shared" si="5"/>
        <v>6408.0578080000014</v>
      </c>
      <c r="X52" s="124">
        <f t="shared" si="0"/>
        <v>17566.349008000005</v>
      </c>
      <c r="Y52" s="70">
        <f t="shared" si="1"/>
        <v>12843.057808000001</v>
      </c>
      <c r="Z52" s="57"/>
    </row>
    <row r="53" spans="1:26" hidden="1">
      <c r="A53" s="68">
        <v>2.4</v>
      </c>
      <c r="B53" s="69">
        <v>0.4</v>
      </c>
      <c r="C53" s="59">
        <f>(((A53*2)*MATERIALES!$C$46)+((B53*2)*MATERIALES!$C$47)+((B53*2)*MATERIALES!$C$48)+((B53*2)*MATERIALES!$C$52)+((A53*2)*MATERIALES!$C$49))*(MATERIALES!$F$2*MATERIALES!$J$15)</f>
        <v>0</v>
      </c>
      <c r="D53" s="59">
        <f>(2*MATERIALES!$C$177)+(4*MATERIALES!$C$179)+(4*MATERIALES!$C$181)+(1*MATERIALES!$C$182)+(4*MATERIALES!$C$183)+(4*MATERIALES!$C$184)+(4*MATERIALES!$C$185)+(2*MATERIALES!$C$186)+(8*MATERIALES!$C$158)+(8*MATERIALES!$C$174)+(((A53*4)+(B53*6))*MATERIALES!$C$188)+(((A53*2)+(B53*4))*MATERIALES!$C$141)+(4*MATERIALES!$C$148)+(((A53*5)*2)*MATERIALES!$C$147)+(2*MATERIALES!$C$187)+(8*MATERIALES!$C$174)+(2*MATERIALES!$C$187)</f>
        <v>1487.4059199999999</v>
      </c>
      <c r="E53" s="75"/>
      <c r="F53" s="55">
        <f>(A53*B53)*MATERIALES!$D$82</f>
        <v>508.79999999999995</v>
      </c>
      <c r="G53" s="55">
        <f>(((A53*B53)*2)*MATERIALES!$D$83)+(8*MATERIALES!$C$229)+(((A53*2)+(B53*4))*MATERIALES!$C$230)+(((A53*2)+(B53*4))*MATERIALES!$C$231)+((((A53*2)+(B53*2))/15)*MATERIALES!$C$232)+((((A53*2)+(B53*2))/15)*(MATERIALES!$C$233*0.15))</f>
        <v>2731.5475200000001</v>
      </c>
      <c r="H53" s="55">
        <f>(A53*B53)*MATERIALES!$D$89</f>
        <v>1718.3999999999999</v>
      </c>
      <c r="I53" s="124">
        <f t="shared" si="6"/>
        <v>2951.2276959999999</v>
      </c>
      <c r="J53" s="124">
        <f t="shared" si="7"/>
        <v>7396.7227359999997</v>
      </c>
      <c r="K53" s="70">
        <f t="shared" si="8"/>
        <v>4511.2276959999999</v>
      </c>
      <c r="L53" s="57"/>
      <c r="M53" s="9">
        <f>((((B53*2)*MATERIALES!$C$64)+(B53*MATERIALES!$C$75)+(B53*MATERIALES!$C$65))*(MATERIALES!$F$2*MATERIALES!$J$15))*$M$3</f>
        <v>0</v>
      </c>
      <c r="N53"/>
      <c r="O53" s="68">
        <v>2.4</v>
      </c>
      <c r="P53" s="69">
        <v>0.4</v>
      </c>
      <c r="Q53" s="59">
        <f>(((O53*2)*MATERIALES!$C$46)+((P53*2)*MATERIALES!$C$47)+((P53*2)*MATERIALES!$C$48)+((P53*2)*MATERIALES!$C$52)+((O53*2)*MATERIALES!$C$49)+((P53*2)*MATERIALES!$C$64)+(P53*MATERIALES!$C$65)+(P53*MATERIALES!$C$75))*(MATERIALES!$F$2*MATERIALES!$J$15)</f>
        <v>0</v>
      </c>
      <c r="R53" s="59">
        <f>(2*MATERIALES!$C$177)+(4*MATERIALES!$C$179)+(4*MATERIALES!$C$181)+(1*MATERIALES!$C$182)+(4*MATERIALES!$C$183)+(4*MATERIALES!$C$184)+(4*MATERIALES!$C$185)+(2*MATERIALES!$C$186)+(8*MATERIALES!$C$158)+(8*MATERIALES!$C$174)+(((O53*4)+(P53*6))*MATERIALES!$C$188)+(((O53*2)+(P53*4))*MATERIALES!$C$141)+(4*MATERIALES!$C$148)+(((O53*5)*2)*MATERIALES!$C$147)+(10*MATERIALES!$C$145)+(2*MATERIALES!$C$188)</f>
        <v>1493.9787200000003</v>
      </c>
      <c r="S53" s="75"/>
      <c r="T53" s="55">
        <f>(O53*P53)*MATERIALES!$D$82</f>
        <v>508.79999999999995</v>
      </c>
      <c r="U53" s="55">
        <f>(((O53*P53)*2)*MATERIALES!$D$83)+(8*MATERIALES!$C$229)+(((O53*2)+(P53*4))*MATERIALES!$C$230)+(((O53*2)+(P53*4))*MATERIALES!$C$231)+((((O53*2)+(P53*2))/15)*MATERIALES!$C$232)+((((O53*2)+(P53*2))/15)*(MATERIALES!$C$233*0.15))</f>
        <v>2731.5475200000001</v>
      </c>
      <c r="V53" s="55">
        <f>(O53*P53)*MATERIALES!$D$89</f>
        <v>1718.3999999999999</v>
      </c>
      <c r="W53" s="124">
        <f t="shared" si="5"/>
        <v>2959.7723360000005</v>
      </c>
      <c r="X53" s="124">
        <f t="shared" si="0"/>
        <v>7405.2673760000007</v>
      </c>
      <c r="Y53" s="70">
        <f t="shared" si="1"/>
        <v>4519.772336</v>
      </c>
      <c r="Z53" s="57"/>
    </row>
    <row r="54" spans="1:26" hidden="1">
      <c r="A54" s="68">
        <v>2.4</v>
      </c>
      <c r="B54" s="69">
        <v>0.6</v>
      </c>
      <c r="C54" s="59">
        <f>(((A54*2)*MATERIALES!$C$46)+((B54*2)*MATERIALES!$C$47)+((B54*2)*MATERIALES!$C$48)+((B54*2)*MATERIALES!$C$52)+((A54*2)*MATERIALES!$C$49))*(MATERIALES!$F$2*MATERIALES!$J$15)</f>
        <v>0</v>
      </c>
      <c r="D54" s="59">
        <f>(2*MATERIALES!$C$177)+(4*MATERIALES!$C$179)+(4*MATERIALES!$C$181)+(1*MATERIALES!$C$182)+(4*MATERIALES!$C$183)+(4*MATERIALES!$C$184)+(4*MATERIALES!$C$185)+(2*MATERIALES!$C$186)+(8*MATERIALES!$C$158)+(8*MATERIALES!$C$174)+(((A54*4)+(B54*6))*MATERIALES!$C$188)+(((A54*2)+(B54*4))*MATERIALES!$C$141)+(4*MATERIALES!$C$148)+(((A54*5)*2)*MATERIALES!$C$147)+(2*MATERIALES!$C$187)+(8*MATERIALES!$C$174)+(2*MATERIALES!$C$187)</f>
        <v>1519.5419199999999</v>
      </c>
      <c r="E54" s="75"/>
      <c r="F54" s="55">
        <f>(A54*B54)*MATERIALES!$D$82</f>
        <v>763.19999999999993</v>
      </c>
      <c r="G54" s="55">
        <f>(((A54*B54)*2)*MATERIALES!$D$83)+(8*MATERIALES!$C$229)+(((A54*2)+(B54*4))*MATERIALES!$C$230)+(((A54*2)+(B54*4))*MATERIALES!$C$231)+((((A54*2)+(B54*2))/15)*MATERIALES!$C$232)+((((A54*2)+(B54*2))/15)*(MATERIALES!$C$233*0.15))</f>
        <v>3518.2991999999995</v>
      </c>
      <c r="H54" s="55">
        <f>(A54*B54)*MATERIALES!$D$89</f>
        <v>2577.6</v>
      </c>
      <c r="I54" s="124">
        <f t="shared" si="6"/>
        <v>3501.8044959999997</v>
      </c>
      <c r="J54" s="124">
        <f t="shared" si="7"/>
        <v>9012.0028959999981</v>
      </c>
      <c r="K54" s="70">
        <f t="shared" si="8"/>
        <v>5841.8044959999997</v>
      </c>
      <c r="L54" s="57"/>
      <c r="M54" s="9">
        <f>((((B54*2)*MATERIALES!$C$64)+(B54*MATERIALES!$C$75)+(B54*MATERIALES!$C$65))*(MATERIALES!$F$2*MATERIALES!$J$15))*$M$3</f>
        <v>0</v>
      </c>
      <c r="N54"/>
      <c r="O54" s="68">
        <v>2.4</v>
      </c>
      <c r="P54" s="69">
        <v>0.6</v>
      </c>
      <c r="Q54" s="59">
        <f>(((O54*2)*MATERIALES!$C$46)+((P54*2)*MATERIALES!$C$47)+((P54*2)*MATERIALES!$C$48)+((P54*2)*MATERIALES!$C$52)+((O54*2)*MATERIALES!$C$49)+((P54*2)*MATERIALES!$C$64)+(P54*MATERIALES!$C$65)+(P54*MATERIALES!$C$75))*(MATERIALES!$F$2*MATERIALES!$J$15)</f>
        <v>0</v>
      </c>
      <c r="R54" s="59">
        <f>(2*MATERIALES!$C$177)+(4*MATERIALES!$C$179)+(4*MATERIALES!$C$181)+(1*MATERIALES!$C$182)+(4*MATERIALES!$C$183)+(4*MATERIALES!$C$184)+(4*MATERIALES!$C$185)+(2*MATERIALES!$C$186)+(8*MATERIALES!$C$158)+(8*MATERIALES!$C$174)+(((O54*4)+(P54*6))*MATERIALES!$C$188)+(((O54*2)+(P54*4))*MATERIALES!$C$141)+(4*MATERIALES!$C$148)+(((O54*5)*2)*MATERIALES!$C$147)+(10*MATERIALES!$C$145)+(2*MATERIALES!$C$188)</f>
        <v>1526.1147200000003</v>
      </c>
      <c r="S54" s="75"/>
      <c r="T54" s="55">
        <f>(O54*P54)*MATERIALES!$D$82</f>
        <v>763.19999999999993</v>
      </c>
      <c r="U54" s="55">
        <f>(((O54*P54)*2)*MATERIALES!$D$83)+(8*MATERIALES!$C$229)+(((O54*2)+(P54*4))*MATERIALES!$C$230)+(((O54*2)+(P54*4))*MATERIALES!$C$231)+((((O54*2)+(P54*2))/15)*MATERIALES!$C$232)+((((O54*2)+(P54*2))/15)*(MATERIALES!$C$233*0.15))</f>
        <v>3518.2991999999995</v>
      </c>
      <c r="V54" s="55">
        <f>(O54*P54)*MATERIALES!$D$89</f>
        <v>2577.6</v>
      </c>
      <c r="W54" s="124">
        <f t="shared" si="5"/>
        <v>3510.3491360000003</v>
      </c>
      <c r="X54" s="124">
        <f t="shared" si="0"/>
        <v>9020.547536</v>
      </c>
      <c r="Y54" s="70">
        <f t="shared" si="1"/>
        <v>5850.3491359999998</v>
      </c>
      <c r="Z54" s="57"/>
    </row>
    <row r="55" spans="1:26" hidden="1">
      <c r="A55" s="68">
        <v>2.4</v>
      </c>
      <c r="B55" s="69">
        <v>0.8</v>
      </c>
      <c r="C55" s="59">
        <f>(((A55*2)*MATERIALES!$C$46)+((B55*2)*MATERIALES!$C$47)+((B55*2)*MATERIALES!$C$48)+((B55*2)*MATERIALES!$C$52)+((A55*2)*MATERIALES!$C$49))*(MATERIALES!$F$2*MATERIALES!$J$15)</f>
        <v>0</v>
      </c>
      <c r="D55" s="59">
        <f>(2*MATERIALES!$C$177)+(4*MATERIALES!$C$179)+(4*MATERIALES!$C$181)+(1*MATERIALES!$C$182)+(4*MATERIALES!$C$183)+(4*MATERIALES!$C$184)+(4*MATERIALES!$C$185)+(2*MATERIALES!$C$186)+(8*MATERIALES!$C$158)+(8*MATERIALES!$C$174)+(((A55*4)+(B55*6))*MATERIALES!$C$188)+(((A55*2)+(B55*4))*MATERIALES!$C$141)+(4*MATERIALES!$C$148)+(((A55*5)*2)*MATERIALES!$C$147)+(2*MATERIALES!$C$187)+(8*MATERIALES!$C$174)+(2*MATERIALES!$C$187)</f>
        <v>1551.6779200000001</v>
      </c>
      <c r="E55" s="75"/>
      <c r="F55" s="55">
        <f>(A55*B55)*MATERIALES!$D$82</f>
        <v>1017.5999999999999</v>
      </c>
      <c r="G55" s="55">
        <f>(((A55*B55)*2)*MATERIALES!$D$83)+(8*MATERIALES!$C$229)+(((A55*2)+(B55*4))*MATERIALES!$C$230)+(((A55*2)+(B55*4))*MATERIALES!$C$231)+((((A55*2)+(B55*2))/15)*MATERIALES!$C$232)+((((A55*2)+(B55*2))/15)*(MATERIALES!$C$233*0.15))</f>
        <v>4305.0508799999998</v>
      </c>
      <c r="H55" s="55">
        <f>(A55*B55)*MATERIALES!$D$89</f>
        <v>3436.7999999999997</v>
      </c>
      <c r="I55" s="124">
        <f t="shared" si="6"/>
        <v>4052.381296</v>
      </c>
      <c r="J55" s="124">
        <f t="shared" si="7"/>
        <v>10627.283056</v>
      </c>
      <c r="K55" s="70">
        <f t="shared" si="8"/>
        <v>7172.3812959999996</v>
      </c>
      <c r="L55" s="57"/>
      <c r="M55" s="9">
        <f>((((B55*2)*MATERIALES!$C$64)+(B55*MATERIALES!$C$75)+(B55*MATERIALES!$C$65))*(MATERIALES!$F$2*MATERIALES!$J$15))*$M$3</f>
        <v>0</v>
      </c>
      <c r="N55"/>
      <c r="O55" s="68">
        <v>2.4</v>
      </c>
      <c r="P55" s="69">
        <v>0.8</v>
      </c>
      <c r="Q55" s="59">
        <f>(((O55*2)*MATERIALES!$C$46)+((P55*2)*MATERIALES!$C$47)+((P55*2)*MATERIALES!$C$48)+((P55*2)*MATERIALES!$C$52)+((O55*2)*MATERIALES!$C$49)+((P55*2)*MATERIALES!$C$64)+(P55*MATERIALES!$C$65)+(P55*MATERIALES!$C$75))*(MATERIALES!$F$2*MATERIALES!$J$15)</f>
        <v>0</v>
      </c>
      <c r="R55" s="59">
        <f>(2*MATERIALES!$C$177)+(4*MATERIALES!$C$179)+(4*MATERIALES!$C$181)+(1*MATERIALES!$C$182)+(4*MATERIALES!$C$183)+(4*MATERIALES!$C$184)+(4*MATERIALES!$C$185)+(2*MATERIALES!$C$186)+(8*MATERIALES!$C$158)+(8*MATERIALES!$C$174)+(((O55*4)+(P55*6))*MATERIALES!$C$188)+(((O55*2)+(P55*4))*MATERIALES!$C$141)+(4*MATERIALES!$C$148)+(((O55*5)*2)*MATERIALES!$C$147)+(10*MATERIALES!$C$145)+(2*MATERIALES!$C$188)</f>
        <v>1558.2507200000005</v>
      </c>
      <c r="S55" s="75"/>
      <c r="T55" s="55">
        <f>(O55*P55)*MATERIALES!$D$82</f>
        <v>1017.5999999999999</v>
      </c>
      <c r="U55" s="55">
        <f>(((O55*P55)*2)*MATERIALES!$D$83)+(8*MATERIALES!$C$229)+(((O55*2)+(P55*4))*MATERIALES!$C$230)+(((O55*2)+(P55*4))*MATERIALES!$C$231)+((((O55*2)+(P55*2))/15)*MATERIALES!$C$232)+((((O55*2)+(P55*2))/15)*(MATERIALES!$C$233*0.15))</f>
        <v>4305.0508799999998</v>
      </c>
      <c r="V55" s="55">
        <f>(O55*P55)*MATERIALES!$D$89</f>
        <v>3436.7999999999997</v>
      </c>
      <c r="W55" s="124">
        <f t="shared" si="5"/>
        <v>4060.9259360000005</v>
      </c>
      <c r="X55" s="124">
        <f t="shared" si="0"/>
        <v>10635.827696</v>
      </c>
      <c r="Y55" s="70">
        <f t="shared" si="1"/>
        <v>7180.9259360000005</v>
      </c>
      <c r="Z55" s="57"/>
    </row>
    <row r="56" spans="1:26" hidden="1">
      <c r="A56" s="68">
        <v>2.4</v>
      </c>
      <c r="B56" s="69">
        <v>1</v>
      </c>
      <c r="C56" s="59">
        <f>(((A56*2)*MATERIALES!$C$46)+((B56*2)*MATERIALES!$C$47)+((B56*2)*MATERIALES!$C$48)+((B56*2)*MATERIALES!$C$52)+((A56*2)*MATERIALES!$C$49))*(MATERIALES!$F$2*MATERIALES!$J$15)</f>
        <v>0</v>
      </c>
      <c r="D56" s="59">
        <f>(2*MATERIALES!$C$177)+(4*MATERIALES!$C$179)+(4*MATERIALES!$C$181)+(1*MATERIALES!$C$182)+(4*MATERIALES!$C$183)+(4*MATERIALES!$C$184)+(4*MATERIALES!$C$185)+(2*MATERIALES!$C$186)+(8*MATERIALES!$C$158)+(8*MATERIALES!$C$174)+(((A56*4)+(B56*6))*MATERIALES!$C$188)+(((A56*2)+(B56*4))*MATERIALES!$C$141)+(4*MATERIALES!$C$148)+(((A56*5)*2)*MATERIALES!$C$147)+(2*MATERIALES!$C$187)+(8*MATERIALES!$C$174)+(2*MATERIALES!$C$187)</f>
        <v>1583.8139200000001</v>
      </c>
      <c r="E56" s="75"/>
      <c r="F56" s="55">
        <f>(A56*B56)*MATERIALES!$D$82</f>
        <v>1272</v>
      </c>
      <c r="G56" s="55">
        <f>(((A56*B56)*2)*MATERIALES!$D$83)+(8*MATERIALES!$C$229)+(((A56*2)+(B56*4))*MATERIALES!$C$230)+(((A56*2)+(B56*4))*MATERIALES!$C$231)+((((A56*2)+(B56*2))/15)*MATERIALES!$C$232)+((((A56*2)+(B56*2))/15)*(MATERIALES!$C$233*0.15))</f>
        <v>5091.8025600000001</v>
      </c>
      <c r="H56" s="55">
        <f>(A56*B56)*MATERIALES!$D$89</f>
        <v>4296</v>
      </c>
      <c r="I56" s="124">
        <f t="shared" si="6"/>
        <v>4602.9580960000003</v>
      </c>
      <c r="J56" s="124">
        <f t="shared" si="7"/>
        <v>12242.563216</v>
      </c>
      <c r="K56" s="70">
        <f t="shared" si="8"/>
        <v>8502.9580960000003</v>
      </c>
      <c r="L56" s="57"/>
      <c r="M56" s="9">
        <f>((((B56*2)*MATERIALES!$C$64)+(B56*MATERIALES!$C$75)+(B56*MATERIALES!$C$65))*(MATERIALES!$F$2*MATERIALES!$J$15))*$M$3</f>
        <v>0</v>
      </c>
      <c r="N56"/>
      <c r="O56" s="68">
        <v>2.4</v>
      </c>
      <c r="P56" s="69">
        <v>1</v>
      </c>
      <c r="Q56" s="59">
        <f>(((O56*2)*MATERIALES!$C$46)+((P56*2)*MATERIALES!$C$47)+((P56*2)*MATERIALES!$C$48)+((P56*2)*MATERIALES!$C$52)+((O56*2)*MATERIALES!$C$49)+((P56*2)*MATERIALES!$C$64)+(P56*MATERIALES!$C$65)+(P56*MATERIALES!$C$75))*(MATERIALES!$F$2*MATERIALES!$J$15)</f>
        <v>0</v>
      </c>
      <c r="R56" s="59">
        <f>(2*MATERIALES!$C$177)+(4*MATERIALES!$C$179)+(4*MATERIALES!$C$181)+(1*MATERIALES!$C$182)+(4*MATERIALES!$C$183)+(4*MATERIALES!$C$184)+(4*MATERIALES!$C$185)+(2*MATERIALES!$C$186)+(8*MATERIALES!$C$158)+(8*MATERIALES!$C$174)+(((O56*4)+(P56*6))*MATERIALES!$C$188)+(((O56*2)+(P56*4))*MATERIALES!$C$141)+(4*MATERIALES!$C$148)+(((O56*5)*2)*MATERIALES!$C$147)+(10*MATERIALES!$C$145)+(2*MATERIALES!$C$188)</f>
        <v>1590.3867200000004</v>
      </c>
      <c r="S56" s="75"/>
      <c r="T56" s="55">
        <f>(O56*P56)*MATERIALES!$D$82</f>
        <v>1272</v>
      </c>
      <c r="U56" s="55">
        <f>(((O56*P56)*2)*MATERIALES!$D$83)+(8*MATERIALES!$C$229)+(((O56*2)+(P56*4))*MATERIALES!$C$230)+(((O56*2)+(P56*4))*MATERIALES!$C$231)+((((O56*2)+(P56*2))/15)*MATERIALES!$C$232)+((((O56*2)+(P56*2))/15)*(MATERIALES!$C$233*0.15))</f>
        <v>5091.8025600000001</v>
      </c>
      <c r="V56" s="55">
        <f>(O56*P56)*MATERIALES!$D$89</f>
        <v>4296</v>
      </c>
      <c r="W56" s="124">
        <f t="shared" si="5"/>
        <v>4611.5027360000004</v>
      </c>
      <c r="X56" s="124">
        <f t="shared" si="0"/>
        <v>12251.107856000001</v>
      </c>
      <c r="Y56" s="70">
        <f t="shared" si="1"/>
        <v>8511.5027360000004</v>
      </c>
      <c r="Z56" s="57"/>
    </row>
    <row r="57" spans="1:26" hidden="1">
      <c r="A57" s="68">
        <v>2.4</v>
      </c>
      <c r="B57" s="69">
        <v>1.2</v>
      </c>
      <c r="C57" s="59">
        <f>(((A57*2)*MATERIALES!$C$46)+((B57*2)*MATERIALES!$C$47)+((B57*2)*MATERIALES!$C$48)+((B57*2)*MATERIALES!$C$52)+((A57*2)*MATERIALES!$C$49))*(MATERIALES!$F$2*MATERIALES!$J$15)</f>
        <v>0</v>
      </c>
      <c r="D57" s="59">
        <f>(2*MATERIALES!$C$177)+(4*MATERIALES!$C$179)+(4*MATERIALES!$C$181)+(1*MATERIALES!$C$182)+(4*MATERIALES!$C$183)+(4*MATERIALES!$C$184)+(4*MATERIALES!$C$185)+(2*MATERIALES!$C$186)+(8*MATERIALES!$C$158)+(8*MATERIALES!$C$174)+(((A57*4)+(B57*6))*MATERIALES!$C$188)+(((A57*2)+(B57*4))*MATERIALES!$C$141)+(4*MATERIALES!$C$148)+(((A57*5)*2)*MATERIALES!$C$147)+(2*MATERIALES!$C$187)+(8*MATERIALES!$C$174)+(2*MATERIALES!$C$187)</f>
        <v>1615.94992</v>
      </c>
      <c r="E57" s="75"/>
      <c r="F57" s="55">
        <f>(A57*B57)*MATERIALES!$D$82</f>
        <v>1526.3999999999999</v>
      </c>
      <c r="G57" s="55">
        <f>(((A57*B57)*2)*MATERIALES!$D$83)+(8*MATERIALES!$C$229)+(((A57*2)+(B57*4))*MATERIALES!$C$230)+(((A57*2)+(B57*4))*MATERIALES!$C$231)+((((A57*2)+(B57*2))/15)*MATERIALES!$C$232)+((((A57*2)+(B57*2))/15)*(MATERIALES!$C$233*0.15))</f>
        <v>5878.5542400000004</v>
      </c>
      <c r="H57" s="55">
        <f>(A57*B57)*MATERIALES!$D$89</f>
        <v>5155.2</v>
      </c>
      <c r="I57" s="124">
        <f t="shared" si="6"/>
        <v>5153.5348959999992</v>
      </c>
      <c r="J57" s="124">
        <f t="shared" si="7"/>
        <v>13857.843376000001</v>
      </c>
      <c r="K57" s="70">
        <f t="shared" si="8"/>
        <v>9833.5348959999992</v>
      </c>
      <c r="L57" s="57"/>
      <c r="M57" s="9">
        <f>((((B57*2)*MATERIALES!$C$64)+(B57*MATERIALES!$C$75)+(B57*MATERIALES!$C$65))*(MATERIALES!$F$2*MATERIALES!$J$15))*$M$3</f>
        <v>0</v>
      </c>
      <c r="N57"/>
      <c r="O57" s="68">
        <v>2.4</v>
      </c>
      <c r="P57" s="69">
        <v>1.2</v>
      </c>
      <c r="Q57" s="59">
        <f>(((O57*2)*MATERIALES!$C$46)+((P57*2)*MATERIALES!$C$47)+((P57*2)*MATERIALES!$C$48)+((P57*2)*MATERIALES!$C$52)+((O57*2)*MATERIALES!$C$49)+((P57*2)*MATERIALES!$C$64)+(P57*MATERIALES!$C$65)+(P57*MATERIALES!$C$75))*(MATERIALES!$F$2*MATERIALES!$J$15)</f>
        <v>0</v>
      </c>
      <c r="R57" s="59">
        <f>(2*MATERIALES!$C$177)+(4*MATERIALES!$C$179)+(4*MATERIALES!$C$181)+(1*MATERIALES!$C$182)+(4*MATERIALES!$C$183)+(4*MATERIALES!$C$184)+(4*MATERIALES!$C$185)+(2*MATERIALES!$C$186)+(8*MATERIALES!$C$158)+(8*MATERIALES!$C$174)+(((O57*4)+(P57*6))*MATERIALES!$C$188)+(((O57*2)+(P57*4))*MATERIALES!$C$141)+(4*MATERIALES!$C$148)+(((O57*5)*2)*MATERIALES!$C$147)+(10*MATERIALES!$C$145)+(2*MATERIALES!$C$188)</f>
        <v>1622.5227200000004</v>
      </c>
      <c r="S57" s="75"/>
      <c r="T57" s="55">
        <f>(O57*P57)*MATERIALES!$D$82</f>
        <v>1526.3999999999999</v>
      </c>
      <c r="U57" s="55">
        <f>(((O57*P57)*2)*MATERIALES!$D$83)+(8*MATERIALES!$C$229)+(((O57*2)+(P57*4))*MATERIALES!$C$230)+(((O57*2)+(P57*4))*MATERIALES!$C$231)+((((O57*2)+(P57*2))/15)*MATERIALES!$C$232)+((((O57*2)+(P57*2))/15)*(MATERIALES!$C$233*0.15))</f>
        <v>5878.5542400000004</v>
      </c>
      <c r="V57" s="55">
        <f>(O57*P57)*MATERIALES!$D$89</f>
        <v>5155.2</v>
      </c>
      <c r="W57" s="124">
        <f t="shared" si="5"/>
        <v>5162.0795360000002</v>
      </c>
      <c r="X57" s="124">
        <f t="shared" si="0"/>
        <v>13866.388016000001</v>
      </c>
      <c r="Y57" s="70">
        <f t="shared" si="1"/>
        <v>9842.0795359999993</v>
      </c>
      <c r="Z57" s="57"/>
    </row>
    <row r="58" spans="1:26" hidden="1">
      <c r="A58" s="68">
        <v>2.4</v>
      </c>
      <c r="B58" s="69">
        <v>1.5</v>
      </c>
      <c r="C58" s="59">
        <f>(((A58*2)*MATERIALES!$C$46)+((B58*2)*MATERIALES!$C$47)+((B58*2)*MATERIALES!$C$48)+((B58*2)*MATERIALES!$C$52)+((A58*2)*MATERIALES!$C$49))*(MATERIALES!$F$2*MATERIALES!$J$15)</f>
        <v>0</v>
      </c>
      <c r="D58" s="59">
        <f>(2*MATERIALES!$C$177)+(4*MATERIALES!$C$179)+(4*MATERIALES!$C$181)+(1*MATERIALES!$C$182)+(4*MATERIALES!$C$183)+(4*MATERIALES!$C$184)+(4*MATERIALES!$C$185)+(2*MATERIALES!$C$186)+(8*MATERIALES!$C$158)+(8*MATERIALES!$C$174)+(((A58*4)+(B58*6))*MATERIALES!$C$188)+(((A58*2)+(B58*4))*MATERIALES!$C$141)+(4*MATERIALES!$C$148)+(((A58*5)*2)*MATERIALES!$C$147)+(2*MATERIALES!$C$187)+(8*MATERIALES!$C$174)+(2*MATERIALES!$C$187)</f>
        <v>1664.15392</v>
      </c>
      <c r="E58" s="75"/>
      <c r="F58" s="55">
        <f>(A58*B58)*MATERIALES!$D$82</f>
        <v>1907.9999999999998</v>
      </c>
      <c r="G58" s="55">
        <f>(((A58*B58)*2)*MATERIALES!$D$83)+(8*MATERIALES!$C$229)+(((A58*2)+(B58*4))*MATERIALES!$C$230)+(((A58*2)+(B58*4))*MATERIALES!$C$231)+((((A58*2)+(B58*2))/15)*MATERIALES!$C$232)+((((A58*2)+(B58*2))/15)*(MATERIALES!$C$233*0.15))</f>
        <v>7058.6817599999986</v>
      </c>
      <c r="H58" s="55">
        <f>(A58*B58)*MATERIALES!$D$89</f>
        <v>6443.9999999999991</v>
      </c>
      <c r="I58" s="124">
        <f t="shared" si="6"/>
        <v>5979.4000959999994</v>
      </c>
      <c r="J58" s="124">
        <f t="shared" si="7"/>
        <v>16280.763615999997</v>
      </c>
      <c r="K58" s="70">
        <f t="shared" si="8"/>
        <v>11829.400095999998</v>
      </c>
      <c r="L58" s="57"/>
      <c r="M58" s="9">
        <f>((((B58*2)*MATERIALES!$C$64)+(B58*MATERIALES!$C$75)+(B58*MATERIALES!$C$65))*(MATERIALES!$F$2*MATERIALES!$J$15))*$M$3</f>
        <v>0</v>
      </c>
      <c r="N58"/>
      <c r="O58" s="68">
        <v>2.4</v>
      </c>
      <c r="P58" s="69">
        <v>1.5</v>
      </c>
      <c r="Q58" s="59">
        <f>(((O58*2)*MATERIALES!$C$46)+((P58*2)*MATERIALES!$C$47)+((P58*2)*MATERIALES!$C$48)+((P58*2)*MATERIALES!$C$52)+((O58*2)*MATERIALES!$C$49)+((P58*2)*MATERIALES!$C$64)+(P58*MATERIALES!$C$65)+(P58*MATERIALES!$C$75))*(MATERIALES!$F$2*MATERIALES!$J$15)</f>
        <v>0</v>
      </c>
      <c r="R58" s="59">
        <f>(2*MATERIALES!$C$177)+(4*MATERIALES!$C$179)+(4*MATERIALES!$C$181)+(1*MATERIALES!$C$182)+(4*MATERIALES!$C$183)+(4*MATERIALES!$C$184)+(4*MATERIALES!$C$185)+(2*MATERIALES!$C$186)+(8*MATERIALES!$C$158)+(8*MATERIALES!$C$174)+(((O58*4)+(P58*6))*MATERIALES!$C$188)+(((O58*2)+(P58*4))*MATERIALES!$C$141)+(4*MATERIALES!$C$148)+(((O58*5)*2)*MATERIALES!$C$147)+(10*MATERIALES!$C$145)+(2*MATERIALES!$C$188)</f>
        <v>1670.7267200000003</v>
      </c>
      <c r="S58" s="75"/>
      <c r="T58" s="55">
        <f>(O58*P58)*MATERIALES!$D$82</f>
        <v>1907.9999999999998</v>
      </c>
      <c r="U58" s="55">
        <f>(((O58*P58)*2)*MATERIALES!$D$83)+(8*MATERIALES!$C$229)+(((O58*2)+(P58*4))*MATERIALES!$C$230)+(((O58*2)+(P58*4))*MATERIALES!$C$231)+((((O58*2)+(P58*2))/15)*MATERIALES!$C$232)+((((O58*2)+(P58*2))/15)*(MATERIALES!$C$233*0.15))</f>
        <v>7058.6817599999986</v>
      </c>
      <c r="V58" s="55">
        <f>(O58*P58)*MATERIALES!$D$89</f>
        <v>6443.9999999999991</v>
      </c>
      <c r="W58" s="124">
        <f t="shared" si="5"/>
        <v>5987.9447359999995</v>
      </c>
      <c r="X58" s="124">
        <f t="shared" si="0"/>
        <v>16289.308255999997</v>
      </c>
      <c r="Y58" s="70">
        <f t="shared" si="1"/>
        <v>11837.944735999998</v>
      </c>
      <c r="Z58" s="57"/>
    </row>
    <row r="59" spans="1:26" ht="15.75" hidden="1" thickBot="1">
      <c r="A59" s="71">
        <v>2.4</v>
      </c>
      <c r="B59" s="72">
        <v>1.8</v>
      </c>
      <c r="C59" s="60">
        <f>(((A59*2)*MATERIALES!$C$46)+((B59*2)*MATERIALES!$C$47)+((B59*2)*MATERIALES!$C$48)+((B59*2)*MATERIALES!$C$52)+((A59*2)*MATERIALES!$C$49))*(MATERIALES!$F$2*MATERIALES!$J$15)</f>
        <v>0</v>
      </c>
      <c r="D59" s="60">
        <f>(2*MATERIALES!$C$177)+(4*MATERIALES!$C$179)+(4*MATERIALES!$C$181)+(1*MATERIALES!$C$182)+(4*MATERIALES!$C$183)+(4*MATERIALES!$C$184)+(4*MATERIALES!$C$185)+(2*MATERIALES!$C$186)+(8*MATERIALES!$C$158)+(8*MATERIALES!$C$174)+(((A59*4)+(B59*6))*MATERIALES!$C$188)+(((A59*2)+(B59*4))*MATERIALES!$C$141)+(4*MATERIALES!$C$148)+(((A59*5)*2)*MATERIALES!$C$147)+(2*MATERIALES!$C$187)+(8*MATERIALES!$C$174)+(2*MATERIALES!$C$187)</f>
        <v>1712.3579200000001</v>
      </c>
      <c r="E59" s="76"/>
      <c r="F59" s="56">
        <f>(A59*B59)*MATERIALES!$D$82</f>
        <v>2289.6000000000004</v>
      </c>
      <c r="G59" s="56">
        <f>(((A59*B59)*2)*MATERIALES!$D$83)+(8*MATERIALES!$C$229)+(((A59*2)+(B59*4))*MATERIALES!$C$230)+(((A59*2)+(B59*4))*MATERIALES!$C$231)+((((A59*2)+(B59*2))/15)*MATERIALES!$C$232)+((((A59*2)+(B59*2))/15)*(MATERIALES!$C$233*0.15))</f>
        <v>8238.8092800000013</v>
      </c>
      <c r="H59" s="56">
        <f>(A59*B59)*MATERIALES!$D$89</f>
        <v>7732.8</v>
      </c>
      <c r="I59" s="126">
        <f t="shared" si="6"/>
        <v>6805.2652960000014</v>
      </c>
      <c r="J59" s="126">
        <f t="shared" si="7"/>
        <v>18703.683856000003</v>
      </c>
      <c r="K59" s="73">
        <f t="shared" si="8"/>
        <v>13825.265296000001</v>
      </c>
      <c r="L59" s="57"/>
      <c r="M59" s="9">
        <f>((((B59*2)*MATERIALES!$C$64)+(B59*MATERIALES!$C$75)+(B59*MATERIALES!$C$65))*(MATERIALES!$F$2*MATERIALES!$J$15))*$M$3</f>
        <v>0</v>
      </c>
      <c r="N59"/>
      <c r="O59" s="71">
        <v>2.4</v>
      </c>
      <c r="P59" s="72">
        <v>1.8</v>
      </c>
      <c r="Q59" s="60">
        <f>(((O59*2)*MATERIALES!$C$46)+((P59*2)*MATERIALES!$C$47)+((P59*2)*MATERIALES!$C$48)+((P59*2)*MATERIALES!$C$52)+((O59*2)*MATERIALES!$C$49)+((P59*2)*MATERIALES!$C$64)+(P59*MATERIALES!$C$65)+(P59*MATERIALES!$C$75))*(MATERIALES!$F$2*MATERIALES!$J$15)</f>
        <v>0</v>
      </c>
      <c r="R59" s="60">
        <f>(2*MATERIALES!$C$177)+(4*MATERIALES!$C$179)+(4*MATERIALES!$C$181)+(1*MATERIALES!$C$182)+(4*MATERIALES!$C$183)+(4*MATERIALES!$C$184)+(4*MATERIALES!$C$185)+(2*MATERIALES!$C$186)+(8*MATERIALES!$C$158)+(8*MATERIALES!$C$174)+(((O59*4)+(P59*6))*MATERIALES!$C$188)+(((O59*2)+(P59*4))*MATERIALES!$C$141)+(4*MATERIALES!$C$148)+(((O59*5)*2)*MATERIALES!$C$147)+(10*MATERIALES!$C$145)+(2*MATERIALES!$C$188)</f>
        <v>1718.9307200000005</v>
      </c>
      <c r="S59" s="76"/>
      <c r="T59" s="56">
        <f>(O59*P59)*MATERIALES!$D$82</f>
        <v>2289.6000000000004</v>
      </c>
      <c r="U59" s="56">
        <f>(((O59*P59)*2)*MATERIALES!$D$83)+(8*MATERIALES!$C$229)+(((O59*2)+(P59*4))*MATERIALES!$C$230)+(((O59*2)+(P59*4))*MATERIALES!$C$231)+((((O59*2)+(P59*2))/15)*MATERIALES!$C$232)+((((O59*2)+(P59*2))/15)*(MATERIALES!$C$233*0.15))</f>
        <v>8238.8092800000013</v>
      </c>
      <c r="V59" s="56">
        <f>(O59*P59)*MATERIALES!$D$89</f>
        <v>7732.8</v>
      </c>
      <c r="W59" s="126">
        <f t="shared" si="5"/>
        <v>6813.8099360000015</v>
      </c>
      <c r="X59" s="126">
        <f t="shared" si="0"/>
        <v>18712.228496000003</v>
      </c>
      <c r="Y59" s="73">
        <f t="shared" si="1"/>
        <v>13833.809936000001</v>
      </c>
      <c r="Z59" s="57"/>
    </row>
    <row r="60" spans="1:26" hidden="1">
      <c r="A60" s="120"/>
      <c r="B60" s="120"/>
      <c r="E60" s="120"/>
      <c r="M60" s="9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</row>
    <row r="61" spans="1:26" hidden="1">
      <c r="M61" s="9"/>
      <c r="T61" s="2"/>
      <c r="U61"/>
    </row>
    <row r="62" spans="1:26" ht="15.75" hidden="1" thickBot="1">
      <c r="A62" s="122"/>
      <c r="B62" s="117"/>
      <c r="C62" s="117"/>
      <c r="D62" s="117"/>
      <c r="E62" s="117"/>
      <c r="F62" s="117"/>
      <c r="G62" s="117"/>
      <c r="H62" s="123"/>
      <c r="I62" s="9"/>
      <c r="M62" s="9"/>
      <c r="N62" s="117"/>
      <c r="O62" s="117"/>
      <c r="P62" s="117"/>
      <c r="Q62" s="117"/>
      <c r="R62" s="117"/>
      <c r="S62" s="117"/>
      <c r="T62" s="123"/>
      <c r="U62" s="9"/>
    </row>
    <row r="63" spans="1:26" ht="15.75" hidden="1" thickBot="1">
      <c r="C63" s="789">
        <v>0.3</v>
      </c>
      <c r="D63" s="790"/>
      <c r="E63" s="791"/>
      <c r="F63" s="801">
        <v>1</v>
      </c>
      <c r="G63" s="803"/>
      <c r="H63" s="115">
        <v>0.5</v>
      </c>
      <c r="I63" s="62" t="s">
        <v>163</v>
      </c>
      <c r="M63" s="9"/>
      <c r="N63" s="117"/>
      <c r="Q63" s="789">
        <v>0.3</v>
      </c>
      <c r="R63" s="790"/>
      <c r="S63" s="791"/>
      <c r="T63" s="801">
        <v>1</v>
      </c>
      <c r="U63" s="803"/>
      <c r="V63" s="115">
        <v>0.5</v>
      </c>
      <c r="W63" s="62" t="s">
        <v>163</v>
      </c>
    </row>
    <row r="64" spans="1:26" ht="15.75" hidden="1" thickBot="1">
      <c r="A64" s="792" t="s">
        <v>364</v>
      </c>
      <c r="B64" s="793"/>
      <c r="C64" s="793"/>
      <c r="D64" s="793"/>
      <c r="E64" s="793"/>
      <c r="F64" s="793"/>
      <c r="G64" s="793"/>
      <c r="H64" s="793"/>
      <c r="I64" s="793"/>
      <c r="J64" s="793"/>
      <c r="K64" s="794"/>
      <c r="M64" s="9"/>
      <c r="N64" s="94"/>
      <c r="O64" s="792" t="s">
        <v>367</v>
      </c>
      <c r="P64" s="793"/>
      <c r="Q64" s="793"/>
      <c r="R64" s="793"/>
      <c r="S64" s="793"/>
      <c r="T64" s="793"/>
      <c r="U64" s="793"/>
      <c r="V64" s="793"/>
      <c r="W64" s="793"/>
      <c r="X64" s="793"/>
      <c r="Y64" s="794"/>
    </row>
    <row r="65" spans="1:25" ht="15.75" hidden="1" thickBot="1">
      <c r="A65" s="36" t="s">
        <v>116</v>
      </c>
      <c r="B65" s="36" t="s">
        <v>117</v>
      </c>
      <c r="C65" s="36" t="s">
        <v>162</v>
      </c>
      <c r="D65" s="36" t="s">
        <v>119</v>
      </c>
      <c r="E65" s="36" t="s">
        <v>120</v>
      </c>
      <c r="F65" s="36" t="s">
        <v>520</v>
      </c>
      <c r="G65" s="114" t="s">
        <v>260</v>
      </c>
      <c r="H65" s="36" t="s">
        <v>259</v>
      </c>
      <c r="I65" s="36" t="s">
        <v>521</v>
      </c>
      <c r="J65" s="116" t="s">
        <v>262</v>
      </c>
      <c r="K65" s="116" t="s">
        <v>263</v>
      </c>
      <c r="M65" s="9"/>
      <c r="N65" s="123"/>
      <c r="O65" s="36" t="s">
        <v>116</v>
      </c>
      <c r="P65" s="36" t="s">
        <v>117</v>
      </c>
      <c r="Q65" s="36" t="s">
        <v>162</v>
      </c>
      <c r="R65" s="36" t="s">
        <v>119</v>
      </c>
      <c r="S65" s="36" t="s">
        <v>120</v>
      </c>
      <c r="T65" s="36" t="s">
        <v>520</v>
      </c>
      <c r="U65" s="114" t="s">
        <v>260</v>
      </c>
      <c r="V65" s="36" t="s">
        <v>259</v>
      </c>
      <c r="W65" s="36" t="s">
        <v>521</v>
      </c>
      <c r="X65" s="116" t="s">
        <v>262</v>
      </c>
      <c r="Y65" s="116" t="s">
        <v>263</v>
      </c>
    </row>
    <row r="66" spans="1:25" ht="15.75" hidden="1" thickBot="1">
      <c r="A66" s="795"/>
      <c r="B66" s="796"/>
      <c r="C66" s="796"/>
      <c r="D66" s="796"/>
      <c r="E66" s="796"/>
      <c r="F66" s="796"/>
      <c r="G66" s="796"/>
      <c r="H66" s="796"/>
      <c r="I66" s="796"/>
      <c r="J66" s="796"/>
      <c r="K66" s="797"/>
      <c r="M66" s="9"/>
      <c r="N66" s="94"/>
      <c r="O66" s="795"/>
      <c r="P66" s="796"/>
      <c r="Q66" s="796"/>
      <c r="R66" s="796"/>
      <c r="S66" s="796"/>
      <c r="T66" s="796"/>
      <c r="U66" s="796"/>
      <c r="V66" s="796"/>
      <c r="W66" s="796"/>
      <c r="X66" s="796"/>
      <c r="Y66" s="797"/>
    </row>
    <row r="67" spans="1:25" hidden="1">
      <c r="A67" s="65">
        <v>1.2</v>
      </c>
      <c r="B67" s="66">
        <v>2</v>
      </c>
      <c r="C67" s="58">
        <f>(((A67*2)*MATERIALES!$C$46)+((B67*2)*MATERIALES!$C$47)+((B67*2)*MATERIALES!$C$48)+((B67*2)*MATERIALES!$C$52)+((A67*2)*MATERIALES!$C$49)+(A67*MATERIALES!$C$53))*(MATERIALES!$F$2*MATERIALES!$J$15)</f>
        <v>0</v>
      </c>
      <c r="D67" s="58">
        <f>(2*MATERIALES!$C$178)+(4*MATERIALES!$C$180)+(4*MATERIALES!$C$181)+(1*MATERIALES!$C$182)+(4*MATERIALES!$C$183)+(4*MATERIALES!$C$184)+(4*MATERIALES!$C$185)+(2*MATERIALES!$C$186)+(8*MATERIALES!$C$158)+(16*MATERIALES!$C$174)+(4*MATERIALES!$C$159)+(((A67*4)+(B67*6))*MATERIALES!$C$188)+(((A67*4)+(B67*4))*MATERIALES!$C$141)+(4*MATERIALES!$C$148)+(((A67*5)*2)*MATERIALES!$C$147)+(2*MATERIALES!$C$187)</f>
        <v>2115.8196800000005</v>
      </c>
      <c r="E67" s="74"/>
      <c r="F67" s="54">
        <f>(A67*B67)*MATERIALES!$D$82</f>
        <v>1272</v>
      </c>
      <c r="G67" s="54">
        <f>(((A67*B67)*2)*MATERIALES!$D$83)+(16*MATERIALES!$C$229)+(((A67*4)+(B67*4))*MATERIALES!$C$230)+(((A67*4)+(B67*4))*MATERIALES!$C$231)+((((A67*2)+(B67*2))/15)*MATERIALES!$C$232)+((((A67*2)+(B67*2))/15)*(MATERIALES!$C$233*0.15))</f>
        <v>5811.38688</v>
      </c>
      <c r="H67" s="54">
        <f>(A67*B67)*MATERIALES!$D$89</f>
        <v>4296</v>
      </c>
      <c r="I67" s="125">
        <f>(SUM(C67:E67)*1.3)+(F67*2)</f>
        <v>5294.5655840000009</v>
      </c>
      <c r="J67" s="125">
        <f>(SUM(C67:E67)*1.3)+(G67*2)</f>
        <v>14373.339344</v>
      </c>
      <c r="K67" s="67">
        <f>(SUM(C67:E67)*1.3)+(H67*1.5)</f>
        <v>9194.5655839999999</v>
      </c>
      <c r="L67" s="53"/>
      <c r="M67" s="9">
        <f>((((B67*2)*MATERIALES!$C$64)+(B67*MATERIALES!$C$75)+(B67*MATERIALES!$C$65))*(MATERIALES!$F$2*MATERIALES!$J$15))*$M$3</f>
        <v>0</v>
      </c>
      <c r="N67" s="117"/>
      <c r="O67" s="65">
        <v>1.2</v>
      </c>
      <c r="P67" s="66">
        <v>2</v>
      </c>
      <c r="Q67" s="58">
        <f>(((O67*2)*MATERIALES!$C$46)+((P67*2)*MATERIALES!$C$47)+((P67*2)*MATERIALES!$C$48)+((P67*2)*MATERIALES!$C$52)+((O67*2)*MATERIALES!$C$49)+(O67*MATERIALES!$C$53) +((P54*2)*MATERIALES!$C$64)+(P54*MATERIALES!$C$65)+(P54*MATERIALES!$C$75))*(MATERIALES!$F$2*MATERIALES!$J$15)</f>
        <v>0</v>
      </c>
      <c r="R67" s="58">
        <f>(2*MATERIALES!$C$178)+(4*MATERIALES!$C$180)+(4*MATERIALES!$C$181)+(1*MATERIALES!$C$182)+(4*MATERIALES!$C$183)+(4*MATERIALES!$C$184)+(4*MATERIALES!$C$185)+(2*MATERIALES!$C$186)+(8*MATERIALES!$C$158)+(16*MATERIALES!$C$174)+(4*MATERIALES!$C$159)+(((O67*4)+(P67*6))*MATERIALES!$C$188)+(((O67*4)+(P67*4))*MATERIALES!$C$141)+(4*MATERIALES!$C$148)+(((O67*5)*2)*MATERIALES!$C$147)+(10*MATERIALES!$C$145) +(2*MATERIALES!$C$187)</f>
        <v>2143.1716800000004</v>
      </c>
      <c r="S67" s="74"/>
      <c r="T67" s="54">
        <f>(O67*P67)*MATERIALES!$D$82</f>
        <v>1272</v>
      </c>
      <c r="U67" s="54">
        <f>(((O67*P67)*2)*MATERIALES!$D$83)+(16*MATERIALES!$C$229)+(((O67*4)+(P67*4))*MATERIALES!$C$230)+(((O67*4)+(P67*4))*MATERIALES!$C$231)+((((O67*2)+(P67*2))/15)*MATERIALES!$C$232)+((((O67*2)+(P67*2))/15)*(MATERIALES!$C$233*0.15))</f>
        <v>5811.38688</v>
      </c>
      <c r="V67" s="54">
        <f>(O67*P67)*MATERIALES!$D$89</f>
        <v>4296</v>
      </c>
      <c r="W67" s="125">
        <f>(SUM(Q67:S67)*1.3)+(T67*2)</f>
        <v>5330.123184</v>
      </c>
      <c r="X67" s="125">
        <f>(SUM(Q67:S67)*1.3)+(U67*2)</f>
        <v>14408.896944</v>
      </c>
      <c r="Y67" s="67">
        <f>(SUM(Q67:S67)*1.3)+(V67*1.5)</f>
        <v>9230.123184</v>
      </c>
    </row>
    <row r="68" spans="1:25" hidden="1">
      <c r="A68" s="68">
        <v>1.5</v>
      </c>
      <c r="B68" s="69">
        <v>2</v>
      </c>
      <c r="C68" s="59">
        <f>(((A68*2)*MATERIALES!$C$46)+((B68*2)*MATERIALES!$C$47)+((B68*2)*MATERIALES!$C$48)+((B68*2)*MATERIALES!$C$52)+((A68*2)*MATERIALES!$C$49)+(A68*MATERIALES!$C$53))*(MATERIALES!$F$2*MATERIALES!$J$15)</f>
        <v>0</v>
      </c>
      <c r="D68" s="59">
        <f>(2*MATERIALES!$C$178)+(4*MATERIALES!$C$180)+(4*MATERIALES!$C$181)+(1*MATERIALES!$C$182)+(4*MATERIALES!$C$183)+(4*MATERIALES!$C$184)+(4*MATERIALES!$C$185)+(2*MATERIALES!$C$186)+(8*MATERIALES!$C$158)+(16*MATERIALES!$C$174)+(4*MATERIALES!$C$159)+(((A68*4)+(B68*6))*MATERIALES!$C$188)+(((A68*4)+(B68*4))*MATERIALES!$C$141)+(4*MATERIALES!$C$148)+(((A68*5)*2)*MATERIALES!$C$147)+(2*MATERIALES!$C$187)</f>
        <v>2156.4920000000002</v>
      </c>
      <c r="E68" s="75"/>
      <c r="F68" s="55">
        <f>(A68*B68)*MATERIALES!$D$82</f>
        <v>1590</v>
      </c>
      <c r="G68" s="55">
        <f>(((A68*B68)*2)*MATERIALES!$D$83)+(16*MATERIALES!$C$229)+(((A68*4)+(B68*4))*MATERIALES!$C$230)+(((A68*4)+(B68*4))*MATERIALES!$C$231)+((((A68*2)+(B68*2))/15)*MATERIALES!$C$232)+((((A68*2)+(B68*2))/15)*(MATERIALES!$C$233*0.15))</f>
        <v>6835.5144</v>
      </c>
      <c r="H68" s="55">
        <f>(A68*B68)*MATERIALES!$D$89</f>
        <v>5370</v>
      </c>
      <c r="I68" s="124">
        <f t="shared" ref="I68:I72" si="9">(SUM(C68:E68)*1.3)+(F68*2)</f>
        <v>5983.4395999999997</v>
      </c>
      <c r="J68" s="124">
        <f t="shared" ref="J68:J72" si="10">(SUM(C68:E68)*1.3)+(G68*2)</f>
        <v>16474.468400000002</v>
      </c>
      <c r="K68" s="70">
        <f t="shared" ref="K68:K72" si="11">(SUM(C68:E68)*1.3)+(H68*1.5)</f>
        <v>10858.4396</v>
      </c>
      <c r="M68" s="9">
        <f>((((B68*2)*MATERIALES!$C$64)+(B68*MATERIALES!$C$75)+(B68*MATERIALES!$C$65))*(MATERIALES!$F$2*MATERIALES!$J$15))*$M$3</f>
        <v>0</v>
      </c>
      <c r="N68" s="117"/>
      <c r="O68" s="68">
        <v>1.5</v>
      </c>
      <c r="P68" s="69">
        <v>2</v>
      </c>
      <c r="Q68" s="59">
        <f>(((O68*2)*MATERIALES!$C$46)+((P68*2)*MATERIALES!$C$47)+((P68*2)*MATERIALES!$C$48)+((P68*2)*MATERIALES!$C$52)+((O68*2)*MATERIALES!$C$49)+(O68*MATERIALES!$C$53) +((P55*2)*MATERIALES!$C$64)+(P55*MATERIALES!$C$65)+(P55*MATERIALES!$C$75))*(MATERIALES!$F$2*MATERIALES!$J$15)</f>
        <v>0</v>
      </c>
      <c r="R68" s="59">
        <f>(2*MATERIALES!$C$178)+(4*MATERIALES!$C$180)+(4*MATERIALES!$C$181)+(1*MATERIALES!$C$182)+(4*MATERIALES!$C$183)+(4*MATERIALES!$C$184)+(4*MATERIALES!$C$185)+(2*MATERIALES!$C$186)+(8*MATERIALES!$C$158)+(16*MATERIALES!$C$174)+(4*MATERIALES!$C$159)+(((O68*4)+(P68*6))*MATERIALES!$C$188)+(((O68*4)+(P68*4))*MATERIALES!$C$141)+(4*MATERIALES!$C$148)+(((O68*5)*2)*MATERIALES!$C$147)+(10*MATERIALES!$C$145) +(2*MATERIALES!$C$187)</f>
        <v>2183.8440000000001</v>
      </c>
      <c r="S68" s="75"/>
      <c r="T68" s="55">
        <f>(O68*P68)*MATERIALES!$D$82</f>
        <v>1590</v>
      </c>
      <c r="U68" s="55">
        <f>(((O68*P68)*2)*MATERIALES!$D$83)+(16*MATERIALES!$C$229)+(((O68*4)+(P68*4))*MATERIALES!$C$230)+(((O68*4)+(P68*4))*MATERIALES!$C$231)+((((O68*2)+(P68*2))/15)*MATERIALES!$C$232)+((((O68*2)+(P68*2))/15)*(MATERIALES!$C$233*0.15))</f>
        <v>6835.5144</v>
      </c>
      <c r="V68" s="55">
        <f>(O68*P68)*MATERIALES!$D$89</f>
        <v>5370</v>
      </c>
      <c r="W68" s="124">
        <f t="shared" ref="W68:W72" si="12">(SUM(Q68:S68)*1.3)+(T68*2)</f>
        <v>6018.9971999999998</v>
      </c>
      <c r="X68" s="124">
        <f t="shared" ref="X68:X72" si="13">(SUM(Q68:S68)*1.3)+(U68*2)</f>
        <v>16510.026000000002</v>
      </c>
      <c r="Y68" s="70">
        <f t="shared" ref="Y68:Y72" si="14">(SUM(Q68:S68)*1.3)+(V68*1.5)</f>
        <v>10893.9972</v>
      </c>
    </row>
    <row r="69" spans="1:25" hidden="1">
      <c r="A69" s="68">
        <v>1.8</v>
      </c>
      <c r="B69" s="69">
        <v>2</v>
      </c>
      <c r="C69" s="59">
        <f>(((A69*2)*MATERIALES!$C$46)+((B69*2)*MATERIALES!$C$47)+((B69*2)*MATERIALES!$C$48)+((B69*2)*MATERIALES!$C$52)+((A69*2)*MATERIALES!$C$49)+(A69*MATERIALES!$C$53))*(MATERIALES!$F$2*MATERIALES!$J$15)</f>
        <v>0</v>
      </c>
      <c r="D69" s="59">
        <f>(2*MATERIALES!$C$178)+(4*MATERIALES!$C$180)+(4*MATERIALES!$C$181)+(1*MATERIALES!$C$182)+(4*MATERIALES!$C$183)+(4*MATERIALES!$C$184)+(4*MATERIALES!$C$185)+(2*MATERIALES!$C$186)+(8*MATERIALES!$C$158)+(16*MATERIALES!$C$174)+(4*MATERIALES!$C$159)+(((A69*4)+(B69*6))*MATERIALES!$C$188)+(((A69*4)+(B69*4))*MATERIALES!$C$141)+(4*MATERIALES!$C$148)+(((A69*5)*2)*MATERIALES!$C$147)+(2*MATERIALES!$C$187)</f>
        <v>2197.1643200000003</v>
      </c>
      <c r="E69" s="75"/>
      <c r="F69" s="55">
        <f>(A69*B69)*MATERIALES!$D$82</f>
        <v>1908</v>
      </c>
      <c r="G69" s="55">
        <f>(((A69*B69)*2)*MATERIALES!$D$83)+(16*MATERIALES!$C$229)+(((A69*4)+(B69*4))*MATERIALES!$C$230)+(((A69*4)+(B69*4))*MATERIALES!$C$231)+((((A69*2)+(B69*2))/15)*MATERIALES!$C$232)+((((A69*2)+(B69*2))/15)*(MATERIALES!$C$233*0.15))</f>
        <v>7859.64192</v>
      </c>
      <c r="H69" s="55">
        <f>(A69*B69)*MATERIALES!$D$89</f>
        <v>6444</v>
      </c>
      <c r="I69" s="124">
        <f t="shared" si="9"/>
        <v>6672.3136160000004</v>
      </c>
      <c r="J69" s="124">
        <f t="shared" si="10"/>
        <v>18575.597456</v>
      </c>
      <c r="K69" s="70">
        <f t="shared" si="11"/>
        <v>12522.313615999999</v>
      </c>
      <c r="M69" s="9">
        <f>((((B69*2)*MATERIALES!$C$64)+(B69*MATERIALES!$C$75)+(B69*MATERIALES!$C$65))*(MATERIALES!$F$2*MATERIALES!$J$15))*$M$3</f>
        <v>0</v>
      </c>
      <c r="N69" s="117"/>
      <c r="O69" s="68">
        <v>1.8</v>
      </c>
      <c r="P69" s="69">
        <v>2</v>
      </c>
      <c r="Q69" s="59">
        <f>(((O69*2)*MATERIALES!$C$46)+((P69*2)*MATERIALES!$C$47)+((P69*2)*MATERIALES!$C$48)+((P69*2)*MATERIALES!$C$52)+((O69*2)*MATERIALES!$C$49)+(O69*MATERIALES!$C$53) +((P56*2)*MATERIALES!$C$64)+(P56*MATERIALES!$C$65)+(P56*MATERIALES!$C$75))*(MATERIALES!$F$2*MATERIALES!$J$15)</f>
        <v>0</v>
      </c>
      <c r="R69" s="59">
        <f>(2*MATERIALES!$C$178)+(4*MATERIALES!$C$180)+(4*MATERIALES!$C$181)+(1*MATERIALES!$C$182)+(4*MATERIALES!$C$183)+(4*MATERIALES!$C$184)+(4*MATERIALES!$C$185)+(2*MATERIALES!$C$186)+(8*MATERIALES!$C$158)+(16*MATERIALES!$C$174)+(4*MATERIALES!$C$159)+(((O69*4)+(P69*6))*MATERIALES!$C$188)+(((O69*4)+(P69*4))*MATERIALES!$C$141)+(4*MATERIALES!$C$148)+(((O69*5)*2)*MATERIALES!$C$147)+(10*MATERIALES!$C$145) +(2*MATERIALES!$C$187)</f>
        <v>2224.5163200000002</v>
      </c>
      <c r="S69" s="75"/>
      <c r="T69" s="55">
        <f>(O69*P69)*MATERIALES!$D$82</f>
        <v>1908</v>
      </c>
      <c r="U69" s="55">
        <f>(((O69*P69)*2)*MATERIALES!$D$83)+(16*MATERIALES!$C$229)+(((O69*4)+(P69*4))*MATERIALES!$C$230)+(((O69*4)+(P69*4))*MATERIALES!$C$231)+((((O69*2)+(P69*2))/15)*MATERIALES!$C$232)+((((O69*2)+(P69*2))/15)*(MATERIALES!$C$233*0.15))</f>
        <v>7859.64192</v>
      </c>
      <c r="V69" s="55">
        <f>(O69*P69)*MATERIALES!$D$89</f>
        <v>6444</v>
      </c>
      <c r="W69" s="124">
        <f t="shared" si="12"/>
        <v>6707.8712160000005</v>
      </c>
      <c r="X69" s="124">
        <f t="shared" si="13"/>
        <v>18611.155056</v>
      </c>
      <c r="Y69" s="70">
        <f t="shared" si="14"/>
        <v>12557.871216</v>
      </c>
    </row>
    <row r="70" spans="1:25" hidden="1">
      <c r="A70" s="68">
        <v>2</v>
      </c>
      <c r="B70" s="69">
        <v>2</v>
      </c>
      <c r="C70" s="59">
        <f>(((A70*2)*MATERIALES!$C$46)+((B70*2)*MATERIALES!$C$47)+((B70*2)*MATERIALES!$C$48)+((B70*2)*MATERIALES!$C$52)+((A70*2)*MATERIALES!$C$49)+(A70*MATERIALES!$C$53))*(MATERIALES!$F$2*MATERIALES!$J$15)</f>
        <v>0</v>
      </c>
      <c r="D70" s="59">
        <f>(2*MATERIALES!$C$178)+(4*MATERIALES!$C$180)+(4*MATERIALES!$C$181)+(1*MATERIALES!$C$182)+(4*MATERIALES!$C$183)+(4*MATERIALES!$C$184)+(4*MATERIALES!$C$185)+(2*MATERIALES!$C$186)+(8*MATERIALES!$C$158)+(16*MATERIALES!$C$174)+(4*MATERIALES!$C$159)+(((A70*4)+(B70*6))*MATERIALES!$C$188)+(((A70*4)+(B70*4))*MATERIALES!$C$141)+(4*MATERIALES!$C$148)+(((A70*5)*2)*MATERIALES!$C$147)+(2*MATERIALES!$C$187)</f>
        <v>2224.2792000000004</v>
      </c>
      <c r="E70" s="75"/>
      <c r="F70" s="55">
        <f>(A70*B70)*MATERIALES!$D$82</f>
        <v>2120</v>
      </c>
      <c r="G70" s="55">
        <f>(((A70*B70)*2)*MATERIALES!$D$83)+(16*MATERIALES!$C$229)+(((A70*4)+(B70*4))*MATERIALES!$C$230)+(((A70*4)+(B70*4))*MATERIALES!$C$231)+((((A70*2)+(B70*2))/15)*MATERIALES!$C$232)+((((A70*2)+(B70*2))/15)*(MATERIALES!$C$233*0.15))</f>
        <v>8542.3935999999994</v>
      </c>
      <c r="H70" s="55">
        <f>(A70*B70)*MATERIALES!$D$89</f>
        <v>7160</v>
      </c>
      <c r="I70" s="124">
        <f t="shared" si="9"/>
        <v>7131.5629600000011</v>
      </c>
      <c r="J70" s="124">
        <f t="shared" si="10"/>
        <v>19976.350159999998</v>
      </c>
      <c r="K70" s="70">
        <f t="shared" si="11"/>
        <v>13631.562960000001</v>
      </c>
      <c r="M70" s="9">
        <f>((((B70*2)*MATERIALES!$C$64)+(B70*MATERIALES!$C$75)+(B70*MATERIALES!$C$65))*(MATERIALES!$F$2*MATERIALES!$J$15))*$M$3</f>
        <v>0</v>
      </c>
      <c r="N70" s="117"/>
      <c r="O70" s="68">
        <v>2</v>
      </c>
      <c r="P70" s="69">
        <v>2</v>
      </c>
      <c r="Q70" s="59">
        <f>(((O70*2)*MATERIALES!$C$46)+((P70*2)*MATERIALES!$C$47)+((P70*2)*MATERIALES!$C$48)+((P70*2)*MATERIALES!$C$52)+((O70*2)*MATERIALES!$C$49)+(O70*MATERIALES!$C$53) +((P57*2)*MATERIALES!$C$64)+(P57*MATERIALES!$C$65)+(P57*MATERIALES!$C$75))*(MATERIALES!$F$2*MATERIALES!$J$15)</f>
        <v>0</v>
      </c>
      <c r="R70" s="59">
        <f>(2*MATERIALES!$C$178)+(4*MATERIALES!$C$180)+(4*MATERIALES!$C$181)+(1*MATERIALES!$C$182)+(4*MATERIALES!$C$183)+(4*MATERIALES!$C$184)+(4*MATERIALES!$C$185)+(2*MATERIALES!$C$186)+(8*MATERIALES!$C$158)+(16*MATERIALES!$C$174)+(4*MATERIALES!$C$159)+(((O70*4)+(P70*6))*MATERIALES!$C$188)+(((O70*4)+(P70*4))*MATERIALES!$C$141)+(4*MATERIALES!$C$148)+(((O70*5)*2)*MATERIALES!$C$147)+(10*MATERIALES!$C$145) +(2*MATERIALES!$C$187)</f>
        <v>2251.6312000000003</v>
      </c>
      <c r="S70" s="75"/>
      <c r="T70" s="55">
        <f>(O70*P70)*MATERIALES!$D$82</f>
        <v>2120</v>
      </c>
      <c r="U70" s="55">
        <f>(((O70*P70)*2)*MATERIALES!$D$83)+(16*MATERIALES!$C$229)+(((O70*4)+(P70*4))*MATERIALES!$C$230)+(((O70*4)+(P70*4))*MATERIALES!$C$231)+((((O70*2)+(P70*2))/15)*MATERIALES!$C$232)+((((O70*2)+(P70*2))/15)*(MATERIALES!$C$233*0.15))</f>
        <v>8542.3935999999994</v>
      </c>
      <c r="V70" s="55">
        <f>(O70*P70)*MATERIALES!$D$89</f>
        <v>7160</v>
      </c>
      <c r="W70" s="124">
        <f t="shared" si="12"/>
        <v>7167.1205600000003</v>
      </c>
      <c r="X70" s="124">
        <f t="shared" si="13"/>
        <v>20011.907759999998</v>
      </c>
      <c r="Y70" s="70">
        <f t="shared" si="14"/>
        <v>13667.120559999999</v>
      </c>
    </row>
    <row r="71" spans="1:25" hidden="1">
      <c r="A71" s="68">
        <v>2.4</v>
      </c>
      <c r="B71" s="69">
        <v>2</v>
      </c>
      <c r="C71" s="59">
        <f>(((A71*2)*MATERIALES!$C$46)+((B71*2)*MATERIALES!$C$47)+((B71*2)*MATERIALES!$C$48)+((B71*2)*MATERIALES!$C$52)+((A71*2)*MATERIALES!$C$49)+(A71*MATERIALES!$C$53))*(MATERIALES!$F$2*MATERIALES!$J$15)</f>
        <v>0</v>
      </c>
      <c r="D71" s="59">
        <f>(2*MATERIALES!$C$178)+(4*MATERIALES!$C$180)+(4*MATERIALES!$C$181)+(1*MATERIALES!$C$182)+(4*MATERIALES!$C$183)+(4*MATERIALES!$C$184)+(4*MATERIALES!$C$185)+(2*MATERIALES!$C$186)+(8*MATERIALES!$C$158)+(16*MATERIALES!$C$174)+(4*MATERIALES!$C$159)+(((A71*4)+(B71*6))*MATERIALES!$C$188)+(((A71*4)+(B71*4))*MATERIALES!$C$141)+(4*MATERIALES!$C$148)+(((A71*5)*2)*MATERIALES!$C$147)+(2*MATERIALES!$C$187)</f>
        <v>2278.5089600000006</v>
      </c>
      <c r="E71" s="75"/>
      <c r="F71" s="55">
        <f>(A71*B71)*MATERIALES!$D$82</f>
        <v>2544</v>
      </c>
      <c r="G71" s="55">
        <f>(((A71*B71)*2)*MATERIALES!$D$83)+(16*MATERIALES!$C$229)+(((A71*4)+(B71*4))*MATERIALES!$C$230)+(((A71*4)+(B71*4))*MATERIALES!$C$231)+((((A71*2)+(B71*2))/15)*MATERIALES!$C$232)+((((A71*2)+(B71*2))/15)*(MATERIALES!$C$233*0.15))</f>
        <v>9907.89696</v>
      </c>
      <c r="H71" s="55">
        <f>(A71*B71)*MATERIALES!$D$89</f>
        <v>8592</v>
      </c>
      <c r="I71" s="124">
        <f>(SUM(C71:E71)*1.3)+(F71*2)</f>
        <v>8050.0616480000008</v>
      </c>
      <c r="J71" s="124">
        <f>(SUM(C71:E71)*1.3)+(G71*2)</f>
        <v>22777.855567999999</v>
      </c>
      <c r="K71" s="70">
        <f>(SUM(C71:E71)*1.3)+(H71*1.5)</f>
        <v>15850.061648000001</v>
      </c>
      <c r="M71" s="9">
        <f>((((B71*2)*MATERIALES!$C$64)+(B71*MATERIALES!$C$75)+(B71*MATERIALES!$C$65))*(MATERIALES!$F$2*MATERIALES!$J$15))*$M$3</f>
        <v>0</v>
      </c>
      <c r="N71" s="117"/>
      <c r="O71" s="68">
        <v>2.2000000000000002</v>
      </c>
      <c r="P71" s="69">
        <v>2</v>
      </c>
      <c r="Q71" s="59">
        <f>(((O71*2)*MATERIALES!$C$46)+((P71*2)*MATERIALES!$C$47)+((P71*2)*MATERIALES!$C$48)+((P71*2)*MATERIALES!$C$52)+((O71*2)*MATERIALES!$C$49)+(O71*MATERIALES!$C$53) +((P58*2)*MATERIALES!$C$64)+(P58*MATERIALES!$C$65)+(P58*MATERIALES!$C$75))*(MATERIALES!$F$2*MATERIALES!$J$15)</f>
        <v>0</v>
      </c>
      <c r="R71" s="59">
        <f>(2*MATERIALES!$C$178)+(4*MATERIALES!$C$180)+(4*MATERIALES!$C$181)+(1*MATERIALES!$C$182)+(4*MATERIALES!$C$183)+(4*MATERIALES!$C$184)+(4*MATERIALES!$C$185)+(2*MATERIALES!$C$186)+(8*MATERIALES!$C$158)+(16*MATERIALES!$C$174)+(4*MATERIALES!$C$159)+(((O71*4)+(P71*6))*MATERIALES!$C$188)+(((O71*4)+(P71*4))*MATERIALES!$C$141)+(4*MATERIALES!$C$148)+(((O71*5)*2)*MATERIALES!$C$147)+(10*MATERIALES!$C$145) +(2*MATERIALES!$C$187)</f>
        <v>2278.7460800000003</v>
      </c>
      <c r="S71" s="75"/>
      <c r="T71" s="55">
        <f>(O71*P71)*MATERIALES!$D$82</f>
        <v>2332</v>
      </c>
      <c r="U71" s="55">
        <f>(((O71*P71)*2)*MATERIALES!$D$83)+(16*MATERIALES!$C$229)+(((O71*4)+(P71*4))*MATERIALES!$C$230)+(((O71*4)+(P71*4))*MATERIALES!$C$231)+((((O71*2)+(P71*2))/15)*MATERIALES!$C$232)+((((O71*2)+(P71*2))/15)*(MATERIALES!$C$233*0.15))</f>
        <v>9225.1452800000025</v>
      </c>
      <c r="V71" s="55">
        <f>(O71*P71)*MATERIALES!$D$89</f>
        <v>7876.0000000000009</v>
      </c>
      <c r="W71" s="124">
        <f t="shared" si="12"/>
        <v>7626.369904000001</v>
      </c>
      <c r="X71" s="124">
        <f t="shared" si="13"/>
        <v>21412.660464000004</v>
      </c>
      <c r="Y71" s="70">
        <f t="shared" si="14"/>
        <v>14776.369904000003</v>
      </c>
    </row>
    <row r="72" spans="1:25" ht="15.75" hidden="1" thickBot="1">
      <c r="A72" s="71">
        <v>2.4</v>
      </c>
      <c r="B72" s="72">
        <v>2</v>
      </c>
      <c r="C72" s="60">
        <f>(((A72*2)*MATERIALES!$C$46)+((B72*2)*MATERIALES!$C$47)+((B72*2)*MATERIALES!$C$48)+((B72*2)*MATERIALES!$C$52)+((A72*2)*MATERIALES!$C$49)+(A72*MATERIALES!$C$53))*(MATERIALES!$F$2*MATERIALES!$J$15)</f>
        <v>0</v>
      </c>
      <c r="D72" s="60">
        <f>(2*MATERIALES!$C$178)+(4*MATERIALES!$C$180)+(4*MATERIALES!$C$181)+(1*MATERIALES!$C$182)+(4*MATERIALES!$C$183)+(4*MATERIALES!$C$184)+(4*MATERIALES!$C$185)+(2*MATERIALES!$C$186)+(8*MATERIALES!$C$158)+(16*MATERIALES!$C$174)+(4*MATERIALES!$C$159)+(((A72*4)+(B72*6))*MATERIALES!$C$188)+(((A72*4)+(B72*4))*MATERIALES!$C$141)+(4*MATERIALES!$C$148)+(((A72*5)*2)*MATERIALES!$C$147)+(2*MATERIALES!$C$187)</f>
        <v>2278.5089600000006</v>
      </c>
      <c r="E72" s="76"/>
      <c r="F72" s="56">
        <f>(A72*B72)*MATERIALES!$D$82</f>
        <v>2544</v>
      </c>
      <c r="G72" s="56">
        <f>(((A72*B72)*2)*MATERIALES!$D$83)+(16*MATERIALES!$C$229)+(((A72*4)+(B72*4))*MATERIALES!$C$230)+(((A72*4)+(B72*4))*MATERIALES!$C$231)+((((A72*2)+(B72*2))/15)*MATERIALES!$C$232)+((((A72*2)+(B72*2))/15)*(MATERIALES!$C$233*0.15))</f>
        <v>9907.89696</v>
      </c>
      <c r="H72" s="56">
        <f>(A72*B72)*MATERIALES!$D$89</f>
        <v>8592</v>
      </c>
      <c r="I72" s="126">
        <f t="shared" si="9"/>
        <v>8050.0616480000008</v>
      </c>
      <c r="J72" s="126">
        <f t="shared" si="10"/>
        <v>22777.855567999999</v>
      </c>
      <c r="K72" s="73">
        <f t="shared" si="11"/>
        <v>15850.061648000001</v>
      </c>
      <c r="M72" s="9">
        <f>((((B72*2)*MATERIALES!$C$64)+(B72*MATERIALES!$C$75)+(B72*MATERIALES!$C$65))*(MATERIALES!$F$2*MATERIALES!$J$15))*$M$3</f>
        <v>0</v>
      </c>
      <c r="N72" s="117"/>
      <c r="O72" s="71">
        <v>2.4</v>
      </c>
      <c r="P72" s="72">
        <v>2</v>
      </c>
      <c r="Q72" s="60">
        <f>(((O72*2)*MATERIALES!$C$46)+((P72*2)*MATERIALES!$C$47)+((P72*2)*MATERIALES!$C$48)+((P72*2)*MATERIALES!$C$52)+((O72*2)*MATERIALES!$C$49)+(O72*MATERIALES!$C$53) +((P59*2)*MATERIALES!$C$64)+(P59*MATERIALES!$C$65)+(P59*MATERIALES!$C$75))*(MATERIALES!$F$2*MATERIALES!$J$15)</f>
        <v>0</v>
      </c>
      <c r="R72" s="60">
        <f>(2*MATERIALES!$C$178)+(4*MATERIALES!$C$180)+(4*MATERIALES!$C$181)+(1*MATERIALES!$C$182)+(4*MATERIALES!$C$183)+(4*MATERIALES!$C$184)+(4*MATERIALES!$C$185)+(2*MATERIALES!$C$186)+(8*MATERIALES!$C$158)+(16*MATERIALES!$C$174)+(4*MATERIALES!$C$159)+(((O72*4)+(P72*6))*MATERIALES!$C$188)+(((O72*4)+(P72*4))*MATERIALES!$C$141)+(4*MATERIALES!$C$148)+(((O72*5)*2)*MATERIALES!$C$147)+(10*MATERIALES!$C$145) +(2*MATERIALES!$C$187)</f>
        <v>2305.8609600000004</v>
      </c>
      <c r="S72" s="76"/>
      <c r="T72" s="56">
        <f>(O72*P72)*MATERIALES!$D$82</f>
        <v>2544</v>
      </c>
      <c r="U72" s="56">
        <f>(((O72*P72)*2)*MATERIALES!$D$83)+(16*MATERIALES!$C$229)+(((O72*4)+(P72*4))*MATERIALES!$C$230)+(((O72*4)+(P72*4))*MATERIALES!$C$231)+((((O72*2)+(P72*2))/15)*MATERIALES!$C$232)+((((O72*2)+(P72*2))/15)*(MATERIALES!$C$233*0.15))</f>
        <v>9907.89696</v>
      </c>
      <c r="V72" s="56">
        <f>(O72*P72)*MATERIALES!$D$89</f>
        <v>8592</v>
      </c>
      <c r="W72" s="126">
        <f t="shared" si="12"/>
        <v>8085.6192480000009</v>
      </c>
      <c r="X72" s="126">
        <f t="shared" si="13"/>
        <v>22813.413167999999</v>
      </c>
      <c r="Y72" s="73">
        <f t="shared" si="14"/>
        <v>15885.619248000001</v>
      </c>
    </row>
    <row r="73" spans="1:25" hidden="1">
      <c r="M73" s="32"/>
      <c r="T73" s="2"/>
      <c r="U73"/>
    </row>
    <row r="74" spans="1:25" s="81" customFormat="1" hidden="1">
      <c r="A74" s="79"/>
      <c r="B74" s="79"/>
      <c r="C74" s="79"/>
      <c r="D74" s="79"/>
      <c r="E74" s="79"/>
      <c r="F74" s="79"/>
      <c r="G74" s="79"/>
      <c r="H74" s="80"/>
      <c r="M74" s="79"/>
      <c r="N74" s="79"/>
      <c r="O74" s="79"/>
      <c r="P74" s="79"/>
      <c r="Q74" s="79"/>
      <c r="R74" s="79"/>
      <c r="S74" s="79"/>
      <c r="T74" s="80"/>
    </row>
    <row r="75" spans="1:25" ht="15.75" hidden="1" thickBot="1">
      <c r="M75" s="32"/>
      <c r="T75" s="2"/>
      <c r="U75"/>
    </row>
    <row r="76" spans="1:25" ht="15.75" hidden="1" thickBot="1">
      <c r="C76" s="801">
        <v>0.2</v>
      </c>
      <c r="D76" s="802"/>
      <c r="E76" s="802"/>
      <c r="F76" s="803"/>
      <c r="H76" s="46" t="s">
        <v>163</v>
      </c>
      <c r="M76" s="32"/>
      <c r="O76" s="801">
        <v>0.2</v>
      </c>
      <c r="P76" s="802"/>
      <c r="Q76" s="802"/>
      <c r="R76" s="803"/>
      <c r="T76" s="62" t="s">
        <v>163</v>
      </c>
      <c r="U76"/>
    </row>
    <row r="77" spans="1:25" ht="15.75" hidden="1" thickBot="1">
      <c r="A77" s="792" t="s">
        <v>256</v>
      </c>
      <c r="B77" s="793"/>
      <c r="C77" s="793"/>
      <c r="D77" s="793"/>
      <c r="E77" s="793"/>
      <c r="F77" s="793"/>
      <c r="G77" s="793"/>
      <c r="H77" s="794"/>
      <c r="M77" s="792" t="s">
        <v>257</v>
      </c>
      <c r="N77" s="793"/>
      <c r="O77" s="793"/>
      <c r="P77" s="793"/>
      <c r="Q77" s="793"/>
      <c r="R77" s="793"/>
      <c r="S77" s="793"/>
      <c r="T77" s="794"/>
      <c r="U77"/>
    </row>
    <row r="78" spans="1:25" ht="15.75" hidden="1" thickBot="1">
      <c r="A78" s="36" t="s">
        <v>116</v>
      </c>
      <c r="B78" s="36" t="s">
        <v>117</v>
      </c>
      <c r="C78" s="36" t="s">
        <v>162</v>
      </c>
      <c r="D78" s="36" t="s">
        <v>119</v>
      </c>
      <c r="E78" s="36" t="s">
        <v>120</v>
      </c>
      <c r="F78" s="36" t="s">
        <v>238</v>
      </c>
      <c r="G78" s="36" t="s">
        <v>121</v>
      </c>
      <c r="H78" s="36" t="s">
        <v>122</v>
      </c>
      <c r="M78" s="36" t="s">
        <v>116</v>
      </c>
      <c r="N78" s="36" t="s">
        <v>117</v>
      </c>
      <c r="O78" s="36" t="s">
        <v>162</v>
      </c>
      <c r="P78" s="36" t="s">
        <v>119</v>
      </c>
      <c r="Q78" s="36" t="s">
        <v>120</v>
      </c>
      <c r="R78" s="36" t="s">
        <v>238</v>
      </c>
      <c r="S78" s="36" t="s">
        <v>121</v>
      </c>
      <c r="T78" s="36" t="s">
        <v>122</v>
      </c>
      <c r="U78"/>
    </row>
    <row r="79" spans="1:25" ht="15.75" hidden="1" thickBot="1">
      <c r="A79" s="795"/>
      <c r="B79" s="796"/>
      <c r="C79" s="796"/>
      <c r="D79" s="796"/>
      <c r="E79" s="796"/>
      <c r="F79" s="796"/>
      <c r="G79" s="796"/>
      <c r="H79" s="797"/>
      <c r="M79" s="795"/>
      <c r="N79" s="796"/>
      <c r="O79" s="796"/>
      <c r="P79" s="796"/>
      <c r="Q79" s="796"/>
      <c r="R79" s="796"/>
      <c r="S79" s="796"/>
      <c r="T79" s="797"/>
      <c r="U79"/>
    </row>
    <row r="80" spans="1:25" hidden="1">
      <c r="A80" s="65">
        <v>0.6</v>
      </c>
      <c r="B80" s="66">
        <v>0.4</v>
      </c>
      <c r="C80" s="58">
        <f>((((A80)+(B80*2))*MATERIALES!$C$71)+((B80*2)*MATERIALES!$C$61))*(MATERIALES!$F$2*MATERIALES!$J$15)</f>
        <v>0</v>
      </c>
      <c r="D80" s="58">
        <f>(18*MATERIALES!$C$145)+(4*MATERIALES!$C$221)+(2*MATERIALES!$C$219)+(2*MATERIALES!$C$220)+(((A80)+(B80*2))*MATERIALES!$C$170)+((B80*2)*MATERIALES!$C$212)</f>
        <v>165.88624000000002</v>
      </c>
      <c r="E80" s="74"/>
      <c r="F80" s="54">
        <f>((A80/2)*B80)*MATERIALES!$C$169</f>
        <v>98.28</v>
      </c>
      <c r="G80" s="58">
        <f>SUM(C80:F80)</f>
        <v>264.16624000000002</v>
      </c>
      <c r="H80" s="67">
        <f>SUM(C80:F80)*1.2</f>
        <v>316.99948799999999</v>
      </c>
      <c r="M80" s="65">
        <v>1.2</v>
      </c>
      <c r="N80" s="66">
        <v>2</v>
      </c>
      <c r="O80" s="58">
        <f>((((M80)+(N80*2))*MATERIALES!$C$71)+((N80*2)*MATERIALES!$C$61)+(M80*MATERIALES!$C$17))*(MATERIALES!$F$2*MATERIALES!$J$15)</f>
        <v>0</v>
      </c>
      <c r="P80" s="58">
        <f>(18*MATERIALES!$C$145)+(4*MATERIALES!$C$221)+(2*MATERIALES!$C$219)+(2*MATERIALES!$C$220)+(((M80*2)+(N80*2))*MATERIALES!$C$170)+(4*MATERIALES!$C$174) +((N80*2)*MATERIALES!$C$212)</f>
        <v>399.00639999999999</v>
      </c>
      <c r="Q80" s="74"/>
      <c r="R80" s="54">
        <f>((M80/2)*N80)*MATERIALES!$C$169</f>
        <v>982.8</v>
      </c>
      <c r="S80" s="58">
        <f>SUM(O80:R80)</f>
        <v>1381.8063999999999</v>
      </c>
      <c r="T80" s="67">
        <f t="shared" ref="T80:T85" si="15">SUM(O80:R80)*1.2</f>
        <v>1658.1676799999998</v>
      </c>
      <c r="U80"/>
    </row>
    <row r="81" spans="1:21" hidden="1">
      <c r="A81" s="68">
        <v>0.6</v>
      </c>
      <c r="B81" s="69">
        <v>0.6</v>
      </c>
      <c r="C81" s="59">
        <f>((((A81)+(B81*2))*MATERIALES!$C$71)+((B81*2)*MATERIALES!$C$61))*(MATERIALES!$F$2*MATERIALES!$J$15)</f>
        <v>0</v>
      </c>
      <c r="D81" s="59">
        <f>(18*MATERIALES!$C$145)+(4*MATERIALES!$C$221)+(2*MATERIALES!$C$219)+(2*MATERIALES!$C$220)+(((A81)+(B81*2))*MATERIALES!$C$170)+((B81*2)*MATERIALES!$C$212)</f>
        <v>191.00015999999999</v>
      </c>
      <c r="E81" s="75"/>
      <c r="F81" s="55">
        <f>((A81/2)*B81)*MATERIALES!$C$169</f>
        <v>147.41999999999999</v>
      </c>
      <c r="G81" s="59">
        <f>SUM(C81:F81)</f>
        <v>338.42016000000001</v>
      </c>
      <c r="H81" s="70">
        <f>SUM(C81:F81)*1.2</f>
        <v>406.10419200000001</v>
      </c>
      <c r="M81" s="68">
        <v>1.5</v>
      </c>
      <c r="N81" s="69">
        <v>2</v>
      </c>
      <c r="O81" s="59">
        <f>((((M81)+(N81*2))*MATERIALES!$C$71)+((N81*2)*MATERIALES!$C$61)+(M81*MATERIALES!$C$17))*(MATERIALES!$F$2*MATERIALES!$J$15)</f>
        <v>0</v>
      </c>
      <c r="P81" s="59">
        <f>(18*MATERIALES!$C$145)+(4*MATERIALES!$C$221)+(2*MATERIALES!$C$219)+(2*MATERIALES!$C$220)+(((M81*2)+(N81*2))*MATERIALES!$C$170)+(4*MATERIALES!$C$174) +((N81*2)*MATERIALES!$C$212)</f>
        <v>404.27920000000006</v>
      </c>
      <c r="Q81" s="75"/>
      <c r="R81" s="55">
        <f>((M81/2)*N81)*MATERIALES!$C$169</f>
        <v>1228.5</v>
      </c>
      <c r="S81" s="59">
        <f t="shared" ref="S81:S85" si="16">SUM(O81:R81)</f>
        <v>1632.7791999999999</v>
      </c>
      <c r="T81" s="70">
        <f t="shared" si="15"/>
        <v>1959.3350399999999</v>
      </c>
      <c r="U81"/>
    </row>
    <row r="82" spans="1:21" hidden="1">
      <c r="A82" s="68">
        <v>0.8</v>
      </c>
      <c r="B82" s="69">
        <v>0.4</v>
      </c>
      <c r="C82" s="59">
        <f>((((A82)+(B82*2))*MATERIALES!$C$71)+((B82*2)*MATERIALES!$C$61))*(MATERIALES!$F$2*MATERIALES!$J$15)</f>
        <v>0</v>
      </c>
      <c r="D82" s="59">
        <f>(18*MATERIALES!$C$145)+(4*MATERIALES!$C$221)+(2*MATERIALES!$C$219)+(2*MATERIALES!$C$220)+(((A82)+(B82*2))*MATERIALES!$C$170)+((B82*2)*MATERIALES!$C$212)</f>
        <v>167.64384000000001</v>
      </c>
      <c r="E82" s="75"/>
      <c r="F82" s="55">
        <f>((A82/2)*B82)*MATERIALES!$C$169</f>
        <v>131.04000000000002</v>
      </c>
      <c r="G82" s="59">
        <f t="shared" ref="G82:G133" si="17">SUM(C82:F82)</f>
        <v>298.68384000000003</v>
      </c>
      <c r="H82" s="70">
        <f t="shared" ref="H82:H132" si="18">SUM(C82:F82)*1.2</f>
        <v>358.42060800000002</v>
      </c>
      <c r="M82" s="68">
        <v>1.8</v>
      </c>
      <c r="N82" s="69">
        <v>2</v>
      </c>
      <c r="O82" s="59">
        <f>((((M82)+(N82*2))*MATERIALES!$C$71)+((N82*2)*MATERIALES!$C$61)+(M82*MATERIALES!$C$17))*(MATERIALES!$F$2*MATERIALES!$J$15)</f>
        <v>0</v>
      </c>
      <c r="P82" s="59">
        <f>(18*MATERIALES!$C$145)+(4*MATERIALES!$C$221)+(2*MATERIALES!$C$219)+(2*MATERIALES!$C$220)+(((M82*2)+(N82*2))*MATERIALES!$C$170)+(4*MATERIALES!$C$174) +((N82*2)*MATERIALES!$C$212)</f>
        <v>409.55200000000002</v>
      </c>
      <c r="Q82" s="75"/>
      <c r="R82" s="55">
        <f>((M82/2)*N82)*MATERIALES!$C$169</f>
        <v>1474.2</v>
      </c>
      <c r="S82" s="59">
        <f t="shared" si="16"/>
        <v>1883.752</v>
      </c>
      <c r="T82" s="70">
        <f t="shared" si="15"/>
        <v>2260.5023999999999</v>
      </c>
      <c r="U82"/>
    </row>
    <row r="83" spans="1:21" hidden="1">
      <c r="A83" s="68">
        <v>0.8</v>
      </c>
      <c r="B83" s="69">
        <v>0.6</v>
      </c>
      <c r="C83" s="59">
        <f>((((A83)+(B83*2))*MATERIALES!$C$71)+((B83*2)*MATERIALES!$C$61))*(MATERIALES!$F$2*MATERIALES!$J$15)</f>
        <v>0</v>
      </c>
      <c r="D83" s="59">
        <f>(18*MATERIALES!$C$145)+(4*MATERIALES!$C$221)+(2*MATERIALES!$C$219)+(2*MATERIALES!$C$220)+(((A83)+(B83*2))*MATERIALES!$C$170)+((B83*2)*MATERIALES!$C$212)</f>
        <v>192.75776000000002</v>
      </c>
      <c r="E83" s="75"/>
      <c r="F83" s="55">
        <f>((A83/2)*B83)*MATERIALES!$C$169</f>
        <v>196.56</v>
      </c>
      <c r="G83" s="59">
        <f t="shared" si="17"/>
        <v>389.31776000000002</v>
      </c>
      <c r="H83" s="70">
        <f t="shared" si="18"/>
        <v>467.18131199999999</v>
      </c>
      <c r="M83" s="68">
        <v>2</v>
      </c>
      <c r="N83" s="69">
        <v>2</v>
      </c>
      <c r="O83" s="59">
        <f>((((M83)+(N83*2))*MATERIALES!$C$71)+((N83*2)*MATERIALES!$C$61)+(M83*MATERIALES!$C$17))*(MATERIALES!$F$2*MATERIALES!$J$15)</f>
        <v>0</v>
      </c>
      <c r="P83" s="59">
        <f>(18*MATERIALES!$C$145)+(4*MATERIALES!$C$221)+(2*MATERIALES!$C$219)+(2*MATERIALES!$C$220)+(((M83*2)+(N83*2))*MATERIALES!$C$170)+(4*MATERIALES!$C$174) +((N83*2)*MATERIALES!$C$212)</f>
        <v>413.06720000000001</v>
      </c>
      <c r="Q83" s="75"/>
      <c r="R83" s="55">
        <f>((M83/2)*N83)*MATERIALES!$C$169</f>
        <v>1638</v>
      </c>
      <c r="S83" s="59">
        <f t="shared" si="16"/>
        <v>2051.0672</v>
      </c>
      <c r="T83" s="70">
        <f t="shared" si="15"/>
        <v>2461.2806399999999</v>
      </c>
      <c r="U83"/>
    </row>
    <row r="84" spans="1:21" hidden="1">
      <c r="A84" s="68">
        <v>0.8</v>
      </c>
      <c r="B84" s="69">
        <v>0.8</v>
      </c>
      <c r="C84" s="59">
        <f>((((A84)+(B84*2))*MATERIALES!$C$71)+((B84*2)*MATERIALES!$C$61))*(MATERIALES!$F$2*MATERIALES!$J$15)</f>
        <v>0</v>
      </c>
      <c r="D84" s="59">
        <f>(18*MATERIALES!$C$145)+(4*MATERIALES!$C$221)+(2*MATERIALES!$C$219)+(2*MATERIALES!$C$220)+(((A84)+(B84*2))*MATERIALES!$C$170)+((B84*2)*MATERIALES!$C$212)</f>
        <v>217.87168000000003</v>
      </c>
      <c r="E84" s="75"/>
      <c r="F84" s="55">
        <f>((A84/2)*B84)*MATERIALES!$C$169</f>
        <v>262.08000000000004</v>
      </c>
      <c r="G84" s="59">
        <f t="shared" si="17"/>
        <v>479.95168000000007</v>
      </c>
      <c r="H84" s="70">
        <f t="shared" si="18"/>
        <v>575.94201600000008</v>
      </c>
      <c r="M84" s="68">
        <v>2.4</v>
      </c>
      <c r="N84" s="69">
        <v>2</v>
      </c>
      <c r="O84" s="59">
        <f>((((M84)+(N84*2))*MATERIALES!$C$71)+((N84*2)*MATERIALES!$C$61)+(M84*MATERIALES!$C$17))*(MATERIALES!$F$2*MATERIALES!$J$15)</f>
        <v>0</v>
      </c>
      <c r="P84" s="59">
        <f>(18*MATERIALES!$C$145)+(4*MATERIALES!$C$221)+(2*MATERIALES!$C$219)+(2*MATERIALES!$C$220)+(((M84*2)+(N84*2))*MATERIALES!$C$170)+(4*MATERIALES!$C$174) +((N84*2)*MATERIALES!$C$212)</f>
        <v>420.09760000000006</v>
      </c>
      <c r="Q84" s="75"/>
      <c r="R84" s="55">
        <f>((M84/2)*N84)*MATERIALES!$C$169</f>
        <v>1965.6</v>
      </c>
      <c r="S84" s="59">
        <f t="shared" si="16"/>
        <v>2385.6976</v>
      </c>
      <c r="T84" s="70">
        <f t="shared" si="15"/>
        <v>2862.8371199999997</v>
      </c>
      <c r="U84"/>
    </row>
    <row r="85" spans="1:21" ht="15.75" hidden="1" thickBot="1">
      <c r="A85" s="68">
        <v>1</v>
      </c>
      <c r="B85" s="69">
        <v>0.4</v>
      </c>
      <c r="C85" s="59">
        <f>((((A85)+(B85*2))*MATERIALES!$C$71)+((B85*2)*MATERIALES!$C$61))*(MATERIALES!$F$2*MATERIALES!$J$15)</f>
        <v>0</v>
      </c>
      <c r="D85" s="59">
        <f>(18*MATERIALES!$C$145)+(4*MATERIALES!$C$221)+(2*MATERIALES!$C$219)+(2*MATERIALES!$C$220)+(((A85)+(B85*2))*MATERIALES!$C$170)+((B85*2)*MATERIALES!$C$212)</f>
        <v>169.40144000000001</v>
      </c>
      <c r="E85" s="75"/>
      <c r="F85" s="55">
        <f>((A85/2)*B85)*MATERIALES!$C$169</f>
        <v>163.80000000000001</v>
      </c>
      <c r="G85" s="59">
        <f t="shared" si="17"/>
        <v>333.20144000000005</v>
      </c>
      <c r="H85" s="70">
        <f t="shared" si="18"/>
        <v>399.84172800000005</v>
      </c>
      <c r="M85" s="71">
        <v>2.4</v>
      </c>
      <c r="N85" s="72">
        <v>2</v>
      </c>
      <c r="O85" s="60">
        <f>((((M85)+(N85*2))*MATERIALES!$C$71)+((N85*2)*MATERIALES!$C$61)+(M85*MATERIALES!$C$17))*(MATERIALES!$F$2*MATERIALES!$J$15)</f>
        <v>0</v>
      </c>
      <c r="P85" s="60">
        <f>(18*MATERIALES!$C$145)+(4*MATERIALES!$C$221)+(2*MATERIALES!$C$219)+(2*MATERIALES!$C$220)+(((M85*2)+(N85*2))*MATERIALES!$C$170)+(4*MATERIALES!$C$174) +((N85*2)*MATERIALES!$C$212)</f>
        <v>420.09760000000006</v>
      </c>
      <c r="Q85" s="76"/>
      <c r="R85" s="56">
        <f>((M85/2)*N85)*MATERIALES!$C$169</f>
        <v>1965.6</v>
      </c>
      <c r="S85" s="60">
        <f t="shared" si="16"/>
        <v>2385.6976</v>
      </c>
      <c r="T85" s="73">
        <f t="shared" si="15"/>
        <v>2862.8371199999997</v>
      </c>
      <c r="U85"/>
    </row>
    <row r="86" spans="1:21" hidden="1">
      <c r="A86" s="68">
        <v>1</v>
      </c>
      <c r="B86" s="69">
        <v>0.6</v>
      </c>
      <c r="C86" s="59">
        <f>((((A86)+(B86*2))*MATERIALES!$C$71)+((B86*2)*MATERIALES!$C$61))*(MATERIALES!$F$2*MATERIALES!$J$15)</f>
        <v>0</v>
      </c>
      <c r="D86" s="59">
        <f>(18*MATERIALES!$C$145)+(4*MATERIALES!$C$221)+(2*MATERIALES!$C$219)+(2*MATERIALES!$C$220)+(((A86)+(B86*2))*MATERIALES!$C$170)+((B86*2)*MATERIALES!$C$212)</f>
        <v>194.51535999999999</v>
      </c>
      <c r="E86" s="75"/>
      <c r="F86" s="55">
        <f>((A86/2)*B86)*MATERIALES!$C$169</f>
        <v>245.7</v>
      </c>
      <c r="G86" s="59">
        <f t="shared" si="17"/>
        <v>440.21535999999998</v>
      </c>
      <c r="H86" s="70">
        <f t="shared" si="18"/>
        <v>528.25843199999997</v>
      </c>
      <c r="M86" s="32"/>
      <c r="T86" s="2"/>
      <c r="U86"/>
    </row>
    <row r="87" spans="1:21" hidden="1">
      <c r="A87" s="68">
        <v>1</v>
      </c>
      <c r="B87" s="69">
        <v>0.8</v>
      </c>
      <c r="C87" s="59">
        <f>((((A87)+(B87*2))*MATERIALES!$C$71)+((B87*2)*MATERIALES!$C$61))*(MATERIALES!$F$2*MATERIALES!$J$15)</f>
        <v>0</v>
      </c>
      <c r="D87" s="59">
        <f>(18*MATERIALES!$C$145)+(4*MATERIALES!$C$221)+(2*MATERIALES!$C$219)+(2*MATERIALES!$C$220)+(((A87)+(B87*2))*MATERIALES!$C$170)+((B87*2)*MATERIALES!$C$212)</f>
        <v>219.62928000000002</v>
      </c>
      <c r="E87" s="75"/>
      <c r="F87" s="55">
        <f>((A87/2)*B87)*MATERIALES!$C$169</f>
        <v>327.60000000000002</v>
      </c>
      <c r="G87" s="59">
        <f t="shared" si="17"/>
        <v>547.22928000000002</v>
      </c>
      <c r="H87" s="70">
        <f t="shared" si="18"/>
        <v>656.67513599999995</v>
      </c>
      <c r="M87" s="32"/>
      <c r="T87" s="2"/>
      <c r="U87"/>
    </row>
    <row r="88" spans="1:21" hidden="1">
      <c r="A88" s="68">
        <v>1</v>
      </c>
      <c r="B88" s="69">
        <v>1</v>
      </c>
      <c r="C88" s="59">
        <f>((((A88)+(B88*2))*MATERIALES!$C$71)+((B88*2)*MATERIALES!$C$61))*(MATERIALES!$F$2*MATERIALES!$J$15)</f>
        <v>0</v>
      </c>
      <c r="D88" s="59">
        <f>(18*MATERIALES!$C$145)+(4*MATERIALES!$C$221)+(2*MATERIALES!$C$219)+(2*MATERIALES!$C$220)+(((A88)+(B88*2))*MATERIALES!$C$170)+((B88*2)*MATERIALES!$C$212)</f>
        <v>244.7432</v>
      </c>
      <c r="E88" s="75"/>
      <c r="F88" s="55">
        <f>((A88/2)*B88)*MATERIALES!$C$169</f>
        <v>409.5</v>
      </c>
      <c r="G88" s="59">
        <f t="shared" si="17"/>
        <v>654.2432</v>
      </c>
      <c r="H88" s="70">
        <f t="shared" si="18"/>
        <v>785.09183999999993</v>
      </c>
      <c r="M88" s="32"/>
      <c r="T88" s="2"/>
      <c r="U88"/>
    </row>
    <row r="89" spans="1:21" hidden="1">
      <c r="A89" s="68">
        <v>1</v>
      </c>
      <c r="B89" s="69">
        <v>1.1000000000000001</v>
      </c>
      <c r="C89" s="59">
        <f>((((A89)+(B89*2))*MATERIALES!$C$71)+((B89*2)*MATERIALES!$C$61))*(MATERIALES!$F$2*MATERIALES!$J$15)</f>
        <v>0</v>
      </c>
      <c r="D89" s="59">
        <f>(18*MATERIALES!$C$145)+(4*MATERIALES!$C$221)+(2*MATERIALES!$C$219)+(2*MATERIALES!$C$220)+(((A89)+(B89*2))*MATERIALES!$C$170)+((B89*2)*MATERIALES!$C$212)</f>
        <v>257.30016000000001</v>
      </c>
      <c r="E89" s="75"/>
      <c r="F89" s="55">
        <f>((A89/2)*B89)*MATERIALES!$C$169</f>
        <v>450.45000000000005</v>
      </c>
      <c r="G89" s="59">
        <f t="shared" si="17"/>
        <v>707.75016000000005</v>
      </c>
      <c r="H89" s="70">
        <f t="shared" si="18"/>
        <v>849.30019200000004</v>
      </c>
      <c r="M89" s="32"/>
      <c r="T89" s="2"/>
      <c r="U89"/>
    </row>
    <row r="90" spans="1:21" hidden="1">
      <c r="A90" s="68">
        <v>1</v>
      </c>
      <c r="B90" s="69">
        <v>1.2</v>
      </c>
      <c r="C90" s="59">
        <f>((((A90)+(B90*2))*MATERIALES!$C$71)+((B90*2)*MATERIALES!$C$61))*(MATERIALES!$F$2*MATERIALES!$J$15)</f>
        <v>0</v>
      </c>
      <c r="D90" s="59">
        <f>(18*MATERIALES!$C$145)+(4*MATERIALES!$C$221)+(2*MATERIALES!$C$219)+(2*MATERIALES!$C$220)+(((A90)+(B90*2))*MATERIALES!$C$170)+((B90*2)*MATERIALES!$C$212)</f>
        <v>269.85712000000001</v>
      </c>
      <c r="E90" s="75"/>
      <c r="F90" s="55">
        <f>((A90/2)*B90)*MATERIALES!$C$169</f>
        <v>491.4</v>
      </c>
      <c r="G90" s="59">
        <f t="shared" si="17"/>
        <v>761.25711999999999</v>
      </c>
      <c r="H90" s="70">
        <f t="shared" si="18"/>
        <v>913.50854399999992</v>
      </c>
      <c r="M90" s="32"/>
      <c r="T90" s="2"/>
      <c r="U90"/>
    </row>
    <row r="91" spans="1:21" hidden="1">
      <c r="A91" s="68">
        <v>1</v>
      </c>
      <c r="B91" s="69">
        <v>1.5</v>
      </c>
      <c r="C91" s="59">
        <f>((((A91)+(B91*2))*MATERIALES!$C$71)+((B91*2)*MATERIALES!$C$61))*(MATERIALES!$F$2*MATERIALES!$J$15)</f>
        <v>0</v>
      </c>
      <c r="D91" s="59">
        <f>(18*MATERIALES!$C$145)+(4*MATERIALES!$C$221)+(2*MATERIALES!$C$219)+(2*MATERIALES!$C$220)+(((A91)+(B91*2))*MATERIALES!$C$170)+((B91*2)*MATERIALES!$C$212)</f>
        <v>307.52800000000002</v>
      </c>
      <c r="E91" s="75"/>
      <c r="F91" s="55">
        <f>((A91/2)*B91)*MATERIALES!$C$169</f>
        <v>614.25</v>
      </c>
      <c r="G91" s="59">
        <f t="shared" si="17"/>
        <v>921.77800000000002</v>
      </c>
      <c r="H91" s="70">
        <f t="shared" si="18"/>
        <v>1106.1335999999999</v>
      </c>
      <c r="M91" s="32"/>
      <c r="T91" s="2"/>
      <c r="U91"/>
    </row>
    <row r="92" spans="1:21" hidden="1">
      <c r="A92" s="68">
        <v>1.2</v>
      </c>
      <c r="B92" s="69">
        <v>0.4</v>
      </c>
      <c r="C92" s="59">
        <f>((((A92)+(B92*2))*MATERIALES!$C$71)+((B92*2)*MATERIALES!$C$61))*(MATERIALES!$F$2*MATERIALES!$J$15)</f>
        <v>0</v>
      </c>
      <c r="D92" s="59">
        <f>(18*MATERIALES!$C$145)+(4*MATERIALES!$C$221)+(2*MATERIALES!$C$219)+(2*MATERIALES!$C$220)+(((A92)+(B92*2))*MATERIALES!$C$170)+((B92*2)*MATERIALES!$C$212)</f>
        <v>171.15904</v>
      </c>
      <c r="E92" s="75"/>
      <c r="F92" s="55">
        <f>((A92/2)*B92)*MATERIALES!$C$169</f>
        <v>196.56</v>
      </c>
      <c r="G92" s="59">
        <f t="shared" si="17"/>
        <v>367.71904000000001</v>
      </c>
      <c r="H92" s="70">
        <f t="shared" si="18"/>
        <v>441.26284800000002</v>
      </c>
      <c r="M92" s="32"/>
      <c r="T92" s="2"/>
      <c r="U92"/>
    </row>
    <row r="93" spans="1:21" hidden="1">
      <c r="A93" s="68">
        <v>1.2</v>
      </c>
      <c r="B93" s="69">
        <v>0.6</v>
      </c>
      <c r="C93" s="59">
        <f>((((A93)+(B93*2))*MATERIALES!$C$71)+((B93*2)*MATERIALES!$C$61))*(MATERIALES!$F$2*MATERIALES!$J$15)</f>
        <v>0</v>
      </c>
      <c r="D93" s="59">
        <f>(18*MATERIALES!$C$145)+(4*MATERIALES!$C$221)+(2*MATERIALES!$C$219)+(2*MATERIALES!$C$220)+(((A93)+(B93*2))*MATERIALES!$C$170)+((B93*2)*MATERIALES!$C$212)</f>
        <v>196.27296000000001</v>
      </c>
      <c r="E93" s="75"/>
      <c r="F93" s="55">
        <f>((A93/2)*B93)*MATERIALES!$C$169</f>
        <v>294.83999999999997</v>
      </c>
      <c r="G93" s="59">
        <f t="shared" si="17"/>
        <v>491.11295999999999</v>
      </c>
      <c r="H93" s="70">
        <f t="shared" si="18"/>
        <v>589.33555200000001</v>
      </c>
      <c r="M93" s="32"/>
      <c r="T93" s="2"/>
      <c r="U93"/>
    </row>
    <row r="94" spans="1:21" hidden="1">
      <c r="A94" s="68">
        <v>1.2</v>
      </c>
      <c r="B94" s="69">
        <v>0.8</v>
      </c>
      <c r="C94" s="59">
        <f>((((A94)+(B94*2))*MATERIALES!$C$71)+((B94*2)*MATERIALES!$C$61))*(MATERIALES!$F$2*MATERIALES!$J$15)</f>
        <v>0</v>
      </c>
      <c r="D94" s="59">
        <f>(18*MATERIALES!$C$145)+(4*MATERIALES!$C$221)+(2*MATERIALES!$C$219)+(2*MATERIALES!$C$220)+(((A94)+(B94*2))*MATERIALES!$C$170)+((B94*2)*MATERIALES!$C$212)</f>
        <v>221.38688000000002</v>
      </c>
      <c r="E94" s="75"/>
      <c r="F94" s="55">
        <f>((A94/2)*B94)*MATERIALES!$C$169</f>
        <v>393.12</v>
      </c>
      <c r="G94" s="59">
        <f t="shared" si="17"/>
        <v>614.50688000000002</v>
      </c>
      <c r="H94" s="70">
        <f t="shared" si="18"/>
        <v>737.40825600000005</v>
      </c>
      <c r="M94" s="32"/>
      <c r="T94" s="2"/>
      <c r="U94"/>
    </row>
    <row r="95" spans="1:21" hidden="1">
      <c r="A95" s="68">
        <v>1.2</v>
      </c>
      <c r="B95" s="69">
        <v>1</v>
      </c>
      <c r="C95" s="59">
        <f>((((A95)+(B95*2))*MATERIALES!$C$71)+((B95*2)*MATERIALES!$C$61))*(MATERIALES!$F$2*MATERIALES!$J$15)</f>
        <v>0</v>
      </c>
      <c r="D95" s="59">
        <f>(18*MATERIALES!$C$145)+(4*MATERIALES!$C$221)+(2*MATERIALES!$C$219)+(2*MATERIALES!$C$220)+(((A95)+(B95*2))*MATERIALES!$C$170)+((B95*2)*MATERIALES!$C$212)</f>
        <v>246.50080000000003</v>
      </c>
      <c r="E95" s="75"/>
      <c r="F95" s="55">
        <f>((A95/2)*B95)*MATERIALES!$C$169</f>
        <v>491.4</v>
      </c>
      <c r="G95" s="59">
        <f t="shared" si="17"/>
        <v>737.9008</v>
      </c>
      <c r="H95" s="70">
        <f t="shared" si="18"/>
        <v>885.48095999999998</v>
      </c>
      <c r="M95" s="32"/>
      <c r="T95" s="2"/>
      <c r="U95"/>
    </row>
    <row r="96" spans="1:21" hidden="1">
      <c r="A96" s="68">
        <v>1.2</v>
      </c>
      <c r="B96" s="69">
        <v>1.1000000000000001</v>
      </c>
      <c r="C96" s="59">
        <f>((((A96)+(B96*2))*MATERIALES!$C$71)+((B96*2)*MATERIALES!$C$61))*(MATERIALES!$F$2*MATERIALES!$J$15)</f>
        <v>0</v>
      </c>
      <c r="D96" s="59">
        <f>(18*MATERIALES!$C$145)+(4*MATERIALES!$C$221)+(2*MATERIALES!$C$219)+(2*MATERIALES!$C$220)+(((A96)+(B96*2))*MATERIALES!$C$170)+((B96*2)*MATERIALES!$C$212)</f>
        <v>259.05776000000003</v>
      </c>
      <c r="E96" s="75"/>
      <c r="F96" s="55">
        <f>((A96/2)*B96)*MATERIALES!$C$169</f>
        <v>540.54000000000008</v>
      </c>
      <c r="G96" s="59">
        <f t="shared" si="17"/>
        <v>799.59776000000011</v>
      </c>
      <c r="H96" s="70">
        <f t="shared" si="18"/>
        <v>959.51731200000006</v>
      </c>
      <c r="M96" s="32"/>
      <c r="T96" s="2"/>
      <c r="U96"/>
    </row>
    <row r="97" spans="1:21" hidden="1">
      <c r="A97" s="68">
        <v>1.2</v>
      </c>
      <c r="B97" s="69">
        <v>1.2</v>
      </c>
      <c r="C97" s="59">
        <f>((((A97)+(B97*2))*MATERIALES!$C$71)+((B97*2)*MATERIALES!$C$61))*(MATERIALES!$F$2*MATERIALES!$J$15)</f>
        <v>0</v>
      </c>
      <c r="D97" s="59">
        <f>(18*MATERIALES!$C$145)+(4*MATERIALES!$C$221)+(2*MATERIALES!$C$219)+(2*MATERIALES!$C$220)+(((A97)+(B97*2))*MATERIALES!$C$170)+((B97*2)*MATERIALES!$C$212)</f>
        <v>271.61472000000003</v>
      </c>
      <c r="E97" s="75"/>
      <c r="F97" s="55">
        <f>((A97/2)*B97)*MATERIALES!$C$169</f>
        <v>589.67999999999995</v>
      </c>
      <c r="G97" s="59">
        <f t="shared" si="17"/>
        <v>861.29471999999998</v>
      </c>
      <c r="H97" s="70">
        <f t="shared" si="18"/>
        <v>1033.553664</v>
      </c>
      <c r="M97" s="32"/>
      <c r="T97" s="2"/>
      <c r="U97"/>
    </row>
    <row r="98" spans="1:21" hidden="1">
      <c r="A98" s="68">
        <v>1.2</v>
      </c>
      <c r="B98" s="69">
        <v>1.5</v>
      </c>
      <c r="C98" s="59">
        <f>((((A98)+(B98*2))*MATERIALES!$C$71)+((B98*2)*MATERIALES!$C$61))*(MATERIALES!$F$2*MATERIALES!$J$15)</f>
        <v>0</v>
      </c>
      <c r="D98" s="59">
        <f>(18*MATERIALES!$C$145)+(4*MATERIALES!$C$221)+(2*MATERIALES!$C$219)+(2*MATERIALES!$C$220)+(((A98)+(B98*2))*MATERIALES!$C$170)+((B98*2)*MATERIALES!$C$212)</f>
        <v>309.28560000000004</v>
      </c>
      <c r="E98" s="75"/>
      <c r="F98" s="55">
        <f>((A98/2)*B98)*MATERIALES!$C$169</f>
        <v>737.09999999999991</v>
      </c>
      <c r="G98" s="59">
        <f t="shared" si="17"/>
        <v>1046.3856000000001</v>
      </c>
      <c r="H98" s="70">
        <f t="shared" si="18"/>
        <v>1255.66272</v>
      </c>
      <c r="M98" s="32"/>
      <c r="T98" s="2"/>
      <c r="U98"/>
    </row>
    <row r="99" spans="1:21" hidden="1">
      <c r="A99" s="68">
        <v>1.2</v>
      </c>
      <c r="B99" s="69">
        <v>1.8</v>
      </c>
      <c r="C99" s="59">
        <f>((((A99)+(B99*2))*MATERIALES!$C$71)+((B99*2)*MATERIALES!$C$61))*(MATERIALES!$F$2*MATERIALES!$J$15)</f>
        <v>0</v>
      </c>
      <c r="D99" s="59">
        <f>(18*MATERIALES!$C$145)+(4*MATERIALES!$C$221)+(2*MATERIALES!$C$219)+(2*MATERIALES!$C$220)+(((A99)+(B99*2))*MATERIALES!$C$170)+((B99*2)*MATERIALES!$C$212)</f>
        <v>346.95648000000006</v>
      </c>
      <c r="E99" s="75"/>
      <c r="F99" s="55">
        <f>((A99/2)*B99)*MATERIALES!$C$169</f>
        <v>884.5200000000001</v>
      </c>
      <c r="G99" s="59">
        <f t="shared" si="17"/>
        <v>1231.4764800000003</v>
      </c>
      <c r="H99" s="70">
        <f t="shared" si="18"/>
        <v>1477.7717760000003</v>
      </c>
      <c r="M99" s="32"/>
      <c r="T99" s="2"/>
      <c r="U99"/>
    </row>
    <row r="100" spans="1:21" hidden="1">
      <c r="A100" s="68">
        <v>1.5</v>
      </c>
      <c r="B100" s="69">
        <v>0.4</v>
      </c>
      <c r="C100" s="59">
        <f>((((A100)+(B100*2))*MATERIALES!$C$71)+((B100*2)*MATERIALES!$C$61))*(MATERIALES!$F$2*MATERIALES!$J$15)</f>
        <v>0</v>
      </c>
      <c r="D100" s="59">
        <f>(18*MATERIALES!$C$145)+(4*MATERIALES!$C$221)+(2*MATERIALES!$C$219)+(2*MATERIALES!$C$220)+(((A100)+(B100*2))*MATERIALES!$C$170)+((B100*2)*MATERIALES!$C$212)</f>
        <v>173.79544000000001</v>
      </c>
      <c r="E100" s="75"/>
      <c r="F100" s="55">
        <f>((A100/2)*B100)*MATERIALES!$C$169</f>
        <v>245.70000000000005</v>
      </c>
      <c r="G100" s="59">
        <f t="shared" si="17"/>
        <v>419.49544000000003</v>
      </c>
      <c r="H100" s="70">
        <f t="shared" si="18"/>
        <v>503.39452800000004</v>
      </c>
      <c r="M100" s="32"/>
      <c r="T100" s="2"/>
      <c r="U100"/>
    </row>
    <row r="101" spans="1:21" hidden="1">
      <c r="A101" s="68">
        <v>1.5</v>
      </c>
      <c r="B101" s="69">
        <v>0.6</v>
      </c>
      <c r="C101" s="59">
        <f>((((A101)+(B101*2))*MATERIALES!$C$71)+((B101*2)*MATERIALES!$C$61))*(MATERIALES!$F$2*MATERIALES!$J$15)</f>
        <v>0</v>
      </c>
      <c r="D101" s="59">
        <f>(18*MATERIALES!$C$145)+(4*MATERIALES!$C$221)+(2*MATERIALES!$C$219)+(2*MATERIALES!$C$220)+(((A101)+(B101*2))*MATERIALES!$C$170)+((B101*2)*MATERIALES!$C$212)</f>
        <v>198.90935999999999</v>
      </c>
      <c r="E101" s="75"/>
      <c r="F101" s="55">
        <f>((A101/2)*B101)*MATERIALES!$C$169</f>
        <v>368.54999999999995</v>
      </c>
      <c r="G101" s="59">
        <f t="shared" si="17"/>
        <v>567.45935999999995</v>
      </c>
      <c r="H101" s="70">
        <f t="shared" si="18"/>
        <v>680.95123199999989</v>
      </c>
      <c r="M101" s="32"/>
      <c r="T101" s="2"/>
      <c r="U101"/>
    </row>
    <row r="102" spans="1:21" hidden="1">
      <c r="A102" s="68">
        <v>1.5</v>
      </c>
      <c r="B102" s="69">
        <v>0.8</v>
      </c>
      <c r="C102" s="59">
        <f>((((A102)+(B102*2))*MATERIALES!$C$71)+((B102*2)*MATERIALES!$C$61))*(MATERIALES!$F$2*MATERIALES!$J$15)</f>
        <v>0</v>
      </c>
      <c r="D102" s="59">
        <f>(18*MATERIALES!$C$145)+(4*MATERIALES!$C$221)+(2*MATERIALES!$C$219)+(2*MATERIALES!$C$220)+(((A102)+(B102*2))*MATERIALES!$C$170)+((B102*2)*MATERIALES!$C$212)</f>
        <v>224.02328</v>
      </c>
      <c r="E102" s="75"/>
      <c r="F102" s="55">
        <f>((A102/2)*B102)*MATERIALES!$C$169</f>
        <v>491.40000000000009</v>
      </c>
      <c r="G102" s="59">
        <f t="shared" si="17"/>
        <v>715.42328000000009</v>
      </c>
      <c r="H102" s="70">
        <f t="shared" si="18"/>
        <v>858.50793600000009</v>
      </c>
      <c r="M102" s="32"/>
      <c r="T102" s="2"/>
      <c r="U102"/>
    </row>
    <row r="103" spans="1:21" hidden="1">
      <c r="A103" s="68">
        <v>1.5</v>
      </c>
      <c r="B103" s="69">
        <v>1</v>
      </c>
      <c r="C103" s="59">
        <f>((((A103)+(B103*2))*MATERIALES!$C$71)+((B103*2)*MATERIALES!$C$61))*(MATERIALES!$F$2*MATERIALES!$J$15)</f>
        <v>0</v>
      </c>
      <c r="D103" s="59">
        <f>(18*MATERIALES!$C$145)+(4*MATERIALES!$C$221)+(2*MATERIALES!$C$219)+(2*MATERIALES!$C$220)+(((A103)+(B103*2))*MATERIALES!$C$170)+((B103*2)*MATERIALES!$C$212)</f>
        <v>249.13720000000001</v>
      </c>
      <c r="E103" s="75"/>
      <c r="F103" s="55">
        <f>((A103/2)*B103)*MATERIALES!$C$169</f>
        <v>614.25</v>
      </c>
      <c r="G103" s="59">
        <f t="shared" si="17"/>
        <v>863.38720000000001</v>
      </c>
      <c r="H103" s="70">
        <f t="shared" si="18"/>
        <v>1036.0646400000001</v>
      </c>
      <c r="M103" s="32"/>
      <c r="T103" s="2"/>
      <c r="U103"/>
    </row>
    <row r="104" spans="1:21" hidden="1">
      <c r="A104" s="68">
        <v>1.5</v>
      </c>
      <c r="B104" s="69">
        <v>1.1000000000000001</v>
      </c>
      <c r="C104" s="59">
        <f>((((A104)+(B104*2))*MATERIALES!$C$71)+((B104*2)*MATERIALES!$C$61))*(MATERIALES!$F$2*MATERIALES!$J$15)</f>
        <v>0</v>
      </c>
      <c r="D104" s="59">
        <f>(18*MATERIALES!$C$145)+(4*MATERIALES!$C$221)+(2*MATERIALES!$C$219)+(2*MATERIALES!$C$220)+(((A104)+(B104*2))*MATERIALES!$C$170)+((B104*2)*MATERIALES!$C$212)</f>
        <v>261.69416000000001</v>
      </c>
      <c r="E104" s="75"/>
      <c r="F104" s="55">
        <f>((A104/2)*B104)*MATERIALES!$C$169</f>
        <v>675.67500000000007</v>
      </c>
      <c r="G104" s="59">
        <f t="shared" si="17"/>
        <v>937.36916000000008</v>
      </c>
      <c r="H104" s="70">
        <f t="shared" si="18"/>
        <v>1124.8429920000001</v>
      </c>
      <c r="M104" s="32"/>
      <c r="T104" s="2"/>
      <c r="U104"/>
    </row>
    <row r="105" spans="1:21" hidden="1">
      <c r="A105" s="68">
        <v>1.5</v>
      </c>
      <c r="B105" s="69">
        <v>1.2</v>
      </c>
      <c r="C105" s="59">
        <f>((((A105)+(B105*2))*MATERIALES!$C$71)+((B105*2)*MATERIALES!$C$61))*(MATERIALES!$F$2*MATERIALES!$J$15)</f>
        <v>0</v>
      </c>
      <c r="D105" s="59">
        <f>(18*MATERIALES!$C$145)+(4*MATERIALES!$C$221)+(2*MATERIALES!$C$219)+(2*MATERIALES!$C$220)+(((A105)+(B105*2))*MATERIALES!$C$170)+((B105*2)*MATERIALES!$C$212)</f>
        <v>274.25112000000001</v>
      </c>
      <c r="E105" s="75"/>
      <c r="F105" s="55">
        <f>((A105/2)*B105)*MATERIALES!$C$169</f>
        <v>737.09999999999991</v>
      </c>
      <c r="G105" s="59">
        <f t="shared" si="17"/>
        <v>1011.3511199999999</v>
      </c>
      <c r="H105" s="70">
        <f t="shared" si="18"/>
        <v>1213.6213439999999</v>
      </c>
      <c r="M105" s="32"/>
      <c r="T105" s="2"/>
      <c r="U105"/>
    </row>
    <row r="106" spans="1:21" hidden="1">
      <c r="A106" s="68">
        <v>1.5</v>
      </c>
      <c r="B106" s="69">
        <v>1.5</v>
      </c>
      <c r="C106" s="59">
        <f>((((A106)+(B106*2))*MATERIALES!$C$71)+((B106*2)*MATERIALES!$C$61))*(MATERIALES!$F$2*MATERIALES!$J$15)</f>
        <v>0</v>
      </c>
      <c r="D106" s="59">
        <f>(18*MATERIALES!$C$145)+(4*MATERIALES!$C$221)+(2*MATERIALES!$C$219)+(2*MATERIALES!$C$220)+(((A106)+(B106*2))*MATERIALES!$C$170)+((B106*2)*MATERIALES!$C$212)</f>
        <v>311.92200000000003</v>
      </c>
      <c r="E106" s="75"/>
      <c r="F106" s="55">
        <f>((A106/2)*B106)*MATERIALES!$C$169</f>
        <v>921.375</v>
      </c>
      <c r="G106" s="59">
        <f t="shared" si="17"/>
        <v>1233.297</v>
      </c>
      <c r="H106" s="70">
        <f t="shared" si="18"/>
        <v>1479.9564</v>
      </c>
      <c r="M106" s="32"/>
      <c r="T106" s="2"/>
      <c r="U106"/>
    </row>
    <row r="107" spans="1:21" hidden="1">
      <c r="A107" s="68">
        <v>1.5</v>
      </c>
      <c r="B107" s="69">
        <v>1.8</v>
      </c>
      <c r="C107" s="59">
        <f>((((A107)+(B107*2))*MATERIALES!$C$71)+((B107*2)*MATERIALES!$C$61))*(MATERIALES!$F$2*MATERIALES!$J$15)</f>
        <v>0</v>
      </c>
      <c r="D107" s="59">
        <f>(18*MATERIALES!$C$145)+(4*MATERIALES!$C$221)+(2*MATERIALES!$C$219)+(2*MATERIALES!$C$220)+(((A107)+(B107*2))*MATERIALES!$C$170)+((B107*2)*MATERIALES!$C$212)</f>
        <v>349.59288000000004</v>
      </c>
      <c r="E107" s="75"/>
      <c r="F107" s="55">
        <f>((A107/2)*B107)*MATERIALES!$C$169</f>
        <v>1105.6500000000001</v>
      </c>
      <c r="G107" s="59">
        <f t="shared" si="17"/>
        <v>1455.2428800000002</v>
      </c>
      <c r="H107" s="70">
        <f t="shared" si="18"/>
        <v>1746.2914560000002</v>
      </c>
      <c r="M107" s="32"/>
      <c r="T107" s="2"/>
      <c r="U107"/>
    </row>
    <row r="108" spans="1:21" hidden="1">
      <c r="A108" s="68">
        <v>1.8</v>
      </c>
      <c r="B108" s="69">
        <v>0.8</v>
      </c>
      <c r="C108" s="59">
        <f>((((A108)+(B108*2))*MATERIALES!$C$71)+((B108*2)*MATERIALES!$C$61))*(MATERIALES!$F$2*MATERIALES!$J$15)</f>
        <v>0</v>
      </c>
      <c r="D108" s="59">
        <f>(18*MATERIALES!$C$145)+(4*MATERIALES!$C$221)+(2*MATERIALES!$C$219)+(2*MATERIALES!$C$220)+(((A108)+(B108*2))*MATERIALES!$C$170)+((B108*2)*MATERIALES!$C$212)</f>
        <v>226.65968000000001</v>
      </c>
      <c r="E108" s="75"/>
      <c r="F108" s="55">
        <f>((A108/2)*B108)*MATERIALES!$C$169</f>
        <v>589.68000000000006</v>
      </c>
      <c r="G108" s="59">
        <f t="shared" si="17"/>
        <v>816.33968000000004</v>
      </c>
      <c r="H108" s="70">
        <f t="shared" si="18"/>
        <v>979.60761600000001</v>
      </c>
      <c r="M108" s="32"/>
      <c r="T108" s="2"/>
      <c r="U108"/>
    </row>
    <row r="109" spans="1:21" hidden="1">
      <c r="A109" s="68">
        <v>1.8</v>
      </c>
      <c r="B109" s="69">
        <v>1</v>
      </c>
      <c r="C109" s="59">
        <f>((((A109)+(B109*2))*MATERIALES!$C$71)+((B109*2)*MATERIALES!$C$61))*(MATERIALES!$F$2*MATERIALES!$J$15)</f>
        <v>0</v>
      </c>
      <c r="D109" s="59">
        <f>(18*MATERIALES!$C$145)+(4*MATERIALES!$C$221)+(2*MATERIALES!$C$219)+(2*MATERIALES!$C$220)+(((A109)+(B109*2))*MATERIALES!$C$170)+((B109*2)*MATERIALES!$C$212)</f>
        <v>251.77359999999999</v>
      </c>
      <c r="E109" s="75"/>
      <c r="F109" s="55">
        <f>((A109/2)*B109)*MATERIALES!$C$169</f>
        <v>737.1</v>
      </c>
      <c r="G109" s="59">
        <f t="shared" si="17"/>
        <v>988.87360000000001</v>
      </c>
      <c r="H109" s="70">
        <f t="shared" si="18"/>
        <v>1186.64832</v>
      </c>
      <c r="M109" s="32"/>
      <c r="T109" s="2"/>
      <c r="U109"/>
    </row>
    <row r="110" spans="1:21" hidden="1">
      <c r="A110" s="68">
        <v>1.8</v>
      </c>
      <c r="B110" s="69">
        <v>1.1000000000000001</v>
      </c>
      <c r="C110" s="59">
        <f>((((A110)+(B110*2))*MATERIALES!$C$71)+((B110*2)*MATERIALES!$C$61))*(MATERIALES!$F$2*MATERIALES!$J$15)</f>
        <v>0</v>
      </c>
      <c r="D110" s="59">
        <f>(18*MATERIALES!$C$145)+(4*MATERIALES!$C$221)+(2*MATERIALES!$C$219)+(2*MATERIALES!$C$220)+(((A110)+(B110*2))*MATERIALES!$C$170)+((B110*2)*MATERIALES!$C$212)</f>
        <v>264.33055999999999</v>
      </c>
      <c r="E110" s="75"/>
      <c r="F110" s="55">
        <f>((A110/2)*B110)*MATERIALES!$C$169</f>
        <v>810.81000000000006</v>
      </c>
      <c r="G110" s="59">
        <f t="shared" si="17"/>
        <v>1075.1405600000001</v>
      </c>
      <c r="H110" s="70">
        <f t="shared" si="18"/>
        <v>1290.168672</v>
      </c>
      <c r="M110" s="32"/>
      <c r="T110" s="2"/>
      <c r="U110"/>
    </row>
    <row r="111" spans="1:21" hidden="1">
      <c r="A111" s="68">
        <v>1.8</v>
      </c>
      <c r="B111" s="69">
        <v>1.2</v>
      </c>
      <c r="C111" s="59">
        <f>((((A111)+(B111*2))*MATERIALES!$C$71)+((B111*2)*MATERIALES!$C$61))*(MATERIALES!$F$2*MATERIALES!$J$15)</f>
        <v>0</v>
      </c>
      <c r="D111" s="59">
        <f>(18*MATERIALES!$C$145)+(4*MATERIALES!$C$221)+(2*MATERIALES!$C$219)+(2*MATERIALES!$C$220)+(((A111)+(B111*2))*MATERIALES!$C$170)+((B111*2)*MATERIALES!$C$212)</f>
        <v>276.88751999999999</v>
      </c>
      <c r="E111" s="75"/>
      <c r="F111" s="55">
        <f>((A111/2)*B111)*MATERIALES!$C$169</f>
        <v>884.5200000000001</v>
      </c>
      <c r="G111" s="59">
        <f t="shared" si="17"/>
        <v>1161.4075200000002</v>
      </c>
      <c r="H111" s="70">
        <f t="shared" si="18"/>
        <v>1393.6890240000002</v>
      </c>
      <c r="M111" s="32"/>
      <c r="T111" s="2"/>
      <c r="U111"/>
    </row>
    <row r="112" spans="1:21" hidden="1">
      <c r="A112" s="68">
        <v>1.8</v>
      </c>
      <c r="B112" s="69">
        <v>1.5</v>
      </c>
      <c r="C112" s="59">
        <f>((((A112)+(B112*2))*MATERIALES!$C$71)+((B112*2)*MATERIALES!$C$61))*(MATERIALES!$F$2*MATERIALES!$J$15)</f>
        <v>0</v>
      </c>
      <c r="D112" s="59">
        <f>(18*MATERIALES!$C$145)+(4*MATERIALES!$C$221)+(2*MATERIALES!$C$219)+(2*MATERIALES!$C$220)+(((A112)+(B112*2))*MATERIALES!$C$170)+((B112*2)*MATERIALES!$C$212)</f>
        <v>314.55840000000001</v>
      </c>
      <c r="E112" s="75"/>
      <c r="F112" s="55">
        <f>((A112/2)*B112)*MATERIALES!$C$169</f>
        <v>1105.6500000000001</v>
      </c>
      <c r="G112" s="59">
        <f t="shared" si="17"/>
        <v>1420.2084</v>
      </c>
      <c r="H112" s="70">
        <f t="shared" si="18"/>
        <v>1704.25008</v>
      </c>
      <c r="M112" s="32"/>
      <c r="T112" s="2"/>
      <c r="U112"/>
    </row>
    <row r="113" spans="1:21" hidden="1">
      <c r="A113" s="68">
        <v>1.8</v>
      </c>
      <c r="B113" s="69">
        <v>1.8</v>
      </c>
      <c r="C113" s="59">
        <f>((((A113)+(B113*2))*MATERIALES!$C$71)+((B113*2)*MATERIALES!$C$61))*(MATERIALES!$F$2*MATERIALES!$J$15)</f>
        <v>0</v>
      </c>
      <c r="D113" s="59">
        <f>(18*MATERIALES!$C$145)+(4*MATERIALES!$C$221)+(2*MATERIALES!$C$219)+(2*MATERIALES!$C$220)+(((A113)+(B113*2))*MATERIALES!$C$170)+((B113*2)*MATERIALES!$C$212)</f>
        <v>352.22928000000002</v>
      </c>
      <c r="E113" s="75"/>
      <c r="F113" s="55">
        <f>((A113/2)*B113)*MATERIALES!$C$169</f>
        <v>1326.7800000000002</v>
      </c>
      <c r="G113" s="59">
        <f t="shared" si="17"/>
        <v>1679.0092800000002</v>
      </c>
      <c r="H113" s="70">
        <f t="shared" si="18"/>
        <v>2014.8111360000003</v>
      </c>
      <c r="M113" s="32"/>
      <c r="T113" s="2"/>
      <c r="U113"/>
    </row>
    <row r="114" spans="1:21" hidden="1">
      <c r="A114" s="68">
        <v>2</v>
      </c>
      <c r="B114" s="69">
        <v>0.8</v>
      </c>
      <c r="C114" s="59">
        <f>((((A114)+(B114*2))*MATERIALES!$C$71)+((B114*2)*MATERIALES!$C$61))*(MATERIALES!$F$2*MATERIALES!$J$15)</f>
        <v>0</v>
      </c>
      <c r="D114" s="59">
        <f>(18*MATERIALES!$C$145)+(4*MATERIALES!$C$221)+(2*MATERIALES!$C$219)+(2*MATERIALES!$C$220)+(((A114)+(B114*2))*MATERIALES!$C$170)+((B114*2)*MATERIALES!$C$212)</f>
        <v>228.41728000000001</v>
      </c>
      <c r="E114" s="75"/>
      <c r="F114" s="55">
        <f>((A114/2)*B114)*MATERIALES!$C$169</f>
        <v>655.20000000000005</v>
      </c>
      <c r="G114" s="59">
        <f t="shared" si="17"/>
        <v>883.61728000000005</v>
      </c>
      <c r="H114" s="70">
        <f t="shared" si="18"/>
        <v>1060.3407360000001</v>
      </c>
      <c r="M114" s="32"/>
      <c r="T114" s="2"/>
      <c r="U114"/>
    </row>
    <row r="115" spans="1:21" hidden="1">
      <c r="A115" s="68">
        <v>2</v>
      </c>
      <c r="B115" s="69">
        <v>1</v>
      </c>
      <c r="C115" s="59">
        <f>((((A115)+(B115*2))*MATERIALES!$C$71)+((B115*2)*MATERIALES!$C$61))*(MATERIALES!$F$2*MATERIALES!$J$15)</f>
        <v>0</v>
      </c>
      <c r="D115" s="59">
        <f>(18*MATERIALES!$C$145)+(4*MATERIALES!$C$221)+(2*MATERIALES!$C$219)+(2*MATERIALES!$C$220)+(((A115)+(B115*2))*MATERIALES!$C$170)+((B115*2)*MATERIALES!$C$212)</f>
        <v>253.53120000000001</v>
      </c>
      <c r="E115" s="75"/>
      <c r="F115" s="55">
        <f>((A115/2)*B115)*MATERIALES!$C$169</f>
        <v>819</v>
      </c>
      <c r="G115" s="59">
        <f t="shared" si="17"/>
        <v>1072.5311999999999</v>
      </c>
      <c r="H115" s="70">
        <f t="shared" si="18"/>
        <v>1287.0374399999998</v>
      </c>
      <c r="M115" s="32"/>
      <c r="T115" s="2"/>
      <c r="U115"/>
    </row>
    <row r="116" spans="1:21" hidden="1">
      <c r="A116" s="68">
        <v>2</v>
      </c>
      <c r="B116" s="69">
        <v>1.1000000000000001</v>
      </c>
      <c r="C116" s="59">
        <f>((((A116)+(B116*2))*MATERIALES!$C$71)+((B116*2)*MATERIALES!$C$61))*(MATERIALES!$F$2*MATERIALES!$J$15)</f>
        <v>0</v>
      </c>
      <c r="D116" s="59">
        <f>(18*MATERIALES!$C$145)+(4*MATERIALES!$C$221)+(2*MATERIALES!$C$219)+(2*MATERIALES!$C$220)+(((A116)+(B116*2))*MATERIALES!$C$170)+((B116*2)*MATERIALES!$C$212)</f>
        <v>266.08816000000002</v>
      </c>
      <c r="E116" s="75"/>
      <c r="F116" s="55">
        <f>((A116/2)*B116)*MATERIALES!$C$169</f>
        <v>900.90000000000009</v>
      </c>
      <c r="G116" s="59">
        <f t="shared" si="17"/>
        <v>1166.9881600000001</v>
      </c>
      <c r="H116" s="70">
        <f t="shared" si="18"/>
        <v>1400.385792</v>
      </c>
      <c r="M116" s="32"/>
      <c r="T116" s="2"/>
      <c r="U116"/>
    </row>
    <row r="117" spans="1:21" hidden="1">
      <c r="A117" s="68">
        <v>2</v>
      </c>
      <c r="B117" s="69">
        <v>1.2</v>
      </c>
      <c r="C117" s="59">
        <f>((((A117)+(B117*2))*MATERIALES!$C$71)+((B117*2)*MATERIALES!$C$61))*(MATERIALES!$F$2*MATERIALES!$J$15)</f>
        <v>0</v>
      </c>
      <c r="D117" s="59">
        <f>(18*MATERIALES!$C$145)+(4*MATERIALES!$C$221)+(2*MATERIALES!$C$219)+(2*MATERIALES!$C$220)+(((A117)+(B117*2))*MATERIALES!$C$170)+((B117*2)*MATERIALES!$C$212)</f>
        <v>278.64512000000002</v>
      </c>
      <c r="E117" s="75"/>
      <c r="F117" s="55">
        <f>((A117/2)*B117)*MATERIALES!$C$169</f>
        <v>982.8</v>
      </c>
      <c r="G117" s="59">
        <f t="shared" si="17"/>
        <v>1261.4451199999999</v>
      </c>
      <c r="H117" s="70">
        <f t="shared" si="18"/>
        <v>1513.7341439999998</v>
      </c>
      <c r="M117" s="32"/>
      <c r="T117" s="2"/>
      <c r="U117"/>
    </row>
    <row r="118" spans="1:21" hidden="1">
      <c r="A118" s="68">
        <v>2</v>
      </c>
      <c r="B118" s="69">
        <v>1.5</v>
      </c>
      <c r="C118" s="59">
        <f>((((A118)+(B118*2))*MATERIALES!$C$71)+((B118*2)*MATERIALES!$C$61))*(MATERIALES!$F$2*MATERIALES!$J$15)</f>
        <v>0</v>
      </c>
      <c r="D118" s="59">
        <f>(18*MATERIALES!$C$145)+(4*MATERIALES!$C$221)+(2*MATERIALES!$C$219)+(2*MATERIALES!$C$220)+(((A118)+(B118*2))*MATERIALES!$C$170)+((B118*2)*MATERIALES!$C$212)</f>
        <v>316.31600000000003</v>
      </c>
      <c r="E118" s="75"/>
      <c r="F118" s="55">
        <f>((A118/2)*B118)*MATERIALES!$C$169</f>
        <v>1228.5</v>
      </c>
      <c r="G118" s="59">
        <f t="shared" si="17"/>
        <v>1544.816</v>
      </c>
      <c r="H118" s="70">
        <f t="shared" si="18"/>
        <v>1853.7791999999999</v>
      </c>
      <c r="M118" s="32"/>
      <c r="T118" s="2"/>
      <c r="U118"/>
    </row>
    <row r="119" spans="1:21" hidden="1">
      <c r="A119" s="68">
        <v>2</v>
      </c>
      <c r="B119" s="69">
        <v>1.8</v>
      </c>
      <c r="C119" s="59">
        <f>((((A119)+(B119*2))*MATERIALES!$C$71)+((B119*2)*MATERIALES!$C$61))*(MATERIALES!$F$2*MATERIALES!$J$15)</f>
        <v>0</v>
      </c>
      <c r="D119" s="59">
        <f>(18*MATERIALES!$C$145)+(4*MATERIALES!$C$221)+(2*MATERIALES!$C$219)+(2*MATERIALES!$C$220)+(((A119)+(B119*2))*MATERIALES!$C$170)+((B119*2)*MATERIALES!$C$212)</f>
        <v>353.98688000000004</v>
      </c>
      <c r="E119" s="75"/>
      <c r="F119" s="55">
        <f>((A119/2)*B119)*MATERIALES!$C$169</f>
        <v>1474.2</v>
      </c>
      <c r="G119" s="59">
        <f t="shared" si="17"/>
        <v>1828.1868800000002</v>
      </c>
      <c r="H119" s="70">
        <f t="shared" si="18"/>
        <v>2193.8242560000003</v>
      </c>
      <c r="M119" s="32"/>
      <c r="T119" s="2"/>
      <c r="U119"/>
    </row>
    <row r="120" spans="1:21" hidden="1">
      <c r="A120" s="68">
        <v>2.2000000000000002</v>
      </c>
      <c r="B120" s="69">
        <v>0.4</v>
      </c>
      <c r="C120" s="59">
        <f>((((A120)+(B120*2))*MATERIALES!$C$71)+((B120*2)*MATERIALES!$C$61))*(MATERIALES!$F$2*MATERIALES!$J$15)</f>
        <v>0</v>
      </c>
      <c r="D120" s="59">
        <f>(18*MATERIALES!$C$145)+(4*MATERIALES!$C$221)+(2*MATERIALES!$C$219)+(2*MATERIALES!$C$220)+(((A120)+(B120*2))*MATERIALES!$C$170)+((B120*2)*MATERIALES!$C$212)</f>
        <v>179.94704000000002</v>
      </c>
      <c r="E120" s="75"/>
      <c r="F120" s="55">
        <f>((A120/2)*B120)*MATERIALES!$C$169</f>
        <v>360.36000000000007</v>
      </c>
      <c r="G120" s="59">
        <f t="shared" si="17"/>
        <v>540.30704000000014</v>
      </c>
      <c r="H120" s="70">
        <f t="shared" si="18"/>
        <v>648.36844800000017</v>
      </c>
      <c r="M120" s="32"/>
      <c r="T120" s="2"/>
      <c r="U120"/>
    </row>
    <row r="121" spans="1:21" hidden="1">
      <c r="A121" s="68">
        <v>2.2000000000000002</v>
      </c>
      <c r="B121" s="69">
        <v>0.6</v>
      </c>
      <c r="C121" s="59">
        <f>((((A121)+(B121*2))*MATERIALES!$C$71)+((B121*2)*MATERIALES!$C$61))*(MATERIALES!$F$2*MATERIALES!$J$15)</f>
        <v>0</v>
      </c>
      <c r="D121" s="59">
        <f>(18*MATERIALES!$C$145)+(4*MATERIALES!$C$221)+(2*MATERIALES!$C$219)+(2*MATERIALES!$C$220)+(((A121)+(B121*2))*MATERIALES!$C$170)+((B121*2)*MATERIALES!$C$212)</f>
        <v>205.06096000000002</v>
      </c>
      <c r="E121" s="75"/>
      <c r="F121" s="55">
        <f>((A121/2)*B121)*MATERIALES!$C$169</f>
        <v>540.54000000000008</v>
      </c>
      <c r="G121" s="59">
        <f t="shared" si="17"/>
        <v>745.6009600000001</v>
      </c>
      <c r="H121" s="70">
        <f t="shared" si="18"/>
        <v>894.72115200000007</v>
      </c>
      <c r="M121" s="32"/>
      <c r="T121" s="2"/>
      <c r="U121"/>
    </row>
    <row r="122" spans="1:21" hidden="1">
      <c r="A122" s="68">
        <v>2.2000000000000002</v>
      </c>
      <c r="B122" s="69">
        <v>0.8</v>
      </c>
      <c r="C122" s="59">
        <f>((((A122)+(B122*2))*MATERIALES!$C$71)+((B122*2)*MATERIALES!$C$61))*(MATERIALES!$F$2*MATERIALES!$J$15)</f>
        <v>0</v>
      </c>
      <c r="D122" s="59">
        <f>(18*MATERIALES!$C$145)+(4*MATERIALES!$C$221)+(2*MATERIALES!$C$219)+(2*MATERIALES!$C$220)+(((A122)+(B122*2))*MATERIALES!$C$170)+((B122*2)*MATERIALES!$C$212)</f>
        <v>230.17488000000003</v>
      </c>
      <c r="E122" s="75"/>
      <c r="F122" s="55">
        <f>((A122/2)*B122)*MATERIALES!$C$169</f>
        <v>720.72000000000014</v>
      </c>
      <c r="G122" s="59">
        <f t="shared" si="17"/>
        <v>950.89488000000017</v>
      </c>
      <c r="H122" s="70">
        <f t="shared" si="18"/>
        <v>1141.0738560000002</v>
      </c>
      <c r="M122" s="32"/>
      <c r="T122" s="2"/>
      <c r="U122"/>
    </row>
    <row r="123" spans="1:21" hidden="1">
      <c r="A123" s="68">
        <v>2.2000000000000002</v>
      </c>
      <c r="B123" s="69">
        <v>1</v>
      </c>
      <c r="C123" s="59">
        <f>((((A123)+(B123*2))*MATERIALES!$C$71)+((B123*2)*MATERIALES!$C$61))*(MATERIALES!$F$2*MATERIALES!$J$15)</f>
        <v>0</v>
      </c>
      <c r="D123" s="59">
        <f>(18*MATERIALES!$C$145)+(4*MATERIALES!$C$221)+(2*MATERIALES!$C$219)+(2*MATERIALES!$C$220)+(((A123)+(B123*2))*MATERIALES!$C$170)+((B123*2)*MATERIALES!$C$212)</f>
        <v>255.28880000000004</v>
      </c>
      <c r="E123" s="75"/>
      <c r="F123" s="55">
        <f>((A123/2)*B123)*MATERIALES!$C$169</f>
        <v>900.90000000000009</v>
      </c>
      <c r="G123" s="59">
        <f t="shared" si="17"/>
        <v>1156.1888000000001</v>
      </c>
      <c r="H123" s="70">
        <f t="shared" si="18"/>
        <v>1387.4265600000001</v>
      </c>
      <c r="M123" s="32"/>
      <c r="T123" s="2"/>
      <c r="U123"/>
    </row>
    <row r="124" spans="1:21" hidden="1">
      <c r="A124" s="68">
        <v>2.2000000000000002</v>
      </c>
      <c r="B124" s="69">
        <v>1.2</v>
      </c>
      <c r="C124" s="59">
        <f>((((A124)+(B124*2))*MATERIALES!$C$71)+((B124*2)*MATERIALES!$C$61))*(MATERIALES!$F$2*MATERIALES!$J$15)</f>
        <v>0</v>
      </c>
      <c r="D124" s="59">
        <f>(18*MATERIALES!$C$145)+(4*MATERIALES!$C$221)+(2*MATERIALES!$C$219)+(2*MATERIALES!$C$220)+(((A124)+(B124*2))*MATERIALES!$C$170)+((B124*2)*MATERIALES!$C$212)</f>
        <v>280.40272000000004</v>
      </c>
      <c r="E124" s="75"/>
      <c r="F124" s="55">
        <f>((A124/2)*B124)*MATERIALES!$C$169</f>
        <v>1081.0800000000002</v>
      </c>
      <c r="G124" s="59">
        <f t="shared" si="17"/>
        <v>1361.4827200000002</v>
      </c>
      <c r="H124" s="70">
        <f t="shared" si="18"/>
        <v>1633.7792640000002</v>
      </c>
      <c r="M124" s="32"/>
      <c r="T124" s="2"/>
      <c r="U124"/>
    </row>
    <row r="125" spans="1:21" hidden="1">
      <c r="A125" s="68">
        <v>2.2000000000000002</v>
      </c>
      <c r="B125" s="69">
        <v>1.5</v>
      </c>
      <c r="C125" s="59">
        <f>((((A125)+(B125*2))*MATERIALES!$C$71)+((B125*2)*MATERIALES!$C$61))*(MATERIALES!$F$2*MATERIALES!$J$15)</f>
        <v>0</v>
      </c>
      <c r="D125" s="59">
        <f>(18*MATERIALES!$C$145)+(4*MATERIALES!$C$221)+(2*MATERIALES!$C$219)+(2*MATERIALES!$C$220)+(((A125)+(B125*2))*MATERIALES!$C$170)+((B125*2)*MATERIALES!$C$212)</f>
        <v>318.0736</v>
      </c>
      <c r="E125" s="75"/>
      <c r="F125" s="55">
        <f>((A125/2)*B125)*MATERIALES!$C$169</f>
        <v>1351.3500000000001</v>
      </c>
      <c r="G125" s="59">
        <f t="shared" si="17"/>
        <v>1669.4236000000001</v>
      </c>
      <c r="H125" s="70">
        <f t="shared" si="18"/>
        <v>2003.3083200000001</v>
      </c>
      <c r="M125" s="32"/>
      <c r="T125" s="2"/>
      <c r="U125"/>
    </row>
    <row r="126" spans="1:21" hidden="1">
      <c r="A126" s="68">
        <v>2.2000000000000002</v>
      </c>
      <c r="B126" s="69">
        <v>1.8</v>
      </c>
      <c r="C126" s="59">
        <f>((((A126)+(B126*2))*MATERIALES!$C$71)+((B126*2)*MATERIALES!$C$61))*(MATERIALES!$F$2*MATERIALES!$J$15)</f>
        <v>0</v>
      </c>
      <c r="D126" s="59">
        <f>(18*MATERIALES!$C$145)+(4*MATERIALES!$C$221)+(2*MATERIALES!$C$219)+(2*MATERIALES!$C$220)+(((A126)+(B126*2))*MATERIALES!$C$170)+((B126*2)*MATERIALES!$C$212)</f>
        <v>355.74448000000007</v>
      </c>
      <c r="E126" s="75"/>
      <c r="F126" s="55">
        <f>((A126/2)*B126)*MATERIALES!$C$169</f>
        <v>1621.6200000000001</v>
      </c>
      <c r="G126" s="59">
        <f t="shared" si="17"/>
        <v>1977.3644800000002</v>
      </c>
      <c r="H126" s="70">
        <f t="shared" si="18"/>
        <v>2372.8373759999999</v>
      </c>
      <c r="M126" s="32"/>
      <c r="T126" s="2"/>
      <c r="U126"/>
    </row>
    <row r="127" spans="1:21" hidden="1">
      <c r="A127" s="68">
        <v>2.4</v>
      </c>
      <c r="B127" s="69">
        <v>0.4</v>
      </c>
      <c r="C127" s="59">
        <f>((((A127)+(B127*2))*MATERIALES!$C$71)+((B127*2)*MATERIALES!$C$61))*(MATERIALES!$F$2*MATERIALES!$J$15)</f>
        <v>0</v>
      </c>
      <c r="D127" s="59">
        <f>(18*MATERIALES!$C$145)+(4*MATERIALES!$C$221)+(2*MATERIALES!$C$219)+(2*MATERIALES!$C$220)+(((A127)+(B127*2))*MATERIALES!$C$170)+((B127*2)*MATERIALES!$C$212)</f>
        <v>181.70464000000001</v>
      </c>
      <c r="E127" s="75"/>
      <c r="F127" s="55">
        <f>((A127/2)*B127)*MATERIALES!$C$169</f>
        <v>393.12</v>
      </c>
      <c r="G127" s="59">
        <f t="shared" si="17"/>
        <v>574.82464000000004</v>
      </c>
      <c r="H127" s="70">
        <f t="shared" si="18"/>
        <v>689.78956800000003</v>
      </c>
      <c r="M127" s="32"/>
      <c r="T127" s="2"/>
      <c r="U127"/>
    </row>
    <row r="128" spans="1:21" hidden="1">
      <c r="A128" s="68">
        <v>2.4</v>
      </c>
      <c r="B128" s="69">
        <v>0.6</v>
      </c>
      <c r="C128" s="59">
        <f>((((A128)+(B128*2))*MATERIALES!$C$71)+((B128*2)*MATERIALES!$C$61))*(MATERIALES!$F$2*MATERIALES!$J$15)</f>
        <v>0</v>
      </c>
      <c r="D128" s="59">
        <f>(18*MATERIALES!$C$145)+(4*MATERIALES!$C$221)+(2*MATERIALES!$C$219)+(2*MATERIALES!$C$220)+(((A128)+(B128*2))*MATERIALES!$C$170)+((B128*2)*MATERIALES!$C$212)</f>
        <v>206.81855999999999</v>
      </c>
      <c r="E128" s="75"/>
      <c r="F128" s="55">
        <f>((A128/2)*B128)*MATERIALES!$C$169</f>
        <v>589.67999999999995</v>
      </c>
      <c r="G128" s="59">
        <f t="shared" si="17"/>
        <v>796.49856</v>
      </c>
      <c r="H128" s="70">
        <f t="shared" si="18"/>
        <v>955.798272</v>
      </c>
      <c r="M128" s="32"/>
      <c r="T128" s="2"/>
      <c r="U128"/>
    </row>
    <row r="129" spans="1:21" hidden="1">
      <c r="A129" s="68">
        <v>2.4</v>
      </c>
      <c r="B129" s="69">
        <v>0.8</v>
      </c>
      <c r="C129" s="59">
        <f>((((A129)+(B129*2))*MATERIALES!$C$71)+((B129*2)*MATERIALES!$C$61))*(MATERIALES!$F$2*MATERIALES!$J$15)</f>
        <v>0</v>
      </c>
      <c r="D129" s="59">
        <f>(18*MATERIALES!$C$145)+(4*MATERIALES!$C$221)+(2*MATERIALES!$C$219)+(2*MATERIALES!$C$220)+(((A129)+(B129*2))*MATERIALES!$C$170)+((B129*2)*MATERIALES!$C$212)</f>
        <v>231.93248</v>
      </c>
      <c r="E129" s="75"/>
      <c r="F129" s="55">
        <f>((A129/2)*B129)*MATERIALES!$C$169</f>
        <v>786.24</v>
      </c>
      <c r="G129" s="59">
        <f t="shared" si="17"/>
        <v>1018.17248</v>
      </c>
      <c r="H129" s="70">
        <f t="shared" si="18"/>
        <v>1221.8069759999998</v>
      </c>
      <c r="M129" s="32"/>
      <c r="T129" s="2"/>
      <c r="U129"/>
    </row>
    <row r="130" spans="1:21" hidden="1">
      <c r="A130" s="68">
        <v>2.4</v>
      </c>
      <c r="B130" s="69">
        <v>1</v>
      </c>
      <c r="C130" s="59">
        <f>((((A130)+(B130*2))*MATERIALES!$C$71)+((B130*2)*MATERIALES!$C$61))*(MATERIALES!$F$2*MATERIALES!$J$15)</f>
        <v>0</v>
      </c>
      <c r="D130" s="59">
        <f>(18*MATERIALES!$C$145)+(4*MATERIALES!$C$221)+(2*MATERIALES!$C$219)+(2*MATERIALES!$C$220)+(((A130)+(B130*2))*MATERIALES!$C$170)+((B130*2)*MATERIALES!$C$212)</f>
        <v>257.04640000000001</v>
      </c>
      <c r="E130" s="75"/>
      <c r="F130" s="55">
        <f>((A130/2)*B130)*MATERIALES!$C$169</f>
        <v>982.8</v>
      </c>
      <c r="G130" s="59">
        <f t="shared" si="17"/>
        <v>1239.8463999999999</v>
      </c>
      <c r="H130" s="70">
        <f t="shared" si="18"/>
        <v>1487.8156799999999</v>
      </c>
      <c r="M130" s="32"/>
      <c r="T130" s="2"/>
      <c r="U130"/>
    </row>
    <row r="131" spans="1:21" hidden="1">
      <c r="A131" s="68">
        <v>2.4</v>
      </c>
      <c r="B131" s="69">
        <v>1.2</v>
      </c>
      <c r="C131" s="59">
        <f>((((A131)+(B131*2))*MATERIALES!$C$71)+((B131*2)*MATERIALES!$C$61))*(MATERIALES!$F$2*MATERIALES!$J$15)</f>
        <v>0</v>
      </c>
      <c r="D131" s="59">
        <f>(18*MATERIALES!$C$145)+(4*MATERIALES!$C$221)+(2*MATERIALES!$C$219)+(2*MATERIALES!$C$220)+(((A131)+(B131*2))*MATERIALES!$C$170)+((B131*2)*MATERIALES!$C$212)</f>
        <v>282.16032000000001</v>
      </c>
      <c r="E131" s="75"/>
      <c r="F131" s="55">
        <f>((A131/2)*B131)*MATERIALES!$C$169</f>
        <v>1179.3599999999999</v>
      </c>
      <c r="G131" s="59">
        <f t="shared" si="17"/>
        <v>1461.5203199999999</v>
      </c>
      <c r="H131" s="70">
        <f t="shared" si="18"/>
        <v>1753.8243839999998</v>
      </c>
      <c r="M131" s="32"/>
      <c r="T131" s="2"/>
      <c r="U131"/>
    </row>
    <row r="132" spans="1:21" hidden="1">
      <c r="A132" s="68">
        <v>2.4</v>
      </c>
      <c r="B132" s="69">
        <v>1.5</v>
      </c>
      <c r="C132" s="59">
        <f>((((A132)+(B132*2))*MATERIALES!$C$71)+((B132*2)*MATERIALES!$C$61))*(MATERIALES!$F$2*MATERIALES!$J$15)</f>
        <v>0</v>
      </c>
      <c r="D132" s="59">
        <f>(18*MATERIALES!$C$145)+(4*MATERIALES!$C$221)+(2*MATERIALES!$C$219)+(2*MATERIALES!$C$220)+(((A132)+(B132*2))*MATERIALES!$C$170)+((B132*2)*MATERIALES!$C$212)</f>
        <v>319.83119999999997</v>
      </c>
      <c r="E132" s="75"/>
      <c r="F132" s="55">
        <f>((A132/2)*B132)*MATERIALES!$C$169</f>
        <v>1474.1999999999998</v>
      </c>
      <c r="G132" s="59">
        <f t="shared" si="17"/>
        <v>1794.0311999999999</v>
      </c>
      <c r="H132" s="70">
        <f t="shared" si="18"/>
        <v>2152.8374399999998</v>
      </c>
      <c r="M132" s="32"/>
      <c r="T132" s="2"/>
      <c r="U132"/>
    </row>
    <row r="133" spans="1:21" ht="15.75" hidden="1" thickBot="1">
      <c r="A133" s="71">
        <v>2.4</v>
      </c>
      <c r="B133" s="72">
        <v>1.8</v>
      </c>
      <c r="C133" s="60">
        <f>((((A133)+(B133*2))*MATERIALES!$C$71)+((B133*2)*MATERIALES!$C$61))*(MATERIALES!$F$2*MATERIALES!$J$15)</f>
        <v>0</v>
      </c>
      <c r="D133" s="60">
        <f>(18*MATERIALES!$C$145)+(4*MATERIALES!$C$221)+(2*MATERIALES!$C$219)+(2*MATERIALES!$C$220)+(((A133)+(B133*2))*MATERIALES!$C$170)+((B133*2)*MATERIALES!$C$212)</f>
        <v>357.50208000000003</v>
      </c>
      <c r="E133" s="76"/>
      <c r="F133" s="56">
        <f>((A133/2)*B133)*MATERIALES!$C$169</f>
        <v>1769.0400000000002</v>
      </c>
      <c r="G133" s="60">
        <f t="shared" si="17"/>
        <v>2126.5420800000002</v>
      </c>
      <c r="H133" s="73">
        <f>SUM(C133:F133)*1.2</f>
        <v>2551.850496</v>
      </c>
      <c r="M133" s="32"/>
      <c r="T133" s="2"/>
      <c r="U133"/>
    </row>
    <row r="134" spans="1:21" hidden="1">
      <c r="M134" s="32"/>
      <c r="T134" s="2"/>
      <c r="U134"/>
    </row>
    <row r="135" spans="1:21" s="81" customFormat="1" hidden="1">
      <c r="A135" s="79"/>
      <c r="B135" s="79"/>
      <c r="C135" s="79"/>
      <c r="D135" s="79"/>
      <c r="E135" s="79"/>
      <c r="F135" s="79"/>
      <c r="G135" s="79"/>
      <c r="H135" s="80"/>
      <c r="M135" s="79"/>
      <c r="N135" s="79"/>
      <c r="O135" s="79"/>
      <c r="P135" s="79"/>
      <c r="Q135" s="79"/>
      <c r="R135" s="79"/>
      <c r="S135" s="79"/>
      <c r="T135" s="80"/>
    </row>
    <row r="136" spans="1:21" hidden="1">
      <c r="M136" s="32"/>
      <c r="T136" s="2"/>
      <c r="U136"/>
    </row>
    <row r="137" spans="1:21" ht="15.75" hidden="1" thickBot="1"/>
    <row r="138" spans="1:21" ht="15.75" hidden="1" thickBot="1">
      <c r="H138" s="32"/>
      <c r="I138" s="789">
        <v>0.3</v>
      </c>
      <c r="J138" s="790"/>
      <c r="K138" s="790"/>
      <c r="L138" s="791"/>
      <c r="M138" s="46" t="s">
        <v>163</v>
      </c>
    </row>
    <row r="139" spans="1:21" ht="15.75" hidden="1" thickBot="1">
      <c r="G139" s="792" t="s">
        <v>253</v>
      </c>
      <c r="H139" s="793"/>
      <c r="I139" s="793"/>
      <c r="J139" s="793"/>
      <c r="K139" s="793"/>
      <c r="L139" s="793"/>
      <c r="M139" s="794"/>
      <c r="N139" s="94"/>
    </row>
    <row r="140" spans="1:21" ht="15.75" hidden="1" thickBot="1">
      <c r="G140" s="36" t="s">
        <v>116</v>
      </c>
      <c r="H140" s="36" t="s">
        <v>117</v>
      </c>
      <c r="I140" s="36" t="s">
        <v>162</v>
      </c>
      <c r="J140" s="36" t="s">
        <v>119</v>
      </c>
      <c r="K140" s="36" t="s">
        <v>120</v>
      </c>
      <c r="L140" s="36" t="s">
        <v>121</v>
      </c>
      <c r="M140" s="36" t="s">
        <v>122</v>
      </c>
      <c r="T140" s="2"/>
      <c r="U140"/>
    </row>
    <row r="141" spans="1:21" ht="15.75" hidden="1" thickBot="1">
      <c r="G141" s="91"/>
      <c r="H141" s="92"/>
      <c r="I141" s="92"/>
      <c r="J141" s="92"/>
      <c r="K141" s="92"/>
      <c r="L141" s="92"/>
      <c r="M141" s="93"/>
      <c r="T141" s="2"/>
      <c r="U141"/>
    </row>
    <row r="142" spans="1:21" ht="15.75" hidden="1" customHeight="1">
      <c r="G142" s="65">
        <v>0.6</v>
      </c>
      <c r="H142" s="66">
        <v>0.4</v>
      </c>
      <c r="I142" s="58">
        <f>(((G142*2)+(H142*4)*MATERIALES!$C$31)+((H142*2)*MATERIALES!$C$32)+((G142*1)*MATERIALES!$C$32))*MATERIALES!$F$2</f>
        <v>1370.2852799999998</v>
      </c>
      <c r="J142" s="58">
        <f>((4*MATERIALES!$C$159)+(4*MATERIALES!$C$174))*2</f>
        <v>79.123199999999997</v>
      </c>
      <c r="K142" s="74"/>
      <c r="L142" s="58">
        <f>SUM(I142:K142)</f>
        <v>1449.4084799999998</v>
      </c>
      <c r="M142" s="67">
        <f>SUM(I142:K142)*1.3</f>
        <v>1884.2310239999999</v>
      </c>
      <c r="N142" s="887" t="s">
        <v>382</v>
      </c>
      <c r="T142" s="2"/>
      <c r="U142"/>
    </row>
    <row r="143" spans="1:21" hidden="1">
      <c r="G143" s="68">
        <v>0.6</v>
      </c>
      <c r="H143" s="69">
        <v>0.6</v>
      </c>
      <c r="I143" s="59">
        <f>(((G143*2)+(H143*4)*MATERIALES!$C$31)+((H143*2)*MATERIALES!$C$32)+((G143*1)*MATERIALES!$C$32))*MATERIALES!$F$2</f>
        <v>1591.74288</v>
      </c>
      <c r="J143" s="59">
        <f>((4*MATERIALES!$C$159)+(4*MATERIALES!$C$174))*2</f>
        <v>79.123199999999997</v>
      </c>
      <c r="K143" s="75"/>
      <c r="L143" s="59">
        <f t="shared" ref="L143:L195" si="19">SUM(I143:K143)</f>
        <v>1670.86608</v>
      </c>
      <c r="M143" s="70">
        <f t="shared" ref="M143:M195" si="20">SUM(I143:K143)*1.3</f>
        <v>2172.125904</v>
      </c>
      <c r="N143" s="888"/>
      <c r="T143" s="2"/>
      <c r="U143"/>
    </row>
    <row r="144" spans="1:21" hidden="1">
      <c r="G144" s="68">
        <v>0.6</v>
      </c>
      <c r="H144" s="69">
        <v>0.8</v>
      </c>
      <c r="I144" s="59">
        <f>(((G144*2)+(H144*4)*MATERIALES!$C$31)+((H144*2)*MATERIALES!$C$32)+((G144*1)*MATERIALES!$C$32))*MATERIALES!$F$2</f>
        <v>1813.20048</v>
      </c>
      <c r="J144" s="59">
        <f>((4*MATERIALES!$C$159)+(4*MATERIALES!$C$174))*2</f>
        <v>79.123199999999997</v>
      </c>
      <c r="K144" s="75"/>
      <c r="L144" s="59">
        <f t="shared" si="19"/>
        <v>1892.32368</v>
      </c>
      <c r="M144" s="70">
        <f t="shared" si="20"/>
        <v>2460.0207839999998</v>
      </c>
      <c r="N144" s="888"/>
      <c r="T144" s="2"/>
      <c r="U144"/>
    </row>
    <row r="145" spans="7:21" hidden="1">
      <c r="G145" s="68">
        <v>0.8</v>
      </c>
      <c r="H145" s="69">
        <v>0.4</v>
      </c>
      <c r="I145" s="59">
        <f>(((G145*2)+(H145*4)*MATERIALES!$C$31)+((H145*2)*MATERIALES!$C$32)+((G145*1)*MATERIALES!$C$32))*MATERIALES!$F$2</f>
        <v>1679.4086400000001</v>
      </c>
      <c r="J145" s="59">
        <f>((4*MATERIALES!$C$159)+(4*MATERIALES!$C$174))*2</f>
        <v>79.123199999999997</v>
      </c>
      <c r="K145" s="75"/>
      <c r="L145" s="59">
        <f t="shared" si="19"/>
        <v>1758.5318400000001</v>
      </c>
      <c r="M145" s="70">
        <f t="shared" si="20"/>
        <v>2286.0913920000003</v>
      </c>
      <c r="N145" s="888"/>
      <c r="T145" s="2"/>
      <c r="U145"/>
    </row>
    <row r="146" spans="7:21" hidden="1">
      <c r="G146" s="68">
        <v>0.8</v>
      </c>
      <c r="H146" s="69">
        <v>0.6</v>
      </c>
      <c r="I146" s="59">
        <f>(((G146*2)+(H146*4)*MATERIALES!$C$31)+((H146*2)*MATERIALES!$C$32)+((G146*1)*MATERIALES!$C$32))*MATERIALES!$F$2</f>
        <v>1900.8662400000003</v>
      </c>
      <c r="J146" s="59">
        <f>((4*MATERIALES!$C$159)+(4*MATERIALES!$C$174))*2</f>
        <v>79.123199999999997</v>
      </c>
      <c r="K146" s="75"/>
      <c r="L146" s="59">
        <f t="shared" si="19"/>
        <v>1979.9894400000003</v>
      </c>
      <c r="M146" s="70">
        <f t="shared" si="20"/>
        <v>2573.9862720000006</v>
      </c>
      <c r="N146" s="888"/>
      <c r="T146" s="2"/>
      <c r="U146"/>
    </row>
    <row r="147" spans="7:21" hidden="1">
      <c r="G147" s="68">
        <v>0.8</v>
      </c>
      <c r="H147" s="69">
        <v>0.8</v>
      </c>
      <c r="I147" s="59">
        <f>(((G147*2)+(H147*4)*MATERIALES!$C$31)+((H147*2)*MATERIALES!$C$32)+((G147*1)*MATERIALES!$C$32))*MATERIALES!$F$2</f>
        <v>2122.32384</v>
      </c>
      <c r="J147" s="59">
        <f>((4*MATERIALES!$C$159)+(4*MATERIALES!$C$174))*2</f>
        <v>79.123199999999997</v>
      </c>
      <c r="K147" s="75"/>
      <c r="L147" s="59">
        <f t="shared" si="19"/>
        <v>2201.44704</v>
      </c>
      <c r="M147" s="70">
        <f t="shared" si="20"/>
        <v>2861.8811519999999</v>
      </c>
      <c r="N147" s="888"/>
      <c r="T147" s="2"/>
      <c r="U147"/>
    </row>
    <row r="148" spans="7:21" hidden="1">
      <c r="G148" s="68">
        <v>1</v>
      </c>
      <c r="H148" s="69">
        <v>0.4</v>
      </c>
      <c r="I148" s="59">
        <f>(((G148*2)+(H148*4)*MATERIALES!$C$31)+((H148*2)*MATERIALES!$C$32)+((G148*1)*MATERIALES!$C$32))*MATERIALES!$F$2</f>
        <v>1988.5319999999999</v>
      </c>
      <c r="J148" s="59">
        <f>((4*MATERIALES!$C$159)+(4*MATERIALES!$C$174))*2</f>
        <v>79.123199999999997</v>
      </c>
      <c r="K148" s="75"/>
      <c r="L148" s="59">
        <f t="shared" si="19"/>
        <v>2067.6552000000001</v>
      </c>
      <c r="M148" s="70">
        <f t="shared" si="20"/>
        <v>2687.9517600000004</v>
      </c>
      <c r="N148" s="888"/>
      <c r="T148" s="2"/>
      <c r="U148"/>
    </row>
    <row r="149" spans="7:21" hidden="1">
      <c r="G149" s="68">
        <v>1</v>
      </c>
      <c r="H149" s="69">
        <v>0.6</v>
      </c>
      <c r="I149" s="59">
        <f>(((G149*2)+(H149*4)*MATERIALES!$C$31)+((H149*2)*MATERIALES!$C$32)+((G149*1)*MATERIALES!$C$32))*MATERIALES!$F$2</f>
        <v>2209.9895999999999</v>
      </c>
      <c r="J149" s="59">
        <f>((4*MATERIALES!$C$159)+(4*MATERIALES!$C$174))*2</f>
        <v>79.123199999999997</v>
      </c>
      <c r="K149" s="75"/>
      <c r="L149" s="59">
        <f t="shared" si="19"/>
        <v>2289.1127999999999</v>
      </c>
      <c r="M149" s="70">
        <f t="shared" si="20"/>
        <v>2975.8466399999998</v>
      </c>
      <c r="N149" s="888"/>
      <c r="T149" s="2"/>
      <c r="U149"/>
    </row>
    <row r="150" spans="7:21" hidden="1">
      <c r="G150" s="68">
        <v>1</v>
      </c>
      <c r="H150" s="69">
        <v>0.8</v>
      </c>
      <c r="I150" s="59">
        <f>(((G150*2)+(H150*4)*MATERIALES!$C$31)+((H150*2)*MATERIALES!$C$32)+((G150*1)*MATERIALES!$C$32))*MATERIALES!$F$2</f>
        <v>2431.4472000000005</v>
      </c>
      <c r="J150" s="59">
        <f>((4*MATERIALES!$C$159)+(4*MATERIALES!$C$174))*2</f>
        <v>79.123199999999997</v>
      </c>
      <c r="K150" s="75"/>
      <c r="L150" s="59">
        <f t="shared" si="19"/>
        <v>2510.5704000000005</v>
      </c>
      <c r="M150" s="70">
        <f t="shared" si="20"/>
        <v>3263.7415200000009</v>
      </c>
      <c r="N150" s="888"/>
      <c r="T150" s="2"/>
      <c r="U150"/>
    </row>
    <row r="151" spans="7:21" hidden="1">
      <c r="G151" s="68">
        <v>1</v>
      </c>
      <c r="H151" s="69">
        <v>1</v>
      </c>
      <c r="I151" s="59">
        <f>(((G151*2)+(H151*4)*MATERIALES!$C$31)+((H151*2)*MATERIALES!$C$32)+((G151*1)*MATERIALES!$C$32))*MATERIALES!$F$2</f>
        <v>2652.9047999999998</v>
      </c>
      <c r="J151" s="59">
        <f>((4*MATERIALES!$C$159)+(4*MATERIALES!$C$174))*2</f>
        <v>79.123199999999997</v>
      </c>
      <c r="K151" s="75"/>
      <c r="L151" s="59">
        <f t="shared" si="19"/>
        <v>2732.0279999999998</v>
      </c>
      <c r="M151" s="70">
        <f t="shared" si="20"/>
        <v>3551.6363999999999</v>
      </c>
      <c r="N151" s="888"/>
      <c r="T151" s="2"/>
      <c r="U151"/>
    </row>
    <row r="152" spans="7:21" hidden="1">
      <c r="G152" s="68">
        <v>1</v>
      </c>
      <c r="H152" s="69">
        <v>1.1000000000000001</v>
      </c>
      <c r="I152" s="59">
        <f>(((G152*2)+(H152*4)*MATERIALES!$C$31)+((H152*2)*MATERIALES!$C$32)+((G152*1)*MATERIALES!$C$32))*MATERIALES!$F$2</f>
        <v>2763.6336000000001</v>
      </c>
      <c r="J152" s="59">
        <f>((4*MATERIALES!$C$159)+(4*MATERIALES!$C$174))*2</f>
        <v>79.123199999999997</v>
      </c>
      <c r="K152" s="75"/>
      <c r="L152" s="59">
        <f t="shared" si="19"/>
        <v>2842.7568000000001</v>
      </c>
      <c r="M152" s="70">
        <f t="shared" si="20"/>
        <v>3695.5838400000002</v>
      </c>
      <c r="N152" s="888"/>
      <c r="T152" s="2"/>
      <c r="U152"/>
    </row>
    <row r="153" spans="7:21" hidden="1">
      <c r="G153" s="68">
        <v>1</v>
      </c>
      <c r="H153" s="69">
        <v>1.2</v>
      </c>
      <c r="I153" s="59">
        <f>(((G153*2)+(H153*4)*MATERIALES!$C$31)+((H153*2)*MATERIALES!$C$32)+((G153*1)*MATERIALES!$C$32))*MATERIALES!$F$2</f>
        <v>2874.3624</v>
      </c>
      <c r="J153" s="59">
        <f>((4*MATERIALES!$C$159)+(4*MATERIALES!$C$174))*2</f>
        <v>79.123199999999997</v>
      </c>
      <c r="K153" s="75"/>
      <c r="L153" s="59">
        <f t="shared" si="19"/>
        <v>2953.4856</v>
      </c>
      <c r="M153" s="70">
        <f t="shared" si="20"/>
        <v>3839.5312800000002</v>
      </c>
      <c r="N153" s="888"/>
      <c r="T153" s="2"/>
      <c r="U153"/>
    </row>
    <row r="154" spans="7:21" hidden="1">
      <c r="G154" s="68">
        <v>1</v>
      </c>
      <c r="H154" s="69">
        <v>1.5</v>
      </c>
      <c r="I154" s="59">
        <f>(((G154*2)+(H154*4)*MATERIALES!$C$31)+((H154*2)*MATERIALES!$C$32)+((G154*1)*MATERIALES!$C$32))*MATERIALES!$F$2</f>
        <v>3206.5488000000005</v>
      </c>
      <c r="J154" s="59">
        <f>((4*MATERIALES!$C$159)+(4*MATERIALES!$C$174))*2</f>
        <v>79.123199999999997</v>
      </c>
      <c r="K154" s="75"/>
      <c r="L154" s="59">
        <f t="shared" si="19"/>
        <v>3285.6720000000005</v>
      </c>
      <c r="M154" s="70">
        <f t="shared" si="20"/>
        <v>4271.3736000000008</v>
      </c>
      <c r="N154" s="888"/>
      <c r="T154" s="2"/>
      <c r="U154"/>
    </row>
    <row r="155" spans="7:21" hidden="1">
      <c r="G155" s="68">
        <v>1.2</v>
      </c>
      <c r="H155" s="69">
        <v>0.4</v>
      </c>
      <c r="I155" s="59">
        <f>(((G155*2)+(H155*4)*MATERIALES!$C$31)+((H155*2)*MATERIALES!$C$32)+((G155*1)*MATERIALES!$C$32))*MATERIALES!$F$2</f>
        <v>2297.6553600000002</v>
      </c>
      <c r="J155" s="59">
        <f>((4*MATERIALES!$C$159)+(4*MATERIALES!$C$174))*2</f>
        <v>79.123199999999997</v>
      </c>
      <c r="K155" s="75"/>
      <c r="L155" s="59">
        <f t="shared" si="19"/>
        <v>2376.7785600000002</v>
      </c>
      <c r="M155" s="70">
        <f t="shared" si="20"/>
        <v>3089.8121280000005</v>
      </c>
      <c r="N155" s="888"/>
      <c r="T155" s="2"/>
      <c r="U155"/>
    </row>
    <row r="156" spans="7:21" hidden="1">
      <c r="G156" s="68">
        <v>1.2</v>
      </c>
      <c r="H156" s="69">
        <v>0.6</v>
      </c>
      <c r="I156" s="59">
        <f>(((G156*2)+(H156*4)*MATERIALES!$C$31)+((H156*2)*MATERIALES!$C$32)+((G156*1)*MATERIALES!$C$32))*MATERIALES!$F$2</f>
        <v>2519.1129600000004</v>
      </c>
      <c r="J156" s="59">
        <f>((4*MATERIALES!$C$159)+(4*MATERIALES!$C$174))*2</f>
        <v>79.123199999999997</v>
      </c>
      <c r="K156" s="75"/>
      <c r="L156" s="59">
        <f t="shared" si="19"/>
        <v>2598.2361600000004</v>
      </c>
      <c r="M156" s="70">
        <f t="shared" si="20"/>
        <v>3377.7070080000008</v>
      </c>
      <c r="N156" s="888"/>
      <c r="T156" s="2"/>
      <c r="U156"/>
    </row>
    <row r="157" spans="7:21" hidden="1">
      <c r="G157" s="68">
        <v>1.2</v>
      </c>
      <c r="H157" s="69">
        <v>0.8</v>
      </c>
      <c r="I157" s="59">
        <f>(((G157*2)+(H157*4)*MATERIALES!$C$31)+((H157*2)*MATERIALES!$C$32)+((G157*1)*MATERIALES!$C$32))*MATERIALES!$F$2</f>
        <v>2740.5705599999997</v>
      </c>
      <c r="J157" s="59">
        <f>((4*MATERIALES!$C$159)+(4*MATERIALES!$C$174))*2</f>
        <v>79.123199999999997</v>
      </c>
      <c r="K157" s="75"/>
      <c r="L157" s="59">
        <f t="shared" si="19"/>
        <v>2819.6937599999997</v>
      </c>
      <c r="M157" s="70">
        <f t="shared" si="20"/>
        <v>3665.6018879999997</v>
      </c>
      <c r="N157" s="888"/>
      <c r="T157" s="2"/>
      <c r="U157"/>
    </row>
    <row r="158" spans="7:21" hidden="1">
      <c r="G158" s="68">
        <v>1.2</v>
      </c>
      <c r="H158" s="69">
        <v>1</v>
      </c>
      <c r="I158" s="59">
        <f>(((G158*2)+(H158*4)*MATERIALES!$C$31)+((H158*2)*MATERIALES!$C$32)+((G158*1)*MATERIALES!$C$32))*MATERIALES!$F$2</f>
        <v>2962.0281599999998</v>
      </c>
      <c r="J158" s="59">
        <f>((4*MATERIALES!$C$159)+(4*MATERIALES!$C$174))*2</f>
        <v>79.123199999999997</v>
      </c>
      <c r="K158" s="75"/>
      <c r="L158" s="59">
        <f t="shared" si="19"/>
        <v>3041.1513599999998</v>
      </c>
      <c r="M158" s="70">
        <f t="shared" si="20"/>
        <v>3953.496768</v>
      </c>
      <c r="N158" s="888"/>
      <c r="T158" s="2"/>
      <c r="U158"/>
    </row>
    <row r="159" spans="7:21" hidden="1">
      <c r="G159" s="68">
        <v>1.2</v>
      </c>
      <c r="H159" s="69">
        <v>1.2</v>
      </c>
      <c r="I159" s="59">
        <f>(((G159*2)+(H159*4)*MATERIALES!$C$31)+((H159*2)*MATERIALES!$C$32)+((G159*1)*MATERIALES!$C$32))*MATERIALES!$F$2</f>
        <v>3183.48576</v>
      </c>
      <c r="J159" s="59">
        <f>((4*MATERIALES!$C$159)+(4*MATERIALES!$C$174))*2</f>
        <v>79.123199999999997</v>
      </c>
      <c r="K159" s="75"/>
      <c r="L159" s="59">
        <f t="shared" si="19"/>
        <v>3262.60896</v>
      </c>
      <c r="M159" s="70">
        <f t="shared" si="20"/>
        <v>4241.3916479999998</v>
      </c>
      <c r="N159" s="888"/>
      <c r="T159" s="2"/>
      <c r="U159"/>
    </row>
    <row r="160" spans="7:21" hidden="1">
      <c r="G160" s="68">
        <v>1.2</v>
      </c>
      <c r="H160" s="69">
        <v>1.5</v>
      </c>
      <c r="I160" s="59">
        <f>(((G160*2)+(H160*4)*MATERIALES!$C$31)+((H160*2)*MATERIALES!$C$32)+((G160*1)*MATERIALES!$C$32))*MATERIALES!$F$2</f>
        <v>3515.6721599999996</v>
      </c>
      <c r="J160" s="59">
        <f>((4*MATERIALES!$C$159)+(4*MATERIALES!$C$174))*2</f>
        <v>79.123199999999997</v>
      </c>
      <c r="K160" s="75"/>
      <c r="L160" s="59">
        <f t="shared" si="19"/>
        <v>3594.7953599999996</v>
      </c>
      <c r="M160" s="70">
        <f t="shared" si="20"/>
        <v>4673.2339679999995</v>
      </c>
      <c r="N160" s="888"/>
      <c r="T160" s="2"/>
      <c r="U160"/>
    </row>
    <row r="161" spans="7:21" hidden="1">
      <c r="G161" s="68">
        <v>1.5</v>
      </c>
      <c r="H161" s="69">
        <v>0.4</v>
      </c>
      <c r="I161" s="59">
        <f>(((G161*2)+(H161*4)*MATERIALES!$C$31)+((H161*2)*MATERIALES!$C$32)+((G161*1)*MATERIALES!$C$32))*MATERIALES!$F$2</f>
        <v>2761.3403999999996</v>
      </c>
      <c r="J161" s="59">
        <f>((4*MATERIALES!$C$159)+(4*MATERIALES!$C$174))*2</f>
        <v>79.123199999999997</v>
      </c>
      <c r="K161" s="75"/>
      <c r="L161" s="59">
        <f t="shared" si="19"/>
        <v>2840.4635999999996</v>
      </c>
      <c r="M161" s="70">
        <f t="shared" si="20"/>
        <v>3692.6026799999995</v>
      </c>
      <c r="N161" s="888"/>
      <c r="T161" s="2"/>
      <c r="U161"/>
    </row>
    <row r="162" spans="7:21" hidden="1">
      <c r="G162" s="68">
        <v>1.5</v>
      </c>
      <c r="H162" s="69">
        <v>0.6</v>
      </c>
      <c r="I162" s="59">
        <f>(((G162*2)+(H162*4)*MATERIALES!$C$31)+((H162*2)*MATERIALES!$C$32)+((G162*1)*MATERIALES!$C$32))*MATERIALES!$F$2</f>
        <v>2982.7979999999998</v>
      </c>
      <c r="J162" s="59">
        <f>((4*MATERIALES!$C$159)+(4*MATERIALES!$C$174))*2</f>
        <v>79.123199999999997</v>
      </c>
      <c r="K162" s="75"/>
      <c r="L162" s="59">
        <f t="shared" si="19"/>
        <v>3061.9211999999998</v>
      </c>
      <c r="M162" s="70">
        <f t="shared" si="20"/>
        <v>3980.4975599999998</v>
      </c>
      <c r="N162" s="888"/>
      <c r="T162" s="2"/>
      <c r="U162"/>
    </row>
    <row r="163" spans="7:21" hidden="1">
      <c r="G163" s="68">
        <v>1.5</v>
      </c>
      <c r="H163" s="69">
        <v>0.8</v>
      </c>
      <c r="I163" s="59">
        <f>(((G163*2)+(H163*4)*MATERIALES!$C$31)+((H163*2)*MATERIALES!$C$32)+((G163*1)*MATERIALES!$C$32))*MATERIALES!$F$2</f>
        <v>3204.2556000000004</v>
      </c>
      <c r="J163" s="59">
        <f>((4*MATERIALES!$C$159)+(4*MATERIALES!$C$174))*2</f>
        <v>79.123199999999997</v>
      </c>
      <c r="K163" s="75"/>
      <c r="L163" s="59">
        <f t="shared" si="19"/>
        <v>3283.3788000000004</v>
      </c>
      <c r="M163" s="70">
        <f t="shared" si="20"/>
        <v>4268.3924400000005</v>
      </c>
      <c r="N163" s="888"/>
      <c r="T163" s="2"/>
      <c r="U163"/>
    </row>
    <row r="164" spans="7:21" hidden="1">
      <c r="G164" s="68">
        <v>1.5</v>
      </c>
      <c r="H164" s="69">
        <v>1</v>
      </c>
      <c r="I164" s="59">
        <f>(((G164*2)+(H164*4)*MATERIALES!$C$31)+((H164*2)*MATERIALES!$C$32)+((G164*1)*MATERIALES!$C$32))*MATERIALES!$F$2</f>
        <v>3425.7131999999997</v>
      </c>
      <c r="J164" s="59">
        <f>((4*MATERIALES!$C$159)+(4*MATERIALES!$C$174))*2</f>
        <v>79.123199999999997</v>
      </c>
      <c r="K164" s="75"/>
      <c r="L164" s="59">
        <f t="shared" si="19"/>
        <v>3504.8363999999997</v>
      </c>
      <c r="M164" s="70">
        <f t="shared" si="20"/>
        <v>4556.2873199999995</v>
      </c>
      <c r="N164" s="888"/>
      <c r="T164" s="2"/>
      <c r="U164"/>
    </row>
    <row r="165" spans="7:21" hidden="1">
      <c r="G165" s="68">
        <v>1.5</v>
      </c>
      <c r="H165" s="69">
        <v>1.2</v>
      </c>
      <c r="I165" s="59">
        <f>(((G165*2)+(H165*4)*MATERIALES!$C$31)+((H165*2)*MATERIALES!$C$32)+((G165*1)*MATERIALES!$C$32))*MATERIALES!$F$2</f>
        <v>3647.1707999999999</v>
      </c>
      <c r="J165" s="59">
        <f>((4*MATERIALES!$C$159)+(4*MATERIALES!$C$174))*2</f>
        <v>79.123199999999997</v>
      </c>
      <c r="K165" s="75"/>
      <c r="L165" s="59">
        <f t="shared" si="19"/>
        <v>3726.2939999999999</v>
      </c>
      <c r="M165" s="70">
        <f t="shared" si="20"/>
        <v>4844.1822000000002</v>
      </c>
      <c r="N165" s="888"/>
      <c r="T165" s="2"/>
      <c r="U165"/>
    </row>
    <row r="166" spans="7:21" hidden="1">
      <c r="G166" s="68">
        <v>1.5</v>
      </c>
      <c r="H166" s="69">
        <v>1.5</v>
      </c>
      <c r="I166" s="59">
        <f>(((G166*2)+(H166*4)*MATERIALES!$C$31)+((H166*2)*MATERIALES!$C$32)+((G166*1)*MATERIALES!$C$32))*MATERIALES!$F$2</f>
        <v>3979.3572000000004</v>
      </c>
      <c r="J166" s="59">
        <f>((4*MATERIALES!$C$159)+(4*MATERIALES!$C$174))*2</f>
        <v>79.123199999999997</v>
      </c>
      <c r="K166" s="75"/>
      <c r="L166" s="59">
        <f t="shared" si="19"/>
        <v>4058.4804000000004</v>
      </c>
      <c r="M166" s="70">
        <f t="shared" si="20"/>
        <v>5276.0245200000008</v>
      </c>
      <c r="N166" s="888"/>
      <c r="T166" s="2"/>
      <c r="U166"/>
    </row>
    <row r="167" spans="7:21" hidden="1">
      <c r="G167" s="68">
        <v>1.5</v>
      </c>
      <c r="H167" s="69">
        <v>1.8</v>
      </c>
      <c r="I167" s="59">
        <f>(((G167*2)+(H167*4)*MATERIALES!$C$31)+((H167*2)*MATERIALES!$C$32)+((G167*1)*MATERIALES!$C$32))*MATERIALES!$F$2</f>
        <v>4311.5436</v>
      </c>
      <c r="J167" s="59">
        <f>((4*MATERIALES!$C$159)+(4*MATERIALES!$C$174))*2</f>
        <v>79.123199999999997</v>
      </c>
      <c r="K167" s="75"/>
      <c r="L167" s="59">
        <f t="shared" si="19"/>
        <v>4390.6668</v>
      </c>
      <c r="M167" s="70">
        <f t="shared" si="20"/>
        <v>5707.8668400000006</v>
      </c>
      <c r="N167" s="888"/>
      <c r="T167" s="2"/>
      <c r="U167"/>
    </row>
    <row r="168" spans="7:21" hidden="1">
      <c r="G168" s="68">
        <v>1.8</v>
      </c>
      <c r="H168" s="69">
        <v>0.4</v>
      </c>
      <c r="I168" s="59">
        <f>(((G168*2)+(H168*4)*MATERIALES!$C$31)+((H168*2)*MATERIALES!$C$32)+((G168*1)*MATERIALES!$C$32))*MATERIALES!$F$2</f>
        <v>3225.0254400000008</v>
      </c>
      <c r="J168" s="59">
        <f>((4*MATERIALES!$C$159)+(4*MATERIALES!$C$174))*2</f>
        <v>79.123199999999997</v>
      </c>
      <c r="K168" s="75"/>
      <c r="L168" s="59">
        <f t="shared" si="19"/>
        <v>3304.1486400000008</v>
      </c>
      <c r="M168" s="70">
        <f t="shared" si="20"/>
        <v>4295.3932320000013</v>
      </c>
      <c r="N168" s="888"/>
      <c r="T168" s="2"/>
      <c r="U168"/>
    </row>
    <row r="169" spans="7:21" hidden="1">
      <c r="G169" s="68">
        <v>1.8</v>
      </c>
      <c r="H169" s="69">
        <v>0.6</v>
      </c>
      <c r="I169" s="59">
        <f>(((G169*2)+(H169*4)*MATERIALES!$C$31)+((H169*2)*MATERIALES!$C$32)+((G169*1)*MATERIALES!$C$32))*MATERIALES!$F$2</f>
        <v>3446.4830400000005</v>
      </c>
      <c r="J169" s="59">
        <f>((4*MATERIALES!$C$159)+(4*MATERIALES!$C$174))*2</f>
        <v>79.123199999999997</v>
      </c>
      <c r="K169" s="75"/>
      <c r="L169" s="59">
        <f t="shared" si="19"/>
        <v>3525.6062400000005</v>
      </c>
      <c r="M169" s="70">
        <f t="shared" si="20"/>
        <v>4583.2881120000011</v>
      </c>
      <c r="N169" s="888"/>
      <c r="T169" s="2"/>
      <c r="U169"/>
    </row>
    <row r="170" spans="7:21" hidden="1">
      <c r="G170" s="68">
        <v>1.8</v>
      </c>
      <c r="H170" s="69">
        <v>0.8</v>
      </c>
      <c r="I170" s="59">
        <f>(((G170*2)+(H170*4)*MATERIALES!$C$31)+((H170*2)*MATERIALES!$C$32)+((G170*1)*MATERIALES!$C$32))*MATERIALES!$F$2</f>
        <v>3667.9406400000003</v>
      </c>
      <c r="J170" s="59">
        <f>((4*MATERIALES!$C$159)+(4*MATERIALES!$C$174))*2</f>
        <v>79.123199999999997</v>
      </c>
      <c r="K170" s="75"/>
      <c r="L170" s="59">
        <f t="shared" si="19"/>
        <v>3747.0638400000003</v>
      </c>
      <c r="M170" s="70">
        <f t="shared" si="20"/>
        <v>4871.1829920000009</v>
      </c>
      <c r="N170" s="888"/>
      <c r="T170" s="2"/>
      <c r="U170"/>
    </row>
    <row r="171" spans="7:21" hidden="1">
      <c r="G171" s="68">
        <v>1.8</v>
      </c>
      <c r="H171" s="69">
        <v>1</v>
      </c>
      <c r="I171" s="59">
        <f>(((G171*2)+(H171*4)*MATERIALES!$C$31)+((H171*2)*MATERIALES!$C$32)+((G171*1)*MATERIALES!$C$32))*MATERIALES!$F$2</f>
        <v>3889.3982400000004</v>
      </c>
      <c r="J171" s="59">
        <f>((4*MATERIALES!$C$159)+(4*MATERIALES!$C$174))*2</f>
        <v>79.123199999999997</v>
      </c>
      <c r="K171" s="75"/>
      <c r="L171" s="59">
        <f t="shared" si="19"/>
        <v>3968.5214400000004</v>
      </c>
      <c r="M171" s="70">
        <f t="shared" si="20"/>
        <v>5159.0778720000008</v>
      </c>
      <c r="N171" s="888"/>
      <c r="T171" s="2"/>
      <c r="U171"/>
    </row>
    <row r="172" spans="7:21" hidden="1">
      <c r="G172" s="68">
        <v>1.8</v>
      </c>
      <c r="H172" s="69">
        <v>1.2</v>
      </c>
      <c r="I172" s="59">
        <f>(((G172*2)+(H172*4)*MATERIALES!$C$31)+((H172*2)*MATERIALES!$C$32)+((G172*1)*MATERIALES!$C$32))*MATERIALES!$F$2</f>
        <v>4110.8558400000002</v>
      </c>
      <c r="J172" s="59">
        <f>((4*MATERIALES!$C$159)+(4*MATERIALES!$C$174))*2</f>
        <v>79.123199999999997</v>
      </c>
      <c r="K172" s="75"/>
      <c r="L172" s="59">
        <f t="shared" si="19"/>
        <v>4189.9790400000002</v>
      </c>
      <c r="M172" s="70">
        <f t="shared" si="20"/>
        <v>5446.9727520000006</v>
      </c>
      <c r="N172" s="888"/>
      <c r="T172" s="2"/>
      <c r="U172"/>
    </row>
    <row r="173" spans="7:21" hidden="1">
      <c r="G173" s="68">
        <v>1.8</v>
      </c>
      <c r="H173" s="69">
        <v>1.5</v>
      </c>
      <c r="I173" s="59">
        <f>(((G173*2)+(H173*4)*MATERIALES!$C$31)+((H173*2)*MATERIALES!$C$32)+((G173*1)*MATERIALES!$C$32))*MATERIALES!$F$2</f>
        <v>4443.0422400000007</v>
      </c>
      <c r="J173" s="59">
        <f>((4*MATERIALES!$C$159)+(4*MATERIALES!$C$174))*2</f>
        <v>79.123199999999997</v>
      </c>
      <c r="K173" s="75"/>
      <c r="L173" s="59">
        <f t="shared" si="19"/>
        <v>4522.1654400000007</v>
      </c>
      <c r="M173" s="70">
        <f t="shared" si="20"/>
        <v>5878.8150720000012</v>
      </c>
      <c r="N173" s="888"/>
      <c r="T173" s="2"/>
      <c r="U173"/>
    </row>
    <row r="174" spans="7:21" hidden="1">
      <c r="G174" s="68">
        <v>1.8</v>
      </c>
      <c r="H174" s="69">
        <v>1.8</v>
      </c>
      <c r="I174" s="59">
        <f>(((G174*2)+(H174*4)*MATERIALES!$C$31)+((H174*2)*MATERIALES!$C$32)+((G174*1)*MATERIALES!$C$32))*MATERIALES!$F$2</f>
        <v>4775.2286400000012</v>
      </c>
      <c r="J174" s="59">
        <f>((4*MATERIALES!$C$159)+(4*MATERIALES!$C$174))*2</f>
        <v>79.123199999999997</v>
      </c>
      <c r="K174" s="75"/>
      <c r="L174" s="59">
        <f t="shared" si="19"/>
        <v>4854.3518400000012</v>
      </c>
      <c r="M174" s="70">
        <f t="shared" si="20"/>
        <v>6310.6573920000019</v>
      </c>
      <c r="N174" s="888"/>
      <c r="T174" s="2"/>
      <c r="U174"/>
    </row>
    <row r="175" spans="7:21" hidden="1">
      <c r="G175" s="68">
        <v>2</v>
      </c>
      <c r="H175" s="69">
        <v>0.4</v>
      </c>
      <c r="I175" s="59">
        <f>(((G175*2)+(H175*4)*MATERIALES!$C$31)+((H175*2)*MATERIALES!$C$32)+((G175*1)*MATERIALES!$C$32))*MATERIALES!$F$2</f>
        <v>3534.1488000000004</v>
      </c>
      <c r="J175" s="59">
        <f>((4*MATERIALES!$C$159)+(4*MATERIALES!$C$174))*2</f>
        <v>79.123199999999997</v>
      </c>
      <c r="K175" s="75"/>
      <c r="L175" s="59">
        <f t="shared" si="19"/>
        <v>3613.2720000000004</v>
      </c>
      <c r="M175" s="70">
        <f t="shared" si="20"/>
        <v>4697.2536000000009</v>
      </c>
      <c r="N175" s="888"/>
      <c r="T175" s="2"/>
      <c r="U175"/>
    </row>
    <row r="176" spans="7:21" hidden="1">
      <c r="G176" s="68">
        <v>2</v>
      </c>
      <c r="H176" s="69">
        <v>0.6</v>
      </c>
      <c r="I176" s="59">
        <f>(((G176*2)+(H176*4)*MATERIALES!$C$31)+((H176*2)*MATERIALES!$C$32)+((G176*1)*MATERIALES!$C$32))*MATERIALES!$F$2</f>
        <v>3755.6063999999997</v>
      </c>
      <c r="J176" s="59">
        <f>((4*MATERIALES!$C$159)+(4*MATERIALES!$C$174))*2</f>
        <v>79.123199999999997</v>
      </c>
      <c r="K176" s="75"/>
      <c r="L176" s="59">
        <f t="shared" si="19"/>
        <v>3834.7295999999997</v>
      </c>
      <c r="M176" s="70">
        <f t="shared" si="20"/>
        <v>4985.1484799999998</v>
      </c>
      <c r="N176" s="888"/>
      <c r="T176" s="2"/>
      <c r="U176"/>
    </row>
    <row r="177" spans="7:21" hidden="1">
      <c r="G177" s="68">
        <v>2</v>
      </c>
      <c r="H177" s="69">
        <v>0.8</v>
      </c>
      <c r="I177" s="59">
        <f>(((G177*2)+(H177*4)*MATERIALES!$C$31)+((H177*2)*MATERIALES!$C$32)+((G177*1)*MATERIALES!$C$32))*MATERIALES!$F$2</f>
        <v>3977.0639999999999</v>
      </c>
      <c r="J177" s="59">
        <f>((4*MATERIALES!$C$159)+(4*MATERIALES!$C$174))*2</f>
        <v>79.123199999999997</v>
      </c>
      <c r="K177" s="75"/>
      <c r="L177" s="59">
        <f t="shared" si="19"/>
        <v>4056.1871999999998</v>
      </c>
      <c r="M177" s="70">
        <f t="shared" si="20"/>
        <v>5273.0433599999997</v>
      </c>
      <c r="N177" s="888"/>
      <c r="T177" s="2"/>
      <c r="U177"/>
    </row>
    <row r="178" spans="7:21" hidden="1">
      <c r="G178" s="68">
        <v>2</v>
      </c>
      <c r="H178" s="69">
        <v>1</v>
      </c>
      <c r="I178" s="59">
        <f>(((G178*2)+(H178*4)*MATERIALES!$C$31)+((H178*2)*MATERIALES!$C$32)+((G178*1)*MATERIALES!$C$32))*MATERIALES!$F$2</f>
        <v>4198.5216</v>
      </c>
      <c r="J178" s="59">
        <f>((4*MATERIALES!$C$159)+(4*MATERIALES!$C$174))*2</f>
        <v>79.123199999999997</v>
      </c>
      <c r="K178" s="75"/>
      <c r="L178" s="59">
        <f t="shared" si="19"/>
        <v>4277.6448</v>
      </c>
      <c r="M178" s="70">
        <f t="shared" si="20"/>
        <v>5560.9382400000004</v>
      </c>
      <c r="N178" s="888"/>
      <c r="T178" s="2"/>
      <c r="U178"/>
    </row>
    <row r="179" spans="7:21" hidden="1">
      <c r="G179" s="68">
        <v>2</v>
      </c>
      <c r="H179" s="69">
        <v>1.2</v>
      </c>
      <c r="I179" s="59">
        <f>(((G179*2)+(H179*4)*MATERIALES!$C$31)+((H179*2)*MATERIALES!$C$32)+((G179*1)*MATERIALES!$C$32))*MATERIALES!$F$2</f>
        <v>4419.9791999999998</v>
      </c>
      <c r="J179" s="59">
        <f>((4*MATERIALES!$C$159)+(4*MATERIALES!$C$174))*2</f>
        <v>79.123199999999997</v>
      </c>
      <c r="K179" s="75"/>
      <c r="L179" s="59">
        <f t="shared" si="19"/>
        <v>4499.1023999999998</v>
      </c>
      <c r="M179" s="70">
        <f t="shared" si="20"/>
        <v>5848.8331200000002</v>
      </c>
      <c r="N179" s="888"/>
      <c r="T179" s="2"/>
      <c r="U179"/>
    </row>
    <row r="180" spans="7:21" hidden="1">
      <c r="G180" s="68">
        <v>2</v>
      </c>
      <c r="H180" s="69">
        <v>1.5</v>
      </c>
      <c r="I180" s="59">
        <f>(((G180*2)+(H180*4)*MATERIALES!$C$31)+((H180*2)*MATERIALES!$C$32)+((G180*1)*MATERIALES!$C$32))*MATERIALES!$F$2</f>
        <v>4752.1656000000003</v>
      </c>
      <c r="J180" s="59">
        <f>((4*MATERIALES!$C$159)+(4*MATERIALES!$C$174))*2</f>
        <v>79.123199999999997</v>
      </c>
      <c r="K180" s="75"/>
      <c r="L180" s="59">
        <f t="shared" si="19"/>
        <v>4831.2888000000003</v>
      </c>
      <c r="M180" s="70">
        <f t="shared" si="20"/>
        <v>6280.6754400000009</v>
      </c>
      <c r="N180" s="888"/>
      <c r="T180" s="2"/>
      <c r="U180"/>
    </row>
    <row r="181" spans="7:21" hidden="1">
      <c r="G181" s="68">
        <v>2</v>
      </c>
      <c r="H181" s="69">
        <v>1.8</v>
      </c>
      <c r="I181" s="59">
        <f>(((G181*2)+(H181*4)*MATERIALES!$C$31)+((H181*2)*MATERIALES!$C$32)+((G181*1)*MATERIALES!$C$32))*MATERIALES!$F$2</f>
        <v>5084.3519999999999</v>
      </c>
      <c r="J181" s="59">
        <f>((4*MATERIALES!$C$159)+(4*MATERIALES!$C$174))*2</f>
        <v>79.123199999999997</v>
      </c>
      <c r="K181" s="75"/>
      <c r="L181" s="59">
        <f t="shared" si="19"/>
        <v>5163.4751999999999</v>
      </c>
      <c r="M181" s="70">
        <f t="shared" si="20"/>
        <v>6712.5177599999997</v>
      </c>
      <c r="N181" s="888"/>
      <c r="T181" s="2"/>
      <c r="U181"/>
    </row>
    <row r="182" spans="7:21" hidden="1">
      <c r="G182" s="68">
        <v>2.2000000000000002</v>
      </c>
      <c r="H182" s="69">
        <v>0.4</v>
      </c>
      <c r="I182" s="59">
        <f>(((G182*2)+(H182*4)*MATERIALES!$C$31)+((H182*2)*MATERIALES!$C$32)+((G182*1)*MATERIALES!$C$32))*MATERIALES!$F$2</f>
        <v>3843.2721600000004</v>
      </c>
      <c r="J182" s="59">
        <f>((4*MATERIALES!$C$159)+(4*MATERIALES!$C$174))*2</f>
        <v>79.123199999999997</v>
      </c>
      <c r="K182" s="75"/>
      <c r="L182" s="59">
        <f t="shared" si="19"/>
        <v>3922.3953600000004</v>
      </c>
      <c r="M182" s="70">
        <f t="shared" si="20"/>
        <v>5099.1139680000006</v>
      </c>
      <c r="N182" s="888"/>
      <c r="T182" s="2"/>
      <c r="U182"/>
    </row>
    <row r="183" spans="7:21" hidden="1">
      <c r="G183" s="68">
        <v>2.2000000000000002</v>
      </c>
      <c r="H183" s="69">
        <v>0.6</v>
      </c>
      <c r="I183" s="59">
        <f>(((G183*2)+(H183*4)*MATERIALES!$C$31)+((H183*2)*MATERIALES!$C$32)+((G183*1)*MATERIALES!$C$32))*MATERIALES!$F$2</f>
        <v>4064.7297599999997</v>
      </c>
      <c r="J183" s="59">
        <f>((4*MATERIALES!$C$159)+(4*MATERIALES!$C$174))*2</f>
        <v>79.123199999999997</v>
      </c>
      <c r="K183" s="75"/>
      <c r="L183" s="59">
        <f t="shared" si="19"/>
        <v>4143.8529600000002</v>
      </c>
      <c r="M183" s="70">
        <f t="shared" si="20"/>
        <v>5387.0088480000004</v>
      </c>
      <c r="N183" s="888"/>
      <c r="T183" s="2"/>
      <c r="U183"/>
    </row>
    <row r="184" spans="7:21" hidden="1">
      <c r="G184" s="68">
        <v>2.2000000000000002</v>
      </c>
      <c r="H184" s="69">
        <v>0.8</v>
      </c>
      <c r="I184" s="59">
        <f>(((G184*2)+(H184*4)*MATERIALES!$C$31)+((H184*2)*MATERIALES!$C$32)+((G184*1)*MATERIALES!$C$32))*MATERIALES!$F$2</f>
        <v>4286.1873600000008</v>
      </c>
      <c r="J184" s="59">
        <f>((4*MATERIALES!$C$159)+(4*MATERIALES!$C$174))*2</f>
        <v>79.123199999999997</v>
      </c>
      <c r="K184" s="75"/>
      <c r="L184" s="59">
        <f t="shared" si="19"/>
        <v>4365.3105600000008</v>
      </c>
      <c r="M184" s="70">
        <f t="shared" si="20"/>
        <v>5674.9037280000011</v>
      </c>
      <c r="N184" s="888"/>
      <c r="T184" s="2"/>
      <c r="U184"/>
    </row>
    <row r="185" spans="7:21" hidden="1">
      <c r="G185" s="68">
        <v>2.2000000000000002</v>
      </c>
      <c r="H185" s="69">
        <v>1</v>
      </c>
      <c r="I185" s="59">
        <f>(((G185*2)+(H185*4)*MATERIALES!$C$31)+((H185*2)*MATERIALES!$C$32)+((G185*1)*MATERIALES!$C$32))*MATERIALES!$F$2</f>
        <v>4507.6449599999996</v>
      </c>
      <c r="J185" s="59">
        <f>((4*MATERIALES!$C$159)+(4*MATERIALES!$C$174))*2</f>
        <v>79.123199999999997</v>
      </c>
      <c r="K185" s="75"/>
      <c r="L185" s="59">
        <f t="shared" si="19"/>
        <v>4586.7681599999996</v>
      </c>
      <c r="M185" s="70">
        <f t="shared" si="20"/>
        <v>5962.7986080000001</v>
      </c>
      <c r="N185" s="888"/>
      <c r="T185" s="2"/>
      <c r="U185"/>
    </row>
    <row r="186" spans="7:21" hidden="1">
      <c r="G186" s="68">
        <v>2.2000000000000002</v>
      </c>
      <c r="H186" s="69">
        <v>1.2</v>
      </c>
      <c r="I186" s="59">
        <f>(((G186*2)+(H186*4)*MATERIALES!$C$31)+((H186*2)*MATERIALES!$C$32)+((G186*1)*MATERIALES!$C$32))*MATERIALES!$F$2</f>
        <v>4729.1025600000003</v>
      </c>
      <c r="J186" s="59">
        <f>((4*MATERIALES!$C$159)+(4*MATERIALES!$C$174))*2</f>
        <v>79.123199999999997</v>
      </c>
      <c r="K186" s="75"/>
      <c r="L186" s="59">
        <f t="shared" si="19"/>
        <v>4808.2257600000003</v>
      </c>
      <c r="M186" s="70">
        <f t="shared" si="20"/>
        <v>6250.6934880000008</v>
      </c>
      <c r="N186" s="888"/>
      <c r="T186" s="2"/>
      <c r="U186"/>
    </row>
    <row r="187" spans="7:21" hidden="1">
      <c r="G187" s="68">
        <v>2.2000000000000002</v>
      </c>
      <c r="H187" s="69">
        <v>1.5</v>
      </c>
      <c r="I187" s="59">
        <f>(((G187*2)+(H187*4)*MATERIALES!$C$31)+((H187*2)*MATERIALES!$C$32)+((G187*1)*MATERIALES!$C$32))*MATERIALES!$F$2</f>
        <v>5061.2889600000008</v>
      </c>
      <c r="J187" s="59">
        <f>((4*MATERIALES!$C$159)+(4*MATERIALES!$C$174))*2</f>
        <v>79.123199999999997</v>
      </c>
      <c r="K187" s="75"/>
      <c r="L187" s="59">
        <f t="shared" si="19"/>
        <v>5140.4121600000008</v>
      </c>
      <c r="M187" s="70">
        <f t="shared" si="20"/>
        <v>6682.5358080000015</v>
      </c>
      <c r="N187" s="888"/>
      <c r="T187" s="2"/>
      <c r="U187"/>
    </row>
    <row r="188" spans="7:21" hidden="1">
      <c r="G188" s="68">
        <v>2.2000000000000002</v>
      </c>
      <c r="H188" s="69">
        <v>1.8</v>
      </c>
      <c r="I188" s="59">
        <f>(((G188*2)+(H188*4)*MATERIALES!$C$31)+((H188*2)*MATERIALES!$C$32)+((G188*1)*MATERIALES!$C$32))*MATERIALES!$F$2</f>
        <v>5393.4753600000004</v>
      </c>
      <c r="J188" s="59">
        <f>((4*MATERIALES!$C$159)+(4*MATERIALES!$C$174))*2</f>
        <v>79.123199999999997</v>
      </c>
      <c r="K188" s="75"/>
      <c r="L188" s="59">
        <f t="shared" si="19"/>
        <v>5472.5985600000004</v>
      </c>
      <c r="M188" s="70">
        <f t="shared" si="20"/>
        <v>7114.3781280000003</v>
      </c>
      <c r="N188" s="888"/>
      <c r="T188" s="2"/>
      <c r="U188"/>
    </row>
    <row r="189" spans="7:21" hidden="1">
      <c r="G189" s="68">
        <v>2.4</v>
      </c>
      <c r="H189" s="69">
        <v>0.4</v>
      </c>
      <c r="I189" s="59">
        <f>(((G189*2)+(H189*4)*MATERIALES!$C$31)+((H189*2)*MATERIALES!$C$32)+((G189*1)*MATERIALES!$C$32))*MATERIALES!$F$2</f>
        <v>4152.39552</v>
      </c>
      <c r="J189" s="59">
        <f>((4*MATERIALES!$C$159)+(4*MATERIALES!$C$174))*2</f>
        <v>79.123199999999997</v>
      </c>
      <c r="K189" s="75"/>
      <c r="L189" s="59">
        <f t="shared" si="19"/>
        <v>4231.51872</v>
      </c>
      <c r="M189" s="70">
        <f t="shared" si="20"/>
        <v>5500.9743360000002</v>
      </c>
      <c r="N189" s="888"/>
      <c r="T189" s="2"/>
      <c r="U189"/>
    </row>
    <row r="190" spans="7:21" hidden="1">
      <c r="G190" s="68">
        <v>2.4</v>
      </c>
      <c r="H190" s="69">
        <v>0.6</v>
      </c>
      <c r="I190" s="59">
        <f>(((G190*2)+(H190*4)*MATERIALES!$C$31)+((H190*2)*MATERIALES!$C$32)+((G190*1)*MATERIALES!$C$32))*MATERIALES!$F$2</f>
        <v>4373.8531199999998</v>
      </c>
      <c r="J190" s="59">
        <f>((4*MATERIALES!$C$159)+(4*MATERIALES!$C$174))*2</f>
        <v>79.123199999999997</v>
      </c>
      <c r="K190" s="75"/>
      <c r="L190" s="59">
        <f t="shared" si="19"/>
        <v>4452.9763199999998</v>
      </c>
      <c r="M190" s="70">
        <f t="shared" si="20"/>
        <v>5788.8692160000001</v>
      </c>
      <c r="N190" s="888"/>
      <c r="T190" s="2"/>
      <c r="U190"/>
    </row>
    <row r="191" spans="7:21" hidden="1">
      <c r="G191" s="68">
        <v>2.4</v>
      </c>
      <c r="H191" s="69">
        <v>0.8</v>
      </c>
      <c r="I191" s="59">
        <f>(((G191*2)+(H191*4)*MATERIALES!$C$31)+((H191*2)*MATERIALES!$C$32)+((G191*1)*MATERIALES!$C$32))*MATERIALES!$F$2</f>
        <v>4595.3107200000004</v>
      </c>
      <c r="J191" s="59">
        <f>((4*MATERIALES!$C$159)+(4*MATERIALES!$C$174))*2</f>
        <v>79.123199999999997</v>
      </c>
      <c r="K191" s="75"/>
      <c r="L191" s="59">
        <f t="shared" si="19"/>
        <v>4674.4339200000004</v>
      </c>
      <c r="M191" s="70">
        <f t="shared" si="20"/>
        <v>6076.7640960000008</v>
      </c>
      <c r="N191" s="888"/>
      <c r="T191" s="2"/>
      <c r="U191"/>
    </row>
    <row r="192" spans="7:21" hidden="1">
      <c r="G192" s="68">
        <v>2.4</v>
      </c>
      <c r="H192" s="69">
        <v>1</v>
      </c>
      <c r="I192" s="59">
        <f>(((G192*2)+(H192*4)*MATERIALES!$C$31)+((H192*2)*MATERIALES!$C$32)+((G192*1)*MATERIALES!$C$32))*MATERIALES!$F$2</f>
        <v>4816.7683200000001</v>
      </c>
      <c r="J192" s="59">
        <f>((4*MATERIALES!$C$159)+(4*MATERIALES!$C$174))*2</f>
        <v>79.123199999999997</v>
      </c>
      <c r="K192" s="75"/>
      <c r="L192" s="59">
        <f t="shared" si="19"/>
        <v>4895.8915200000001</v>
      </c>
      <c r="M192" s="70">
        <f t="shared" si="20"/>
        <v>6364.6589760000006</v>
      </c>
      <c r="N192" s="888"/>
      <c r="T192" s="2"/>
      <c r="U192"/>
    </row>
    <row r="193" spans="7:21" hidden="1">
      <c r="G193" s="68">
        <v>2.4</v>
      </c>
      <c r="H193" s="69">
        <v>1.2</v>
      </c>
      <c r="I193" s="59">
        <f>(((G193*2)+(H193*4)*MATERIALES!$C$31)+((H193*2)*MATERIALES!$C$32)+((G193*1)*MATERIALES!$C$32))*MATERIALES!$F$2</f>
        <v>5038.2259200000008</v>
      </c>
      <c r="J193" s="59">
        <f>((4*MATERIALES!$C$159)+(4*MATERIALES!$C$174))*2</f>
        <v>79.123199999999997</v>
      </c>
      <c r="K193" s="75"/>
      <c r="L193" s="59">
        <f t="shared" si="19"/>
        <v>5117.3491200000008</v>
      </c>
      <c r="M193" s="70">
        <f t="shared" si="20"/>
        <v>6652.5538560000014</v>
      </c>
      <c r="N193" s="888"/>
      <c r="T193" s="2"/>
      <c r="U193"/>
    </row>
    <row r="194" spans="7:21" hidden="1">
      <c r="G194" s="68">
        <v>2.4</v>
      </c>
      <c r="H194" s="69">
        <v>1.5</v>
      </c>
      <c r="I194" s="59">
        <f>(((G194*2)+(H194*4)*MATERIALES!$C$31)+((H194*2)*MATERIALES!$C$32)+((G194*1)*MATERIALES!$C$32))*MATERIALES!$F$2</f>
        <v>5370.4123200000004</v>
      </c>
      <c r="J194" s="59">
        <f>((4*MATERIALES!$C$159)+(4*MATERIALES!$C$174))*2</f>
        <v>79.123199999999997</v>
      </c>
      <c r="K194" s="75"/>
      <c r="L194" s="59">
        <f t="shared" si="19"/>
        <v>5449.5355200000004</v>
      </c>
      <c r="M194" s="70">
        <f t="shared" si="20"/>
        <v>7084.3961760000011</v>
      </c>
      <c r="N194" s="888"/>
      <c r="T194" s="2"/>
      <c r="U194"/>
    </row>
    <row r="195" spans="7:21" ht="15.75" hidden="1" thickBot="1">
      <c r="G195" s="71">
        <v>2.4</v>
      </c>
      <c r="H195" s="72">
        <v>1.8</v>
      </c>
      <c r="I195" s="60">
        <f>(((G195*2)+(H195*4)*MATERIALES!$C$31)+((H195*2)*MATERIALES!$C$32)+((G195*1)*MATERIALES!$C$32))*MATERIALES!$F$2</f>
        <v>5702.59872</v>
      </c>
      <c r="J195" s="60">
        <f>((4*MATERIALES!$C$159)+(4*MATERIALES!$C$174))*2</f>
        <v>79.123199999999997</v>
      </c>
      <c r="K195" s="76"/>
      <c r="L195" s="60">
        <f t="shared" si="19"/>
        <v>5781.72192</v>
      </c>
      <c r="M195" s="73">
        <f t="shared" si="20"/>
        <v>7516.2384959999999</v>
      </c>
      <c r="N195" s="889"/>
      <c r="T195" s="2"/>
      <c r="U195"/>
    </row>
    <row r="196" spans="7:21" hidden="1">
      <c r="M196" s="32"/>
      <c r="T196" s="2"/>
      <c r="U196"/>
    </row>
    <row r="197" spans="7:21" ht="15.75" hidden="1" thickBot="1"/>
    <row r="198" spans="7:21" ht="15.75" hidden="1" thickBot="1">
      <c r="H198" s="32"/>
      <c r="I198" s="789">
        <v>0.3</v>
      </c>
      <c r="J198" s="790"/>
      <c r="K198" s="790"/>
      <c r="L198" s="791"/>
      <c r="M198" s="46" t="s">
        <v>163</v>
      </c>
    </row>
    <row r="199" spans="7:21" ht="15.75" hidden="1" thickBot="1">
      <c r="G199" s="792" t="s">
        <v>253</v>
      </c>
      <c r="H199" s="793"/>
      <c r="I199" s="793"/>
      <c r="J199" s="793"/>
      <c r="K199" s="793"/>
      <c r="L199" s="793"/>
      <c r="M199" s="794"/>
      <c r="N199" s="94"/>
    </row>
    <row r="200" spans="7:21" ht="15.75" hidden="1" thickBot="1">
      <c r="G200" s="36" t="s">
        <v>116</v>
      </c>
      <c r="H200" s="36" t="s">
        <v>117</v>
      </c>
      <c r="I200" s="36" t="s">
        <v>162</v>
      </c>
      <c r="J200" s="36" t="s">
        <v>119</v>
      </c>
      <c r="K200" s="36" t="s">
        <v>120</v>
      </c>
      <c r="L200" s="36" t="s">
        <v>121</v>
      </c>
      <c r="M200" s="36" t="s">
        <v>122</v>
      </c>
      <c r="T200" s="2"/>
      <c r="U200"/>
    </row>
    <row r="201" spans="7:21" ht="15.75" hidden="1" thickBot="1">
      <c r="G201" s="91"/>
      <c r="H201" s="92"/>
      <c r="I201" s="92"/>
      <c r="J201" s="92"/>
      <c r="K201" s="92"/>
      <c r="L201" s="92"/>
      <c r="M201" s="93"/>
      <c r="T201" s="2"/>
      <c r="U201"/>
    </row>
    <row r="202" spans="7:21" hidden="1">
      <c r="G202" s="65">
        <v>1.2</v>
      </c>
      <c r="H202" s="66">
        <v>2</v>
      </c>
      <c r="I202" s="58">
        <f>(((G202*2)+(H202*4)*MATERIALES!$C$31)+((H202*2)*MATERIALES!$C$32)+((G202*2)*MATERIALES!$C$32))*MATERIALES!$F$2</f>
        <v>4351.5763200000001</v>
      </c>
      <c r="J202" s="58">
        <f>((6*MATERIALES!$C$159)+(6*MATERIALES!$C$174))*2</f>
        <v>118.68480000000001</v>
      </c>
      <c r="K202" s="74"/>
      <c r="L202" s="58">
        <f>SUM(I202:K202)</f>
        <v>4470.2611200000001</v>
      </c>
      <c r="M202" s="67">
        <f>SUM(I202:K202)*1.3</f>
        <v>5811.3394560000006</v>
      </c>
      <c r="N202" s="786" t="s">
        <v>254</v>
      </c>
      <c r="T202" s="2"/>
      <c r="U202"/>
    </row>
    <row r="203" spans="7:21" hidden="1">
      <c r="G203" s="68">
        <v>1.5</v>
      </c>
      <c r="H203" s="69">
        <v>2</v>
      </c>
      <c r="I203" s="59">
        <f>(((G203*2)+(H203*4)*MATERIALES!$C$31)+((H203*2)*MATERIALES!$C$32)+((G203*2)*MATERIALES!$C$32))*MATERIALES!$F$2</f>
        <v>4885.8263999999999</v>
      </c>
      <c r="J203" s="59">
        <f>((6*MATERIALES!$C$159)+(6*MATERIALES!$C$174))*2</f>
        <v>118.68480000000001</v>
      </c>
      <c r="K203" s="75"/>
      <c r="L203" s="59">
        <f t="shared" ref="L203:L207" si="21">SUM(I203:K203)</f>
        <v>5004.5111999999999</v>
      </c>
      <c r="M203" s="70">
        <f>SUM(I203:K203)*1.3</f>
        <v>6505.86456</v>
      </c>
      <c r="N203" s="787"/>
      <c r="T203" s="2"/>
      <c r="U203"/>
    </row>
    <row r="204" spans="7:21" hidden="1">
      <c r="G204" s="68">
        <v>1.8</v>
      </c>
      <c r="H204" s="69">
        <v>2</v>
      </c>
      <c r="I204" s="59">
        <f>(((G204*2)+(H204*4)*MATERIALES!$C$31)+((H204*2)*MATERIALES!$C$32)+((G204*2)*MATERIALES!$C$32))*MATERIALES!$F$2</f>
        <v>5420.0764800000015</v>
      </c>
      <c r="J204" s="59">
        <f>((6*MATERIALES!$C$159)+(6*MATERIALES!$C$174))*2</f>
        <v>118.68480000000001</v>
      </c>
      <c r="K204" s="75"/>
      <c r="L204" s="59">
        <f t="shared" si="21"/>
        <v>5538.7612800000015</v>
      </c>
      <c r="M204" s="70">
        <f t="shared" ref="M204:M207" si="22">SUM(I204:K204)*1.3</f>
        <v>7200.3896640000021</v>
      </c>
      <c r="N204" s="787"/>
      <c r="T204" s="2"/>
      <c r="U204"/>
    </row>
    <row r="205" spans="7:21" hidden="1">
      <c r="G205" s="68">
        <v>2</v>
      </c>
      <c r="H205" s="69">
        <v>2</v>
      </c>
      <c r="I205" s="59">
        <f>(((G205*2)+(H205*4)*MATERIALES!$C$31)+((H205*2)*MATERIALES!$C$32)+((G205*2)*MATERIALES!$C$32))*MATERIALES!$F$2</f>
        <v>5776.2431999999999</v>
      </c>
      <c r="J205" s="59">
        <f>((6*MATERIALES!$C$159)+(6*MATERIALES!$C$174))*2</f>
        <v>118.68480000000001</v>
      </c>
      <c r="K205" s="75"/>
      <c r="L205" s="59">
        <f t="shared" si="21"/>
        <v>5894.9279999999999</v>
      </c>
      <c r="M205" s="70">
        <f t="shared" si="22"/>
        <v>7663.4063999999998</v>
      </c>
      <c r="N205" s="787"/>
      <c r="T205" s="2"/>
      <c r="U205"/>
    </row>
    <row r="206" spans="7:21" hidden="1">
      <c r="G206" s="68">
        <v>2.2000000000000002</v>
      </c>
      <c r="H206" s="69">
        <v>2</v>
      </c>
      <c r="I206" s="59">
        <f>(((G206*2)+(H206*4)*MATERIALES!$C$31)+((H206*2)*MATERIALES!$C$32)+((G206*2)*MATERIALES!$C$32))*MATERIALES!$F$2</f>
        <v>6132.409920000001</v>
      </c>
      <c r="J206" s="59">
        <f>((6*MATERIALES!$C$159)+(6*MATERIALES!$C$174))*2</f>
        <v>118.68480000000001</v>
      </c>
      <c r="K206" s="75"/>
      <c r="L206" s="59">
        <f t="shared" si="21"/>
        <v>6251.094720000001</v>
      </c>
      <c r="M206" s="70">
        <f t="shared" si="22"/>
        <v>8126.4231360000013</v>
      </c>
      <c r="N206" s="787"/>
      <c r="T206" s="2"/>
      <c r="U206"/>
    </row>
    <row r="207" spans="7:21" ht="15.75" hidden="1" thickBot="1">
      <c r="G207" s="71">
        <v>2.4</v>
      </c>
      <c r="H207" s="72">
        <v>2</v>
      </c>
      <c r="I207" s="60">
        <f>(((G207*2)+(H207*4)*MATERIALES!$C$31)+((H207*2)*MATERIALES!$C$32)+((G207*2)*MATERIALES!$C$32))*MATERIALES!$F$2</f>
        <v>6488.5766400000002</v>
      </c>
      <c r="J207" s="60">
        <f>((6*MATERIALES!$C$159)+(6*MATERIALES!$C$174))*2</f>
        <v>118.68480000000001</v>
      </c>
      <c r="K207" s="76"/>
      <c r="L207" s="60">
        <f t="shared" si="21"/>
        <v>6607.2614400000002</v>
      </c>
      <c r="M207" s="73">
        <f t="shared" si="22"/>
        <v>8589.4398720000008</v>
      </c>
      <c r="N207" s="788"/>
      <c r="T207" s="2"/>
      <c r="U207"/>
    </row>
    <row r="208" spans="7:21" hidden="1"/>
    <row r="209" spans="27:34" ht="15.75" hidden="1" thickBot="1"/>
    <row r="210" spans="27:34" ht="15" customHeight="1">
      <c r="AA210" s="841" t="s">
        <v>620</v>
      </c>
      <c r="AB210" s="842"/>
      <c r="AC210" s="842"/>
      <c r="AD210" s="842"/>
      <c r="AE210" s="842"/>
      <c r="AF210" s="843"/>
      <c r="AH210" s="884" t="s">
        <v>621</v>
      </c>
    </row>
    <row r="211" spans="27:34" ht="15.75" customHeight="1" thickBot="1">
      <c r="AA211" s="844"/>
      <c r="AB211" s="845"/>
      <c r="AC211" s="845"/>
      <c r="AD211" s="845"/>
      <c r="AE211" s="845"/>
      <c r="AF211" s="846"/>
      <c r="AH211" s="885"/>
    </row>
    <row r="212" spans="27:34" ht="38.25" customHeight="1" thickBot="1">
      <c r="AA212" s="239" t="s">
        <v>534</v>
      </c>
      <c r="AB212" s="240" t="s">
        <v>622</v>
      </c>
      <c r="AC212" s="240" t="s">
        <v>623</v>
      </c>
      <c r="AD212" s="240" t="s">
        <v>624</v>
      </c>
      <c r="AE212" s="241" t="s">
        <v>537</v>
      </c>
      <c r="AF212" s="241" t="s">
        <v>645</v>
      </c>
      <c r="AH212" s="885"/>
    </row>
    <row r="213" spans="27:34" ht="15.75">
      <c r="AA213" s="245" t="s">
        <v>539</v>
      </c>
      <c r="AB213" s="246">
        <f>+I6</f>
        <v>1970.6585439999999</v>
      </c>
      <c r="AC213" s="246">
        <f>+J6</f>
        <v>3635.8073439999998</v>
      </c>
      <c r="AD213" s="246">
        <f>+K6</f>
        <v>2360.6585439999999</v>
      </c>
      <c r="AE213" s="247">
        <f>+H80</f>
        <v>316.99948799999999</v>
      </c>
      <c r="AF213" s="346">
        <f>+M6</f>
        <v>0</v>
      </c>
      <c r="AH213" s="885"/>
    </row>
    <row r="214" spans="27:34" ht="15.75">
      <c r="AA214" s="245" t="s">
        <v>540</v>
      </c>
      <c r="AB214" s="246">
        <f t="shared" ref="AB214:AB252" si="23">+I7</f>
        <v>2139.6353440000003</v>
      </c>
      <c r="AC214" s="246">
        <f t="shared" ref="AC214:AC252" si="24">+J7</f>
        <v>4315.0875040000001</v>
      </c>
      <c r="AD214" s="246">
        <f t="shared" ref="AD214:AD252" si="25">+K7</f>
        <v>2724.6353440000003</v>
      </c>
      <c r="AE214" s="247">
        <f t="shared" ref="AE214:AE252" si="26">+H81</f>
        <v>406.10419200000001</v>
      </c>
      <c r="AF214" s="346">
        <f t="shared" ref="AF214:AF252" si="27">+M7</f>
        <v>0</v>
      </c>
      <c r="AH214" s="885"/>
    </row>
    <row r="215" spans="27:34" ht="15.75">
      <c r="AA215" s="245" t="s">
        <v>541</v>
      </c>
      <c r="AB215" s="246">
        <f t="shared" si="23"/>
        <v>2079.6106719999998</v>
      </c>
      <c r="AC215" s="246">
        <f t="shared" si="24"/>
        <v>4053.6868320000003</v>
      </c>
      <c r="AD215" s="246">
        <f t="shared" si="25"/>
        <v>2599.6106719999998</v>
      </c>
      <c r="AE215" s="247">
        <f t="shared" si="26"/>
        <v>358.42060800000002</v>
      </c>
      <c r="AF215" s="346">
        <f t="shared" si="27"/>
        <v>0</v>
      </c>
      <c r="AH215" s="885"/>
    </row>
    <row r="216" spans="27:34" ht="15.75">
      <c r="AA216" s="245" t="s">
        <v>542</v>
      </c>
      <c r="AB216" s="246">
        <f t="shared" si="23"/>
        <v>2290.9874719999998</v>
      </c>
      <c r="AC216" s="246">
        <f t="shared" si="24"/>
        <v>4836.9669920000006</v>
      </c>
      <c r="AD216" s="246">
        <f t="shared" si="25"/>
        <v>3070.9874719999998</v>
      </c>
      <c r="AE216" s="247">
        <f t="shared" si="26"/>
        <v>467.18131199999999</v>
      </c>
      <c r="AF216" s="346">
        <f t="shared" si="27"/>
        <v>0</v>
      </c>
      <c r="AH216" s="885"/>
    </row>
    <row r="217" spans="27:34" ht="15.75">
      <c r="AA217" s="245" t="s">
        <v>543</v>
      </c>
      <c r="AB217" s="246">
        <f t="shared" si="23"/>
        <v>2502.3642720000003</v>
      </c>
      <c r="AC217" s="246">
        <f t="shared" si="24"/>
        <v>5620.2471519999999</v>
      </c>
      <c r="AD217" s="246">
        <f t="shared" si="25"/>
        <v>3542.3642720000003</v>
      </c>
      <c r="AE217" s="247">
        <f t="shared" si="26"/>
        <v>575.94201600000008</v>
      </c>
      <c r="AF217" s="346">
        <f t="shared" si="27"/>
        <v>0</v>
      </c>
      <c r="AH217" s="885"/>
    </row>
    <row r="218" spans="27:34" ht="15.75">
      <c r="AA218" s="245" t="s">
        <v>544</v>
      </c>
      <c r="AB218" s="246">
        <f t="shared" si="23"/>
        <v>2188.5628000000002</v>
      </c>
      <c r="AC218" s="246">
        <f t="shared" si="24"/>
        <v>4471.5663199999999</v>
      </c>
      <c r="AD218" s="246">
        <f t="shared" si="25"/>
        <v>2838.5628000000002</v>
      </c>
      <c r="AE218" s="247">
        <f t="shared" si="26"/>
        <v>399.84172800000005</v>
      </c>
      <c r="AF218" s="346">
        <f t="shared" si="27"/>
        <v>0</v>
      </c>
      <c r="AH218" s="885"/>
    </row>
    <row r="219" spans="27:34" ht="16.5" thickBot="1">
      <c r="AA219" s="245" t="s">
        <v>545</v>
      </c>
      <c r="AB219" s="246">
        <f t="shared" si="23"/>
        <v>2442.3396000000002</v>
      </c>
      <c r="AC219" s="246">
        <f t="shared" si="24"/>
        <v>5358.8464800000002</v>
      </c>
      <c r="AD219" s="246">
        <f t="shared" si="25"/>
        <v>3417.3396000000002</v>
      </c>
      <c r="AE219" s="247">
        <f t="shared" si="26"/>
        <v>528.25843199999997</v>
      </c>
      <c r="AF219" s="346">
        <f t="shared" si="27"/>
        <v>0</v>
      </c>
      <c r="AH219" s="886"/>
    </row>
    <row r="220" spans="27:34" ht="15.75">
      <c r="AA220" s="249" t="s">
        <v>546</v>
      </c>
      <c r="AB220" s="246">
        <f t="shared" si="23"/>
        <v>2696.1163999999999</v>
      </c>
      <c r="AC220" s="246">
        <f t="shared" si="24"/>
        <v>6246.1266400000004</v>
      </c>
      <c r="AD220" s="246">
        <f t="shared" si="25"/>
        <v>3996.1163999999999</v>
      </c>
      <c r="AE220" s="247">
        <f t="shared" si="26"/>
        <v>656.67513599999995</v>
      </c>
      <c r="AF220" s="346">
        <f t="shared" si="27"/>
        <v>0</v>
      </c>
      <c r="AG220" s="252"/>
      <c r="AH220" s="252"/>
    </row>
    <row r="221" spans="27:34" ht="15.75">
      <c r="AA221" s="249" t="s">
        <v>547</v>
      </c>
      <c r="AB221" s="246">
        <f t="shared" si="23"/>
        <v>2949.8932000000004</v>
      </c>
      <c r="AC221" s="246">
        <f t="shared" si="24"/>
        <v>7133.4068000000007</v>
      </c>
      <c r="AD221" s="246">
        <f t="shared" si="25"/>
        <v>4574.8932000000004</v>
      </c>
      <c r="AE221" s="247">
        <f t="shared" si="26"/>
        <v>785.09183999999993</v>
      </c>
      <c r="AF221" s="346">
        <f t="shared" si="27"/>
        <v>0</v>
      </c>
      <c r="AG221" s="252"/>
      <c r="AH221" s="252"/>
    </row>
    <row r="222" spans="27:34" ht="15.75">
      <c r="AA222" s="249" t="s">
        <v>548</v>
      </c>
      <c r="AB222" s="246">
        <f t="shared" si="23"/>
        <v>3076.7816000000003</v>
      </c>
      <c r="AC222" s="246">
        <f t="shared" si="24"/>
        <v>7577.0468800000008</v>
      </c>
      <c r="AD222" s="246">
        <f t="shared" si="25"/>
        <v>4864.2816000000003</v>
      </c>
      <c r="AE222" s="247">
        <f t="shared" si="26"/>
        <v>849.30019200000004</v>
      </c>
      <c r="AF222" s="346">
        <f t="shared" si="27"/>
        <v>0</v>
      </c>
      <c r="AG222" s="252"/>
      <c r="AH222" s="252"/>
    </row>
    <row r="223" spans="27:34" ht="15.75">
      <c r="AA223" s="249" t="s">
        <v>549</v>
      </c>
      <c r="AB223" s="246">
        <f t="shared" si="23"/>
        <v>3203.67</v>
      </c>
      <c r="AC223" s="246">
        <f t="shared" si="24"/>
        <v>8020.6869600000009</v>
      </c>
      <c r="AD223" s="246">
        <f t="shared" si="25"/>
        <v>5153.67</v>
      </c>
      <c r="AE223" s="247">
        <f t="shared" si="26"/>
        <v>913.50854399999992</v>
      </c>
      <c r="AF223" s="346">
        <f t="shared" si="27"/>
        <v>0</v>
      </c>
      <c r="AG223" s="252"/>
      <c r="AH223" s="252"/>
    </row>
    <row r="224" spans="27:34" ht="15.75">
      <c r="AA224" s="249" t="s">
        <v>550</v>
      </c>
      <c r="AB224" s="246">
        <f t="shared" si="23"/>
        <v>3584.3352000000004</v>
      </c>
      <c r="AC224" s="246">
        <f t="shared" si="24"/>
        <v>9351.6072000000004</v>
      </c>
      <c r="AD224" s="246">
        <f t="shared" si="25"/>
        <v>6021.8352000000004</v>
      </c>
      <c r="AE224" s="247">
        <f t="shared" si="26"/>
        <v>1106.1335999999999</v>
      </c>
      <c r="AF224" s="346">
        <f t="shared" si="27"/>
        <v>0</v>
      </c>
      <c r="AG224" s="252"/>
      <c r="AH224" s="252"/>
    </row>
    <row r="225" spans="27:34" ht="15.75">
      <c r="AA225" s="249" t="s">
        <v>551</v>
      </c>
      <c r="AB225" s="246">
        <f t="shared" si="23"/>
        <v>2297.5149279999996</v>
      </c>
      <c r="AC225" s="246">
        <f t="shared" si="24"/>
        <v>4889.4458080000004</v>
      </c>
      <c r="AD225" s="246">
        <f t="shared" si="25"/>
        <v>3077.5149279999996</v>
      </c>
      <c r="AE225" s="247">
        <f t="shared" si="26"/>
        <v>441.26284800000002</v>
      </c>
      <c r="AF225" s="346">
        <f t="shared" si="27"/>
        <v>0</v>
      </c>
      <c r="AG225" s="252"/>
      <c r="AH225" s="252"/>
    </row>
    <row r="226" spans="27:34" ht="15.75">
      <c r="AA226" s="249" t="s">
        <v>552</v>
      </c>
      <c r="AB226" s="246">
        <f t="shared" si="23"/>
        <v>2593.6917280000002</v>
      </c>
      <c r="AC226" s="246">
        <f t="shared" si="24"/>
        <v>5880.7259679999997</v>
      </c>
      <c r="AD226" s="246">
        <f t="shared" si="25"/>
        <v>3763.6917279999998</v>
      </c>
      <c r="AE226" s="247">
        <f t="shared" si="26"/>
        <v>589.33555200000001</v>
      </c>
      <c r="AF226" s="346">
        <f t="shared" si="27"/>
        <v>0</v>
      </c>
      <c r="AG226" s="252"/>
      <c r="AH226" s="252"/>
    </row>
    <row r="227" spans="27:34" ht="15.75">
      <c r="AA227" s="249" t="s">
        <v>553</v>
      </c>
      <c r="AB227" s="246">
        <f t="shared" si="23"/>
        <v>2889.868528</v>
      </c>
      <c r="AC227" s="246">
        <f t="shared" si="24"/>
        <v>6872.0061280000009</v>
      </c>
      <c r="AD227" s="246">
        <f t="shared" si="25"/>
        <v>4449.868528</v>
      </c>
      <c r="AE227" s="247">
        <f t="shared" si="26"/>
        <v>737.40825600000005</v>
      </c>
      <c r="AF227" s="346">
        <f t="shared" si="27"/>
        <v>0</v>
      </c>
      <c r="AG227" s="252"/>
      <c r="AH227" s="252"/>
    </row>
    <row r="228" spans="27:34" ht="15.75">
      <c r="AA228" s="249" t="s">
        <v>554</v>
      </c>
      <c r="AB228" s="246">
        <f t="shared" si="23"/>
        <v>3186.0453280000002</v>
      </c>
      <c r="AC228" s="246">
        <f t="shared" si="24"/>
        <v>7863.2862879999993</v>
      </c>
      <c r="AD228" s="246">
        <f t="shared" si="25"/>
        <v>5136.0453280000002</v>
      </c>
      <c r="AE228" s="247">
        <f t="shared" si="26"/>
        <v>885.48095999999998</v>
      </c>
      <c r="AF228" s="346">
        <f t="shared" si="27"/>
        <v>0</v>
      </c>
      <c r="AG228" s="252"/>
      <c r="AH228" s="252"/>
    </row>
    <row r="229" spans="27:34" ht="15.75">
      <c r="AA229" s="249" t="s">
        <v>555</v>
      </c>
      <c r="AB229" s="246">
        <f t="shared" si="23"/>
        <v>3334.1337280000002</v>
      </c>
      <c r="AC229" s="246">
        <f t="shared" si="24"/>
        <v>8358.9263680000004</v>
      </c>
      <c r="AD229" s="246">
        <f t="shared" si="25"/>
        <v>5479.1337280000007</v>
      </c>
      <c r="AE229" s="247">
        <f t="shared" si="26"/>
        <v>959.51731200000006</v>
      </c>
      <c r="AF229" s="346">
        <f t="shared" si="27"/>
        <v>0</v>
      </c>
      <c r="AG229" s="252"/>
      <c r="AH229" s="252"/>
    </row>
    <row r="230" spans="27:34" ht="15.75">
      <c r="AA230" s="249" t="s">
        <v>556</v>
      </c>
      <c r="AB230" s="246">
        <f t="shared" si="23"/>
        <v>3482.2221279999994</v>
      </c>
      <c r="AC230" s="246">
        <f t="shared" si="24"/>
        <v>8854.5664479999996</v>
      </c>
      <c r="AD230" s="246">
        <f t="shared" si="25"/>
        <v>5822.2221279999994</v>
      </c>
      <c r="AE230" s="247">
        <f t="shared" si="26"/>
        <v>1033.553664</v>
      </c>
      <c r="AF230" s="346">
        <f t="shared" si="27"/>
        <v>0</v>
      </c>
      <c r="AG230" s="252"/>
      <c r="AH230" s="252"/>
    </row>
    <row r="231" spans="27:34" ht="15.75">
      <c r="AA231" s="249" t="s">
        <v>557</v>
      </c>
      <c r="AB231" s="246">
        <f t="shared" si="23"/>
        <v>3926.4873279999997</v>
      </c>
      <c r="AC231" s="246">
        <f t="shared" si="24"/>
        <v>10341.486687999997</v>
      </c>
      <c r="AD231" s="246">
        <f t="shared" si="25"/>
        <v>8462.4873279999993</v>
      </c>
      <c r="AE231" s="247">
        <f t="shared" si="26"/>
        <v>1255.66272</v>
      </c>
      <c r="AF231" s="346">
        <f t="shared" si="27"/>
        <v>0</v>
      </c>
      <c r="AG231" s="252"/>
      <c r="AH231" s="252"/>
    </row>
    <row r="232" spans="27:34" ht="15.75">
      <c r="AA232" s="249" t="s">
        <v>558</v>
      </c>
      <c r="AB232" s="246">
        <f t="shared" si="23"/>
        <v>4370.7525280000009</v>
      </c>
      <c r="AC232" s="246">
        <f t="shared" si="24"/>
        <v>11828.406928</v>
      </c>
      <c r="AD232" s="246">
        <f t="shared" si="25"/>
        <v>7880.7525280000009</v>
      </c>
      <c r="AE232" s="247">
        <f t="shared" si="26"/>
        <v>1477.7717760000003</v>
      </c>
      <c r="AF232" s="346">
        <f t="shared" si="27"/>
        <v>0</v>
      </c>
      <c r="AG232" s="252"/>
      <c r="AH232" s="252"/>
    </row>
    <row r="233" spans="27:34" ht="15.75">
      <c r="AA233" s="254" t="s">
        <v>559</v>
      </c>
      <c r="AB233" s="246">
        <f t="shared" si="23"/>
        <v>2460.9431200000004</v>
      </c>
      <c r="AC233" s="246">
        <f t="shared" si="24"/>
        <v>5516.2650400000002</v>
      </c>
      <c r="AD233" s="246">
        <f t="shared" si="25"/>
        <v>3435.9431200000008</v>
      </c>
      <c r="AE233" s="247">
        <f t="shared" si="26"/>
        <v>503.39452800000004</v>
      </c>
      <c r="AF233" s="346">
        <f t="shared" si="27"/>
        <v>0</v>
      </c>
    </row>
    <row r="234" spans="27:34" ht="15.75">
      <c r="AA234" s="254" t="s">
        <v>560</v>
      </c>
      <c r="AB234" s="246">
        <f t="shared" si="23"/>
        <v>2820.71992</v>
      </c>
      <c r="AC234" s="246">
        <f t="shared" si="24"/>
        <v>6663.5451999999987</v>
      </c>
      <c r="AD234" s="246">
        <f t="shared" si="25"/>
        <v>4283.2199199999995</v>
      </c>
      <c r="AE234" s="247">
        <f t="shared" si="26"/>
        <v>680.95123199999989</v>
      </c>
      <c r="AF234" s="346">
        <f t="shared" si="27"/>
        <v>0</v>
      </c>
    </row>
    <row r="235" spans="27:34" ht="15.75">
      <c r="AA235" s="254" t="s">
        <v>561</v>
      </c>
      <c r="AB235" s="246">
        <f t="shared" si="23"/>
        <v>3180.4967200000001</v>
      </c>
      <c r="AC235" s="246">
        <f t="shared" si="24"/>
        <v>7810.8253600000016</v>
      </c>
      <c r="AD235" s="246">
        <f t="shared" si="25"/>
        <v>5130.496720000001</v>
      </c>
      <c r="AE235" s="247">
        <f t="shared" si="26"/>
        <v>858.50793600000009</v>
      </c>
      <c r="AF235" s="346">
        <f t="shared" si="27"/>
        <v>0</v>
      </c>
    </row>
    <row r="236" spans="27:34" ht="15.75">
      <c r="AA236" s="254" t="s">
        <v>562</v>
      </c>
      <c r="AB236" s="246">
        <f t="shared" si="23"/>
        <v>3540.2735199999997</v>
      </c>
      <c r="AC236" s="246">
        <f t="shared" si="24"/>
        <v>8958.105520000001</v>
      </c>
      <c r="AD236" s="246">
        <f t="shared" si="25"/>
        <v>5977.7735199999997</v>
      </c>
      <c r="AE236" s="247">
        <f t="shared" si="26"/>
        <v>1036.0646400000001</v>
      </c>
      <c r="AF236" s="346">
        <f t="shared" si="27"/>
        <v>0</v>
      </c>
    </row>
    <row r="237" spans="27:34" ht="15.75">
      <c r="AA237" s="254" t="s">
        <v>563</v>
      </c>
      <c r="AB237" s="246">
        <f t="shared" si="23"/>
        <v>3720.1619200000005</v>
      </c>
      <c r="AC237" s="246">
        <f t="shared" si="24"/>
        <v>9531.7456000000002</v>
      </c>
      <c r="AD237" s="246">
        <f t="shared" si="25"/>
        <v>7878.1619200000005</v>
      </c>
      <c r="AE237" s="247">
        <f t="shared" si="26"/>
        <v>1124.8429920000001</v>
      </c>
      <c r="AF237" s="346">
        <f t="shared" si="27"/>
        <v>0</v>
      </c>
    </row>
    <row r="238" spans="27:34" ht="15.75">
      <c r="AA238" s="254" t="s">
        <v>564</v>
      </c>
      <c r="AB238" s="246">
        <f t="shared" si="23"/>
        <v>3900.0503199999994</v>
      </c>
      <c r="AC238" s="246">
        <f t="shared" si="24"/>
        <v>10105.385679999999</v>
      </c>
      <c r="AD238" s="246">
        <f t="shared" si="25"/>
        <v>6825.0503199999985</v>
      </c>
      <c r="AE238" s="247">
        <f t="shared" si="26"/>
        <v>1213.6213439999999</v>
      </c>
      <c r="AF238" s="346">
        <f t="shared" si="27"/>
        <v>0</v>
      </c>
    </row>
    <row r="239" spans="27:34" ht="15.75">
      <c r="AA239" s="254" t="s">
        <v>565</v>
      </c>
      <c r="AB239" s="246">
        <f t="shared" si="23"/>
        <v>4439.7155199999997</v>
      </c>
      <c r="AC239" s="246">
        <f t="shared" si="24"/>
        <v>11826.305919999999</v>
      </c>
      <c r="AD239" s="246">
        <f t="shared" si="25"/>
        <v>8095.9655199999997</v>
      </c>
      <c r="AE239" s="247">
        <f t="shared" si="26"/>
        <v>1479.9564</v>
      </c>
      <c r="AF239" s="346">
        <f t="shared" si="27"/>
        <v>0</v>
      </c>
    </row>
    <row r="240" spans="27:34" ht="15.75">
      <c r="AA240" s="254" t="s">
        <v>566</v>
      </c>
      <c r="AB240" s="246">
        <f t="shared" si="23"/>
        <v>4979.3807200000001</v>
      </c>
      <c r="AC240" s="246">
        <f t="shared" si="24"/>
        <v>13547.226160000002</v>
      </c>
      <c r="AD240" s="246">
        <f t="shared" si="25"/>
        <v>9366.880720000001</v>
      </c>
      <c r="AE240" s="247">
        <f t="shared" si="26"/>
        <v>1746.2914560000002</v>
      </c>
      <c r="AF240" s="346">
        <f t="shared" si="27"/>
        <v>0</v>
      </c>
    </row>
    <row r="241" spans="27:32" ht="15.75">
      <c r="AA241" s="254" t="s">
        <v>567</v>
      </c>
      <c r="AB241" s="246">
        <f t="shared" si="23"/>
        <v>3471.1249120000002</v>
      </c>
      <c r="AC241" s="246">
        <f t="shared" si="24"/>
        <v>8749.6445920000006</v>
      </c>
      <c r="AD241" s="246">
        <f t="shared" si="25"/>
        <v>5811.1249120000002</v>
      </c>
      <c r="AE241" s="247">
        <f t="shared" si="26"/>
        <v>979.60761600000001</v>
      </c>
      <c r="AF241" s="346">
        <f t="shared" si="27"/>
        <v>0</v>
      </c>
    </row>
    <row r="242" spans="27:32" ht="15.75">
      <c r="AA242" s="254" t="s">
        <v>568</v>
      </c>
      <c r="AB242" s="246">
        <f t="shared" si="23"/>
        <v>3894.5017120000002</v>
      </c>
      <c r="AC242" s="246">
        <f t="shared" si="24"/>
        <v>10052.924752000001</v>
      </c>
      <c r="AD242" s="246">
        <f t="shared" si="25"/>
        <v>6819.5017120000002</v>
      </c>
      <c r="AE242" s="247">
        <f t="shared" si="26"/>
        <v>1186.64832</v>
      </c>
      <c r="AF242" s="346">
        <f t="shared" si="27"/>
        <v>0</v>
      </c>
    </row>
    <row r="243" spans="27:32" ht="15.75">
      <c r="AA243" s="254" t="s">
        <v>569</v>
      </c>
      <c r="AB243" s="246">
        <f t="shared" si="23"/>
        <v>4581.390112000001</v>
      </c>
      <c r="AC243" s="246">
        <f t="shared" si="24"/>
        <v>10704.564832</v>
      </c>
      <c r="AD243" s="246">
        <f t="shared" si="25"/>
        <v>7323.6901120000002</v>
      </c>
      <c r="AE243" s="247">
        <f t="shared" si="26"/>
        <v>1290.168672</v>
      </c>
      <c r="AF243" s="346">
        <f t="shared" si="27"/>
        <v>0</v>
      </c>
    </row>
    <row r="244" spans="27:32" ht="15.75">
      <c r="AA244" s="254" t="s">
        <v>570</v>
      </c>
      <c r="AB244" s="246">
        <f t="shared" si="23"/>
        <v>4317.8785120000002</v>
      </c>
      <c r="AC244" s="246">
        <f t="shared" si="24"/>
        <v>11356.204912000001</v>
      </c>
      <c r="AD244" s="246">
        <f t="shared" si="25"/>
        <v>7827.8785120000002</v>
      </c>
      <c r="AE244" s="247">
        <f t="shared" si="26"/>
        <v>1393.6890240000002</v>
      </c>
      <c r="AF244" s="346">
        <f t="shared" si="27"/>
        <v>0</v>
      </c>
    </row>
    <row r="245" spans="27:32" ht="15.75">
      <c r="AA245" s="254" t="s">
        <v>571</v>
      </c>
      <c r="AB245" s="246">
        <f t="shared" si="23"/>
        <v>4952.9437120000002</v>
      </c>
      <c r="AC245" s="246">
        <f t="shared" si="24"/>
        <v>13311.125152000001</v>
      </c>
      <c r="AD245" s="246">
        <f t="shared" si="25"/>
        <v>9340.4437120000002</v>
      </c>
      <c r="AE245" s="247">
        <f t="shared" si="26"/>
        <v>1704.25008</v>
      </c>
      <c r="AF245" s="346">
        <f t="shared" si="27"/>
        <v>0</v>
      </c>
    </row>
    <row r="246" spans="27:32" ht="15.75">
      <c r="AA246" s="254" t="s">
        <v>572</v>
      </c>
      <c r="AB246" s="246">
        <f t="shared" si="23"/>
        <v>5588.0089120000002</v>
      </c>
      <c r="AC246" s="246">
        <f t="shared" si="24"/>
        <v>15266.045392</v>
      </c>
      <c r="AD246" s="246">
        <f t="shared" si="25"/>
        <v>10853.008912000001</v>
      </c>
      <c r="AE246" s="247">
        <f t="shared" si="26"/>
        <v>2014.8111360000003</v>
      </c>
      <c r="AF246" s="346">
        <f t="shared" si="27"/>
        <v>0</v>
      </c>
    </row>
    <row r="247" spans="27:32" ht="15.75">
      <c r="AA247" s="254" t="s">
        <v>573</v>
      </c>
      <c r="AB247" s="246">
        <f t="shared" si="23"/>
        <v>3664.8770400000003</v>
      </c>
      <c r="AC247" s="246">
        <f t="shared" si="24"/>
        <v>9375.5240799999992</v>
      </c>
      <c r="AD247" s="246">
        <f t="shared" si="25"/>
        <v>6264.8770400000003</v>
      </c>
      <c r="AE247" s="247">
        <f t="shared" si="26"/>
        <v>1060.3407360000001</v>
      </c>
      <c r="AF247" s="346">
        <f t="shared" si="27"/>
        <v>0</v>
      </c>
    </row>
    <row r="248" spans="27:32" ht="15.75">
      <c r="AA248" s="254" t="s">
        <v>574</v>
      </c>
      <c r="AB248" s="246">
        <f t="shared" si="23"/>
        <v>4130.6538399999999</v>
      </c>
      <c r="AC248" s="246">
        <f t="shared" si="24"/>
        <v>10782.804240000001</v>
      </c>
      <c r="AD248" s="246">
        <f t="shared" si="25"/>
        <v>7380.6538399999999</v>
      </c>
      <c r="AE248" s="247">
        <f t="shared" si="26"/>
        <v>1287.0374399999998</v>
      </c>
      <c r="AF248" s="346">
        <f t="shared" si="27"/>
        <v>0</v>
      </c>
    </row>
    <row r="249" spans="27:32" ht="15.75">
      <c r="AA249" s="254" t="s">
        <v>575</v>
      </c>
      <c r="AB249" s="246">
        <f t="shared" si="23"/>
        <v>4363.5422399999998</v>
      </c>
      <c r="AC249" s="246">
        <f t="shared" si="24"/>
        <v>11486.444320000002</v>
      </c>
      <c r="AD249" s="246">
        <f t="shared" si="25"/>
        <v>7938.5422400000007</v>
      </c>
      <c r="AE249" s="247">
        <f t="shared" si="26"/>
        <v>1400.385792</v>
      </c>
      <c r="AF249" s="346">
        <f t="shared" si="27"/>
        <v>0</v>
      </c>
    </row>
    <row r="250" spans="27:32" ht="15.75">
      <c r="AA250" s="254" t="s">
        <v>576</v>
      </c>
      <c r="AB250" s="246">
        <f t="shared" si="23"/>
        <v>4596.4306400000005</v>
      </c>
      <c r="AC250" s="246">
        <f t="shared" si="24"/>
        <v>12190.084400000002</v>
      </c>
      <c r="AD250" s="246">
        <f t="shared" si="25"/>
        <v>8496.4306400000005</v>
      </c>
      <c r="AE250" s="247">
        <f t="shared" si="26"/>
        <v>1513.7341439999998</v>
      </c>
      <c r="AF250" s="346">
        <f t="shared" si="27"/>
        <v>0</v>
      </c>
    </row>
    <row r="251" spans="27:32" ht="15.75">
      <c r="AA251" s="254" t="s">
        <v>577</v>
      </c>
      <c r="AB251" s="246">
        <f t="shared" si="23"/>
        <v>5295.09584</v>
      </c>
      <c r="AC251" s="246">
        <f t="shared" si="24"/>
        <v>14301.004639999999</v>
      </c>
      <c r="AD251" s="246">
        <f t="shared" si="25"/>
        <v>10170.09584</v>
      </c>
      <c r="AE251" s="247">
        <f t="shared" si="26"/>
        <v>1853.7791999999999</v>
      </c>
      <c r="AF251" s="346">
        <f t="shared" si="27"/>
        <v>0</v>
      </c>
    </row>
    <row r="252" spans="27:32" ht="16.5" thickBot="1">
      <c r="AA252" s="254" t="s">
        <v>578</v>
      </c>
      <c r="AB252" s="246">
        <f t="shared" si="23"/>
        <v>5993.7610399999994</v>
      </c>
      <c r="AC252" s="246">
        <f t="shared" si="24"/>
        <v>16411.924879999999</v>
      </c>
      <c r="AD252" s="246">
        <f t="shared" si="25"/>
        <v>11843.761039999999</v>
      </c>
      <c r="AE252" s="247">
        <f t="shared" si="26"/>
        <v>2193.8242560000003</v>
      </c>
      <c r="AF252" s="346">
        <f t="shared" si="27"/>
        <v>0</v>
      </c>
    </row>
    <row r="253" spans="27:32" ht="15" customHeight="1">
      <c r="AA253" s="841" t="s">
        <v>579</v>
      </c>
      <c r="AB253" s="842"/>
      <c r="AC253" s="842"/>
      <c r="AD253" s="842"/>
      <c r="AE253" s="842"/>
      <c r="AF253" s="843"/>
    </row>
    <row r="254" spans="27:32" ht="15.75" customHeight="1" thickBot="1">
      <c r="AA254" s="844"/>
      <c r="AB254" s="845"/>
      <c r="AC254" s="845"/>
      <c r="AD254" s="845"/>
      <c r="AE254" s="845"/>
      <c r="AF254" s="846"/>
    </row>
    <row r="255" spans="27:32" ht="38.25" thickBot="1">
      <c r="AA255" s="239" t="s">
        <v>534</v>
      </c>
      <c r="AB255" s="240" t="s">
        <v>622</v>
      </c>
      <c r="AC255" s="240" t="s">
        <v>623</v>
      </c>
      <c r="AD255" s="240" t="s">
        <v>624</v>
      </c>
      <c r="AE255" s="241" t="s">
        <v>537</v>
      </c>
      <c r="AF255" s="241" t="s">
        <v>645</v>
      </c>
    </row>
    <row r="256" spans="27:32" ht="15.75">
      <c r="AA256" s="249" t="s">
        <v>581</v>
      </c>
      <c r="AB256" s="250">
        <f t="shared" ref="AB256:AB260" si="28">+I67</f>
        <v>5294.5655840000009</v>
      </c>
      <c r="AC256" s="250">
        <f t="shared" ref="AC256:AC260" si="29">+J67</f>
        <v>14373.339344</v>
      </c>
      <c r="AD256" s="250">
        <f t="shared" ref="AD256:AD260" si="30">+K67</f>
        <v>9194.5655839999999</v>
      </c>
      <c r="AE256" s="251">
        <f t="shared" ref="AE256:AE260" si="31">+T80</f>
        <v>1658.1676799999998</v>
      </c>
      <c r="AF256" s="347">
        <f t="shared" ref="AF256:AF260" si="32">+M67</f>
        <v>0</v>
      </c>
    </row>
    <row r="257" spans="27:32" ht="15.75">
      <c r="AA257" s="249" t="s">
        <v>582</v>
      </c>
      <c r="AB257" s="250">
        <f t="shared" si="28"/>
        <v>5983.4395999999997</v>
      </c>
      <c r="AC257" s="250">
        <f t="shared" si="29"/>
        <v>16474.468400000002</v>
      </c>
      <c r="AD257" s="250">
        <f t="shared" si="30"/>
        <v>10858.4396</v>
      </c>
      <c r="AE257" s="251">
        <f t="shared" si="31"/>
        <v>1959.3350399999999</v>
      </c>
      <c r="AF257" s="347">
        <f t="shared" si="32"/>
        <v>0</v>
      </c>
    </row>
    <row r="258" spans="27:32" ht="15.75">
      <c r="AA258" s="249" t="s">
        <v>583</v>
      </c>
      <c r="AB258" s="250">
        <f t="shared" si="28"/>
        <v>6672.3136160000004</v>
      </c>
      <c r="AC258" s="250">
        <f t="shared" si="29"/>
        <v>18575.597456</v>
      </c>
      <c r="AD258" s="250">
        <f t="shared" si="30"/>
        <v>12522.313615999999</v>
      </c>
      <c r="AE258" s="251">
        <f t="shared" si="31"/>
        <v>2260.5023999999999</v>
      </c>
      <c r="AF258" s="347">
        <f t="shared" si="32"/>
        <v>0</v>
      </c>
    </row>
    <row r="259" spans="27:32" ht="15.75">
      <c r="AA259" s="249" t="s">
        <v>584</v>
      </c>
      <c r="AB259" s="250">
        <f t="shared" si="28"/>
        <v>7131.5629600000011</v>
      </c>
      <c r="AC259" s="250">
        <f t="shared" si="29"/>
        <v>19976.350159999998</v>
      </c>
      <c r="AD259" s="250">
        <f t="shared" si="30"/>
        <v>13631.562960000001</v>
      </c>
      <c r="AE259" s="251">
        <f t="shared" si="31"/>
        <v>2461.2806399999999</v>
      </c>
      <c r="AF259" s="347">
        <f t="shared" si="32"/>
        <v>0</v>
      </c>
    </row>
    <row r="260" spans="27:32" ht="15.75">
      <c r="AA260" s="249" t="s">
        <v>585</v>
      </c>
      <c r="AB260" s="250">
        <f t="shared" si="28"/>
        <v>8050.0616480000008</v>
      </c>
      <c r="AC260" s="250">
        <f t="shared" si="29"/>
        <v>22777.855567999999</v>
      </c>
      <c r="AD260" s="250">
        <f t="shared" si="30"/>
        <v>15850.061648000001</v>
      </c>
      <c r="AE260" s="251">
        <f t="shared" si="31"/>
        <v>2862.8371199999997</v>
      </c>
      <c r="AF260" s="347">
        <f t="shared" si="32"/>
        <v>0</v>
      </c>
    </row>
  </sheetData>
  <mergeCells count="30">
    <mergeCell ref="A64:K64"/>
    <mergeCell ref="A66:K66"/>
    <mergeCell ref="C2:E2"/>
    <mergeCell ref="F2:G2"/>
    <mergeCell ref="C63:E63"/>
    <mergeCell ref="A5:K5"/>
    <mergeCell ref="A3:K3"/>
    <mergeCell ref="F63:G63"/>
    <mergeCell ref="G199:M199"/>
    <mergeCell ref="C76:F76"/>
    <mergeCell ref="O76:R76"/>
    <mergeCell ref="A77:H77"/>
    <mergeCell ref="M77:T77"/>
    <mergeCell ref="A79:H79"/>
    <mergeCell ref="M79:T79"/>
    <mergeCell ref="I138:L138"/>
    <mergeCell ref="G139:M139"/>
    <mergeCell ref="I198:L198"/>
    <mergeCell ref="AH210:AH219"/>
    <mergeCell ref="AA210:AF211"/>
    <mergeCell ref="AA253:AF254"/>
    <mergeCell ref="N202:N207"/>
    <mergeCell ref="Q2:S2"/>
    <mergeCell ref="T2:U2"/>
    <mergeCell ref="O3:Y3"/>
    <mergeCell ref="Q63:S63"/>
    <mergeCell ref="T63:U63"/>
    <mergeCell ref="O64:Y64"/>
    <mergeCell ref="O66:Y66"/>
    <mergeCell ref="N142:N195"/>
  </mergeCells>
  <pageMargins left="0.43307086614173229" right="0.59055118110236227" top="0" bottom="0" header="0.31496062992125984" footer="0.31496062992125984"/>
  <pageSetup scale="89" orientation="portrait" r:id="rId1"/>
  <ignoredErrors>
    <ignoredError sqref="G4" twoDigitTextYear="1"/>
  </ignoredErrors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61"/>
  <sheetViews>
    <sheetView topLeftCell="AC1" zoomScale="80" zoomScaleNormal="80" workbookViewId="0">
      <selection activeCell="T41" sqref="T41"/>
    </sheetView>
  </sheetViews>
  <sheetFormatPr baseColWidth="10" defaultRowHeight="15"/>
  <cols>
    <col min="1" max="2" width="0" hidden="1" customWidth="1"/>
    <col min="3" max="5" width="12.28515625" hidden="1" customWidth="1"/>
    <col min="6" max="8" width="0" hidden="1" customWidth="1"/>
    <col min="9" max="9" width="6.5703125" hidden="1" customWidth="1"/>
    <col min="10" max="18" width="0" hidden="1" customWidth="1"/>
    <col min="19" max="27" width="12.28515625" hidden="1" customWidth="1"/>
    <col min="28" max="28" width="21.28515625" hidden="1" customWidth="1"/>
    <col min="30" max="30" width="14.140625" customWidth="1"/>
    <col min="31" max="35" width="16.28515625" customWidth="1"/>
    <col min="37" max="37" width="5.28515625" customWidth="1"/>
  </cols>
  <sheetData>
    <row r="1" spans="1:37" ht="15.75" thickBot="1">
      <c r="AE1" s="32"/>
      <c r="AF1" s="32"/>
      <c r="AG1" s="32"/>
      <c r="AH1" s="32"/>
      <c r="AI1" s="32"/>
      <c r="AJ1" s="32"/>
      <c r="AK1" s="884" t="s">
        <v>647</v>
      </c>
    </row>
    <row r="2" spans="1:37" ht="15.75" thickBot="1">
      <c r="C2" s="895">
        <v>0.3</v>
      </c>
      <c r="D2" s="897"/>
      <c r="E2" s="897"/>
      <c r="F2" s="897"/>
      <c r="G2" s="897"/>
      <c r="H2" s="897"/>
      <c r="I2" s="896"/>
      <c r="J2" s="895">
        <v>1</v>
      </c>
      <c r="K2" s="897"/>
      <c r="L2" s="897"/>
      <c r="M2" s="897"/>
      <c r="N2" s="896"/>
      <c r="O2" s="374"/>
      <c r="P2" s="895">
        <v>0.5</v>
      </c>
      <c r="Q2" s="896"/>
      <c r="R2" s="435"/>
      <c r="Z2" s="62" t="s">
        <v>163</v>
      </c>
      <c r="AA2" s="434"/>
      <c r="AE2" s="32"/>
      <c r="AF2" s="32"/>
      <c r="AG2" s="32"/>
      <c r="AH2" s="32"/>
      <c r="AI2" s="32"/>
      <c r="AJ2" s="32"/>
      <c r="AK2" s="885"/>
    </row>
    <row r="3" spans="1:37" ht="15.75" customHeight="1" thickBot="1">
      <c r="A3" s="893" t="s">
        <v>378</v>
      </c>
      <c r="B3" s="894"/>
      <c r="C3" s="894"/>
      <c r="D3" s="894"/>
      <c r="E3" s="894"/>
      <c r="F3" s="894"/>
      <c r="G3" s="894"/>
      <c r="H3" s="894"/>
      <c r="I3" s="894"/>
      <c r="J3" s="894"/>
      <c r="K3" s="894"/>
      <c r="L3" s="894"/>
      <c r="M3" s="894"/>
      <c r="N3" s="894"/>
      <c r="O3" s="894"/>
      <c r="P3" s="894"/>
      <c r="Q3" s="894"/>
      <c r="R3" s="894"/>
      <c r="S3" s="894"/>
      <c r="T3" s="894"/>
      <c r="U3" s="894"/>
      <c r="V3" s="894"/>
      <c r="W3" s="894"/>
      <c r="X3" s="894"/>
      <c r="Y3" s="894"/>
      <c r="Z3" s="894"/>
      <c r="AA3" s="894"/>
      <c r="AD3" s="841" t="s">
        <v>658</v>
      </c>
      <c r="AE3" s="842"/>
      <c r="AF3" s="842"/>
      <c r="AG3" s="842"/>
      <c r="AH3" s="843"/>
      <c r="AI3" s="256"/>
      <c r="AJ3" s="259"/>
      <c r="AK3" s="885"/>
    </row>
    <row r="4" spans="1:37" ht="24" thickBot="1">
      <c r="A4" s="36" t="s">
        <v>116</v>
      </c>
      <c r="B4" s="36" t="s">
        <v>117</v>
      </c>
      <c r="C4" s="36" t="s">
        <v>372</v>
      </c>
      <c r="D4" s="36" t="s">
        <v>373</v>
      </c>
      <c r="E4" s="36" t="s">
        <v>694</v>
      </c>
      <c r="F4" s="36" t="s">
        <v>370</v>
      </c>
      <c r="G4" s="36" t="s">
        <v>371</v>
      </c>
      <c r="H4" s="36" t="s">
        <v>695</v>
      </c>
      <c r="I4" s="36" t="s">
        <v>120</v>
      </c>
      <c r="J4" s="890" t="s">
        <v>520</v>
      </c>
      <c r="K4" s="891"/>
      <c r="L4" s="892"/>
      <c r="M4" s="898" t="s">
        <v>260</v>
      </c>
      <c r="N4" s="899"/>
      <c r="O4" s="900"/>
      <c r="P4" s="890" t="s">
        <v>259</v>
      </c>
      <c r="Q4" s="891"/>
      <c r="R4" s="892"/>
      <c r="S4" s="890" t="s">
        <v>521</v>
      </c>
      <c r="T4" s="891"/>
      <c r="U4" s="892"/>
      <c r="V4" s="890" t="s">
        <v>262</v>
      </c>
      <c r="W4" s="891"/>
      <c r="X4" s="892"/>
      <c r="Y4" s="890" t="s">
        <v>263</v>
      </c>
      <c r="Z4" s="891"/>
      <c r="AA4" s="892"/>
      <c r="AD4" s="844"/>
      <c r="AE4" s="845"/>
      <c r="AF4" s="845"/>
      <c r="AG4" s="845"/>
      <c r="AH4" s="846"/>
      <c r="AI4" s="256"/>
      <c r="AJ4" s="259"/>
      <c r="AK4" s="885"/>
    </row>
    <row r="5" spans="1:37" ht="38.25" thickBot="1">
      <c r="A5" s="901"/>
      <c r="B5" s="902"/>
      <c r="C5" s="902"/>
      <c r="D5" s="902"/>
      <c r="E5" s="796"/>
      <c r="F5" s="902"/>
      <c r="G5" s="902"/>
      <c r="H5" s="902"/>
      <c r="I5" s="903"/>
      <c r="J5" s="128" t="s">
        <v>368</v>
      </c>
      <c r="K5" s="128" t="s">
        <v>369</v>
      </c>
      <c r="L5" s="128" t="s">
        <v>693</v>
      </c>
      <c r="M5" s="128" t="s">
        <v>368</v>
      </c>
      <c r="N5" s="128" t="s">
        <v>369</v>
      </c>
      <c r="O5" s="128" t="s">
        <v>693</v>
      </c>
      <c r="P5" s="128" t="s">
        <v>368</v>
      </c>
      <c r="Q5" s="128" t="s">
        <v>369</v>
      </c>
      <c r="R5" s="128" t="s">
        <v>693</v>
      </c>
      <c r="S5" s="128" t="s">
        <v>368</v>
      </c>
      <c r="T5" s="128" t="s">
        <v>369</v>
      </c>
      <c r="U5" s="128" t="s">
        <v>693</v>
      </c>
      <c r="V5" s="128" t="s">
        <v>368</v>
      </c>
      <c r="W5" s="128" t="s">
        <v>369</v>
      </c>
      <c r="X5" s="128" t="s">
        <v>693</v>
      </c>
      <c r="Y5" s="401" t="s">
        <v>368</v>
      </c>
      <c r="Z5" s="401" t="s">
        <v>369</v>
      </c>
      <c r="AA5" s="349" t="s">
        <v>693</v>
      </c>
      <c r="AB5" s="237"/>
      <c r="AC5" s="4"/>
      <c r="AD5" s="239" t="s">
        <v>534</v>
      </c>
      <c r="AE5" s="240" t="s">
        <v>648</v>
      </c>
      <c r="AF5" s="240" t="s">
        <v>655</v>
      </c>
      <c r="AG5" s="240" t="s">
        <v>656</v>
      </c>
      <c r="AH5" s="240" t="s">
        <v>645</v>
      </c>
      <c r="AI5" s="242"/>
      <c r="AJ5" s="242"/>
      <c r="AK5" s="885"/>
    </row>
    <row r="6" spans="1:37" ht="16.5" thickBot="1">
      <c r="A6" s="65">
        <v>0.4</v>
      </c>
      <c r="B6" s="66">
        <v>0.8</v>
      </c>
      <c r="C6" s="58">
        <f>((((A6*2)+(B6*2))*MATERIALES!$C$57)+(((A6*2)+(B6*2))*MATERIALES!$C$56)+(((A6*2)+(B6*2))*MATERIALES!$C$73))*(MATERIALES!$F$2*MATERIALES!$J$15)</f>
        <v>0</v>
      </c>
      <c r="D6" s="58">
        <f>((((A6*2)+(B6*2))*MATERIALES!$C$57)+(((A6*2)+(B6*4))*MATERIALES!$C$56)+(((A6*2)+(B6*4))*MATERIALES!$C$73)+(B6*MATERIALES!$C$77))*(MATERIALES!$F$2*MATERIALES!$J$15)</f>
        <v>0</v>
      </c>
      <c r="E6" s="439">
        <f>((((A6*2)+(B6*2))*MATERIALES!$C$57)+(((A6*2)+(B6*6))*MATERIALES!$C$56)+(((A6*2)+(B6*6))*MATERIALES!$C$73)+(B6*MATERIALES!$C$77))*(MATERIALES!$F$2*MATERIALES!$J$15)</f>
        <v>0</v>
      </c>
      <c r="F6" s="58">
        <f>(8*MATERIALES!$C$189)+(1*MATERIALES!$C$194)+(2*MATERIALES!$C$206)+(((A6*2)+(B6*2))*MATERIALES!$C$209)+(4*MATERIALES!$C$148)+(((A6*5)*2)*MATERIALES!$C$147)+(((A6*2)+(B6*2))*MATERIALES!$C$210)+((((A6*2)+(B6*2))/0.1)*MATERIALES!$C$192)+(((A6*2)+(B6*2))*MATERIALES!$C$165)+(2*MATERIALES!$C$187)+(0.5*MATERIALES!$C$167)</f>
        <v>2452.2139200000006</v>
      </c>
      <c r="G6" s="58">
        <f>(12*MATERIALES!$C$189)+(1*MATERIALES!$C$194)+(4*MATERIALES!$C$206)+(((A6*2)+(B6*4))*MATERIALES!$C$209)+(4*MATERIALES!$C$148)+(((A6*5)*2)*MATERIALES!$C$147)+(((A6*2)+(B6*2))*MATERIALES!$C$210)+((((A6*2)+(B6*4))/0.1)*MATERIALES!$C$192)+(((A6*2)+(B6*4))*MATERIALES!$C$165)+(2*MATERIALES!$C$187)+(0.5*MATERIALES!$C$167)</f>
        <v>3325.8888000000002</v>
      </c>
      <c r="H6" s="59">
        <f>(16*MATERIALES!$C$189)+(1*MATERIALES!$C$194)+(4*MATERIALES!$C$206)+(2*MATERIALES!$C$208)+(((A6*2)+(B6*6))*MATERIALES!$C$208)+(4*MATERIALES!$C$148)+(((A6*5)*2)*MATERIALES!$C$147)+(((A6*2)+(B6*2))*MATERIALES!$C$209)+((((A6*2)+(B6*6))/0.1)*MATERIALES!$C$192)+(((A6*2)+(B6*6))*MATERIALES!$C$165)+(2*MATERIALES!$C$187)+(0.5*MATERIALES!$C$167)</f>
        <v>7086.6868800000011</v>
      </c>
      <c r="I6" s="74"/>
      <c r="J6" s="54">
        <f>(A6*B6)*MATERIALES!$D$82</f>
        <v>169.60000000000002</v>
      </c>
      <c r="K6" s="54">
        <f>(A6*B6)*MATERIALES!$D$82</f>
        <v>169.60000000000002</v>
      </c>
      <c r="L6" s="54">
        <f>(A6*B6)*MATERIALES!$D$82</f>
        <v>169.60000000000002</v>
      </c>
      <c r="M6" s="54">
        <f>(((A6*B6)*2)*MATERIALES!$D$83)+(4*MATERIALES!$C$229)+(((A6*2)+(B6*2))*MATERIALES!$C$230)+(((A6*2)+(B6*2))*MATERIALES!$C$231)+((((A6*2)+(B6*2))/15)*MATERIALES!$C$232)+((((A6*2)+(B6*2))/15)*(MATERIALES!$C$233*0.15))</f>
        <v>995.02208000000007</v>
      </c>
      <c r="N6" s="54">
        <f>(((A6*B6)*2)*MATERIALES!$D$83)+(8*MATERIALES!$C$229)+(((A6*2)+(B6*4))*MATERIALES!$C$230)+(((A6*2)+(B6*4))*MATERIALES!$C$231)+((((A6*2)+(B6*4))/15)*MATERIALES!$C$232)+((((A6*2)+(B6*4))/15)*(MATERIALES!$C$233*0.15))</f>
        <v>1388.3168000000001</v>
      </c>
      <c r="O6" s="55">
        <f>(((A6*B6)*2)*MATERIALES!$D$83)+(12*MATERIALES!$C$229)+(((A6*2)+(B6*6))*MATERIALES!$C$230)+(((A6*2)+(B6*6))*MATERIALES!$C$231)+((((A6*2)+(B6*6))/15)*MATERIALES!$C$232)+((((A6*2)+(B6*6))/15)*(MATERIALES!$C$233*0.15))</f>
        <v>1781.6115200000002</v>
      </c>
      <c r="P6" s="54">
        <f>(A6*B6)*MATERIALES!$D$89</f>
        <v>572.80000000000007</v>
      </c>
      <c r="Q6" s="138">
        <f>(A6*B6)*MATERIALES!$D$89</f>
        <v>572.80000000000007</v>
      </c>
      <c r="R6" s="436">
        <f>(A6*B6)*MATERIALES!$D$89</f>
        <v>572.80000000000007</v>
      </c>
      <c r="S6" s="131">
        <f>((C6+F6+I6)*1.3)+(J6*2)</f>
        <v>3527.0780960000011</v>
      </c>
      <c r="T6" s="119">
        <f>((D6+G6+I6)*1.3)+(K6*2)</f>
        <v>4662.8554400000003</v>
      </c>
      <c r="U6" s="119">
        <f>((E6+H6+I6)*1.3)+(L6*2)</f>
        <v>9551.8929440000029</v>
      </c>
      <c r="V6" s="119">
        <f>((C6+F6+I6)*1.3)+(M6*2)</f>
        <v>5177.9222560000007</v>
      </c>
      <c r="W6" s="119">
        <f>((D6+G6+I6)*1.3)+(N6*2)</f>
        <v>7100.2890400000006</v>
      </c>
      <c r="X6" s="119">
        <f>((E6+H6+I6)*1.3)+(O6*2)</f>
        <v>12775.915984000003</v>
      </c>
      <c r="Y6" s="119">
        <f>((C6+F6+I6)*1.3)+(P6*1.5)</f>
        <v>4047.0780960000011</v>
      </c>
      <c r="Z6" s="131">
        <f>((D6+G6+I6)*1.3)+(Q6*1.5)</f>
        <v>5182.8554400000003</v>
      </c>
      <c r="AA6" s="438">
        <f>((E6+H6+I6)*1.3)+(R6*1.5)</f>
        <v>10071.892944000003</v>
      </c>
      <c r="AD6" s="245" t="s">
        <v>594</v>
      </c>
      <c r="AE6" s="246">
        <f>+$S$6</f>
        <v>3527.0780960000011</v>
      </c>
      <c r="AF6" s="246">
        <f>+$V$6</f>
        <v>5177.9222560000007</v>
      </c>
      <c r="AG6" s="251">
        <f>+$Y$6</f>
        <v>4047.0780960000011</v>
      </c>
      <c r="AH6" s="250">
        <f>+'MODENA CLASICA CORREDIZA'!$M$13</f>
        <v>0</v>
      </c>
      <c r="AI6" s="252"/>
      <c r="AJ6" s="248"/>
      <c r="AK6" s="885"/>
    </row>
    <row r="7" spans="1:37" ht="16.5" thickBot="1">
      <c r="A7" s="68">
        <v>0.4</v>
      </c>
      <c r="B7" s="69">
        <v>1</v>
      </c>
      <c r="C7" s="59">
        <f>((((A7*2)+(B7*2))*MATERIALES!$C$57)+(((A7*2)+(B7*2))*MATERIALES!$C$56)+((A7*2)+(B7*2)*MATERIALES!$C$73))*(MATERIALES!$F$2*MATERIALES!$J$15)</f>
        <v>0</v>
      </c>
      <c r="D7" s="59">
        <f>((((A7*2)+(B7*2))*MATERIALES!$C$57)+(((A7*2)+(B7*4))*MATERIALES!$C$56)+(((A7*2)+(B7*4))*MATERIALES!$C$73)+(B7*MATERIALES!$C$77))*(MATERIALES!$F$2*MATERIALES!$J$15)</f>
        <v>0</v>
      </c>
      <c r="E7" s="439">
        <f>((((A7*2)+(B7*2))*MATERIALES!$C$57)+(((A7*2)+(B7*6))*MATERIALES!$C$56)+(((A7*2)+(B7*6))*MATERIALES!$C$73)+(B7*MATERIALES!$C$77))*(MATERIALES!$F$2*MATERIALES!$J$15)</f>
        <v>0</v>
      </c>
      <c r="F7" s="59">
        <f>(8*MATERIALES!$C$189)+(1*MATERIALES!$C$194)+(2*MATERIALES!$C$206)+(((A7*2)+(B7*2))*MATERIALES!$C$209)+(4*MATERIALES!$C$148)+(((A7*5)*2)*MATERIALES!$C$147)+(((A7*2)+(B7*2))*MATERIALES!$C$210)+((((A7*2)+(B7*2))/0.1)*MATERIALES!$C$192)+(((A7*2)+(B7*2))*MATERIALES!$C$165)+(2*MATERIALES!$C$187)+(0.5*MATERIALES!$C$167)</f>
        <v>2493.0942400000004</v>
      </c>
      <c r="G7" s="59">
        <f>(12*MATERIALES!$C$189)+(1*MATERIALES!$C$194)+(4*MATERIALES!$C$206)+(((A7*2)+(B7*4))*MATERIALES!$C$209)+(4*MATERIALES!$C$148)+(((A7*5)*2)*MATERIALES!$C$147)+(((A7*2)+(B7*2))*MATERIALES!$C$210)+((((A7*2)+(B7*4))/0.1)*MATERIALES!$C$192)+(((A7*2)+(B7*4))*MATERIALES!$C$165)+(2*MATERIALES!$C$187)+(0.5*MATERIALES!$C$167)</f>
        <v>3394.0878400000001</v>
      </c>
      <c r="H7" s="59">
        <f>(16*MATERIALES!$C$189)+(1*MATERIALES!$C$194)+(4*MATERIALES!$C$206)+(2*MATERIALES!$C$208)+(((A7*2)+(B7*6))*MATERIALES!$C$208)+(4*MATERIALES!$C$148)+(((A7*5)*2)*MATERIALES!$C$147)+(((A7*2)+(B7*2))*MATERIALES!$C$209)+((((A7*2)+(B7*6))/0.1)*MATERIALES!$C$192)+(((A7*2)+(B7*6))*MATERIALES!$C$165)+(2*MATERIALES!$C$187)+(0.5*MATERIALES!$C$167)</f>
        <v>7698.91824</v>
      </c>
      <c r="I7" s="75"/>
      <c r="J7" s="55">
        <f>(A7*B7)*MATERIALES!$D$82</f>
        <v>212</v>
      </c>
      <c r="K7" s="55">
        <f>(A7*B7)*MATERIALES!$D$82</f>
        <v>212</v>
      </c>
      <c r="L7" s="55">
        <f>(A7*B7)*MATERIALES!$D$82</f>
        <v>212</v>
      </c>
      <c r="M7" s="55">
        <f>(((A7*B7)*2)*MATERIALES!$D$83)+(4*MATERIALES!$C$229)+(((A7*2)+(B7*2))*MATERIALES!$C$230)+(((A7*2)+(B7*2))*MATERIALES!$C$231)+((((A7*2)+(B7*2))/15)*MATERIALES!$C$232)+((((A7*2)+(B7*2))/15)*(MATERIALES!$C$233*0.15))</f>
        <v>1191.8857600000001</v>
      </c>
      <c r="N7" s="55">
        <f>(((A7*B7)*2)*MATERIALES!$D$83)+(8*MATERIALES!$C$229)+(((A7*2)+(B7*4))*MATERIALES!$C$230)+(((A7*2)+(B7*4))*MATERIALES!$C$231)+((((A7*2)+(B7*4))/15)*MATERIALES!$C$232)+((((A7*2)+(B7*4))/15)*(MATERIALES!$C$233*0.15))</f>
        <v>1678.0441599999999</v>
      </c>
      <c r="O7" s="55">
        <f>(((A7*B7)*2)*MATERIALES!$D$83)+(12*MATERIALES!$C$229)+(((A7*2)+(B7*6))*MATERIALES!$C$230)+(((A7*2)+(B7*6))*MATERIALES!$C$231)+((((A7*2)+(B7*6))/15)*MATERIALES!$C$232)+((((A7*2)+(B7*6))/15)*(MATERIALES!$C$233*0.15))</f>
        <v>2164.2025600000002</v>
      </c>
      <c r="P7" s="55">
        <f>(A7*B7)*MATERIALES!$D$89</f>
        <v>716</v>
      </c>
      <c r="Q7" s="139">
        <f>(A7*B7)*MATERIALES!$D$89</f>
        <v>716</v>
      </c>
      <c r="R7" s="437">
        <f>(A7*B7)*MATERIALES!$D$89</f>
        <v>716</v>
      </c>
      <c r="S7" s="132">
        <f t="shared" ref="S7:S59" si="0">((C7+F7+I7)*1.3)+(J7*2)</f>
        <v>3665.0225120000005</v>
      </c>
      <c r="T7" s="129">
        <f t="shared" ref="T7:T59" si="1">((D7+G7+I7)*1.3)+(K7*2)</f>
        <v>4836.3141920000007</v>
      </c>
      <c r="U7" s="119">
        <f t="shared" ref="U7:U59" si="2">((E7+H7+I7)*1.3)+(L7*2)</f>
        <v>10432.593712</v>
      </c>
      <c r="V7" s="129">
        <f t="shared" ref="V7:V59" si="3">((C7+F7+I7)*1.3)+(M7*2)</f>
        <v>5624.7940320000007</v>
      </c>
      <c r="W7" s="129">
        <f t="shared" ref="W7:W59" si="4">((D7+G7+I7)*1.3)+(N7*2)</f>
        <v>7768.4025120000006</v>
      </c>
      <c r="X7" s="119">
        <f t="shared" ref="X7:X59" si="5">((E7+H7+I7)*1.3)+(O7*2)</f>
        <v>14336.998832000001</v>
      </c>
      <c r="Y7" s="129">
        <f t="shared" ref="Y7:Y59" si="6">((C7+F7+I7)*1.3)+(P7*1.5)</f>
        <v>4315.0225120000005</v>
      </c>
      <c r="Z7" s="131">
        <f t="shared" ref="Z7:Z59" si="7">((D7+G7+I7)*1.3)+(Q7*1.5)</f>
        <v>5486.3141920000007</v>
      </c>
      <c r="AA7" s="438">
        <f t="shared" ref="AA7:AA59" si="8">((E7+H7+I7)*1.3)+(R7*1.5)</f>
        <v>11082.593712</v>
      </c>
      <c r="AD7" s="245" t="s">
        <v>595</v>
      </c>
      <c r="AE7" s="246">
        <f>+$S$7</f>
        <v>3665.0225120000005</v>
      </c>
      <c r="AF7" s="246">
        <f>+$V$7</f>
        <v>5624.7940320000007</v>
      </c>
      <c r="AG7" s="251">
        <f>+$Y$7</f>
        <v>4315.0225120000005</v>
      </c>
      <c r="AH7" s="250">
        <f>+'MODENA CLASICA CORREDIZA'!$M$14</f>
        <v>0</v>
      </c>
      <c r="AJ7" s="248"/>
      <c r="AK7" s="885"/>
    </row>
    <row r="8" spans="1:37" ht="16.5" thickBot="1">
      <c r="A8" s="68">
        <v>0.4</v>
      </c>
      <c r="B8" s="69">
        <v>1.1000000000000001</v>
      </c>
      <c r="C8" s="59">
        <f>((((A8*2)+(B8*2))*MATERIALES!$C$57)+(((A8*2)+(B8*2))*MATERIALES!$C$56)+((A8*2)+(B8*2)*MATERIALES!$C$73))*(MATERIALES!$F$2*MATERIALES!$J$15)</f>
        <v>0</v>
      </c>
      <c r="D8" s="59">
        <f>((((A8*2)+(B8*2))*MATERIALES!$C$57)+(((A8*2)+(B8*4))*MATERIALES!$C$56)+(((A8*2)+(B8*4))*MATERIALES!$C$73)+(B8*MATERIALES!$C$77))*(MATERIALES!$F$2*MATERIALES!$J$15)</f>
        <v>0</v>
      </c>
      <c r="E8" s="439">
        <f>((((A8*2)+(B8*2))*MATERIALES!$C$57)+(((A8*2)+(B8*6))*MATERIALES!$C$56)+(((A8*2)+(B8*6))*MATERIALES!$C$73)+(B8*MATERIALES!$C$77))*(MATERIALES!$F$2*MATERIALES!$J$15)</f>
        <v>0</v>
      </c>
      <c r="F8" s="59">
        <f>(8*MATERIALES!$C$189)+(1*MATERIALES!$C$194)+(2*MATERIALES!$C$206)+(((A8*2)+(B8*2))*MATERIALES!$C$209)+(4*MATERIALES!$C$148)+(((A8*5)*2)*MATERIALES!$C$147)+(((A8*2)+(B8*2))*MATERIALES!$C$210)+((((A8*2)+(B8*2))/0.1)*MATERIALES!$C$192)+(((A8*2)+(B8*2))*MATERIALES!$C$165)+(2*MATERIALES!$C$187)+(0.5*MATERIALES!$C$167)</f>
        <v>2513.5344</v>
      </c>
      <c r="G8" s="59">
        <f>(12*MATERIALES!$C$189)+(1*MATERIALES!$C$194)+(4*MATERIALES!$C$206)+(((A8*2)+(B8*4))*MATERIALES!$C$209)+(4*MATERIALES!$C$148)+(((A8*5)*2)*MATERIALES!$C$147)+(((A8*2)+(B8*2))*MATERIALES!$C$210)+((((A8*2)+(B8*4))/0.1)*MATERIALES!$C$192)+(((A8*2)+(B8*4))*MATERIALES!$C$165)+(2*MATERIALES!$C$187)+(0.5*MATERIALES!$C$167)</f>
        <v>3428.1873600000004</v>
      </c>
      <c r="H8" s="59">
        <f>(16*MATERIALES!$C$189)+(1*MATERIALES!$C$194)+(4*MATERIALES!$C$206)+(2*MATERIALES!$C$208)+(((A8*2)+(B8*6))*MATERIALES!$C$208)+(4*MATERIALES!$C$148)+(((A8*5)*2)*MATERIALES!$C$147)+(((A8*2)+(B8*2))*MATERIALES!$C$209)+((((A8*2)+(B8*6))/0.1)*MATERIALES!$C$192)+(((A8*2)+(B8*6))*MATERIALES!$C$165)+(2*MATERIALES!$C$187)+(0.5*MATERIALES!$C$167)</f>
        <v>8005.0339200000008</v>
      </c>
      <c r="I8" s="75"/>
      <c r="J8" s="55">
        <f>(A8*B8)*MATERIALES!$D$82</f>
        <v>233.20000000000002</v>
      </c>
      <c r="K8" s="55">
        <f>(A8*B8)*MATERIALES!$D$82</f>
        <v>233.20000000000002</v>
      </c>
      <c r="L8" s="55">
        <f>(A8*B8)*MATERIALES!$D$82</f>
        <v>233.20000000000002</v>
      </c>
      <c r="M8" s="55">
        <f>(((A8*B8)*2)*MATERIALES!$D$83)+(4*MATERIALES!$C$229)+(((A8*2)+(B8*2))*MATERIALES!$C$230)+(((A8*2)+(B8*2))*MATERIALES!$C$231)+((((A8*2)+(B8*2))/15)*MATERIALES!$C$232)+((((A8*2)+(B8*2))/15)*(MATERIALES!$C$233*0.15))</f>
        <v>1290.3176000000003</v>
      </c>
      <c r="N8" s="55">
        <f>(((A8*B8)*2)*MATERIALES!$D$83)+(8*MATERIALES!$C$229)+(((A8*2)+(B8*4))*MATERIALES!$C$230)+(((A8*2)+(B8*4))*MATERIALES!$C$231)+((((A8*2)+(B8*4))/15)*MATERIALES!$C$232)+((((A8*2)+(B8*4))/15)*(MATERIALES!$C$233*0.15))</f>
        <v>1822.9078400000003</v>
      </c>
      <c r="O8" s="55">
        <f>(((A8*B8)*2)*MATERIALES!$D$83)+(12*MATERIALES!$C$229)+(((A8*2)+(B8*6))*MATERIALES!$C$230)+(((A8*2)+(B8*6))*MATERIALES!$C$231)+((((A8*2)+(B8*6))/15)*MATERIALES!$C$232)+((((A8*2)+(B8*6))/15)*(MATERIALES!$C$233*0.15))</f>
        <v>2355.4980800000008</v>
      </c>
      <c r="P8" s="55">
        <f>(A8*B8)*MATERIALES!$D$89</f>
        <v>787.60000000000014</v>
      </c>
      <c r="Q8" s="139">
        <f>(A8*B8)*MATERIALES!$D$89</f>
        <v>787.60000000000014</v>
      </c>
      <c r="R8" s="437">
        <f>(A8*B8)*MATERIALES!$D$89</f>
        <v>787.60000000000014</v>
      </c>
      <c r="S8" s="132">
        <f t="shared" si="0"/>
        <v>3733.9947200000001</v>
      </c>
      <c r="T8" s="129">
        <f t="shared" si="1"/>
        <v>4923.0435680000001</v>
      </c>
      <c r="U8" s="119">
        <f t="shared" si="2"/>
        <v>10872.944096000001</v>
      </c>
      <c r="V8" s="129">
        <f t="shared" si="3"/>
        <v>5848.2299200000007</v>
      </c>
      <c r="W8" s="129">
        <f t="shared" si="4"/>
        <v>8102.459248000001</v>
      </c>
      <c r="X8" s="119">
        <f t="shared" si="5"/>
        <v>15117.540256000004</v>
      </c>
      <c r="Y8" s="129">
        <f t="shared" si="6"/>
        <v>4448.9947200000006</v>
      </c>
      <c r="Z8" s="131">
        <f t="shared" si="7"/>
        <v>5638.043568000001</v>
      </c>
      <c r="AA8" s="438">
        <f t="shared" si="8"/>
        <v>11587.944096000001</v>
      </c>
      <c r="AD8" s="245" t="s">
        <v>651</v>
      </c>
      <c r="AE8" s="246">
        <f>+$S$8</f>
        <v>3733.9947200000001</v>
      </c>
      <c r="AF8" s="246">
        <f>+$V$8</f>
        <v>5848.2299200000007</v>
      </c>
      <c r="AG8" s="251">
        <f>+$Y$8</f>
        <v>4448.9947200000006</v>
      </c>
      <c r="AH8" s="250">
        <f>+'MODENA CLASICA CORREDIZA'!$M$15</f>
        <v>0</v>
      </c>
      <c r="AI8" s="251"/>
      <c r="AJ8" s="248"/>
      <c r="AK8" s="885"/>
    </row>
    <row r="9" spans="1:37" ht="16.5" thickBot="1">
      <c r="A9" s="68">
        <v>0.4</v>
      </c>
      <c r="B9" s="69">
        <v>1.2</v>
      </c>
      <c r="C9" s="59">
        <f>((((A9*2)+(B9*2))*MATERIALES!$C$57)+(((A9*2)+(B9*2))*MATERIALES!$C$56)+((A9*2)+(B9*2)*MATERIALES!$C$73))*(MATERIALES!$F$2*MATERIALES!$J$15)</f>
        <v>0</v>
      </c>
      <c r="D9" s="59">
        <f>((((A9*2)+(B9*2))*MATERIALES!$C$57)+(((A9*2)+(B9*4))*MATERIALES!$C$56)+(((A9*2)+(B9*4))*MATERIALES!$C$73)+(B9*MATERIALES!$C$77))*(MATERIALES!$F$2*MATERIALES!$J$15)</f>
        <v>0</v>
      </c>
      <c r="E9" s="439">
        <f>((((A9*2)+(B9*2))*MATERIALES!$C$57)+(((A9*2)+(B9*6))*MATERIALES!$C$56)+(((A9*2)+(B9*6))*MATERIALES!$C$73)+(B9*MATERIALES!$C$77))*(MATERIALES!$F$2*MATERIALES!$J$15)</f>
        <v>0</v>
      </c>
      <c r="F9" s="59">
        <f>(8*MATERIALES!$C$189)+(1*MATERIALES!$C$194)+(2*MATERIALES!$C$206)+(((A9*2)+(B9*2))*MATERIALES!$C$209)+(4*MATERIALES!$C$148)+(((A9*5)*2)*MATERIALES!$C$147)+(((A9*2)+(B9*2))*MATERIALES!$C$210)+((((A9*2)+(B9*2))/0.1)*MATERIALES!$C$192)+(((A9*2)+(B9*2))*MATERIALES!$C$165)+(2*MATERIALES!$C$187)+(0.5*MATERIALES!$C$167)</f>
        <v>2533.9745600000001</v>
      </c>
      <c r="G9" s="59">
        <f>(12*MATERIALES!$C$189)+(1*MATERIALES!$C$194)+(4*MATERIALES!$C$206)+(((A9*2)+(B9*4))*MATERIALES!$C$209)+(4*MATERIALES!$C$148)+(((A9*5)*2)*MATERIALES!$C$147)+(((A9*2)+(B9*2))*MATERIALES!$C$210)+((((A9*2)+(B9*4))/0.1)*MATERIALES!$C$192)+(((A9*2)+(B9*4))*MATERIALES!$C$165)+(2*MATERIALES!$C$187)+(0.5*MATERIALES!$C$167)</f>
        <v>3462.2868800000006</v>
      </c>
      <c r="H9" s="59">
        <f>(16*MATERIALES!$C$189)+(1*MATERIALES!$C$194)+(4*MATERIALES!$C$206)+(2*MATERIALES!$C$208)+(((A9*2)+(B9*6))*MATERIALES!$C$208)+(4*MATERIALES!$C$148)+(((A9*5)*2)*MATERIALES!$C$147)+(((A9*2)+(B9*2))*MATERIALES!$C$209)+((((A9*2)+(B9*6))/0.1)*MATERIALES!$C$192)+(((A9*2)+(B9*6))*MATERIALES!$C$165)+(2*MATERIALES!$C$187)+(0.5*MATERIALES!$C$167)</f>
        <v>8311.1496000000006</v>
      </c>
      <c r="I9" s="75"/>
      <c r="J9" s="55">
        <f>(A9*B9)*MATERIALES!$D$82</f>
        <v>254.39999999999998</v>
      </c>
      <c r="K9" s="55">
        <f>(A9*B9)*MATERIALES!$D$82</f>
        <v>254.39999999999998</v>
      </c>
      <c r="L9" s="55">
        <f>(A9*B9)*MATERIALES!$D$82</f>
        <v>254.39999999999998</v>
      </c>
      <c r="M9" s="55">
        <f>(((A9*B9)*2)*MATERIALES!$D$83)+(4*MATERIALES!$C$229)+(((A9*2)+(B9*2))*MATERIALES!$C$230)+(((A9*2)+(B9*2))*MATERIALES!$C$231)+((((A9*2)+(B9*2))/15)*MATERIALES!$C$232)+((((A9*2)+(B9*2))/15)*(MATERIALES!$C$233*0.15))</f>
        <v>1388.74944</v>
      </c>
      <c r="N9" s="55">
        <f>(((A9*B9)*2)*MATERIALES!$D$83)+(8*MATERIALES!$C$229)+(((A9*2)+(B9*4))*MATERIALES!$C$230)+(((A9*2)+(B9*4))*MATERIALES!$C$231)+((((A9*2)+(B9*4))/15)*MATERIALES!$C$232)+((((A9*2)+(B9*4))/15)*(MATERIALES!$C$233*0.15))</f>
        <v>1967.77152</v>
      </c>
      <c r="O9" s="55">
        <f>(((A9*B9)*2)*MATERIALES!$D$83)+(12*MATERIALES!$C$229)+(((A9*2)+(B9*6))*MATERIALES!$C$230)+(((A9*2)+(B9*6))*MATERIALES!$C$231)+((((A9*2)+(B9*6))/15)*MATERIALES!$C$232)+((((A9*2)+(B9*6))/15)*(MATERIALES!$C$233*0.15))</f>
        <v>2546.7935999999995</v>
      </c>
      <c r="P9" s="55">
        <f>(A9*B9)*MATERIALES!$D$89</f>
        <v>859.19999999999993</v>
      </c>
      <c r="Q9" s="139">
        <f>(A9*B9)*MATERIALES!$D$89</f>
        <v>859.19999999999993</v>
      </c>
      <c r="R9" s="437">
        <f>(A9*B9)*MATERIALES!$D$89</f>
        <v>859.19999999999993</v>
      </c>
      <c r="S9" s="132">
        <f t="shared" si="0"/>
        <v>3802.9669279999998</v>
      </c>
      <c r="T9" s="129">
        <f t="shared" si="1"/>
        <v>5009.7729440000012</v>
      </c>
      <c r="U9" s="119">
        <f t="shared" si="2"/>
        <v>11313.29448</v>
      </c>
      <c r="V9" s="129">
        <f t="shared" si="3"/>
        <v>6071.6658079999997</v>
      </c>
      <c r="W9" s="129">
        <f t="shared" si="4"/>
        <v>8436.5159840000015</v>
      </c>
      <c r="X9" s="119">
        <f t="shared" si="5"/>
        <v>15898.081679999999</v>
      </c>
      <c r="Y9" s="129">
        <f t="shared" si="6"/>
        <v>4582.9669279999998</v>
      </c>
      <c r="Z9" s="131">
        <f t="shared" si="7"/>
        <v>5789.7729440000012</v>
      </c>
      <c r="AA9" s="438">
        <f t="shared" si="8"/>
        <v>12093.29448</v>
      </c>
      <c r="AD9" s="245" t="s">
        <v>596</v>
      </c>
      <c r="AE9" s="246">
        <f>+$S$9</f>
        <v>3802.9669279999998</v>
      </c>
      <c r="AF9" s="246">
        <f>+$V$9</f>
        <v>6071.6658079999997</v>
      </c>
      <c r="AG9" s="251">
        <f>+$Y$9</f>
        <v>4582.9669279999998</v>
      </c>
      <c r="AH9" s="250">
        <f>+'MODENA CLASICA CORREDIZA'!$M$16</f>
        <v>0</v>
      </c>
      <c r="AI9" s="251"/>
      <c r="AJ9" s="248"/>
      <c r="AK9" s="885"/>
    </row>
    <row r="10" spans="1:37" ht="16.5" thickBot="1">
      <c r="A10" s="68">
        <v>0.4</v>
      </c>
      <c r="B10" s="69">
        <v>1.5</v>
      </c>
      <c r="C10" s="59">
        <f>((((A10*2)+(B10*2))*MATERIALES!$C$57)+(((A10*2)+(B10*2))*MATERIALES!$C$56)+((A10*2)+(B10*2)*MATERIALES!$C$73))*(MATERIALES!$F$2*MATERIALES!$J$15)</f>
        <v>0</v>
      </c>
      <c r="D10" s="59">
        <f>((((A10*2)+(B10*2))*MATERIALES!$C$57)+(((A10*2)+(B10*4))*MATERIALES!$C$56)+(((A10*2)+(B10*4))*MATERIALES!$C$73)+(B10*MATERIALES!$C$77))*(MATERIALES!$F$2*MATERIALES!$J$15)</f>
        <v>0</v>
      </c>
      <c r="E10" s="439">
        <f>((((A10*2)+(B10*2))*MATERIALES!$C$57)+(((A10*2)+(B10*6))*MATERIALES!$C$56)+(((A10*2)+(B10*6))*MATERIALES!$C$73)+(B10*MATERIALES!$C$77))*(MATERIALES!$F$2*MATERIALES!$J$15)</f>
        <v>0</v>
      </c>
      <c r="F10" s="59">
        <f>(8*MATERIALES!$C$189)+(1*MATERIALES!$C$194)+(2*MATERIALES!$C$206)+(((A10*2)+(B10*2))*MATERIALES!$C$209)+(4*MATERIALES!$C$148)+(((A10*5)*2)*MATERIALES!$C$147)+(((A10*2)+(B10*2))*MATERIALES!$C$210)+((((A10*2)+(B10*2))/0.1)*MATERIALES!$C$192)+(((A10*2)+(B10*2))*MATERIALES!$C$165)+(2*MATERIALES!$C$187)+(0.5*MATERIALES!$C$167)</f>
        <v>2595.2950400000004</v>
      </c>
      <c r="G10" s="59">
        <f>(12*MATERIALES!$C$189)+(1*MATERIALES!$C$194)+(4*MATERIALES!$C$206)+(((A10*2)+(B10*4))*MATERIALES!$C$209)+(4*MATERIALES!$C$148)+(((A10*5)*2)*MATERIALES!$C$147)+(((A10*2)+(B10*2))*MATERIALES!$C$210)+((((A10*2)+(B10*4))/0.1)*MATERIALES!$C$192)+(((A10*2)+(B10*4))*MATERIALES!$C$165)+(2*MATERIALES!$C$187)+(0.5*MATERIALES!$C$167)</f>
        <v>3564.5854400000003</v>
      </c>
      <c r="H10" s="59">
        <f>(16*MATERIALES!$C$189)+(1*MATERIALES!$C$194)+(4*MATERIALES!$C$206)+(2*MATERIALES!$C$208)+(((A10*2)+(B10*6))*MATERIALES!$C$208)+(4*MATERIALES!$C$148)+(((A10*5)*2)*MATERIALES!$C$147)+(((A10*2)+(B10*2))*MATERIALES!$C$209)+((((A10*2)+(B10*6))/0.1)*MATERIALES!$C$192)+(((A10*2)+(B10*6))*MATERIALES!$C$165)+(2*MATERIALES!$C$187)+(0.5*MATERIALES!$C$167)</f>
        <v>9229.4966399999994</v>
      </c>
      <c r="I10" s="75"/>
      <c r="J10" s="55">
        <f>(A10*B10)*MATERIALES!$D$82</f>
        <v>318.00000000000006</v>
      </c>
      <c r="K10" s="55">
        <f>(A10*B10)*MATERIALES!$D$82</f>
        <v>318.00000000000006</v>
      </c>
      <c r="L10" s="55">
        <f>(A10*B10)*MATERIALES!$D$82</f>
        <v>318.00000000000006</v>
      </c>
      <c r="M10" s="55">
        <f>(((A10*B10)*2)*MATERIALES!$D$83)+(4*MATERIALES!$C$229)+(((A10*2)+(B10*2))*MATERIALES!$C$230)+(((A10*2)+(B10*2))*MATERIALES!$C$231)+((((A10*2)+(B10*2))/15)*MATERIALES!$C$232)+((((A10*2)+(B10*2))/15)*(MATERIALES!$C$233*0.15))</f>
        <v>1684.0449600000004</v>
      </c>
      <c r="N10" s="55">
        <f>(((A10*B10)*2)*MATERIALES!$D$83)+(8*MATERIALES!$C$229)+(((A10*2)+(B10*4))*MATERIALES!$C$230)+(((A10*2)+(B10*4))*MATERIALES!$C$231)+((((A10*2)+(B10*4))/15)*MATERIALES!$C$232)+((((A10*2)+(B10*4))/15)*(MATERIALES!$C$233*0.15))</f>
        <v>2402.3625600000005</v>
      </c>
      <c r="O10" s="55">
        <f>(((A10*B10)*2)*MATERIALES!$D$83)+(12*MATERIALES!$C$229)+(((A10*2)+(B10*6))*MATERIALES!$C$230)+(((A10*2)+(B10*6))*MATERIALES!$C$231)+((((A10*2)+(B10*6))/15)*MATERIALES!$C$232)+((((A10*2)+(B10*6))/15)*(MATERIALES!$C$233*0.15))</f>
        <v>3120.6801600000003</v>
      </c>
      <c r="P10" s="55">
        <f>(A10*B10)*MATERIALES!$D$89</f>
        <v>1074.0000000000002</v>
      </c>
      <c r="Q10" s="139">
        <f>(A10*B10)*MATERIALES!$D$89</f>
        <v>1074.0000000000002</v>
      </c>
      <c r="R10" s="437">
        <f>(A10*B10)*MATERIALES!$D$89</f>
        <v>1074.0000000000002</v>
      </c>
      <c r="S10" s="132">
        <f t="shared" si="0"/>
        <v>4009.8835520000007</v>
      </c>
      <c r="T10" s="129">
        <f t="shared" si="1"/>
        <v>5269.961072000001</v>
      </c>
      <c r="U10" s="119">
        <f t="shared" si="2"/>
        <v>12634.345632</v>
      </c>
      <c r="V10" s="129">
        <f t="shared" si="3"/>
        <v>6741.9734720000015</v>
      </c>
      <c r="W10" s="129">
        <f t="shared" si="4"/>
        <v>9438.686192000001</v>
      </c>
      <c r="X10" s="119">
        <f t="shared" si="5"/>
        <v>18239.705952</v>
      </c>
      <c r="Y10" s="129">
        <f t="shared" si="6"/>
        <v>4984.8835520000011</v>
      </c>
      <c r="Z10" s="131">
        <f t="shared" si="7"/>
        <v>6244.9610720000019</v>
      </c>
      <c r="AA10" s="438">
        <f t="shared" si="8"/>
        <v>13609.345632</v>
      </c>
      <c r="AD10" s="245" t="s">
        <v>597</v>
      </c>
      <c r="AE10" s="246">
        <f>+$S$10</f>
        <v>4009.8835520000007</v>
      </c>
      <c r="AF10" s="246">
        <f>+$V$10</f>
        <v>6741.9734720000015</v>
      </c>
      <c r="AG10" s="251">
        <f>+$Y$10</f>
        <v>4984.8835520000011</v>
      </c>
      <c r="AH10" s="250">
        <f>+'MODENA CLASICA CORREDIZA'!$M$17</f>
        <v>0</v>
      </c>
      <c r="AI10" s="251"/>
      <c r="AJ10" s="248"/>
      <c r="AK10" s="885"/>
    </row>
    <row r="11" spans="1:37" ht="16.5" thickBot="1">
      <c r="A11" s="68">
        <v>0.5</v>
      </c>
      <c r="B11" s="69">
        <v>0.6</v>
      </c>
      <c r="C11" s="59">
        <f>((((A11*2)+(B11*2))*MATERIALES!$C$57)+(((A11*2)+(B11*2))*MATERIALES!$C$56)+((A11*2)+(B11*2)*MATERIALES!$C$73))*(MATERIALES!$F$2*MATERIALES!$J$15)</f>
        <v>0</v>
      </c>
      <c r="D11" s="59">
        <f>((((A11*2)+(B11*2))*MATERIALES!$C$57)+(((A11*2)+(B11*4))*MATERIALES!$C$56)+(((A11*2)+(B11*4))*MATERIALES!$C$73)+(B11*MATERIALES!$C$77))*(MATERIALES!$F$2*MATERIALES!$J$15)</f>
        <v>0</v>
      </c>
      <c r="E11" s="439">
        <f>((((A11*2)+(B11*2))*MATERIALES!$C$57)+(((A11*2)+(B11*6))*MATERIALES!$C$56)+(((A11*2)+(B11*6))*MATERIALES!$C$73)+(B11*MATERIALES!$C$77))*(MATERIALES!$F$2*MATERIALES!$J$15)</f>
        <v>0</v>
      </c>
      <c r="F11" s="59">
        <f>(8*MATERIALES!$C$189)+(1*MATERIALES!$C$194)+(2*MATERIALES!$C$206)+(((A11*2)+(B11*2))*MATERIALES!$C$209)+(4*MATERIALES!$C$148)+(((A11*5)*2)*MATERIALES!$C$147)+(((A11*2)+(B11*2))*MATERIALES!$C$210)+((((A11*2)+(B11*2))/0.1)*MATERIALES!$C$192)+(((A11*2)+(B11*2))*MATERIALES!$C$165)+(2*MATERIALES!$C$187)+(0.5*MATERIALES!$C$167)</f>
        <v>2431.77376</v>
      </c>
      <c r="G11" s="59">
        <f>(12*MATERIALES!$C$189)+(1*MATERIALES!$C$194)+(4*MATERIALES!$C$206)+(((A11*2)+(B11*4))*MATERIALES!$C$209)+(4*MATERIALES!$C$148)+(((A11*5)*2)*MATERIALES!$C$147)+(((A11*2)+(B11*2))*MATERIALES!$C$210)+((((A11*2)+(B11*4))/0.1)*MATERIALES!$C$192)+(((A11*2)+(B11*4))*MATERIALES!$C$165)+(2*MATERIALES!$C$187)+(0.5*MATERIALES!$C$167)</f>
        <v>3278.1299200000003</v>
      </c>
      <c r="H11" s="59">
        <f>(16*MATERIALES!$C$189)+(1*MATERIALES!$C$194)+(4*MATERIALES!$C$206)+(2*MATERIALES!$C$208)+(((A11*2)+(B11*6))*MATERIALES!$C$208)+(4*MATERIALES!$C$148)+(((A11*5)*2)*MATERIALES!$C$147)+(((A11*2)+(B11*2))*MATERIALES!$C$209)+((((A11*2)+(B11*6))/0.1)*MATERIALES!$C$192)+(((A11*2)+(B11*6))*MATERIALES!$C$165)+(2*MATERIALES!$C$187)+(0.5*MATERIALES!$C$167)</f>
        <v>6579.8428799999992</v>
      </c>
      <c r="I11" s="75"/>
      <c r="J11" s="55">
        <f>(A11*B11)*MATERIALES!$D$82</f>
        <v>159</v>
      </c>
      <c r="K11" s="55">
        <f>(A11*B11)*MATERIALES!$D$82</f>
        <v>159</v>
      </c>
      <c r="L11" s="55">
        <f>(A11*B11)*MATERIALES!$D$82</f>
        <v>159</v>
      </c>
      <c r="M11" s="55">
        <f>(((A11*B11)*2)*MATERIALES!$D$83)+(4*MATERIALES!$C$229)+(((A11*2)+(B11*2))*MATERIALES!$C$230)+(((A11*2)+(B11*2))*MATERIALES!$C$231)+((((A11*2)+(B11*2))/15)*MATERIALES!$C$232)+((((A11*2)+(B11*2))/15)*(MATERIALES!$C$233*0.15))</f>
        <v>922.59024000000011</v>
      </c>
      <c r="N11" s="55">
        <f>(((A11*B11)*2)*MATERIALES!$D$83)+(8*MATERIALES!$C$229)+(((A11*2)+(B11*4))*MATERIALES!$C$230)+(((A11*2)+(B11*4))*MATERIALES!$C$231)+((((A11*2)+(B11*4))/15)*MATERIALES!$C$232)+((((A11*2)+(B11*4))/15)*(MATERIALES!$C$233*0.15))</f>
        <v>1223.0212800000002</v>
      </c>
      <c r="O11" s="55">
        <f>(((A11*B11)*2)*MATERIALES!$D$83)+(12*MATERIALES!$C$229)+(((A11*2)+(B11*6))*MATERIALES!$C$230)+(((A11*2)+(B11*6))*MATERIALES!$C$231)+((((A11*2)+(B11*6))/15)*MATERIALES!$C$232)+((((A11*2)+(B11*6))/15)*(MATERIALES!$C$233*0.15))</f>
        <v>1523.4523199999999</v>
      </c>
      <c r="P11" s="55">
        <f>(A11*B11)*MATERIALES!$D$89</f>
        <v>537</v>
      </c>
      <c r="Q11" s="139">
        <f>(A11*B11)*MATERIALES!$D$89</f>
        <v>537</v>
      </c>
      <c r="R11" s="437">
        <f>(A11*B11)*MATERIALES!$D$89</f>
        <v>537</v>
      </c>
      <c r="S11" s="132">
        <f>((C11+F11+I11)*1.3)+(J11*2)</f>
        <v>3479.3058880000003</v>
      </c>
      <c r="T11" s="129">
        <f t="shared" si="1"/>
        <v>4579.5688960000007</v>
      </c>
      <c r="U11" s="119">
        <f t="shared" si="2"/>
        <v>8871.7957439999991</v>
      </c>
      <c r="V11" s="129">
        <f t="shared" si="3"/>
        <v>5006.4863680000008</v>
      </c>
      <c r="W11" s="129">
        <f t="shared" si="4"/>
        <v>6707.6114560000005</v>
      </c>
      <c r="X11" s="119">
        <f t="shared" si="5"/>
        <v>11600.700384</v>
      </c>
      <c r="Y11" s="129">
        <f t="shared" si="6"/>
        <v>3966.8058880000003</v>
      </c>
      <c r="Z11" s="131">
        <f t="shared" si="7"/>
        <v>5067.0688960000007</v>
      </c>
      <c r="AA11" s="438">
        <f t="shared" si="8"/>
        <v>9359.2957439999991</v>
      </c>
      <c r="AD11" s="245" t="s">
        <v>598</v>
      </c>
      <c r="AE11" s="246">
        <f>+$S$11</f>
        <v>3479.3058880000003</v>
      </c>
      <c r="AF11" s="246">
        <f>+$V$11</f>
        <v>5006.4863680000008</v>
      </c>
      <c r="AG11" s="251">
        <f>+$Y$11</f>
        <v>3966.8058880000003</v>
      </c>
      <c r="AH11" s="250">
        <f>+'MODENA CLASICA CORREDIZA'!$M$12</f>
        <v>0</v>
      </c>
      <c r="AI11" s="252"/>
      <c r="AJ11" s="248"/>
      <c r="AK11" s="886"/>
    </row>
    <row r="12" spans="1:37" ht="16.5" thickBot="1">
      <c r="A12" s="68">
        <v>0.5</v>
      </c>
      <c r="B12" s="69">
        <v>0.8</v>
      </c>
      <c r="C12" s="59">
        <f>((((A12*2)+(B12*2))*MATERIALES!$C$57)+(((A12*2)+(B12*2))*MATERIALES!$C$56)+((A12*2)+(B12*2)*MATERIALES!$C$73))*(MATERIALES!$F$2*MATERIALES!$J$15)</f>
        <v>0</v>
      </c>
      <c r="D12" s="59">
        <f>((((A12*2)+(B12*2))*MATERIALES!$C$57)+(((A12*2)+(B12*4))*MATERIALES!$C$56)+(((A12*2)+(B12*4))*MATERIALES!$C$73)+(B12*MATERIALES!$C$77))*(MATERIALES!$F$2*MATERIALES!$J$15)</f>
        <v>0</v>
      </c>
      <c r="E12" s="439">
        <f>((((A12*2)+(B12*2))*MATERIALES!$C$57)+(((A12*2)+(B12*6))*MATERIALES!$C$56)+(((A12*2)+(B12*6))*MATERIALES!$C$73)+(B12*MATERIALES!$C$77))*(MATERIALES!$F$2*MATERIALES!$J$15)</f>
        <v>0</v>
      </c>
      <c r="F12" s="59">
        <f>(8*MATERIALES!$C$189)+(1*MATERIALES!$C$194)+(2*MATERIALES!$C$206)+(((A12*2)+(B12*2))*MATERIALES!$C$209)+(4*MATERIALES!$C$148)+(((A12*5)*2)*MATERIALES!$C$147)+(((A12*2)+(B12*2))*MATERIALES!$C$210)+((((A12*2)+(B12*2))/0.1)*MATERIALES!$C$192)+(((A12*2)+(B12*2))*MATERIALES!$C$165)+(2*MATERIALES!$C$187)+(0.5*MATERIALES!$C$167)</f>
        <v>2472.6540800000002</v>
      </c>
      <c r="G12" s="59">
        <f>(12*MATERIALES!$C$189)+(1*MATERIALES!$C$194)+(4*MATERIALES!$C$206)+(((A12*2)+(B12*4))*MATERIALES!$C$209)+(4*MATERIALES!$C$148)+(((A12*5)*2)*MATERIALES!$C$147)+(((A12*2)+(B12*2))*MATERIALES!$C$210)+((((A12*2)+(B12*4))/0.1)*MATERIALES!$C$192)+(((A12*2)+(B12*4))*MATERIALES!$C$165)+(2*MATERIALES!$C$187)+(0.5*MATERIALES!$C$167)</f>
        <v>3346.3289600000003</v>
      </c>
      <c r="H12" s="59">
        <f>(16*MATERIALES!$C$189)+(1*MATERIALES!$C$194)+(4*MATERIALES!$C$206)+(2*MATERIALES!$C$208)+(((A12*2)+(B12*6))*MATERIALES!$C$208)+(4*MATERIALES!$C$148)+(((A12*5)*2)*MATERIALES!$C$147)+(((A12*2)+(B12*2))*MATERIALES!$C$209)+((((A12*2)+(B12*6))/0.1)*MATERIALES!$C$192)+(((A12*2)+(B12*6))*MATERIALES!$C$165)+(2*MATERIALES!$C$187)+(0.5*MATERIALES!$C$167)</f>
        <v>7192.0742399999999</v>
      </c>
      <c r="I12" s="75"/>
      <c r="J12" s="55">
        <f>(A12*B12)*MATERIALES!$D$82</f>
        <v>212</v>
      </c>
      <c r="K12" s="55">
        <f>(A12*B12)*MATERIALES!$D$82</f>
        <v>212</v>
      </c>
      <c r="L12" s="55">
        <f>(A12*B12)*MATERIALES!$D$82</f>
        <v>212</v>
      </c>
      <c r="M12" s="55">
        <f>(((A12*B12)*2)*MATERIALES!$D$83)+(4*MATERIALES!$C$229)+(((A12*2)+(B12*2))*MATERIALES!$C$230)+(((A12*2)+(B12*2))*MATERIALES!$C$231)+((((A12*2)+(B12*2))/15)*MATERIALES!$C$232)+((((A12*2)+(B12*2))/15)*(MATERIALES!$C$233*0.15))</f>
        <v>1145.4539199999999</v>
      </c>
      <c r="N12" s="55">
        <f>(((A12*B12)*2)*MATERIALES!$D$83)+(8*MATERIALES!$C$229)+(((A12*2)+(B12*4))*MATERIALES!$C$230)+(((A12*2)+(B12*4))*MATERIALES!$C$231)+((((A12*2)+(B12*4))/15)*MATERIALES!$C$232)+((((A12*2)+(B12*4))/15)*(MATERIALES!$C$233*0.15))</f>
        <v>1538.74864</v>
      </c>
      <c r="O12" s="55">
        <f>(((A12*B12)*2)*MATERIALES!$D$83)+(12*MATERIALES!$C$229)+(((A12*2)+(B12*6))*MATERIALES!$C$230)+(((A12*2)+(B12*6))*MATERIALES!$C$231)+((((A12*2)+(B12*6))/15)*MATERIALES!$C$232)+((((A12*2)+(B12*6))/15)*(MATERIALES!$C$233*0.15))</f>
        <v>1932.0433600000001</v>
      </c>
      <c r="P12" s="55">
        <f>(A12*B12)*MATERIALES!$D$89</f>
        <v>716</v>
      </c>
      <c r="Q12" s="139">
        <f>(A12*B12)*MATERIALES!$D$89</f>
        <v>716</v>
      </c>
      <c r="R12" s="437">
        <f>(A12*B12)*MATERIALES!$D$89</f>
        <v>716</v>
      </c>
      <c r="S12" s="132">
        <f t="shared" si="0"/>
        <v>3638.4503040000004</v>
      </c>
      <c r="T12" s="129">
        <f t="shared" si="1"/>
        <v>4774.227648000001</v>
      </c>
      <c r="U12" s="119">
        <f t="shared" si="2"/>
        <v>9773.6965120000004</v>
      </c>
      <c r="V12" s="129">
        <f t="shared" si="3"/>
        <v>5505.3581439999998</v>
      </c>
      <c r="W12" s="129">
        <f t="shared" si="4"/>
        <v>7427.7249280000015</v>
      </c>
      <c r="X12" s="119">
        <f t="shared" si="5"/>
        <v>13213.783232000002</v>
      </c>
      <c r="Y12" s="129">
        <f t="shared" si="6"/>
        <v>4288.450304</v>
      </c>
      <c r="Z12" s="131">
        <f t="shared" si="7"/>
        <v>5424.227648000001</v>
      </c>
      <c r="AA12" s="438">
        <f t="shared" si="8"/>
        <v>10423.696512</v>
      </c>
      <c r="AD12" s="245" t="s">
        <v>599</v>
      </c>
      <c r="AE12" s="246">
        <f>+$S$12</f>
        <v>3638.4503040000004</v>
      </c>
      <c r="AF12" s="246">
        <f>+$V$12</f>
        <v>5505.3581439999998</v>
      </c>
      <c r="AG12" s="251">
        <f>+$Y$12</f>
        <v>4288.450304</v>
      </c>
      <c r="AH12" s="250">
        <f>+'MODENA CLASICA CORREDIZA'!$M$13</f>
        <v>0</v>
      </c>
      <c r="AI12" s="252"/>
      <c r="AJ12" s="248"/>
      <c r="AK12" s="248"/>
    </row>
    <row r="13" spans="1:37" ht="16.5" thickBot="1">
      <c r="A13" s="68">
        <v>0.5</v>
      </c>
      <c r="B13" s="69">
        <v>1</v>
      </c>
      <c r="C13" s="59">
        <f>((((A13*2)+(B13*2))*MATERIALES!$C$57)+(((A13*2)+(B13*2))*MATERIALES!$C$56)+((A13*2)+(B13*2)*MATERIALES!$C$73))*(MATERIALES!$F$2*MATERIALES!$J$15)</f>
        <v>0</v>
      </c>
      <c r="D13" s="59">
        <f>((((A13*2)+(B13*2))*MATERIALES!$C$57)+(((A13*2)+(B13*4))*MATERIALES!$C$56)+(((A13*2)+(B13*4))*MATERIALES!$C$73)+(B13*MATERIALES!$C$77))*(MATERIALES!$F$2*MATERIALES!$J$15)</f>
        <v>0</v>
      </c>
      <c r="E13" s="439">
        <f>((((A13*2)+(B13*2))*MATERIALES!$C$57)+(((A13*2)+(B13*6))*MATERIALES!$C$56)+(((A13*2)+(B13*6))*MATERIALES!$C$73)+(B13*MATERIALES!$C$77))*(MATERIALES!$F$2*MATERIALES!$J$15)</f>
        <v>0</v>
      </c>
      <c r="F13" s="59">
        <f>(8*MATERIALES!$C$189)+(1*MATERIALES!$C$194)+(2*MATERIALES!$C$206)+(((A13*2)+(B13*2))*MATERIALES!$C$209)+(4*MATERIALES!$C$148)+(((A13*5)*2)*MATERIALES!$C$147)+(((A13*2)+(B13*2))*MATERIALES!$C$210)+((((A13*2)+(B13*2))/0.1)*MATERIALES!$C$192)+(((A13*2)+(B13*2))*MATERIALES!$C$165)+(2*MATERIALES!$C$187)+(0.5*MATERIALES!$C$167)</f>
        <v>2513.5344</v>
      </c>
      <c r="G13" s="59">
        <f>(12*MATERIALES!$C$189)+(1*MATERIALES!$C$194)+(4*MATERIALES!$C$206)+(((A13*2)+(B13*4))*MATERIALES!$C$209)+(4*MATERIALES!$C$148)+(((A13*5)*2)*MATERIALES!$C$147)+(((A13*2)+(B13*2))*MATERIALES!$C$210)+((((A13*2)+(B13*4))/0.1)*MATERIALES!$C$192)+(((A13*2)+(B13*4))*MATERIALES!$C$165)+(2*MATERIALES!$C$187)+(0.5*MATERIALES!$C$167)</f>
        <v>3414.5280000000002</v>
      </c>
      <c r="H13" s="59">
        <f>(16*MATERIALES!$C$189)+(1*MATERIALES!$C$194)+(4*MATERIALES!$C$206)+(2*MATERIALES!$C$208)+(((A13*2)+(B13*6))*MATERIALES!$C$208)+(4*MATERIALES!$C$148)+(((A13*5)*2)*MATERIALES!$C$147)+(((A13*2)+(B13*2))*MATERIALES!$C$209)+((((A13*2)+(B13*6))/0.1)*MATERIALES!$C$192)+(((A13*2)+(B13*6))*MATERIALES!$C$165)+(2*MATERIALES!$C$187)+(0.5*MATERIALES!$C$167)</f>
        <v>7804.3056000000006</v>
      </c>
      <c r="I13" s="75"/>
      <c r="J13" s="55">
        <f>(A13*B13)*MATERIALES!$D$82</f>
        <v>265</v>
      </c>
      <c r="K13" s="55">
        <f>(A13*B13)*MATERIALES!$D$82</f>
        <v>265</v>
      </c>
      <c r="L13" s="55">
        <f>(A13*B13)*MATERIALES!$D$82</f>
        <v>265</v>
      </c>
      <c r="M13" s="55">
        <f>(((A13*B13)*2)*MATERIALES!$D$83)+(4*MATERIALES!$C$229)+(((A13*2)+(B13*2))*MATERIALES!$C$230)+(((A13*2)+(B13*2))*MATERIALES!$C$231)+((((A13*2)+(B13*2))/15)*MATERIALES!$C$232)+((((A13*2)+(B13*2))/15)*(MATERIALES!$C$233*0.15))</f>
        <v>1368.3175999999999</v>
      </c>
      <c r="N13" s="55">
        <f>(((A13*B13)*2)*MATERIALES!$D$83)+(8*MATERIALES!$C$229)+(((A13*2)+(B13*4))*MATERIALES!$C$230)+(((A13*2)+(B13*4))*MATERIALES!$C$231)+((((A13*2)+(B13*4))/15)*MATERIALES!$C$232)+((((A13*2)+(B13*4))/15)*(MATERIALES!$C$233*0.15))</f>
        <v>1854.4759999999997</v>
      </c>
      <c r="O13" s="55">
        <f>(((A13*B13)*2)*MATERIALES!$D$83)+(12*MATERIALES!$C$229)+(((A13*2)+(B13*6))*MATERIALES!$C$230)+(((A13*2)+(B13*6))*MATERIALES!$C$231)+((((A13*2)+(B13*6))/15)*MATERIALES!$C$232)+((((A13*2)+(B13*6))/15)*(MATERIALES!$C$233*0.15))</f>
        <v>2340.6343999999999</v>
      </c>
      <c r="P13" s="55">
        <f>(A13*B13)*MATERIALES!$D$89</f>
        <v>895</v>
      </c>
      <c r="Q13" s="139">
        <f>(A13*B13)*MATERIALES!$D$89</f>
        <v>895</v>
      </c>
      <c r="R13" s="437">
        <f>(A13*B13)*MATERIALES!$D$89</f>
        <v>895</v>
      </c>
      <c r="S13" s="132">
        <f t="shared" si="0"/>
        <v>3797.5947200000001</v>
      </c>
      <c r="T13" s="129">
        <f t="shared" si="1"/>
        <v>4968.8864000000003</v>
      </c>
      <c r="U13" s="119">
        <f t="shared" si="2"/>
        <v>10675.597280000002</v>
      </c>
      <c r="V13" s="129">
        <f t="shared" si="3"/>
        <v>6004.2299199999998</v>
      </c>
      <c r="W13" s="129">
        <f t="shared" si="4"/>
        <v>8147.8383999999996</v>
      </c>
      <c r="X13" s="119">
        <f t="shared" si="5"/>
        <v>14826.866080000002</v>
      </c>
      <c r="Y13" s="129">
        <f t="shared" si="6"/>
        <v>4610.0947200000001</v>
      </c>
      <c r="Z13" s="131">
        <f t="shared" si="7"/>
        <v>5781.3864000000003</v>
      </c>
      <c r="AA13" s="438">
        <f t="shared" si="8"/>
        <v>11488.097280000002</v>
      </c>
      <c r="AD13" s="245" t="s">
        <v>600</v>
      </c>
      <c r="AE13" s="246">
        <f>+$S$13</f>
        <v>3797.5947200000001</v>
      </c>
      <c r="AF13" s="246">
        <f>+$V$13</f>
        <v>6004.2299199999998</v>
      </c>
      <c r="AG13" s="251">
        <f>+$Y$13</f>
        <v>4610.0947200000001</v>
      </c>
      <c r="AH13" s="250">
        <f>+'MODENA CLASICA CORREDIZA'!$M$14</f>
        <v>0</v>
      </c>
      <c r="AI13" s="252"/>
      <c r="AJ13" s="252"/>
      <c r="AK13" s="248"/>
    </row>
    <row r="14" spans="1:37" ht="16.5" thickBot="1">
      <c r="A14" s="68">
        <v>0.5</v>
      </c>
      <c r="B14" s="69">
        <v>1.1000000000000001</v>
      </c>
      <c r="C14" s="59">
        <f>((((A14*2)+(B14*2))*MATERIALES!$C$57)+(((A14*2)+(B14*2))*MATERIALES!$C$56)+((A14*2)+(B14*2)*MATERIALES!$C$73))*(MATERIALES!$F$2*MATERIALES!$J$15)</f>
        <v>0</v>
      </c>
      <c r="D14" s="59">
        <f>((((A14*2)+(B14*2))*MATERIALES!$C$57)+(((A14*2)+(B14*4))*MATERIALES!$C$56)+(((A14*2)+(B14*4))*MATERIALES!$C$73)+(B14*MATERIALES!$C$77))*(MATERIALES!$F$2*MATERIALES!$J$15)</f>
        <v>0</v>
      </c>
      <c r="E14" s="439">
        <f>((((A14*2)+(B14*2))*MATERIALES!$C$57)+(((A14*2)+(B14*6))*MATERIALES!$C$56)+(((A14*2)+(B14*6))*MATERIALES!$C$73)+(B14*MATERIALES!$C$77))*(MATERIALES!$F$2*MATERIALES!$J$15)</f>
        <v>0</v>
      </c>
      <c r="F14" s="59">
        <f>(8*MATERIALES!$C$189)+(1*MATERIALES!$C$194)+(2*MATERIALES!$C$206)+(((A14*2)+(B14*2))*MATERIALES!$C$209)+(4*MATERIALES!$C$148)+(((A14*5)*2)*MATERIALES!$C$147)+(((A14*2)+(B14*2))*MATERIALES!$C$210)+((((A14*2)+(B14*2))/0.1)*MATERIALES!$C$192)+(((A14*2)+(B14*2))*MATERIALES!$C$165)+(2*MATERIALES!$C$187)+(0.5*MATERIALES!$C$167)</f>
        <v>2533.9745600000001</v>
      </c>
      <c r="G14" s="59">
        <f>(12*MATERIALES!$C$189)+(1*MATERIALES!$C$194)+(4*MATERIALES!$C$206)+(((A14*2)+(B14*4))*MATERIALES!$C$209)+(4*MATERIALES!$C$148)+(((A14*5)*2)*MATERIALES!$C$147)+(((A14*2)+(B14*2))*MATERIALES!$C$210)+((((A14*2)+(B14*4))/0.1)*MATERIALES!$C$192)+(((A14*2)+(B14*4))*MATERIALES!$C$165)+(2*MATERIALES!$C$187)+(0.5*MATERIALES!$C$167)</f>
        <v>3448.6275200000005</v>
      </c>
      <c r="H14" s="59">
        <f>(16*MATERIALES!$C$189)+(1*MATERIALES!$C$194)+(4*MATERIALES!$C$206)+(2*MATERIALES!$C$208)+(((A14*2)+(B14*6))*MATERIALES!$C$208)+(4*MATERIALES!$C$148)+(((A14*5)*2)*MATERIALES!$C$147)+(((A14*2)+(B14*2))*MATERIALES!$C$209)+((((A14*2)+(B14*6))/0.1)*MATERIALES!$C$192)+(((A14*2)+(B14*6))*MATERIALES!$C$165)+(2*MATERIALES!$C$187)+(0.5*MATERIALES!$C$167)</f>
        <v>8110.4212800000005</v>
      </c>
      <c r="I14" s="75"/>
      <c r="J14" s="55">
        <f>(A14*B14)*MATERIALES!$D$82</f>
        <v>291.5</v>
      </c>
      <c r="K14" s="55">
        <f>(A14*B14)*MATERIALES!$D$82</f>
        <v>291.5</v>
      </c>
      <c r="L14" s="55">
        <f>(A14*B14)*MATERIALES!$D$82</f>
        <v>291.5</v>
      </c>
      <c r="M14" s="55">
        <f>(((A14*B14)*2)*MATERIALES!$D$83)+(4*MATERIALES!$C$229)+(((A14*2)+(B14*2))*MATERIALES!$C$230)+(((A14*2)+(B14*2))*MATERIALES!$C$231)+((((A14*2)+(B14*2))/15)*MATERIALES!$C$232)+((((A14*2)+(B14*2))/15)*(MATERIALES!$C$233*0.15))</f>
        <v>1479.7494400000003</v>
      </c>
      <c r="N14" s="55">
        <f>(((A14*B14)*2)*MATERIALES!$D$83)+(8*MATERIALES!$C$229)+(((A14*2)+(B14*4))*MATERIALES!$C$230)+(((A14*2)+(B14*4))*MATERIALES!$C$231)+((((A14*2)+(B14*4))/15)*MATERIALES!$C$232)+((((A14*2)+(B14*4))/15)*(MATERIALES!$C$233*0.15))</f>
        <v>2012.3396800000003</v>
      </c>
      <c r="O14" s="55">
        <f>(((A14*B14)*2)*MATERIALES!$D$83)+(12*MATERIALES!$C$229)+(((A14*2)+(B14*6))*MATERIALES!$C$230)+(((A14*2)+(B14*6))*MATERIALES!$C$231)+((((A14*2)+(B14*6))/15)*MATERIALES!$C$232)+((((A14*2)+(B14*6))/15)*(MATERIALES!$C$233*0.15))</f>
        <v>2544.9299200000005</v>
      </c>
      <c r="P14" s="55">
        <f>(A14*B14)*MATERIALES!$D$89</f>
        <v>984.50000000000011</v>
      </c>
      <c r="Q14" s="139">
        <f>(A14*B14)*MATERIALES!$D$89</f>
        <v>984.50000000000011</v>
      </c>
      <c r="R14" s="437">
        <f>(A14*B14)*MATERIALES!$D$89</f>
        <v>984.50000000000011</v>
      </c>
      <c r="S14" s="132">
        <f>((C14+F14+I14)*1.3)+(J14*2)</f>
        <v>3877.1669280000001</v>
      </c>
      <c r="T14" s="129">
        <f>((D14+G14+I14)*1.3)+(K14*2)</f>
        <v>5066.2157760000009</v>
      </c>
      <c r="U14" s="119">
        <f t="shared" si="2"/>
        <v>11126.547664000002</v>
      </c>
      <c r="V14" s="129">
        <f t="shared" si="3"/>
        <v>6253.6658080000007</v>
      </c>
      <c r="W14" s="129">
        <f t="shared" si="4"/>
        <v>8507.895136000001</v>
      </c>
      <c r="X14" s="119">
        <f t="shared" si="5"/>
        <v>15633.407504000003</v>
      </c>
      <c r="Y14" s="129">
        <f t="shared" si="6"/>
        <v>4770.9169280000006</v>
      </c>
      <c r="Z14" s="131">
        <f t="shared" si="7"/>
        <v>5959.9657760000009</v>
      </c>
      <c r="AA14" s="438">
        <f t="shared" si="8"/>
        <v>12020.297664000002</v>
      </c>
      <c r="AD14" s="245" t="s">
        <v>652</v>
      </c>
      <c r="AE14" s="246">
        <f>+$S$14</f>
        <v>3877.1669280000001</v>
      </c>
      <c r="AF14" s="246">
        <f>+$V$14</f>
        <v>6253.6658080000007</v>
      </c>
      <c r="AG14" s="251">
        <f>+$Y$14</f>
        <v>4770.9169280000006</v>
      </c>
      <c r="AH14" s="250">
        <f>+'MODENA CLASICA CORREDIZA'!$M$15</f>
        <v>0</v>
      </c>
      <c r="AI14" s="252"/>
      <c r="AJ14" s="252"/>
      <c r="AK14" s="252"/>
    </row>
    <row r="15" spans="1:37" ht="16.5" thickBot="1">
      <c r="A15" s="68">
        <v>0.5</v>
      </c>
      <c r="B15" s="69">
        <v>1.2</v>
      </c>
      <c r="C15" s="59">
        <f>((((A15*2)+(B15*2))*MATERIALES!$C$57)+(((A15*2)+(B15*2))*MATERIALES!$C$56)+((A15*2)+(B15*2)*MATERIALES!$C$73))*(MATERIALES!$F$2*MATERIALES!$J$15)</f>
        <v>0</v>
      </c>
      <c r="D15" s="59">
        <f>((((A15*2)+(B15*2))*MATERIALES!$C$57)+(((A15*2)+(B15*4))*MATERIALES!$C$56)+(((A15*2)+(B15*4))*MATERIALES!$C$73)+(B15*MATERIALES!$C$77))*(MATERIALES!$F$2*MATERIALES!$J$15)</f>
        <v>0</v>
      </c>
      <c r="E15" s="439">
        <f>((((A15*2)+(B15*2))*MATERIALES!$C$57)+(((A15*2)+(B15*6))*MATERIALES!$C$56)+(((A15*2)+(B15*6))*MATERIALES!$C$73)+(B15*MATERIALES!$C$77))*(MATERIALES!$F$2*MATERIALES!$J$15)</f>
        <v>0</v>
      </c>
      <c r="F15" s="59">
        <f>(8*MATERIALES!$C$189)+(1*MATERIALES!$C$194)+(2*MATERIALES!$C$206)+(((A15*2)+(B15*2))*MATERIALES!$C$209)+(4*MATERIALES!$C$148)+(((A15*5)*2)*MATERIALES!$C$147)+(((A15*2)+(B15*2))*MATERIALES!$C$210)+((((A15*2)+(B15*2))/0.1)*MATERIALES!$C$192)+(((A15*2)+(B15*2))*MATERIALES!$C$165)+(2*MATERIALES!$C$187)+(0.5*MATERIALES!$C$167)</f>
        <v>2554.4147200000002</v>
      </c>
      <c r="G15" s="59">
        <f>(12*MATERIALES!$C$189)+(1*MATERIALES!$C$194)+(4*MATERIALES!$C$206)+(((A15*2)+(B15*4))*MATERIALES!$C$209)+(4*MATERIALES!$C$148)+(((A15*5)*2)*MATERIALES!$C$147)+(((A15*2)+(B15*2))*MATERIALES!$C$210)+((((A15*2)+(B15*4))/0.1)*MATERIALES!$C$192)+(((A15*2)+(B15*4))*MATERIALES!$C$165)+(2*MATERIALES!$C$187)+(0.5*MATERIALES!$C$167)</f>
        <v>3482.7270400000002</v>
      </c>
      <c r="H15" s="59">
        <f>(16*MATERIALES!$C$189)+(1*MATERIALES!$C$194)+(4*MATERIALES!$C$206)+(2*MATERIALES!$C$208)+(((A15*2)+(B15*6))*MATERIALES!$C$208)+(4*MATERIALES!$C$148)+(((A15*5)*2)*MATERIALES!$C$147)+(((A15*2)+(B15*2))*MATERIALES!$C$209)+((((A15*2)+(B15*6))/0.1)*MATERIALES!$C$192)+(((A15*2)+(B15*6))*MATERIALES!$C$165)+(2*MATERIALES!$C$187)+(0.5*MATERIALES!$C$167)</f>
        <v>8416.5369599999995</v>
      </c>
      <c r="I15" s="75"/>
      <c r="J15" s="55">
        <f>(A15*B15)*MATERIALES!$D$82</f>
        <v>318</v>
      </c>
      <c r="K15" s="55">
        <f>(A15*B15)*MATERIALES!$D$82</f>
        <v>318</v>
      </c>
      <c r="L15" s="55">
        <f>(A15*B15)*MATERIALES!$D$82</f>
        <v>318</v>
      </c>
      <c r="M15" s="55">
        <f>(((A15*B15)*2)*MATERIALES!$D$83)+(4*MATERIALES!$C$229)+(((A15*2)+(B15*2))*MATERIALES!$C$230)+(((A15*2)+(B15*2))*MATERIALES!$C$231)+((((A15*2)+(B15*2))/15)*MATERIALES!$C$232)+((((A15*2)+(B15*2))/15)*(MATERIALES!$C$233*0.15))</f>
        <v>1591.1812800000002</v>
      </c>
      <c r="N15" s="55">
        <f>(((A15*B15)*2)*MATERIALES!$D$83)+(8*MATERIALES!$C$229)+(((A15*2)+(B15*4))*MATERIALES!$C$230)+(((A15*2)+(B15*4))*MATERIALES!$C$231)+((((A15*2)+(B15*4))/15)*MATERIALES!$C$232)+((((A15*2)+(B15*4))/15)*(MATERIALES!$C$233*0.15))</f>
        <v>2170.20336</v>
      </c>
      <c r="O15" s="55">
        <f>(((A15*B15)*2)*MATERIALES!$D$83)+(12*MATERIALES!$C$229)+(((A15*2)+(B15*6))*MATERIALES!$C$230)+(((A15*2)+(B15*6))*MATERIALES!$C$231)+((((A15*2)+(B15*6))/15)*MATERIALES!$C$232)+((((A15*2)+(B15*6))/15)*(MATERIALES!$C$233*0.15))</f>
        <v>2749.2254399999997</v>
      </c>
      <c r="P15" s="55">
        <f>(A15*B15)*MATERIALES!$D$89</f>
        <v>1074</v>
      </c>
      <c r="Q15" s="139">
        <f>(A15*B15)*MATERIALES!$D$89</f>
        <v>1074</v>
      </c>
      <c r="R15" s="437">
        <f>(A15*B15)*MATERIALES!$D$89</f>
        <v>1074</v>
      </c>
      <c r="S15" s="132">
        <f t="shared" si="0"/>
        <v>3956.7391360000006</v>
      </c>
      <c r="T15" s="129">
        <f t="shared" si="1"/>
        <v>5163.5451520000006</v>
      </c>
      <c r="U15" s="119">
        <f t="shared" si="2"/>
        <v>11577.498047999999</v>
      </c>
      <c r="V15" s="129">
        <f t="shared" si="3"/>
        <v>6503.1016960000015</v>
      </c>
      <c r="W15" s="129">
        <f t="shared" si="4"/>
        <v>8867.9518720000015</v>
      </c>
      <c r="X15" s="119">
        <f t="shared" si="5"/>
        <v>16439.948927999998</v>
      </c>
      <c r="Y15" s="129">
        <f t="shared" si="6"/>
        <v>4931.7391360000001</v>
      </c>
      <c r="Z15" s="131">
        <f t="shared" si="7"/>
        <v>6138.5451520000006</v>
      </c>
      <c r="AA15" s="438">
        <f t="shared" si="8"/>
        <v>12552.498047999999</v>
      </c>
      <c r="AD15" s="249" t="s">
        <v>601</v>
      </c>
      <c r="AE15" s="246">
        <f>+$S$15</f>
        <v>3956.7391360000006</v>
      </c>
      <c r="AF15" s="246">
        <f>+$V$15</f>
        <v>6503.1016960000015</v>
      </c>
      <c r="AG15" s="251">
        <f>+$Y$15</f>
        <v>4931.7391360000001</v>
      </c>
      <c r="AH15" s="250">
        <f>+'MODENA CLASICA CORREDIZA'!$M$16</f>
        <v>0</v>
      </c>
      <c r="AI15" s="252"/>
      <c r="AJ15" s="252"/>
      <c r="AK15" s="252"/>
    </row>
    <row r="16" spans="1:37" ht="16.5" thickBot="1">
      <c r="A16" s="68">
        <v>0.5</v>
      </c>
      <c r="B16" s="69">
        <v>1.5</v>
      </c>
      <c r="C16" s="59">
        <f>((((A16*2)+(B16*2))*MATERIALES!$C$57)+(((A16*2)+(B16*2))*MATERIALES!$C$56)+((A16*2)+(B16*2)*MATERIALES!$C$73))*(MATERIALES!$F$2*MATERIALES!$J$15)</f>
        <v>0</v>
      </c>
      <c r="D16" s="59">
        <f>((((A16*2)+(B16*2))*MATERIALES!$C$57)+(((A16*2)+(B16*4))*MATERIALES!$C$56)+(((A16*2)+(B16*4))*MATERIALES!$C$73)+(B16*MATERIALES!$C$77))*(MATERIALES!$F$2*MATERIALES!$J$15)</f>
        <v>0</v>
      </c>
      <c r="E16" s="439">
        <f>((((A16*2)+(B16*2))*MATERIALES!$C$57)+(((A16*2)+(B16*6))*MATERIALES!$C$56)+(((A16*2)+(B16*6))*MATERIALES!$C$73)+(B16*MATERIALES!$C$77))*(MATERIALES!$F$2*MATERIALES!$J$15)</f>
        <v>0</v>
      </c>
      <c r="F16" s="59">
        <f>(8*MATERIALES!$C$189)+(1*MATERIALES!$C$194)+(2*MATERIALES!$C$206)+(((A16*2)+(B16*2))*MATERIALES!$C$209)+(4*MATERIALES!$C$148)+(((A16*5)*2)*MATERIALES!$C$147)+(((A16*2)+(B16*2))*MATERIALES!$C$210)+((((A16*2)+(B16*2))/0.1)*MATERIALES!$C$192)+(((A16*2)+(B16*2))*MATERIALES!$C$165)+(2*MATERIALES!$C$187)+(0.5*MATERIALES!$C$167)</f>
        <v>2615.7352000000005</v>
      </c>
      <c r="G16" s="59">
        <f>(12*MATERIALES!$C$189)+(1*MATERIALES!$C$194)+(4*MATERIALES!$C$206)+(((A16*2)+(B16*4))*MATERIALES!$C$209)+(4*MATERIALES!$C$148)+(((A16*5)*2)*MATERIALES!$C$147)+(((A16*2)+(B16*2))*MATERIALES!$C$210)+((((A16*2)+(B16*4))/0.1)*MATERIALES!$C$192)+(((A16*2)+(B16*4))*MATERIALES!$C$165)+(2*MATERIALES!$C$187)+(0.5*MATERIALES!$C$167)</f>
        <v>3585.0256000000004</v>
      </c>
      <c r="H16" s="59">
        <f>(16*MATERIALES!$C$189)+(1*MATERIALES!$C$194)+(4*MATERIALES!$C$206)+(2*MATERIALES!$C$208)+(((A16*2)+(B16*6))*MATERIALES!$C$208)+(4*MATERIALES!$C$148)+(((A16*5)*2)*MATERIALES!$C$147)+(((A16*2)+(B16*2))*MATERIALES!$C$209)+((((A16*2)+(B16*6))/0.1)*MATERIALES!$C$192)+(((A16*2)+(B16*6))*MATERIALES!$C$165)+(2*MATERIALES!$C$187)+(0.5*MATERIALES!$C$167)</f>
        <v>9334.884</v>
      </c>
      <c r="I16" s="75"/>
      <c r="J16" s="55">
        <f>(A16*B16)*MATERIALES!$D$82</f>
        <v>397.5</v>
      </c>
      <c r="K16" s="55">
        <f>(A16*B16)*MATERIALES!$D$82</f>
        <v>397.5</v>
      </c>
      <c r="L16" s="55">
        <f>(A16*B16)*MATERIALES!$D$82</f>
        <v>397.5</v>
      </c>
      <c r="M16" s="55">
        <f>(((A16*B16)*2)*MATERIALES!$D$83)+(4*MATERIALES!$C$229)+(((A16*2)+(B16*2))*MATERIALES!$C$230)+(((A16*2)+(B16*2))*MATERIALES!$C$231)+((((A16*2)+(B16*2))/15)*MATERIALES!$C$232)+((((A16*2)+(B16*2))/15)*(MATERIALES!$C$233*0.15))</f>
        <v>1925.4767999999999</v>
      </c>
      <c r="N16" s="55">
        <f>(((A16*B16)*2)*MATERIALES!$D$83)+(8*MATERIALES!$C$229)+(((A16*2)+(B16*4))*MATERIALES!$C$230)+(((A16*2)+(B16*4))*MATERIALES!$C$231)+((((A16*2)+(B16*4))/15)*MATERIALES!$C$232)+((((A16*2)+(B16*4))/15)*(MATERIALES!$C$233*0.15))</f>
        <v>2643.7944000000002</v>
      </c>
      <c r="O16" s="55">
        <f>(((A16*B16)*2)*MATERIALES!$D$83)+(12*MATERIALES!$C$229)+(((A16*2)+(B16*6))*MATERIALES!$C$230)+(((A16*2)+(B16*6))*MATERIALES!$C$231)+((((A16*2)+(B16*6))/15)*MATERIALES!$C$232)+((((A16*2)+(B16*6))/15)*(MATERIALES!$C$233*0.15))</f>
        <v>3362.1119999999996</v>
      </c>
      <c r="P16" s="55">
        <f>(A16*B16)*MATERIALES!$D$89</f>
        <v>1342.5</v>
      </c>
      <c r="Q16" s="139">
        <f>(A16*B16)*MATERIALES!$D$89</f>
        <v>1342.5</v>
      </c>
      <c r="R16" s="437">
        <f>(A16*B16)*MATERIALES!$D$89</f>
        <v>1342.5</v>
      </c>
      <c r="S16" s="132">
        <f t="shared" si="0"/>
        <v>4195.4557600000007</v>
      </c>
      <c r="T16" s="129">
        <f t="shared" si="1"/>
        <v>5455.5332800000006</v>
      </c>
      <c r="U16" s="119">
        <f t="shared" si="2"/>
        <v>12930.349200000001</v>
      </c>
      <c r="V16" s="129">
        <f t="shared" si="3"/>
        <v>7251.4093600000006</v>
      </c>
      <c r="W16" s="129">
        <f t="shared" si="4"/>
        <v>9948.122080000001</v>
      </c>
      <c r="X16" s="119">
        <f t="shared" si="5"/>
        <v>18859.573199999999</v>
      </c>
      <c r="Y16" s="129">
        <f t="shared" si="6"/>
        <v>5414.2057600000007</v>
      </c>
      <c r="Z16" s="131">
        <f t="shared" si="7"/>
        <v>6674.2832800000006</v>
      </c>
      <c r="AA16" s="438">
        <f t="shared" si="8"/>
        <v>14149.099200000001</v>
      </c>
      <c r="AD16" s="249" t="s">
        <v>602</v>
      </c>
      <c r="AE16" s="246">
        <f>+$S$16</f>
        <v>4195.4557600000007</v>
      </c>
      <c r="AF16" s="246">
        <f>+$V$16</f>
        <v>7251.4093600000006</v>
      </c>
      <c r="AG16" s="251">
        <f>+$Y$16</f>
        <v>5414.2057600000007</v>
      </c>
      <c r="AH16" s="250">
        <f>+'MODENA CLASICA CORREDIZA'!$M$17</f>
        <v>0</v>
      </c>
      <c r="AI16" s="252"/>
      <c r="AJ16" s="252"/>
      <c r="AK16" s="252"/>
    </row>
    <row r="17" spans="1:37" ht="16.5" thickBot="1">
      <c r="A17" s="68">
        <v>0.6</v>
      </c>
      <c r="B17" s="69">
        <v>0.6</v>
      </c>
      <c r="C17" s="59">
        <f>((((A17*2)+(B17*2))*MATERIALES!$C$57)+(((A17*2)+(B17*2))*MATERIALES!$C$56)+((A17*2)+(B17*2)*MATERIALES!$C$73))*(MATERIALES!$F$2*MATERIALES!$J$15)</f>
        <v>0</v>
      </c>
      <c r="D17" s="59">
        <f>((((A17*2)+(B17*2))*MATERIALES!$C$57)+(((A17*2)+(B17*4))*MATERIALES!$C$56)+(((A17*2)+(B17*4))*MATERIALES!$C$73)+(B17*MATERIALES!$C$77))*(MATERIALES!$F$2*MATERIALES!$J$15)</f>
        <v>0</v>
      </c>
      <c r="E17" s="439">
        <f>((((A17*2)+(B17*2))*MATERIALES!$C$57)+(((A17*2)+(B17*6))*MATERIALES!$C$56)+(((A17*2)+(B17*6))*MATERIALES!$C$73)+(B17*MATERIALES!$C$77))*(MATERIALES!$F$2*MATERIALES!$J$15)</f>
        <v>0</v>
      </c>
      <c r="F17" s="59">
        <f>(8*MATERIALES!$C$189)+(1*MATERIALES!$C$194)+(2*MATERIALES!$C$206)+(((A17*2)+(B17*2))*MATERIALES!$C$209)+(4*MATERIALES!$C$148)+(((A17*5)*2)*MATERIALES!$C$147)+(((A17*2)+(B17*2))*MATERIALES!$C$210)+((((A17*2)+(B17*2))/0.1)*MATERIALES!$C$192)+(((A17*2)+(B17*2))*MATERIALES!$C$165)+(2*MATERIALES!$C$187)+(0.5*MATERIALES!$C$167)</f>
        <v>2452.2139200000006</v>
      </c>
      <c r="G17" s="59">
        <f>(12*MATERIALES!$C$189)+(1*MATERIALES!$C$194)+(4*MATERIALES!$C$206)+(((A17*2)+(B17*4))*MATERIALES!$C$209)+(4*MATERIALES!$C$148)+(((A17*5)*2)*MATERIALES!$C$147)+(((A17*2)+(B17*2))*MATERIALES!$C$210)+((((A17*2)+(B17*4))/0.1)*MATERIALES!$C$192)+(((A17*2)+(B17*4))*MATERIALES!$C$165)+(2*MATERIALES!$C$187)+(0.5*MATERIALES!$C$167)</f>
        <v>3298.5700800000004</v>
      </c>
      <c r="H17" s="59">
        <f>(16*MATERIALES!$C$189)+(1*MATERIALES!$C$194)+(4*MATERIALES!$C$206)+(2*MATERIALES!$C$208)+(((A17*2)+(B17*6))*MATERIALES!$C$208)+(4*MATERIALES!$C$148)+(((A17*5)*2)*MATERIALES!$C$147)+(((A17*2)+(B17*2))*MATERIALES!$C$209)+((((A17*2)+(B17*6))/0.1)*MATERIALES!$C$192)+(((A17*2)+(B17*6))*MATERIALES!$C$165)+(2*MATERIALES!$C$187)+(0.5*MATERIALES!$C$167)</f>
        <v>6685.2302400000008</v>
      </c>
      <c r="I17" s="75"/>
      <c r="J17" s="55">
        <f>(A17*B17)*MATERIALES!$D$82</f>
        <v>190.79999999999998</v>
      </c>
      <c r="K17" s="55">
        <f>(A17*B17)*MATERIALES!$D$82</f>
        <v>190.79999999999998</v>
      </c>
      <c r="L17" s="55">
        <f>(A17*B17)*MATERIALES!$D$82</f>
        <v>190.79999999999998</v>
      </c>
      <c r="M17" s="55">
        <f>(((A17*B17)*2)*MATERIALES!$D$83)+(4*MATERIALES!$C$229)+(((A17*2)+(B17*2))*MATERIALES!$C$230)+(((A17*2)+(B17*2))*MATERIALES!$C$231)+((((A17*2)+(B17*2))/15)*MATERIALES!$C$232)+((((A17*2)+(B17*2))/15)*(MATERIALES!$C$233*0.15))</f>
        <v>1047.02208</v>
      </c>
      <c r="N17" s="55">
        <f>(((A17*B17)*2)*MATERIALES!$D$83)+(8*MATERIALES!$C$229)+(((A17*2)+(B17*4))*MATERIALES!$C$230)+(((A17*2)+(B17*4))*MATERIALES!$C$231)+((((A17*2)+(B17*4))/15)*MATERIALES!$C$232)+((((A17*2)+(B17*4))/15)*(MATERIALES!$C$233*0.15))</f>
        <v>1347.4531199999997</v>
      </c>
      <c r="O17" s="55">
        <f>(((A17*B17)*2)*MATERIALES!$D$83)+(12*MATERIALES!$C$229)+(((A17*2)+(B17*6))*MATERIALES!$C$230)+(((A17*2)+(B17*6))*MATERIALES!$C$231)+((((A17*2)+(B17*6))/15)*MATERIALES!$C$232)+((((A17*2)+(B17*6))/15)*(MATERIALES!$C$233*0.15))</f>
        <v>1647.8841600000001</v>
      </c>
      <c r="P17" s="55">
        <f>(A17*B17)*MATERIALES!$D$89</f>
        <v>644.4</v>
      </c>
      <c r="Q17" s="139">
        <f>(A17*B17)*MATERIALES!$D$89</f>
        <v>644.4</v>
      </c>
      <c r="R17" s="437">
        <f>(A17*B17)*MATERIALES!$D$89</f>
        <v>644.4</v>
      </c>
      <c r="S17" s="132">
        <f t="shared" si="0"/>
        <v>3569.4780960000007</v>
      </c>
      <c r="T17" s="129">
        <f t="shared" si="1"/>
        <v>4669.7411040000006</v>
      </c>
      <c r="U17" s="119">
        <f t="shared" si="2"/>
        <v>9072.3993120000014</v>
      </c>
      <c r="V17" s="129">
        <f t="shared" si="3"/>
        <v>5281.9222560000007</v>
      </c>
      <c r="W17" s="129">
        <f t="shared" si="4"/>
        <v>6983.0473439999996</v>
      </c>
      <c r="X17" s="119">
        <f t="shared" si="5"/>
        <v>11986.567632000002</v>
      </c>
      <c r="Y17" s="129">
        <f t="shared" si="6"/>
        <v>4154.4780960000007</v>
      </c>
      <c r="Z17" s="131">
        <f t="shared" si="7"/>
        <v>5254.7411040000006</v>
      </c>
      <c r="AA17" s="438">
        <f t="shared" si="8"/>
        <v>9657.3993120000014</v>
      </c>
      <c r="AD17" s="249" t="s">
        <v>540</v>
      </c>
      <c r="AE17" s="246">
        <f>+$S$17</f>
        <v>3569.4780960000007</v>
      </c>
      <c r="AF17" s="246">
        <f>+$V$17</f>
        <v>5281.9222560000007</v>
      </c>
      <c r="AG17" s="251">
        <f>+$Y$17</f>
        <v>4154.4780960000007</v>
      </c>
      <c r="AH17" s="250">
        <f>+'MODENA CLASICA CORREDIZA'!$M$12</f>
        <v>0</v>
      </c>
      <c r="AI17" s="252"/>
      <c r="AJ17" s="252"/>
      <c r="AK17" s="252"/>
    </row>
    <row r="18" spans="1:37" ht="16.5" thickBot="1">
      <c r="A18" s="68">
        <v>0.6</v>
      </c>
      <c r="B18" s="69">
        <v>0.8</v>
      </c>
      <c r="C18" s="59">
        <f>((((A18*2)+(B18*2))*MATERIALES!$C$57)+(((A18*2)+(B18*2))*MATERIALES!$C$56)+((A18*2)+(B18*2)*MATERIALES!$C$73))*(MATERIALES!$F$2*MATERIALES!$J$15)</f>
        <v>0</v>
      </c>
      <c r="D18" s="59">
        <f>((((A18*2)+(B18*2))*MATERIALES!$C$57)+(((A18*2)+(B18*4))*MATERIALES!$C$56)+(((A18*2)+(B18*4))*MATERIALES!$C$73)+(B18*MATERIALES!$C$77))*(MATERIALES!$F$2*MATERIALES!$J$15)</f>
        <v>0</v>
      </c>
      <c r="E18" s="439">
        <f>((((A18*2)+(B18*2))*MATERIALES!$C$57)+(((A18*2)+(B18*6))*MATERIALES!$C$56)+(((A18*2)+(B18*6))*MATERIALES!$C$73)+(B18*MATERIALES!$C$77))*(MATERIALES!$F$2*MATERIALES!$J$15)</f>
        <v>0</v>
      </c>
      <c r="F18" s="59">
        <f>(8*MATERIALES!$C$189)+(1*MATERIALES!$C$194)+(2*MATERIALES!$C$206)+(((A18*2)+(B18*2))*MATERIALES!$C$209)+(4*MATERIALES!$C$148)+(((A18*5)*2)*MATERIALES!$C$147)+(((A18*2)+(B18*2))*MATERIALES!$C$210)+((((A18*2)+(B18*2))/0.1)*MATERIALES!$C$192)+(((A18*2)+(B18*2))*MATERIALES!$C$165)+(2*MATERIALES!$C$187)+(0.5*MATERIALES!$C$167)</f>
        <v>2493.0942400000004</v>
      </c>
      <c r="G18" s="59">
        <f>(12*MATERIALES!$C$189)+(1*MATERIALES!$C$194)+(4*MATERIALES!$C$206)+(((A18*2)+(B18*4))*MATERIALES!$C$209)+(4*MATERIALES!$C$148)+(((A18*5)*2)*MATERIALES!$C$147)+(((A18*2)+(B18*2))*MATERIALES!$C$210)+((((A18*2)+(B18*4))/0.1)*MATERIALES!$C$192)+(((A18*2)+(B18*4))*MATERIALES!$C$165)+(2*MATERIALES!$C$187)+(0.5*MATERIALES!$C$167)</f>
        <v>3366.7691200000004</v>
      </c>
      <c r="H18" s="59">
        <f>(16*MATERIALES!$C$189)+(1*MATERIALES!$C$194)+(4*MATERIALES!$C$206)+(2*MATERIALES!$C$208)+(((A18*2)+(B18*6))*MATERIALES!$C$208)+(4*MATERIALES!$C$148)+(((A18*5)*2)*MATERIALES!$C$147)+(((A18*2)+(B18*2))*MATERIALES!$C$209)+((((A18*2)+(B18*6))/0.1)*MATERIALES!$C$192)+(((A18*2)+(B18*6))*MATERIALES!$C$165)+(2*MATERIALES!$C$187)+(0.5*MATERIALES!$C$167)</f>
        <v>7297.4616000000005</v>
      </c>
      <c r="I18" s="75"/>
      <c r="J18" s="55">
        <f>(A18*B18)*MATERIALES!$D$82</f>
        <v>254.39999999999998</v>
      </c>
      <c r="K18" s="55">
        <f>(A18*B18)*MATERIALES!$D$82</f>
        <v>254.39999999999998</v>
      </c>
      <c r="L18" s="55">
        <f>(A18*B18)*MATERIALES!$D$82</f>
        <v>254.39999999999998</v>
      </c>
      <c r="M18" s="55">
        <f>(((A18*B18)*2)*MATERIALES!$D$83)+(4*MATERIALES!$C$229)+(((A18*2)+(B18*2))*MATERIALES!$C$230)+(((A18*2)+(B18*2))*MATERIALES!$C$231)+((((A18*2)+(B18*2))/15)*MATERIALES!$C$232)+((((A18*2)+(B18*2))/15)*(MATERIALES!$C$233*0.15))</f>
        <v>1295.8857600000001</v>
      </c>
      <c r="N18" s="55">
        <f>(((A18*B18)*2)*MATERIALES!$D$83)+(8*MATERIALES!$C$229)+(((A18*2)+(B18*4))*MATERIALES!$C$230)+(((A18*2)+(B18*4))*MATERIALES!$C$231)+((((A18*2)+(B18*4))/15)*MATERIALES!$C$232)+((((A18*2)+(B18*4))/15)*(MATERIALES!$C$233*0.15))</f>
        <v>1689.1804800000002</v>
      </c>
      <c r="O18" s="55">
        <f>(((A18*B18)*2)*MATERIALES!$D$83)+(12*MATERIALES!$C$229)+(((A18*2)+(B18*6))*MATERIALES!$C$230)+(((A18*2)+(B18*6))*MATERIALES!$C$231)+((((A18*2)+(B18*6))/15)*MATERIALES!$C$232)+((((A18*2)+(B18*6))/15)*(MATERIALES!$C$233*0.15))</f>
        <v>2082.4752000000003</v>
      </c>
      <c r="P18" s="55">
        <f>(A18*B18)*MATERIALES!$D$89</f>
        <v>859.19999999999993</v>
      </c>
      <c r="Q18" s="139">
        <f>(A18*B18)*MATERIALES!$D$89</f>
        <v>859.19999999999993</v>
      </c>
      <c r="R18" s="437">
        <f>(A18*B18)*MATERIALES!$D$89</f>
        <v>859.19999999999993</v>
      </c>
      <c r="S18" s="132">
        <f t="shared" si="0"/>
        <v>3749.8225120000006</v>
      </c>
      <c r="T18" s="129">
        <f t="shared" si="1"/>
        <v>4885.5998560000007</v>
      </c>
      <c r="U18" s="119">
        <f t="shared" si="2"/>
        <v>9995.5000799999998</v>
      </c>
      <c r="V18" s="129">
        <f t="shared" si="3"/>
        <v>5832.7940320000007</v>
      </c>
      <c r="W18" s="129">
        <f t="shared" si="4"/>
        <v>7755.1608160000014</v>
      </c>
      <c r="X18" s="119">
        <f t="shared" si="5"/>
        <v>13651.65048</v>
      </c>
      <c r="Y18" s="129">
        <f t="shared" si="6"/>
        <v>4529.8225120000006</v>
      </c>
      <c r="Z18" s="131">
        <f t="shared" si="7"/>
        <v>5665.5998560000007</v>
      </c>
      <c r="AA18" s="438">
        <f t="shared" si="8"/>
        <v>10775.50008</v>
      </c>
      <c r="AD18" s="249" t="s">
        <v>603</v>
      </c>
      <c r="AE18" s="246">
        <f>+$S$18</f>
        <v>3749.8225120000006</v>
      </c>
      <c r="AF18" s="246">
        <f>+$V$18</f>
        <v>5832.7940320000007</v>
      </c>
      <c r="AG18" s="251">
        <f>+$Y$18</f>
        <v>4529.8225120000006</v>
      </c>
      <c r="AH18" s="250">
        <f>+'MODENA CLASICA CORREDIZA'!$M$13</f>
        <v>0</v>
      </c>
      <c r="AI18" s="252"/>
      <c r="AJ18" s="252"/>
      <c r="AK18" s="252"/>
    </row>
    <row r="19" spans="1:37" ht="16.5" thickBot="1">
      <c r="A19" s="68">
        <v>0.6</v>
      </c>
      <c r="B19" s="69">
        <v>1</v>
      </c>
      <c r="C19" s="59">
        <f>((((A19*2)+(B19*2))*MATERIALES!$C$57)+(((A19*2)+(B19*2))*MATERIALES!$C$56)+((A19*2)+(B19*2)*MATERIALES!$C$73))*(MATERIALES!$F$2*MATERIALES!$J$15)</f>
        <v>0</v>
      </c>
      <c r="D19" s="59">
        <f>((((A19*2)+(B19*2))*MATERIALES!$C$57)+(((A19*2)+(B19*4))*MATERIALES!$C$56)+(((A19*2)+(B19*4))*MATERIALES!$C$73)+(B19*MATERIALES!$C$77))*(MATERIALES!$F$2*MATERIALES!$J$15)</f>
        <v>0</v>
      </c>
      <c r="E19" s="439">
        <f>((((A19*2)+(B19*2))*MATERIALES!$C$57)+(((A19*2)+(B19*6))*MATERIALES!$C$56)+(((A19*2)+(B19*6))*MATERIALES!$C$73)+(B19*MATERIALES!$C$77))*(MATERIALES!$F$2*MATERIALES!$J$15)</f>
        <v>0</v>
      </c>
      <c r="F19" s="59">
        <f>(8*MATERIALES!$C$189)+(1*MATERIALES!$C$194)+(2*MATERIALES!$C$206)+(((A19*2)+(B19*2))*MATERIALES!$C$209)+(4*MATERIALES!$C$148)+(((A19*5)*2)*MATERIALES!$C$147)+(((A19*2)+(B19*2))*MATERIALES!$C$210)+((((A19*2)+(B19*2))/0.1)*MATERIALES!$C$192)+(((A19*2)+(B19*2))*MATERIALES!$C$165)+(2*MATERIALES!$C$187)+(0.5*MATERIALES!$C$167)</f>
        <v>2533.9745600000001</v>
      </c>
      <c r="G19" s="59">
        <f>(12*MATERIALES!$C$189)+(1*MATERIALES!$C$194)+(4*MATERIALES!$C$206)+(((A19*2)+(B19*4))*MATERIALES!$C$209)+(4*MATERIALES!$C$148)+(((A19*5)*2)*MATERIALES!$C$147)+(((A19*2)+(B19*2))*MATERIALES!$C$210)+((((A19*2)+(B19*4))/0.1)*MATERIALES!$C$192)+(((A19*2)+(B19*4))*MATERIALES!$C$165)+(2*MATERIALES!$C$187)+(0.5*MATERIALES!$C$167)</f>
        <v>3434.9681600000004</v>
      </c>
      <c r="H19" s="59">
        <f>(16*MATERIALES!$C$189)+(1*MATERIALES!$C$194)+(4*MATERIALES!$C$206)+(2*MATERIALES!$C$208)+(((A19*2)+(B19*6))*MATERIALES!$C$208)+(4*MATERIALES!$C$148)+(((A19*5)*2)*MATERIALES!$C$147)+(((A19*2)+(B19*2))*MATERIALES!$C$209)+((((A19*2)+(B19*6))/0.1)*MATERIALES!$C$192)+(((A19*2)+(B19*6))*MATERIALES!$C$165)+(2*MATERIALES!$C$187)+(0.5*MATERIALES!$C$167)</f>
        <v>7909.6929599999994</v>
      </c>
      <c r="I19" s="75"/>
      <c r="J19" s="55">
        <f>(A19*B19)*MATERIALES!$D$82</f>
        <v>318</v>
      </c>
      <c r="K19" s="55">
        <f>(A19*B19)*MATERIALES!$D$82</f>
        <v>318</v>
      </c>
      <c r="L19" s="55">
        <f>(A19*B19)*MATERIALES!$D$82</f>
        <v>318</v>
      </c>
      <c r="M19" s="55">
        <f>(((A19*B19)*2)*MATERIALES!$D$83)+(4*MATERIALES!$C$229)+(((A19*2)+(B19*2))*MATERIALES!$C$230)+(((A19*2)+(B19*2))*MATERIALES!$C$231)+((((A19*2)+(B19*2))/15)*MATERIALES!$C$232)+((((A19*2)+(B19*2))/15)*(MATERIALES!$C$233*0.15))</f>
        <v>1544.74944</v>
      </c>
      <c r="N19" s="55">
        <f>(((A19*B19)*2)*MATERIALES!$D$83)+(8*MATERIALES!$C$229)+(((A19*2)+(B19*4))*MATERIALES!$C$230)+(((A19*2)+(B19*4))*MATERIALES!$C$231)+((((A19*2)+(B19*4))/15)*MATERIALES!$C$232)+((((A19*2)+(B19*4))/15)*(MATERIALES!$C$233*0.15))</f>
        <v>2030.9078400000003</v>
      </c>
      <c r="O19" s="55">
        <f>(((A19*B19)*2)*MATERIALES!$D$83)+(12*MATERIALES!$C$229)+(((A19*2)+(B19*6))*MATERIALES!$C$230)+(((A19*2)+(B19*6))*MATERIALES!$C$231)+((((A19*2)+(B19*6))/15)*MATERIALES!$C$232)+((((A19*2)+(B19*6))/15)*(MATERIALES!$C$233*0.15))</f>
        <v>2517.0662399999997</v>
      </c>
      <c r="P19" s="55">
        <f>(A19*B19)*MATERIALES!$D$89</f>
        <v>1074</v>
      </c>
      <c r="Q19" s="139">
        <f>(A19*B19)*MATERIALES!$D$89</f>
        <v>1074</v>
      </c>
      <c r="R19" s="437">
        <f>(A19*B19)*MATERIALES!$D$89</f>
        <v>1074</v>
      </c>
      <c r="S19" s="132">
        <f t="shared" si="0"/>
        <v>3930.1669280000001</v>
      </c>
      <c r="T19" s="129">
        <f t="shared" si="1"/>
        <v>5101.4586080000008</v>
      </c>
      <c r="U19" s="119">
        <f t="shared" si="2"/>
        <v>10918.600848</v>
      </c>
      <c r="V19" s="129">
        <f t="shared" si="3"/>
        <v>6383.6658079999997</v>
      </c>
      <c r="W19" s="129">
        <f t="shared" si="4"/>
        <v>8527.2742880000005</v>
      </c>
      <c r="X19" s="119">
        <f t="shared" si="5"/>
        <v>15316.733327999998</v>
      </c>
      <c r="Y19" s="129">
        <f t="shared" si="6"/>
        <v>4905.1669280000006</v>
      </c>
      <c r="Z19" s="131">
        <f t="shared" si="7"/>
        <v>6076.4586080000008</v>
      </c>
      <c r="AA19" s="438">
        <f t="shared" si="8"/>
        <v>11893.600848</v>
      </c>
      <c r="AD19" s="249" t="s">
        <v>604</v>
      </c>
      <c r="AE19" s="246">
        <f>+$S$19</f>
        <v>3930.1669280000001</v>
      </c>
      <c r="AF19" s="246">
        <f>+$V$19</f>
        <v>6383.6658079999997</v>
      </c>
      <c r="AG19" s="251">
        <f>+$Y$19</f>
        <v>4905.1669280000006</v>
      </c>
      <c r="AH19" s="250">
        <f>+'MODENA CLASICA CORREDIZA'!$M$14</f>
        <v>0</v>
      </c>
      <c r="AI19" s="252"/>
      <c r="AJ19" s="252"/>
      <c r="AK19" s="252"/>
    </row>
    <row r="20" spans="1:37" ht="16.5" thickBot="1">
      <c r="A20" s="68">
        <v>0.6</v>
      </c>
      <c r="B20" s="69">
        <v>1.1000000000000001</v>
      </c>
      <c r="C20" s="59">
        <f>((((A20*2)+(B20*2))*MATERIALES!$C$57)+(((A20*2)+(B20*2))*MATERIALES!$C$56)+((A20*2)+(B20*2)*MATERIALES!$C$73))*(MATERIALES!$F$2*MATERIALES!$J$15)</f>
        <v>0</v>
      </c>
      <c r="D20" s="59">
        <f>((((A20*2)+(B20*2))*MATERIALES!$C$57)+(((A20*2)+(B20*4))*MATERIALES!$C$56)+(((A20*2)+(B20*4))*MATERIALES!$C$73)+(B20*MATERIALES!$C$77))*(MATERIALES!$F$2*MATERIALES!$J$15)</f>
        <v>0</v>
      </c>
      <c r="E20" s="439">
        <f>((((A20*2)+(B20*2))*MATERIALES!$C$57)+(((A20*2)+(B20*6))*MATERIALES!$C$56)+(((A20*2)+(B20*6))*MATERIALES!$C$73)+(B20*MATERIALES!$C$77))*(MATERIALES!$F$2*MATERIALES!$J$15)</f>
        <v>0</v>
      </c>
      <c r="F20" s="59">
        <f>(8*MATERIALES!$C$189)+(1*MATERIALES!$C$194)+(2*MATERIALES!$C$206)+(((A20*2)+(B20*2))*MATERIALES!$C$209)+(4*MATERIALES!$C$148)+(((A20*5)*2)*MATERIALES!$C$147)+(((A20*2)+(B20*2))*MATERIALES!$C$210)+((((A20*2)+(B20*2))/0.1)*MATERIALES!$C$192)+(((A20*2)+(B20*2))*MATERIALES!$C$165)+(2*MATERIALES!$C$187)+(0.5*MATERIALES!$C$167)</f>
        <v>2554.4147200000002</v>
      </c>
      <c r="G20" s="59">
        <f>(12*MATERIALES!$C$189)+(1*MATERIALES!$C$194)+(4*MATERIALES!$C$206)+(((A20*2)+(B20*4))*MATERIALES!$C$209)+(4*MATERIALES!$C$148)+(((A20*5)*2)*MATERIALES!$C$147)+(((A20*2)+(B20*2))*MATERIALES!$C$210)+((((A20*2)+(B20*4))/0.1)*MATERIALES!$C$192)+(((A20*2)+(B20*4))*MATERIALES!$C$165)+(2*MATERIALES!$C$187)+(0.5*MATERIALES!$C$167)</f>
        <v>3469.0676800000006</v>
      </c>
      <c r="H20" s="59">
        <f>(16*MATERIALES!$C$189)+(1*MATERIALES!$C$194)+(4*MATERIALES!$C$206)+(2*MATERIALES!$C$208)+(((A20*2)+(B20*6))*MATERIALES!$C$208)+(4*MATERIALES!$C$148)+(((A20*5)*2)*MATERIALES!$C$147)+(((A20*2)+(B20*2))*MATERIALES!$C$209)+((((A20*2)+(B20*6))/0.1)*MATERIALES!$C$192)+(((A20*2)+(B20*6))*MATERIALES!$C$165)+(2*MATERIALES!$C$187)+(0.5*MATERIALES!$C$167)</f>
        <v>8215.8086400000011</v>
      </c>
      <c r="I20" s="75"/>
      <c r="J20" s="55">
        <f>(A20*B20)*MATERIALES!$D$82</f>
        <v>349.8</v>
      </c>
      <c r="K20" s="55">
        <f>(A20*B20)*MATERIALES!$D$82</f>
        <v>349.8</v>
      </c>
      <c r="L20" s="55">
        <f>(A20*B20)*MATERIALES!$D$82</f>
        <v>349.8</v>
      </c>
      <c r="M20" s="55">
        <f>(((A20*B20)*2)*MATERIALES!$D$83)+(4*MATERIALES!$C$229)+(((A20*2)+(B20*2))*MATERIALES!$C$230)+(((A20*2)+(B20*2))*MATERIALES!$C$231)+((((A20*2)+(B20*2))/15)*MATERIALES!$C$232)+((((A20*2)+(B20*2))/15)*(MATERIALES!$C$233*0.15))</f>
        <v>1669.1812800000002</v>
      </c>
      <c r="N20" s="55">
        <f>(((A20*B20)*2)*MATERIALES!$D$83)+(8*MATERIALES!$C$229)+(((A20*2)+(B20*4))*MATERIALES!$C$230)+(((A20*2)+(B20*4))*MATERIALES!$C$231)+((((A20*2)+(B20*4))/15)*MATERIALES!$C$232)+((((A20*2)+(B20*4))/15)*(MATERIALES!$C$233*0.15))</f>
        <v>2201.7715200000002</v>
      </c>
      <c r="O20" s="55">
        <f>(((A20*B20)*2)*MATERIALES!$D$83)+(12*MATERIALES!$C$229)+(((A20*2)+(B20*6))*MATERIALES!$C$230)+(((A20*2)+(B20*6))*MATERIALES!$C$231)+((((A20*2)+(B20*6))/15)*MATERIALES!$C$232)+((((A20*2)+(B20*6))/15)*(MATERIALES!$C$233*0.15))</f>
        <v>2734.3617599999998</v>
      </c>
      <c r="P20" s="55">
        <f>(A20*B20)*MATERIALES!$D$89</f>
        <v>1181.4000000000001</v>
      </c>
      <c r="Q20" s="139">
        <f>(A20*B20)*MATERIALES!$D$89</f>
        <v>1181.4000000000001</v>
      </c>
      <c r="R20" s="437">
        <f>(A20*B20)*MATERIALES!$D$89</f>
        <v>1181.4000000000001</v>
      </c>
      <c r="S20" s="132">
        <f t="shared" si="0"/>
        <v>4020.3391360000005</v>
      </c>
      <c r="T20" s="129">
        <f t="shared" si="1"/>
        <v>5209.3879840000009</v>
      </c>
      <c r="U20" s="119">
        <f t="shared" si="2"/>
        <v>11380.151232000002</v>
      </c>
      <c r="V20" s="129">
        <f t="shared" si="3"/>
        <v>6659.1016960000015</v>
      </c>
      <c r="W20" s="129">
        <f t="shared" si="4"/>
        <v>8913.331024000001</v>
      </c>
      <c r="X20" s="119">
        <f t="shared" si="5"/>
        <v>16149.274752000001</v>
      </c>
      <c r="Y20" s="129">
        <f t="shared" si="6"/>
        <v>5092.8391360000005</v>
      </c>
      <c r="Z20" s="131">
        <f t="shared" si="7"/>
        <v>6281.8879840000009</v>
      </c>
      <c r="AA20" s="438">
        <f t="shared" si="8"/>
        <v>12452.651232000002</v>
      </c>
      <c r="AD20" s="249" t="s">
        <v>653</v>
      </c>
      <c r="AE20" s="246">
        <f>+$S$20</f>
        <v>4020.3391360000005</v>
      </c>
      <c r="AF20" s="246">
        <f>+$V$20</f>
        <v>6659.1016960000015</v>
      </c>
      <c r="AG20" s="251">
        <f>+$Y$20</f>
        <v>5092.8391360000005</v>
      </c>
      <c r="AH20" s="250">
        <f>+'MODENA CLASICA CORREDIZA'!$M$15</f>
        <v>0</v>
      </c>
      <c r="AI20" s="252"/>
      <c r="AJ20" s="252"/>
      <c r="AK20" s="252"/>
    </row>
    <row r="21" spans="1:37" ht="16.5" thickBot="1">
      <c r="A21" s="68">
        <v>0.6</v>
      </c>
      <c r="B21" s="69">
        <v>1.2</v>
      </c>
      <c r="C21" s="59">
        <f>((((A21*2)+(B21*2))*MATERIALES!$C$57)+(((A21*2)+(B21*2))*MATERIALES!$C$56)+((A21*2)+(B21*2)*MATERIALES!$C$73))*(MATERIALES!$F$2*MATERIALES!$J$15)</f>
        <v>0</v>
      </c>
      <c r="D21" s="59">
        <f>((((A21*2)+(B21*2))*MATERIALES!$C$57)+(((A21*2)+(B21*4))*MATERIALES!$C$56)+(((A21*2)+(B21*4))*MATERIALES!$C$73)+(B21*MATERIALES!$C$77))*(MATERIALES!$F$2*MATERIALES!$J$15)</f>
        <v>0</v>
      </c>
      <c r="E21" s="439">
        <f>((((A21*2)+(B21*2))*MATERIALES!$C$57)+(((A21*2)+(B21*6))*MATERIALES!$C$56)+(((A21*2)+(B21*6))*MATERIALES!$C$73)+(B21*MATERIALES!$C$77))*(MATERIALES!$F$2*MATERIALES!$J$15)</f>
        <v>0</v>
      </c>
      <c r="F21" s="59">
        <f>(8*MATERIALES!$C$189)+(1*MATERIALES!$C$194)+(2*MATERIALES!$C$206)+(((A21*2)+(B21*2))*MATERIALES!$C$209)+(4*MATERIALES!$C$148)+(((A21*5)*2)*MATERIALES!$C$147)+(((A21*2)+(B21*2))*MATERIALES!$C$210)+((((A21*2)+(B21*2))/0.1)*MATERIALES!$C$192)+(((A21*2)+(B21*2))*MATERIALES!$C$165)+(2*MATERIALES!$C$187)+(0.5*MATERIALES!$C$167)</f>
        <v>2574.8548799999999</v>
      </c>
      <c r="G21" s="59">
        <f>(12*MATERIALES!$C$189)+(1*MATERIALES!$C$194)+(4*MATERIALES!$C$206)+(((A21*2)+(B21*4))*MATERIALES!$C$209)+(4*MATERIALES!$C$148)+(((A21*5)*2)*MATERIALES!$C$147)+(((A21*2)+(B21*2))*MATERIALES!$C$210)+((((A21*2)+(B21*4))/0.1)*MATERIALES!$C$192)+(((A21*2)+(B21*4))*MATERIALES!$C$165)+(2*MATERIALES!$C$187)+(0.5*MATERIALES!$C$167)</f>
        <v>3503.1672000000003</v>
      </c>
      <c r="H21" s="59">
        <f>(16*MATERIALES!$C$189)+(1*MATERIALES!$C$194)+(4*MATERIALES!$C$206)+(2*MATERIALES!$C$208)+(((A21*2)+(B21*6))*MATERIALES!$C$208)+(4*MATERIALES!$C$148)+(((A21*5)*2)*MATERIALES!$C$147)+(((A21*2)+(B21*2))*MATERIALES!$C$209)+((((A21*2)+(B21*6))/0.1)*MATERIALES!$C$192)+(((A21*2)+(B21*6))*MATERIALES!$C$165)+(2*MATERIALES!$C$187)+(0.5*MATERIALES!$C$167)</f>
        <v>8521.9243200000001</v>
      </c>
      <c r="I21" s="75"/>
      <c r="J21" s="55">
        <f>(A21*B21)*MATERIALES!$D$82</f>
        <v>381.59999999999997</v>
      </c>
      <c r="K21" s="55">
        <f>(A21*B21)*MATERIALES!$D$82</f>
        <v>381.59999999999997</v>
      </c>
      <c r="L21" s="55">
        <f>(A21*B21)*MATERIALES!$D$82</f>
        <v>381.59999999999997</v>
      </c>
      <c r="M21" s="55">
        <f>(((A21*B21)*2)*MATERIALES!$D$83)+(4*MATERIALES!$C$229)+(((A21*2)+(B21*2))*MATERIALES!$C$230)+(((A21*2)+(B21*2))*MATERIALES!$C$231)+((((A21*2)+(B21*2))/15)*MATERIALES!$C$232)+((((A21*2)+(B21*2))/15)*(MATERIALES!$C$233*0.15))</f>
        <v>1793.6131199999998</v>
      </c>
      <c r="N21" s="55">
        <f>(((A21*B21)*2)*MATERIALES!$D$83)+(8*MATERIALES!$C$229)+(((A21*2)+(B21*4))*MATERIALES!$C$230)+(((A21*2)+(B21*4))*MATERIALES!$C$231)+((((A21*2)+(B21*4))/15)*MATERIALES!$C$232)+((((A21*2)+(B21*4))/15)*(MATERIALES!$C$233*0.15))</f>
        <v>2372.6351999999997</v>
      </c>
      <c r="O21" s="55">
        <f>(((A21*B21)*2)*MATERIALES!$D$83)+(12*MATERIALES!$C$229)+(((A21*2)+(B21*6))*MATERIALES!$C$230)+(((A21*2)+(B21*6))*MATERIALES!$C$231)+((((A21*2)+(B21*6))/15)*MATERIALES!$C$232)+((((A21*2)+(B21*6))/15)*(MATERIALES!$C$233*0.15))</f>
        <v>2951.6572799999999</v>
      </c>
      <c r="P21" s="55">
        <f>(A21*B21)*MATERIALES!$D$89</f>
        <v>1288.8</v>
      </c>
      <c r="Q21" s="139">
        <f>(A21*B21)*MATERIALES!$D$89</f>
        <v>1288.8</v>
      </c>
      <c r="R21" s="437">
        <f>(A21*B21)*MATERIALES!$D$89</f>
        <v>1288.8</v>
      </c>
      <c r="S21" s="132">
        <f t="shared" si="0"/>
        <v>4110.5113439999996</v>
      </c>
      <c r="T21" s="129">
        <f t="shared" si="1"/>
        <v>5317.31736</v>
      </c>
      <c r="U21" s="119">
        <f t="shared" si="2"/>
        <v>11841.701616000002</v>
      </c>
      <c r="V21" s="129">
        <f t="shared" si="3"/>
        <v>6934.5375839999997</v>
      </c>
      <c r="W21" s="129">
        <f t="shared" si="4"/>
        <v>9299.3877599999996</v>
      </c>
      <c r="X21" s="119">
        <f t="shared" si="5"/>
        <v>16981.816176</v>
      </c>
      <c r="Y21" s="129">
        <f t="shared" si="6"/>
        <v>5280.5113439999996</v>
      </c>
      <c r="Z21" s="131">
        <f t="shared" si="7"/>
        <v>6487.31736</v>
      </c>
      <c r="AA21" s="438">
        <f t="shared" si="8"/>
        <v>13011.701616000002</v>
      </c>
      <c r="AD21" s="249" t="s">
        <v>605</v>
      </c>
      <c r="AE21" s="246">
        <f>+$S$21</f>
        <v>4110.5113439999996</v>
      </c>
      <c r="AF21" s="246">
        <f>+$V$21</f>
        <v>6934.5375839999997</v>
      </c>
      <c r="AG21" s="251">
        <f>+$Y$21</f>
        <v>5280.5113439999996</v>
      </c>
      <c r="AH21" s="250">
        <f>+'MODENA CLASICA CORREDIZA'!$M$16</f>
        <v>0</v>
      </c>
      <c r="AI21" s="252"/>
      <c r="AJ21" s="252"/>
      <c r="AK21" s="252"/>
    </row>
    <row r="22" spans="1:37" ht="16.5" thickBot="1">
      <c r="A22" s="68">
        <v>0.6</v>
      </c>
      <c r="B22" s="69">
        <v>1.5</v>
      </c>
      <c r="C22" s="59">
        <f>((((A22*2)+(B22*2))*MATERIALES!$C$57)+(((A22*2)+(B22*2))*MATERIALES!$C$56)+((A22*2)+(B22*2)*MATERIALES!$C$73))*(MATERIALES!$F$2*MATERIALES!$J$15)</f>
        <v>0</v>
      </c>
      <c r="D22" s="59">
        <f>((((A22*2)+(B22*2))*MATERIALES!$C$57)+(((A22*2)+(B22*4))*MATERIALES!$C$56)+(((A22*2)+(B22*4))*MATERIALES!$C$73)+(B22*MATERIALES!$C$77))*(MATERIALES!$F$2*MATERIALES!$J$15)</f>
        <v>0</v>
      </c>
      <c r="E22" s="439">
        <f>((((A22*2)+(B22*2))*MATERIALES!$C$57)+(((A22*2)+(B22*6))*MATERIALES!$C$56)+(((A22*2)+(B22*6))*MATERIALES!$C$73)+(B22*MATERIALES!$C$77))*(MATERIALES!$F$2*MATERIALES!$J$15)</f>
        <v>0</v>
      </c>
      <c r="F22" s="59">
        <f>(8*MATERIALES!$C$189)+(1*MATERIALES!$C$194)+(2*MATERIALES!$C$206)+(((A22*2)+(B22*2))*MATERIALES!$C$209)+(4*MATERIALES!$C$148)+(((A22*5)*2)*MATERIALES!$C$147)+(((A22*2)+(B22*2))*MATERIALES!$C$210)+((((A22*2)+(B22*2))/0.1)*MATERIALES!$C$192)+(((A22*2)+(B22*2))*MATERIALES!$C$165)+(2*MATERIALES!$C$187)+(0.5*MATERIALES!$C$167)</f>
        <v>2636.1753600000002</v>
      </c>
      <c r="G22" s="59">
        <f>(12*MATERIALES!$C$189)+(1*MATERIALES!$C$194)+(4*MATERIALES!$C$206)+(((A22*2)+(B22*4))*MATERIALES!$C$209)+(4*MATERIALES!$C$148)+(((A22*5)*2)*MATERIALES!$C$147)+(((A22*2)+(B22*2))*MATERIALES!$C$210)+((((A22*2)+(B22*4))/0.1)*MATERIALES!$C$192)+(((A22*2)+(B22*4))*MATERIALES!$C$165)+(2*MATERIALES!$C$187)+(0.5*MATERIALES!$C$167)</f>
        <v>3605.4657600000005</v>
      </c>
      <c r="H22" s="59">
        <f>(16*MATERIALES!$C$189)+(1*MATERIALES!$C$194)+(4*MATERIALES!$C$206)+(2*MATERIALES!$C$208)+(((A22*2)+(B22*6))*MATERIALES!$C$208)+(4*MATERIALES!$C$148)+(((A22*5)*2)*MATERIALES!$C$147)+(((A22*2)+(B22*2))*MATERIALES!$C$209)+((((A22*2)+(B22*6))/0.1)*MATERIALES!$C$192)+(((A22*2)+(B22*6))*MATERIALES!$C$165)+(2*MATERIALES!$C$187)+(0.5*MATERIALES!$C$167)</f>
        <v>9440.2713600000006</v>
      </c>
      <c r="I22" s="75"/>
      <c r="J22" s="55">
        <f>(A22*B22)*MATERIALES!$D$82</f>
        <v>476.99999999999994</v>
      </c>
      <c r="K22" s="55">
        <f>(A22*B22)*MATERIALES!$D$82</f>
        <v>476.99999999999994</v>
      </c>
      <c r="L22" s="55">
        <f>(A22*B22)*MATERIALES!$D$82</f>
        <v>476.99999999999994</v>
      </c>
      <c r="M22" s="55">
        <f>(((A22*B22)*2)*MATERIALES!$D$83)+(4*MATERIALES!$C$229)+(((A22*2)+(B22*2))*MATERIALES!$C$230)+(((A22*2)+(B22*2))*MATERIALES!$C$231)+((((A22*2)+(B22*2))/15)*MATERIALES!$C$232)+((((A22*2)+(B22*2))/15)*(MATERIALES!$C$233*0.15))</f>
        <v>2166.9086399999997</v>
      </c>
      <c r="N22" s="55">
        <f>(((A22*B22)*2)*MATERIALES!$D$83)+(8*MATERIALES!$C$229)+(((A22*2)+(B22*4))*MATERIALES!$C$230)+(((A22*2)+(B22*4))*MATERIALES!$C$231)+((((A22*2)+(B22*4))/15)*MATERIALES!$C$232)+((((A22*2)+(B22*4))/15)*(MATERIALES!$C$233*0.15))</f>
        <v>2885.2262399999995</v>
      </c>
      <c r="O22" s="55">
        <f>(((A22*B22)*2)*MATERIALES!$D$83)+(12*MATERIALES!$C$229)+(((A22*2)+(B22*6))*MATERIALES!$C$230)+(((A22*2)+(B22*6))*MATERIALES!$C$231)+((((A22*2)+(B22*6))/15)*MATERIALES!$C$232)+((((A22*2)+(B22*6))/15)*(MATERIALES!$C$233*0.15))</f>
        <v>3603.5438399999994</v>
      </c>
      <c r="P22" s="55">
        <f>(A22*B22)*MATERIALES!$D$89</f>
        <v>1610.9999999999998</v>
      </c>
      <c r="Q22" s="139">
        <f>(A22*B22)*MATERIALES!$D$89</f>
        <v>1610.9999999999998</v>
      </c>
      <c r="R22" s="437">
        <f>(A22*B22)*MATERIALES!$D$89</f>
        <v>1610.9999999999998</v>
      </c>
      <c r="S22" s="132">
        <f t="shared" si="0"/>
        <v>4381.0279680000003</v>
      </c>
      <c r="T22" s="129">
        <f>((D22+G22+I22)*1.3)+(K22*2)</f>
        <v>5641.1054880000011</v>
      </c>
      <c r="U22" s="119">
        <f t="shared" si="2"/>
        <v>13226.352768000001</v>
      </c>
      <c r="V22" s="129">
        <f t="shared" si="3"/>
        <v>7760.8452479999996</v>
      </c>
      <c r="W22" s="129">
        <f t="shared" si="4"/>
        <v>10457.557968000001</v>
      </c>
      <c r="X22" s="119">
        <f t="shared" si="5"/>
        <v>19479.440448000001</v>
      </c>
      <c r="Y22" s="129">
        <f t="shared" si="6"/>
        <v>5843.5279680000003</v>
      </c>
      <c r="Z22" s="131">
        <f t="shared" si="7"/>
        <v>7103.6054880000011</v>
      </c>
      <c r="AA22" s="438">
        <f t="shared" si="8"/>
        <v>14688.852768000001</v>
      </c>
      <c r="AD22" s="249" t="s">
        <v>606</v>
      </c>
      <c r="AE22" s="246">
        <f>+$S$22</f>
        <v>4381.0279680000003</v>
      </c>
      <c r="AF22" s="246">
        <f>+$V$22</f>
        <v>7760.8452479999996</v>
      </c>
      <c r="AG22" s="251">
        <f>+$Y$22</f>
        <v>5843.5279680000003</v>
      </c>
      <c r="AH22" s="250">
        <f>+'MODENA CLASICA CORREDIZA'!$M$17</f>
        <v>0</v>
      </c>
      <c r="AI22" s="252"/>
      <c r="AJ22" s="252"/>
      <c r="AK22" s="252"/>
    </row>
    <row r="23" spans="1:37" ht="38.25" customHeight="1" thickBot="1">
      <c r="A23" s="68">
        <v>1</v>
      </c>
      <c r="B23" s="69">
        <v>0.8</v>
      </c>
      <c r="C23" s="59">
        <f>((((A23*2)+(B23*2))*MATERIALES!$C$57)+(((A23*2)+(B23*2))*MATERIALES!$C$56)+((A23*2)+(B23*2)*MATERIALES!$C$73))*(MATERIALES!$F$2*MATERIALES!$J$15)</f>
        <v>0</v>
      </c>
      <c r="D23" s="59">
        <f>((((A23*2)+(B23*2))*MATERIALES!$C$57)+(((A23*2)+(B23*4))*MATERIALES!$C$56)+(((A23*2)+(B23*4))*MATERIALES!$C$73)+(B23*MATERIALES!$C$77))*(MATERIALES!$F$2*MATERIALES!$J$15)</f>
        <v>0</v>
      </c>
      <c r="E23" s="439">
        <f>((((A23*2)+(B23*2))*MATERIALES!$C$57)+(((A23*2)+(B23*6))*MATERIALES!$C$56)+(((A23*2)+(B23*6))*MATERIALES!$C$73)+(B23*MATERIALES!$C$77))*(MATERIALES!$F$2*MATERIALES!$J$15)</f>
        <v>0</v>
      </c>
      <c r="F23" s="59">
        <f>(8*MATERIALES!$C$189)+(1*MATERIALES!$C$194)+(2*MATERIALES!$C$206)+(((A23*2)+(B23*2))*MATERIALES!$C$209)+(4*MATERIALES!$C$148)+(((A23*5)*2)*MATERIALES!$C$147)+(((A23*2)+(B23*2))*MATERIALES!$C$210)+((((A23*2)+(B23*2))/0.1)*MATERIALES!$C$192)+(((A23*2)+(B23*2))*MATERIALES!$C$165)+(2*MATERIALES!$C$187)+(0.5*MATERIALES!$C$167)</f>
        <v>2574.8548800000003</v>
      </c>
      <c r="G23" s="59">
        <f>(12*MATERIALES!$C$189)+(1*MATERIALES!$C$194)+(4*MATERIALES!$C$206)+(((A23*2)+(B23*4))*MATERIALES!$C$209)+(4*MATERIALES!$C$148)+(((A23*5)*2)*MATERIALES!$C$147)+(((A23*2)+(B23*2))*MATERIALES!$C$210)+((((A23*2)+(B23*4))/0.1)*MATERIALES!$C$192)+(((A23*2)+(B23*4))*MATERIALES!$C$165)+(2*MATERIALES!$C$187)+(0.5*MATERIALES!$C$167)</f>
        <v>3448.5297600000004</v>
      </c>
      <c r="H23" s="59">
        <f>(16*MATERIALES!$C$189)+(1*MATERIALES!$C$194)+(4*MATERIALES!$C$206)+(2*MATERIALES!$C$208)+(((A23*2)+(B23*6))*MATERIALES!$C$208)+(4*MATERIALES!$C$148)+(((A23*5)*2)*MATERIALES!$C$147)+(((A23*2)+(B23*2))*MATERIALES!$C$209)+((((A23*2)+(B23*6))/0.1)*MATERIALES!$C$192)+(((A23*2)+(B23*6))*MATERIALES!$C$165)+(2*MATERIALES!$C$187)+(0.5*MATERIALES!$C$167)</f>
        <v>7719.0110399999994</v>
      </c>
      <c r="I23" s="75"/>
      <c r="J23" s="55">
        <f>(A23*B23)*MATERIALES!$D$82</f>
        <v>424</v>
      </c>
      <c r="K23" s="55">
        <f>(A23*B23)*MATERIALES!$D$82</f>
        <v>424</v>
      </c>
      <c r="L23" s="55">
        <f>(A23*B23)*MATERIALES!$D$82</f>
        <v>424</v>
      </c>
      <c r="M23" s="55">
        <f>(((A23*B23)*2)*MATERIALES!$D$83)+(4*MATERIALES!$C$229)+(((A23*2)+(B23*2))*MATERIALES!$C$230)+(((A23*2)+(B23*2))*MATERIALES!$C$231)+((((A23*2)+(B23*2))/15)*MATERIALES!$C$232)+((((A23*2)+(B23*2))/15)*(MATERIALES!$C$233*0.15))</f>
        <v>1897.6131199999998</v>
      </c>
      <c r="N23" s="55">
        <f>(((A23*B23)*2)*MATERIALES!$D$83)+(8*MATERIALES!$C$229)+(((A23*2)+(B23*4))*MATERIALES!$C$230)+(((A23*2)+(B23*4))*MATERIALES!$C$231)+((((A23*2)+(B23*4))/15)*MATERIALES!$C$232)+((((A23*2)+(B23*4))/15)*(MATERIALES!$C$233*0.15))</f>
        <v>2290.9078399999999</v>
      </c>
      <c r="O23" s="55">
        <f>(((A23*B23)*2)*MATERIALES!$D$83)+(12*MATERIALES!$C$229)+(((A23*2)+(B23*6))*MATERIALES!$C$230)+(((A23*2)+(B23*6))*MATERIALES!$C$231)+((((A23*2)+(B23*6))/15)*MATERIALES!$C$232)+((((A23*2)+(B23*6))/15)*(MATERIALES!$C$233*0.15))</f>
        <v>2684.2025600000002</v>
      </c>
      <c r="P23" s="55">
        <f>(A23*B23)*MATERIALES!$D$89</f>
        <v>1432</v>
      </c>
      <c r="Q23" s="139">
        <f>(A23*B23)*MATERIALES!$D$89</f>
        <v>1432</v>
      </c>
      <c r="R23" s="437">
        <f>(A23*B23)*MATERIALES!$D$89</f>
        <v>1432</v>
      </c>
      <c r="S23" s="132">
        <f t="shared" si="0"/>
        <v>4195.3113440000006</v>
      </c>
      <c r="T23" s="129">
        <f t="shared" si="1"/>
        <v>5331.0886880000007</v>
      </c>
      <c r="U23" s="119">
        <f t="shared" si="2"/>
        <v>10882.714351999999</v>
      </c>
      <c r="V23" s="129">
        <f t="shared" si="3"/>
        <v>7142.5375839999997</v>
      </c>
      <c r="W23" s="129">
        <f t="shared" si="4"/>
        <v>9064.9043679999995</v>
      </c>
      <c r="X23" s="119">
        <f t="shared" si="5"/>
        <v>15403.119471999998</v>
      </c>
      <c r="Y23" s="129">
        <f t="shared" si="6"/>
        <v>5495.3113440000006</v>
      </c>
      <c r="Z23" s="131">
        <f t="shared" si="7"/>
        <v>6631.0886880000007</v>
      </c>
      <c r="AA23" s="438">
        <f t="shared" si="8"/>
        <v>12182.714351999999</v>
      </c>
      <c r="AD23" s="239" t="s">
        <v>534</v>
      </c>
      <c r="AE23" s="240" t="s">
        <v>654</v>
      </c>
      <c r="AF23" s="241" t="s">
        <v>659</v>
      </c>
      <c r="AG23" s="240" t="s">
        <v>657</v>
      </c>
      <c r="AH23" s="240" t="s">
        <v>645</v>
      </c>
      <c r="AI23" s="242"/>
      <c r="AJ23" s="252"/>
      <c r="AK23" s="252"/>
    </row>
    <row r="24" spans="1:37" ht="16.5" customHeight="1" thickBot="1">
      <c r="A24" s="68">
        <v>1</v>
      </c>
      <c r="B24" s="69">
        <v>1</v>
      </c>
      <c r="C24" s="59">
        <f>((((A24*2)+(B24*2))*MATERIALES!$C$57)+(((A24*2)+(B24*2))*MATERIALES!$C$56)+((A24*2)+(B24*2)*MATERIALES!$C$73))*(MATERIALES!$F$2*MATERIALES!$J$15)</f>
        <v>0</v>
      </c>
      <c r="D24" s="59">
        <f>((((A24*2)+(B24*2))*MATERIALES!$C$57)+(((A24*2)+(B24*4))*MATERIALES!$C$56)+(((A24*2)+(B24*4))*MATERIALES!$C$73)+(B24*MATERIALES!$C$77))*(MATERIALES!$F$2*MATERIALES!$J$15)</f>
        <v>0</v>
      </c>
      <c r="E24" s="439">
        <f>((((A24*2)+(B24*2))*MATERIALES!$C$57)+(((A24*2)+(B24*6))*MATERIALES!$C$56)+(((A24*2)+(B24*6))*MATERIALES!$C$73)+(B24*MATERIALES!$C$77))*(MATERIALES!$F$2*MATERIALES!$J$15)</f>
        <v>0</v>
      </c>
      <c r="F24" s="59">
        <f>(8*MATERIALES!$C$189)+(1*MATERIALES!$C$194)+(2*MATERIALES!$C$206)+(((A24*2)+(B24*2))*MATERIALES!$C$209)+(4*MATERIALES!$C$148)+(((A24*5)*2)*MATERIALES!$C$147)+(((A24*2)+(B24*2))*MATERIALES!$C$210)+((((A24*2)+(B24*2))/0.1)*MATERIALES!$C$192)+(((A24*2)+(B24*2))*MATERIALES!$C$165)+(2*MATERIALES!$C$187)+(0.5*MATERIALES!$C$167)</f>
        <v>2615.7352000000005</v>
      </c>
      <c r="G24" s="59">
        <f>(12*MATERIALES!$C$189)+(1*MATERIALES!$C$194)+(4*MATERIALES!$C$206)+(((A24*2)+(B24*4))*MATERIALES!$C$209)+(4*MATERIALES!$C$148)+(((A24*5)*2)*MATERIALES!$C$147)+(((A24*2)+(B24*2))*MATERIALES!$C$210)+((((A24*2)+(B24*4))/0.1)*MATERIALES!$C$192)+(((A24*2)+(B24*4))*MATERIALES!$C$165)+(2*MATERIALES!$C$187)+(0.5*MATERIALES!$C$167)</f>
        <v>3516.7288000000003</v>
      </c>
      <c r="H24" s="59">
        <f>(16*MATERIALES!$C$189)+(1*MATERIALES!$C$194)+(4*MATERIALES!$C$206)+(2*MATERIALES!$C$208)+(((A24*2)+(B24*6))*MATERIALES!$C$208)+(4*MATERIALES!$C$148)+(((A24*5)*2)*MATERIALES!$C$147)+(((A24*2)+(B24*2))*MATERIALES!$C$209)+((((A24*2)+(B24*6))/0.1)*MATERIALES!$C$192)+(((A24*2)+(B24*6))*MATERIALES!$C$165)+(2*MATERIALES!$C$187)+(0.5*MATERIALES!$C$167)</f>
        <v>8331.242400000001</v>
      </c>
      <c r="I24" s="75"/>
      <c r="J24" s="55">
        <f>(A24*B24)*MATERIALES!$D$82</f>
        <v>530</v>
      </c>
      <c r="K24" s="55">
        <f>(A24*B24)*MATERIALES!$D$82</f>
        <v>530</v>
      </c>
      <c r="L24" s="55">
        <f>(A24*B24)*MATERIALES!$D$82</f>
        <v>530</v>
      </c>
      <c r="M24" s="55">
        <f>(((A24*B24)*2)*MATERIALES!$D$83)+(4*MATERIALES!$C$229)+(((A24*2)+(B24*2))*MATERIALES!$C$230)+(((A24*2)+(B24*2))*MATERIALES!$C$231)+((((A24*2)+(B24*2))/15)*MATERIALES!$C$232)+((((A24*2)+(B24*2))/15)*(MATERIALES!$C$233*0.15))</f>
        <v>2250.4767999999999</v>
      </c>
      <c r="N24" s="55">
        <f>(((A24*B24)*2)*MATERIALES!$D$83)+(8*MATERIALES!$C$229)+(((A24*2)+(B24*4))*MATERIALES!$C$230)+(((A24*2)+(B24*4))*MATERIALES!$C$231)+((((A24*2)+(B24*4))/15)*MATERIALES!$C$232)+((((A24*2)+(B24*4))/15)*(MATERIALES!$C$233*0.15))</f>
        <v>2736.6351999999997</v>
      </c>
      <c r="O24" s="55">
        <f>(((A24*B24)*2)*MATERIALES!$D$83)+(12*MATERIALES!$C$229)+(((A24*2)+(B24*6))*MATERIALES!$C$230)+(((A24*2)+(B24*6))*MATERIALES!$C$231)+((((A24*2)+(B24*6))/15)*MATERIALES!$C$232)+((((A24*2)+(B24*6))/15)*(MATERIALES!$C$233*0.15))</f>
        <v>3222.7936</v>
      </c>
      <c r="P24" s="55">
        <f>(A24*B24)*MATERIALES!$D$89</f>
        <v>1790</v>
      </c>
      <c r="Q24" s="139">
        <f>(A24*B24)*MATERIALES!$D$89</f>
        <v>1790</v>
      </c>
      <c r="R24" s="437">
        <f>(A24*B24)*MATERIALES!$D$89</f>
        <v>1790</v>
      </c>
      <c r="S24" s="132">
        <f t="shared" si="0"/>
        <v>4460.4557600000007</v>
      </c>
      <c r="T24" s="129">
        <f t="shared" si="1"/>
        <v>5631.747440000001</v>
      </c>
      <c r="U24" s="119">
        <f t="shared" si="2"/>
        <v>11890.615120000002</v>
      </c>
      <c r="V24" s="129">
        <f t="shared" si="3"/>
        <v>7901.4093600000006</v>
      </c>
      <c r="W24" s="129">
        <f t="shared" si="4"/>
        <v>10045.01784</v>
      </c>
      <c r="X24" s="119">
        <f t="shared" si="5"/>
        <v>17276.202320000004</v>
      </c>
      <c r="Y24" s="129">
        <f t="shared" si="6"/>
        <v>6085.4557600000007</v>
      </c>
      <c r="Z24" s="131">
        <f t="shared" si="7"/>
        <v>7256.747440000001</v>
      </c>
      <c r="AA24" s="438">
        <f t="shared" si="8"/>
        <v>13515.615120000002</v>
      </c>
      <c r="AC24" s="77"/>
      <c r="AD24" s="350" t="s">
        <v>546</v>
      </c>
      <c r="AE24" s="246">
        <f>$T$23</f>
        <v>5331.0886880000007</v>
      </c>
      <c r="AF24" s="247">
        <f>+$W$23</f>
        <v>9064.9043679999995</v>
      </c>
      <c r="AG24" s="250">
        <f>+$Z$23</f>
        <v>6631.0886880000007</v>
      </c>
      <c r="AH24" s="250">
        <f>+'MODENA CLASICA CORREDIZA'!$M$13</f>
        <v>0</v>
      </c>
      <c r="AI24" s="252"/>
      <c r="AJ24" s="252"/>
      <c r="AK24" s="252"/>
    </row>
    <row r="25" spans="1:37" ht="16.5" thickBot="1">
      <c r="A25" s="68">
        <v>1</v>
      </c>
      <c r="B25" s="69">
        <v>1.1000000000000001</v>
      </c>
      <c r="C25" s="59">
        <f>((((A25*2)+(B25*2))*MATERIALES!$C$57)+(((A25*2)+(B25*2))*MATERIALES!$C$56)+((A25*2)+(B25*2)*MATERIALES!$C$73))*(MATERIALES!$F$2*MATERIALES!$J$15)</f>
        <v>0</v>
      </c>
      <c r="D25" s="59">
        <f>((((A25*2)+(B25*2))*MATERIALES!$C$57)+(((A25*2)+(B25*4))*MATERIALES!$C$56)+(((A25*2)+(B25*4))*MATERIALES!$C$73)+(B25*MATERIALES!$C$77))*(MATERIALES!$F$2*MATERIALES!$J$15)</f>
        <v>0</v>
      </c>
      <c r="E25" s="439">
        <f>((((A25*2)+(B25*2))*MATERIALES!$C$57)+(((A25*2)+(B25*6))*MATERIALES!$C$56)+(((A25*2)+(B25*6))*MATERIALES!$C$73)+(B25*MATERIALES!$C$77))*(MATERIALES!$F$2*MATERIALES!$J$15)</f>
        <v>0</v>
      </c>
      <c r="F25" s="59">
        <f>(8*MATERIALES!$C$189)+(1*MATERIALES!$C$194)+(2*MATERIALES!$C$206)+(((A25*2)+(B25*2))*MATERIALES!$C$209)+(4*MATERIALES!$C$148)+(((A25*5)*2)*MATERIALES!$C$147)+(((A25*2)+(B25*2))*MATERIALES!$C$210)+((((A25*2)+(B25*2))/0.1)*MATERIALES!$C$192)+(((A25*2)+(B25*2))*MATERIALES!$C$165)+(2*MATERIALES!$C$187)+(0.5*MATERIALES!$C$167)</f>
        <v>2636.1753600000002</v>
      </c>
      <c r="G25" s="59">
        <f>(12*MATERIALES!$C$189)+(1*MATERIALES!$C$194)+(4*MATERIALES!$C$206)+(((A25*2)+(B25*4))*MATERIALES!$C$209)+(4*MATERIALES!$C$148)+(((A25*5)*2)*MATERIALES!$C$147)+(((A25*2)+(B25*2))*MATERIALES!$C$210)+((((A25*2)+(B25*4))/0.1)*MATERIALES!$C$192)+(((A25*2)+(B25*4))*MATERIALES!$C$165)+(2*MATERIALES!$C$187)+(0.5*MATERIALES!$C$167)</f>
        <v>3550.8283200000001</v>
      </c>
      <c r="H25" s="59">
        <f>(16*MATERIALES!$C$189)+(1*MATERIALES!$C$194)+(4*MATERIALES!$C$206)+(2*MATERIALES!$C$208)+(((A25*2)+(B25*6))*MATERIALES!$C$208)+(4*MATERIALES!$C$148)+(((A25*5)*2)*MATERIALES!$C$147)+(((A25*2)+(B25*2))*MATERIALES!$C$209)+((((A25*2)+(B25*6))/0.1)*MATERIALES!$C$192)+(((A25*2)+(B25*6))*MATERIALES!$C$165)+(2*MATERIALES!$C$187)+(0.5*MATERIALES!$C$167)</f>
        <v>8637.3580800000018</v>
      </c>
      <c r="I25" s="75"/>
      <c r="J25" s="55">
        <f>(A25*B25)*MATERIALES!$D$82</f>
        <v>583</v>
      </c>
      <c r="K25" s="55">
        <f>(A25*B25)*MATERIALES!$D$82</f>
        <v>583</v>
      </c>
      <c r="L25" s="55">
        <f>(A25*B25)*MATERIALES!$D$82</f>
        <v>583</v>
      </c>
      <c r="M25" s="55">
        <f>(((A25*B25)*2)*MATERIALES!$D$83)+(4*MATERIALES!$C$229)+(((A25*2)+(B25*2))*MATERIALES!$C$230)+(((A25*2)+(B25*2))*MATERIALES!$C$231)+((((A25*2)+(B25*2))/15)*MATERIALES!$C$232)+((((A25*2)+(B25*2))/15)*(MATERIALES!$C$233*0.15))</f>
        <v>2426.9086400000001</v>
      </c>
      <c r="N25" s="55">
        <f>(((A25*B25)*2)*MATERIALES!$D$83)+(8*MATERIALES!$C$229)+(((A25*2)+(B25*4))*MATERIALES!$C$230)+(((A25*2)+(B25*4))*MATERIALES!$C$231)+((((A25*2)+(B25*4))/15)*MATERIALES!$C$232)+((((A25*2)+(B25*4))/15)*(MATERIALES!$C$233*0.15))</f>
        <v>2959.4988800000006</v>
      </c>
      <c r="O25" s="55">
        <f>(((A25*B25)*2)*MATERIALES!$D$83)+(12*MATERIALES!$C$229)+(((A25*2)+(B25*6))*MATERIALES!$C$230)+(((A25*2)+(B25*6))*MATERIALES!$C$231)+((((A25*2)+(B25*6))/15)*MATERIALES!$C$232)+((((A25*2)+(B25*6))/15)*(MATERIALES!$C$233*0.15))</f>
        <v>3492.0891200000005</v>
      </c>
      <c r="P25" s="55">
        <f>(A25*B25)*MATERIALES!$D$89</f>
        <v>1969.0000000000002</v>
      </c>
      <c r="Q25" s="139">
        <f>(A25*B25)*MATERIALES!$D$89</f>
        <v>1969.0000000000002</v>
      </c>
      <c r="R25" s="437">
        <f>(A25*B25)*MATERIALES!$D$89</f>
        <v>1969.0000000000002</v>
      </c>
      <c r="S25" s="132">
        <f t="shared" si="0"/>
        <v>4593.0279680000003</v>
      </c>
      <c r="T25" s="129">
        <f t="shared" si="1"/>
        <v>5782.0768160000007</v>
      </c>
      <c r="U25" s="119">
        <f t="shared" si="2"/>
        <v>12394.565504000002</v>
      </c>
      <c r="V25" s="129">
        <f t="shared" si="3"/>
        <v>8280.8452480000014</v>
      </c>
      <c r="W25" s="129">
        <f t="shared" si="4"/>
        <v>10535.074576000003</v>
      </c>
      <c r="X25" s="119">
        <f t="shared" si="5"/>
        <v>18212.743744000003</v>
      </c>
      <c r="Y25" s="129">
        <f t="shared" si="6"/>
        <v>6380.5279680000003</v>
      </c>
      <c r="Z25" s="131">
        <f t="shared" si="7"/>
        <v>7569.5768160000007</v>
      </c>
      <c r="AA25" s="438">
        <f t="shared" si="8"/>
        <v>14182.065504000002</v>
      </c>
      <c r="AD25" s="351" t="s">
        <v>547</v>
      </c>
      <c r="AE25" s="246">
        <f>$T$24</f>
        <v>5631.747440000001</v>
      </c>
      <c r="AF25" s="247">
        <f>+$W$24</f>
        <v>10045.01784</v>
      </c>
      <c r="AG25" s="250">
        <f>+$Z$24</f>
        <v>7256.747440000001</v>
      </c>
      <c r="AH25" s="250">
        <f>+'MODENA CLASICA CORREDIZA'!$M$14</f>
        <v>0</v>
      </c>
      <c r="AI25" s="252"/>
      <c r="AJ25" s="252"/>
      <c r="AK25" s="252"/>
    </row>
    <row r="26" spans="1:37" ht="16.5" thickBot="1">
      <c r="A26" s="68">
        <v>1</v>
      </c>
      <c r="B26" s="69">
        <v>1.2</v>
      </c>
      <c r="C26" s="59">
        <f>((((A26*2)+(B26*2))*MATERIALES!$C$57)+(((A26*2)+(B26*2))*MATERIALES!$C$56)+((A26*2)+(B26*2)*MATERIALES!$C$73))*(MATERIALES!$F$2*MATERIALES!$J$15)</f>
        <v>0</v>
      </c>
      <c r="D26" s="59">
        <f>((((A26*2)+(B26*2))*MATERIALES!$C$57)+(((A26*2)+(B26*4))*MATERIALES!$C$56)+(((A26*2)+(B26*4))*MATERIALES!$C$73)+(B26*MATERIALES!$C$77))*(MATERIALES!$F$2*MATERIALES!$J$15)</f>
        <v>0</v>
      </c>
      <c r="E26" s="439">
        <f>((((A26*2)+(B26*2))*MATERIALES!$C$57)+(((A26*2)+(B26*6))*MATERIALES!$C$56)+(((A26*2)+(B26*6))*MATERIALES!$C$73)+(B26*MATERIALES!$C$77))*(MATERIALES!$F$2*MATERIALES!$J$15)</f>
        <v>0</v>
      </c>
      <c r="F26" s="59">
        <f>(8*MATERIALES!$C$189)+(1*MATERIALES!$C$194)+(2*MATERIALES!$C$206)+(((A26*2)+(B26*2))*MATERIALES!$C$209)+(4*MATERIALES!$C$148)+(((A26*5)*2)*MATERIALES!$C$147)+(((A26*2)+(B26*2))*MATERIALES!$C$210)+((((A26*2)+(B26*2))/0.1)*MATERIALES!$C$192)+(((A26*2)+(B26*2))*MATERIALES!$C$165)+(2*MATERIALES!$C$187)+(0.5*MATERIALES!$C$167)</f>
        <v>2656.6155200000003</v>
      </c>
      <c r="G26" s="59">
        <f>(12*MATERIALES!$C$189)+(1*MATERIALES!$C$194)+(4*MATERIALES!$C$206)+(((A26*2)+(B26*4))*MATERIALES!$C$209)+(4*MATERIALES!$C$148)+(((A26*5)*2)*MATERIALES!$C$147)+(((A26*2)+(B26*2))*MATERIALES!$C$210)+((((A26*2)+(B26*4))/0.1)*MATERIALES!$C$192)+(((A26*2)+(B26*4))*MATERIALES!$C$165)+(2*MATERIALES!$C$187)+(0.5*MATERIALES!$C$167)</f>
        <v>3584.9278400000003</v>
      </c>
      <c r="H26" s="59">
        <f>(16*MATERIALES!$C$189)+(1*MATERIALES!$C$194)+(4*MATERIALES!$C$206)+(2*MATERIALES!$C$208)+(((A26*2)+(B26*6))*MATERIALES!$C$208)+(4*MATERIALES!$C$148)+(((A26*5)*2)*MATERIALES!$C$147)+(((A26*2)+(B26*2))*MATERIALES!$C$209)+((((A26*2)+(B26*6))/0.1)*MATERIALES!$C$192)+(((A26*2)+(B26*6))*MATERIALES!$C$165)+(2*MATERIALES!$C$187)+(0.5*MATERIALES!$C$167)</f>
        <v>8943.4737599999989</v>
      </c>
      <c r="I26" s="75"/>
      <c r="J26" s="55">
        <f>(A26*B26)*MATERIALES!$D$82</f>
        <v>636</v>
      </c>
      <c r="K26" s="55">
        <f>(A26*B26)*MATERIALES!$D$82</f>
        <v>636</v>
      </c>
      <c r="L26" s="55">
        <f>(A26*B26)*MATERIALES!$D$82</f>
        <v>636</v>
      </c>
      <c r="M26" s="55">
        <f>(((A26*B26)*2)*MATERIALES!$D$83)+(4*MATERIALES!$C$229)+(((A26*2)+(B26*2))*MATERIALES!$C$230)+(((A26*2)+(B26*2))*MATERIALES!$C$231)+((((A26*2)+(B26*2))/15)*MATERIALES!$C$232)+((((A26*2)+(B26*2))/15)*(MATERIALES!$C$233*0.15))</f>
        <v>2603.3404799999998</v>
      </c>
      <c r="N26" s="55">
        <f>(((A26*B26)*2)*MATERIALES!$D$83)+(8*MATERIALES!$C$229)+(((A26*2)+(B26*4))*MATERIALES!$C$230)+(((A26*2)+(B26*4))*MATERIALES!$C$231)+((((A26*2)+(B26*4))/15)*MATERIALES!$C$232)+((((A26*2)+(B26*4))/15)*(MATERIALES!$C$233*0.15))</f>
        <v>3182.3625600000005</v>
      </c>
      <c r="O26" s="55">
        <f>(((A26*B26)*2)*MATERIALES!$D$83)+(12*MATERIALES!$C$229)+(((A26*2)+(B26*6))*MATERIALES!$C$230)+(((A26*2)+(B26*6))*MATERIALES!$C$231)+((((A26*2)+(B26*6))/15)*MATERIALES!$C$232)+((((A26*2)+(B26*6))/15)*(MATERIALES!$C$233*0.15))</f>
        <v>3761.3846399999998</v>
      </c>
      <c r="P26" s="55">
        <f>(A26*B26)*MATERIALES!$D$89</f>
        <v>2148</v>
      </c>
      <c r="Q26" s="139">
        <f>(A26*B26)*MATERIALES!$D$89</f>
        <v>2148</v>
      </c>
      <c r="R26" s="437">
        <f>(A26*B26)*MATERIALES!$D$89</f>
        <v>2148</v>
      </c>
      <c r="S26" s="132">
        <f t="shared" si="0"/>
        <v>4725.6001759999999</v>
      </c>
      <c r="T26" s="129">
        <f t="shared" si="1"/>
        <v>5932.4061920000004</v>
      </c>
      <c r="U26" s="119">
        <f t="shared" si="2"/>
        <v>12898.515888</v>
      </c>
      <c r="V26" s="129">
        <f t="shared" si="3"/>
        <v>8660.2811359999996</v>
      </c>
      <c r="W26" s="129">
        <f t="shared" si="4"/>
        <v>11025.131312000001</v>
      </c>
      <c r="X26" s="119">
        <f t="shared" si="5"/>
        <v>19149.285167999999</v>
      </c>
      <c r="Y26" s="129">
        <f t="shared" si="6"/>
        <v>6675.6001759999999</v>
      </c>
      <c r="Z26" s="131">
        <f t="shared" si="7"/>
        <v>7882.4061920000004</v>
      </c>
      <c r="AA26" s="438">
        <f t="shared" si="8"/>
        <v>14848.515888</v>
      </c>
      <c r="AD26" s="350" t="s">
        <v>548</v>
      </c>
      <c r="AE26" s="246">
        <f>$T$25</f>
        <v>5782.0768160000007</v>
      </c>
      <c r="AF26" s="247">
        <f>+$W$25</f>
        <v>10535.074576000003</v>
      </c>
      <c r="AG26" s="250">
        <f>+$Z$25</f>
        <v>7569.5768160000007</v>
      </c>
      <c r="AH26" s="250">
        <f>+'MODENA CLASICA CORREDIZA'!$M$15</f>
        <v>0</v>
      </c>
      <c r="AI26" s="252"/>
      <c r="AJ26" s="252"/>
      <c r="AK26" s="252"/>
    </row>
    <row r="27" spans="1:37" ht="16.5" thickBot="1">
      <c r="A27" s="68">
        <v>1</v>
      </c>
      <c r="B27" s="69">
        <v>1.5</v>
      </c>
      <c r="C27" s="59">
        <f>((((A27*2)+(B27*2))*MATERIALES!$C$57)+(((A27*2)+(B27*2))*MATERIALES!$C$56)+((A27*2)+(B27*2)*MATERIALES!$C$73))*(MATERIALES!$F$2*MATERIALES!$J$15)</f>
        <v>0</v>
      </c>
      <c r="D27" s="59">
        <f>((((A27*2)+(B27*2))*MATERIALES!$C$57)+(((A27*2)+(B27*4))*MATERIALES!$C$56)+(((A27*2)+(B27*4))*MATERIALES!$C$73)+(B27*MATERIALES!$C$77))*(MATERIALES!$F$2*MATERIALES!$J$15)</f>
        <v>0</v>
      </c>
      <c r="E27" s="439">
        <f>((((A27*2)+(B27*2))*MATERIALES!$C$57)+(((A27*2)+(B27*6))*MATERIALES!$C$56)+(((A27*2)+(B27*6))*MATERIALES!$C$73)+(B27*MATERIALES!$C$77))*(MATERIALES!$F$2*MATERIALES!$J$15)</f>
        <v>0</v>
      </c>
      <c r="F27" s="59">
        <f>(8*MATERIALES!$C$189)+(1*MATERIALES!$C$194)+(2*MATERIALES!$C$206)+(((A27*2)+(B27*2))*MATERIALES!$C$209)+(4*MATERIALES!$C$148)+(((A27*5)*2)*MATERIALES!$C$147)+(((A27*2)+(B27*2))*MATERIALES!$C$210)+((((A27*2)+(B27*2))/0.1)*MATERIALES!$C$192)+(((A27*2)+(B27*2))*MATERIALES!$C$165)+(2*MATERIALES!$C$187)+(0.5*MATERIALES!$C$167)</f>
        <v>2717.9360000000001</v>
      </c>
      <c r="G27" s="59">
        <f>(12*MATERIALES!$C$189)+(1*MATERIALES!$C$194)+(4*MATERIALES!$C$206)+(((A27*2)+(B27*4))*MATERIALES!$C$209)+(4*MATERIALES!$C$148)+(((A27*5)*2)*MATERIALES!$C$147)+(((A27*2)+(B27*2))*MATERIALES!$C$210)+((((A27*2)+(B27*4))/0.1)*MATERIALES!$C$192)+(((A27*2)+(B27*4))*MATERIALES!$C$165)+(2*MATERIALES!$C$187)+(0.5*MATERIALES!$C$167)</f>
        <v>3687.2264000000005</v>
      </c>
      <c r="H27" s="59">
        <f>(16*MATERIALES!$C$189)+(1*MATERIALES!$C$194)+(4*MATERIALES!$C$206)+(2*MATERIALES!$C$208)+(((A27*2)+(B27*6))*MATERIALES!$C$208)+(4*MATERIALES!$C$148)+(((A27*5)*2)*MATERIALES!$C$147)+(((A27*2)+(B27*2))*MATERIALES!$C$209)+((((A27*2)+(B27*6))/0.1)*MATERIALES!$C$192)+(((A27*2)+(B27*6))*MATERIALES!$C$165)+(2*MATERIALES!$C$187)+(0.5*MATERIALES!$C$167)</f>
        <v>9861.8207999999995</v>
      </c>
      <c r="I27" s="75"/>
      <c r="J27" s="55">
        <f>(A27*B27)*MATERIALES!$D$82</f>
        <v>795</v>
      </c>
      <c r="K27" s="55">
        <f>(A27*B27)*MATERIALES!$D$82</f>
        <v>795</v>
      </c>
      <c r="L27" s="55">
        <f>(A27*B27)*MATERIALES!$D$82</f>
        <v>795</v>
      </c>
      <c r="M27" s="55">
        <f>(((A27*B27)*2)*MATERIALES!$D$83)+(4*MATERIALES!$C$229)+(((A27*2)+(B27*2))*MATERIALES!$C$230)+(((A27*2)+(B27*2))*MATERIALES!$C$231)+((((A27*2)+(B27*2))/15)*MATERIALES!$C$232)+((((A27*2)+(B27*2))/15)*(MATERIALES!$C$233*0.15))</f>
        <v>3132.636</v>
      </c>
      <c r="N27" s="55">
        <f>(((A27*B27)*2)*MATERIALES!$D$83)+(8*MATERIALES!$C$229)+(((A27*2)+(B27*4))*MATERIALES!$C$230)+(((A27*2)+(B27*4))*MATERIALES!$C$231)+((((A27*2)+(B27*4))/15)*MATERIALES!$C$232)+((((A27*2)+(B27*4))/15)*(MATERIALES!$C$233*0.15))</f>
        <v>3850.9535999999998</v>
      </c>
      <c r="O27" s="55">
        <f>(((A27*B27)*2)*MATERIALES!$D$83)+(12*MATERIALES!$C$229)+(((A27*2)+(B27*6))*MATERIALES!$C$230)+(((A27*2)+(B27*6))*MATERIALES!$C$231)+((((A27*2)+(B27*6))/15)*MATERIALES!$C$232)+((((A27*2)+(B27*6))/15)*(MATERIALES!$C$233*0.15))</f>
        <v>4569.2712000000001</v>
      </c>
      <c r="P27" s="55">
        <f>(A27*B27)*MATERIALES!$D$89</f>
        <v>2685</v>
      </c>
      <c r="Q27" s="139">
        <f>(A27*B27)*MATERIALES!$D$89</f>
        <v>2685</v>
      </c>
      <c r="R27" s="437">
        <f>(A27*B27)*MATERIALES!$D$89</f>
        <v>2685</v>
      </c>
      <c r="S27" s="132">
        <f t="shared" si="0"/>
        <v>5123.3168000000005</v>
      </c>
      <c r="T27" s="129">
        <f t="shared" si="1"/>
        <v>6383.3943200000003</v>
      </c>
      <c r="U27" s="119">
        <f t="shared" si="2"/>
        <v>14410.367039999999</v>
      </c>
      <c r="V27" s="129">
        <f t="shared" si="3"/>
        <v>9798.5888000000014</v>
      </c>
      <c r="W27" s="129">
        <f t="shared" si="4"/>
        <v>12495.301520000001</v>
      </c>
      <c r="X27" s="119">
        <f t="shared" si="5"/>
        <v>21958.909439999999</v>
      </c>
      <c r="Y27" s="129">
        <f t="shared" si="6"/>
        <v>7560.8168000000005</v>
      </c>
      <c r="Z27" s="131">
        <f t="shared" si="7"/>
        <v>8820.8943199999994</v>
      </c>
      <c r="AA27" s="438">
        <f t="shared" si="8"/>
        <v>16847.867039999997</v>
      </c>
      <c r="AD27" s="351" t="s">
        <v>549</v>
      </c>
      <c r="AE27" s="246">
        <f>$T$26</f>
        <v>5932.4061920000004</v>
      </c>
      <c r="AF27" s="247">
        <f>+$W$26</f>
        <v>11025.131312000001</v>
      </c>
      <c r="AG27" s="250">
        <f>+$Z$26</f>
        <v>7882.4061920000004</v>
      </c>
      <c r="AH27" s="250">
        <f>+'MODENA CLASICA CORREDIZA'!$M$16</f>
        <v>0</v>
      </c>
      <c r="AI27" s="252"/>
      <c r="AJ27" s="252"/>
      <c r="AK27" s="252"/>
    </row>
    <row r="28" spans="1:37" ht="16.5" thickBot="1">
      <c r="A28" s="68">
        <v>1.2</v>
      </c>
      <c r="B28" s="69">
        <v>0.8</v>
      </c>
      <c r="C28" s="59">
        <f>((((A28*2)+(B28*2))*MATERIALES!$C$57)+(((A28*2)+(B28*2))*MATERIALES!$C$56)+((A28*2)+(B28*2)*MATERIALES!$C$73))*(MATERIALES!$F$2*MATERIALES!$J$15)</f>
        <v>0</v>
      </c>
      <c r="D28" s="59">
        <f>((((A28*2)+(B28*2))*MATERIALES!$C$57)+(((A28*2)+(B28*4))*MATERIALES!$C$56)+(((A28*2)+(B28*4))*MATERIALES!$C$73)+(B28*MATERIALES!$C$77))*(MATERIALES!$F$2*MATERIALES!$J$15)</f>
        <v>0</v>
      </c>
      <c r="E28" s="439">
        <f>((((A28*2)+(B28*2))*MATERIALES!$C$57)+(((A28*2)+(B28*6))*MATERIALES!$C$56)+(((A28*2)+(B28*6))*MATERIALES!$C$73)+(B28*MATERIALES!$C$77))*(MATERIALES!$F$2*MATERIALES!$J$15)</f>
        <v>0</v>
      </c>
      <c r="F28" s="59">
        <f>(8*MATERIALES!$C$189)+(1*MATERIALES!$C$194)+(2*MATERIALES!$C$206)+(((A28*2)+(B28*2))*MATERIALES!$C$209)+(4*MATERIALES!$C$148)+(((A28*5)*2)*MATERIALES!$C$147)+(((A28*2)+(B28*2))*MATERIALES!$C$210)+((((A28*2)+(B28*2))/0.1)*MATERIALES!$C$192)+(((A28*2)+(B28*2))*MATERIALES!$C$165)+(2*MATERIALES!$C$187)+(0.5*MATERIALES!$C$167)</f>
        <v>2615.7352000000005</v>
      </c>
      <c r="G28" s="59">
        <f>(12*MATERIALES!$C$189)+(1*MATERIALES!$C$194)+(4*MATERIALES!$C$206)+(((A28*2)+(B28*4))*MATERIALES!$C$209)+(4*MATERIALES!$C$148)+(((A28*5)*2)*MATERIALES!$C$147)+(((A28*2)+(B28*2))*MATERIALES!$C$210)+((((A28*2)+(B28*4))/0.1)*MATERIALES!$C$192)+(((A28*2)+(B28*4))*MATERIALES!$C$165)+(2*MATERIALES!$C$187)+(0.5*MATERIALES!$C$167)</f>
        <v>3489.4100800000006</v>
      </c>
      <c r="H28" s="59">
        <f>(16*MATERIALES!$C$189)+(1*MATERIALES!$C$194)+(4*MATERIALES!$C$206)+(2*MATERIALES!$C$208)+(((A28*2)+(B28*6))*MATERIALES!$C$208)+(4*MATERIALES!$C$148)+(((A28*5)*2)*MATERIALES!$C$147)+(((A28*2)+(B28*2))*MATERIALES!$C$209)+((((A28*2)+(B28*6))/0.1)*MATERIALES!$C$192)+(((A28*2)+(B28*6))*MATERIALES!$C$165)+(2*MATERIALES!$C$187)+(0.5*MATERIALES!$C$167)</f>
        <v>7929.7857600000007</v>
      </c>
      <c r="I28" s="75"/>
      <c r="J28" s="55">
        <f>(A28*B28)*MATERIALES!$D$82</f>
        <v>508.79999999999995</v>
      </c>
      <c r="K28" s="55">
        <f>(A28*B28)*MATERIALES!$D$82</f>
        <v>508.79999999999995</v>
      </c>
      <c r="L28" s="55">
        <f>(A28*B28)*MATERIALES!$D$82</f>
        <v>508.79999999999995</v>
      </c>
      <c r="M28" s="55">
        <f>(((A28*B28)*2)*MATERIALES!$D$83)+(4*MATERIALES!$C$229)+(((A28*2)+(B28*2))*MATERIALES!$C$230)+(((A28*2)+(B28*2))*MATERIALES!$C$231)+((((A28*2)+(B28*2))/15)*MATERIALES!$C$232)+((((A28*2)+(B28*2))/15)*(MATERIALES!$C$233*0.15))</f>
        <v>2198.4767999999999</v>
      </c>
      <c r="N28" s="55">
        <f>(((A28*B28)*2)*MATERIALES!$D$83)+(8*MATERIALES!$C$229)+(((A28*2)+(B28*4))*MATERIALES!$C$230)+(((A28*2)+(B28*4))*MATERIALES!$C$231)+((((A28*2)+(B28*4))/15)*MATERIALES!$C$232)+((((A28*2)+(B28*4))/15)*(MATERIALES!$C$233*0.15))</f>
        <v>2591.7715200000002</v>
      </c>
      <c r="O28" s="55">
        <f>(((A28*B28)*2)*MATERIALES!$D$83)+(12*MATERIALES!$C$229)+(((A28*2)+(B28*6))*MATERIALES!$C$230)+(((A28*2)+(B28*6))*MATERIALES!$C$231)+((((A28*2)+(B28*6))/15)*MATERIALES!$C$232)+((((A28*2)+(B28*6))/15)*(MATERIALES!$C$233*0.15))</f>
        <v>2985.0662399999997</v>
      </c>
      <c r="P28" s="55">
        <f>(A28*B28)*MATERIALES!$D$89</f>
        <v>1718.3999999999999</v>
      </c>
      <c r="Q28" s="139">
        <f>(A28*B28)*MATERIALES!$D$89</f>
        <v>1718.3999999999999</v>
      </c>
      <c r="R28" s="437">
        <f>(A28*B28)*MATERIALES!$D$89</f>
        <v>1718.3999999999999</v>
      </c>
      <c r="S28" s="132">
        <f t="shared" si="0"/>
        <v>4418.0557600000011</v>
      </c>
      <c r="T28" s="129">
        <f t="shared" si="1"/>
        <v>5553.8331040000012</v>
      </c>
      <c r="U28" s="119">
        <f t="shared" si="2"/>
        <v>11326.321488000001</v>
      </c>
      <c r="V28" s="129">
        <f t="shared" si="3"/>
        <v>7797.4093600000006</v>
      </c>
      <c r="W28" s="129">
        <f t="shared" si="4"/>
        <v>9719.7761440000013</v>
      </c>
      <c r="X28" s="119">
        <f t="shared" si="5"/>
        <v>16278.853967999999</v>
      </c>
      <c r="Y28" s="129">
        <f t="shared" si="6"/>
        <v>5978.0557600000011</v>
      </c>
      <c r="Z28" s="131">
        <f t="shared" si="7"/>
        <v>7113.8331040000012</v>
      </c>
      <c r="AA28" s="438">
        <f t="shared" si="8"/>
        <v>12886.321488000001</v>
      </c>
      <c r="AD28" s="350" t="s">
        <v>550</v>
      </c>
      <c r="AE28" s="246">
        <f>$T$27</f>
        <v>6383.3943200000003</v>
      </c>
      <c r="AF28" s="247">
        <f>+$W$27</f>
        <v>12495.301520000001</v>
      </c>
      <c r="AG28" s="250">
        <f>+$Z$27</f>
        <v>8820.8943199999994</v>
      </c>
      <c r="AH28" s="250">
        <f>+'MODENA CLASICA CORREDIZA'!$M$17</f>
        <v>0</v>
      </c>
      <c r="AI28" s="252"/>
      <c r="AJ28" s="252"/>
      <c r="AK28" s="252"/>
    </row>
    <row r="29" spans="1:37" ht="16.5" thickBot="1">
      <c r="A29" s="68">
        <v>1.2</v>
      </c>
      <c r="B29" s="69">
        <v>1</v>
      </c>
      <c r="C29" s="59">
        <f>((((A29*2)+(B29*2))*MATERIALES!$C$57)+(((A29*2)+(B29*2))*MATERIALES!$C$56)+((A29*2)+(B29*2)*MATERIALES!$C$73))*(MATERIALES!$F$2*MATERIALES!$J$15)</f>
        <v>0</v>
      </c>
      <c r="D29" s="59">
        <f>((((A29*2)+(B29*2))*MATERIALES!$C$57)+(((A29*2)+(B29*4))*MATERIALES!$C$56)+(((A29*2)+(B29*4))*MATERIALES!$C$73)+(B29*MATERIALES!$C$77))*(MATERIALES!$F$2*MATERIALES!$J$15)</f>
        <v>0</v>
      </c>
      <c r="E29" s="439">
        <f>((((A29*2)+(B29*2))*MATERIALES!$C$57)+(((A29*2)+(B29*6))*MATERIALES!$C$56)+(((A29*2)+(B29*6))*MATERIALES!$C$73)+(B29*MATERIALES!$C$77))*(MATERIALES!$F$2*MATERIALES!$J$15)</f>
        <v>0</v>
      </c>
      <c r="F29" s="59">
        <f>(8*MATERIALES!$C$189)+(1*MATERIALES!$C$194)+(2*MATERIALES!$C$206)+(((A29*2)+(B29*2))*MATERIALES!$C$209)+(4*MATERIALES!$C$148)+(((A29*5)*2)*MATERIALES!$C$147)+(((A29*2)+(B29*2))*MATERIALES!$C$210)+((((A29*2)+(B29*2))/0.1)*MATERIALES!$C$192)+(((A29*2)+(B29*2))*MATERIALES!$C$165)+(2*MATERIALES!$C$187)+(0.5*MATERIALES!$C$167)</f>
        <v>2656.6155200000003</v>
      </c>
      <c r="G29" s="59">
        <f>(12*MATERIALES!$C$189)+(1*MATERIALES!$C$194)+(4*MATERIALES!$C$206)+(((A29*2)+(B29*4))*MATERIALES!$C$209)+(4*MATERIALES!$C$148)+(((A29*5)*2)*MATERIALES!$C$147)+(((A29*2)+(B29*2))*MATERIALES!$C$210)+((((A29*2)+(B29*4))/0.1)*MATERIALES!$C$192)+(((A29*2)+(B29*4))*MATERIALES!$C$165)+(2*MATERIALES!$C$187)+(0.5*MATERIALES!$C$167)</f>
        <v>3557.6091200000001</v>
      </c>
      <c r="H29" s="59">
        <f>(16*MATERIALES!$C$189)+(1*MATERIALES!$C$194)+(4*MATERIALES!$C$206)+(2*MATERIALES!$C$208)+(((A29*2)+(B29*6))*MATERIALES!$C$208)+(4*MATERIALES!$C$148)+(((A29*5)*2)*MATERIALES!$C$147)+(((A29*2)+(B29*2))*MATERIALES!$C$209)+((((A29*2)+(B29*6))/0.1)*MATERIALES!$C$192)+(((A29*2)+(B29*6))*MATERIALES!$C$165)+(2*MATERIALES!$C$187)+(0.5*MATERIALES!$C$167)</f>
        <v>8542.0171200000004</v>
      </c>
      <c r="I29" s="75"/>
      <c r="J29" s="55">
        <f>(A29*B29)*MATERIALES!$D$82</f>
        <v>636</v>
      </c>
      <c r="K29" s="55">
        <f>(A29*B29)*MATERIALES!$D$82</f>
        <v>636</v>
      </c>
      <c r="L29" s="55">
        <f>(A29*B29)*MATERIALES!$D$82</f>
        <v>636</v>
      </c>
      <c r="M29" s="55">
        <f>(((A29*B29)*2)*MATERIALES!$D$83)+(4*MATERIALES!$C$229)+(((A29*2)+(B29*2))*MATERIALES!$C$230)+(((A29*2)+(B29*2))*MATERIALES!$C$231)+((((A29*2)+(B29*2))/15)*MATERIALES!$C$232)+((((A29*2)+(B29*2))/15)*(MATERIALES!$C$233*0.15))</f>
        <v>2603.3404799999998</v>
      </c>
      <c r="N29" s="55">
        <f>(((A29*B29)*2)*MATERIALES!$D$83)+(8*MATERIALES!$C$229)+(((A29*2)+(B29*4))*MATERIALES!$C$230)+(((A29*2)+(B29*4))*MATERIALES!$C$231)+((((A29*2)+(B29*4))/15)*MATERIALES!$C$232)+((((A29*2)+(B29*4))/15)*(MATERIALES!$C$233*0.15))</f>
        <v>3089.4988800000001</v>
      </c>
      <c r="O29" s="55">
        <f>(((A29*B29)*2)*MATERIALES!$D$83)+(12*MATERIALES!$C$229)+(((A29*2)+(B29*6))*MATERIALES!$C$230)+(((A29*2)+(B29*6))*MATERIALES!$C$231)+((((A29*2)+(B29*6))/15)*MATERIALES!$C$232)+((((A29*2)+(B29*6))/15)*(MATERIALES!$C$233*0.15))</f>
        <v>3575.6572800000004</v>
      </c>
      <c r="P29" s="55">
        <f>(A29*B29)*MATERIALES!$D$89</f>
        <v>2148</v>
      </c>
      <c r="Q29" s="139">
        <f>(A29*B29)*MATERIALES!$D$89</f>
        <v>2148</v>
      </c>
      <c r="R29" s="437">
        <f>(A29*B29)*MATERIALES!$D$89</f>
        <v>2148</v>
      </c>
      <c r="S29" s="132">
        <f t="shared" si="0"/>
        <v>4725.6001759999999</v>
      </c>
      <c r="T29" s="129">
        <f t="shared" si="1"/>
        <v>5896.8918560000002</v>
      </c>
      <c r="U29" s="119">
        <f t="shared" si="2"/>
        <v>12376.622256000001</v>
      </c>
      <c r="V29" s="129">
        <f t="shared" si="3"/>
        <v>8660.2811359999996</v>
      </c>
      <c r="W29" s="129">
        <f t="shared" si="4"/>
        <v>10803.889616</v>
      </c>
      <c r="X29" s="119">
        <f t="shared" si="5"/>
        <v>18255.936816000001</v>
      </c>
      <c r="Y29" s="129">
        <f t="shared" si="6"/>
        <v>6675.6001759999999</v>
      </c>
      <c r="Z29" s="131">
        <f t="shared" si="7"/>
        <v>7846.8918560000002</v>
      </c>
      <c r="AA29" s="438">
        <f t="shared" si="8"/>
        <v>14326.622256000001</v>
      </c>
      <c r="AD29" s="351" t="s">
        <v>553</v>
      </c>
      <c r="AE29" s="246">
        <f>$T$28</f>
        <v>5553.8331040000012</v>
      </c>
      <c r="AF29" s="247">
        <f>+$W$28</f>
        <v>9719.7761440000013</v>
      </c>
      <c r="AG29" s="250">
        <f>+$Z$28</f>
        <v>7113.8331040000012</v>
      </c>
      <c r="AH29" s="250">
        <f>+'MODENA CLASICA CORREDIZA'!$M$13</f>
        <v>0</v>
      </c>
      <c r="AI29" s="252"/>
      <c r="AJ29" s="252"/>
    </row>
    <row r="30" spans="1:37" ht="16.5" thickBot="1">
      <c r="A30" s="68">
        <v>1.2</v>
      </c>
      <c r="B30" s="69">
        <v>1.1000000000000001</v>
      </c>
      <c r="C30" s="59">
        <f>((((A30*2)+(B30*2))*MATERIALES!$C$57)+(((A30*2)+(B30*2))*MATERIALES!$C$56)+((A30*2)+(B30*2)*MATERIALES!$C$73))*(MATERIALES!$F$2*MATERIALES!$J$15)</f>
        <v>0</v>
      </c>
      <c r="D30" s="59">
        <f>((((A30*2)+(B30*2))*MATERIALES!$C$57)+(((A30*2)+(B30*4))*MATERIALES!$C$56)+(((A30*2)+(B30*4))*MATERIALES!$C$73)+(B30*MATERIALES!$C$77))*(MATERIALES!$F$2*MATERIALES!$J$15)</f>
        <v>0</v>
      </c>
      <c r="E30" s="439">
        <f>((((A30*2)+(B30*2))*MATERIALES!$C$57)+(((A30*2)+(B30*6))*MATERIALES!$C$56)+(((A30*2)+(B30*6))*MATERIALES!$C$73)+(B30*MATERIALES!$C$77))*(MATERIALES!$F$2*MATERIALES!$J$15)</f>
        <v>0</v>
      </c>
      <c r="F30" s="59">
        <f>(8*MATERIALES!$C$189)+(1*MATERIALES!$C$194)+(2*MATERIALES!$C$206)+(((A30*2)+(B30*2))*MATERIALES!$C$209)+(4*MATERIALES!$C$148)+(((A30*5)*2)*MATERIALES!$C$147)+(((A30*2)+(B30*2))*MATERIALES!$C$210)+((((A30*2)+(B30*2))/0.1)*MATERIALES!$C$192)+(((A30*2)+(B30*2))*MATERIALES!$C$165)+(2*MATERIALES!$C$187)+(0.5*MATERIALES!$C$167)</f>
        <v>2677.0556800000004</v>
      </c>
      <c r="G30" s="59">
        <f>(12*MATERIALES!$C$189)+(1*MATERIALES!$C$194)+(4*MATERIALES!$C$206)+(((A30*2)+(B30*4))*MATERIALES!$C$209)+(4*MATERIALES!$C$148)+(((A30*5)*2)*MATERIALES!$C$147)+(((A30*2)+(B30*2))*MATERIALES!$C$210)+((((A30*2)+(B30*4))/0.1)*MATERIALES!$C$192)+(((A30*2)+(B30*4))*MATERIALES!$C$165)+(2*MATERIALES!$C$187)+(0.5*MATERIALES!$C$167)</f>
        <v>3591.7086400000003</v>
      </c>
      <c r="H30" s="59">
        <f>(16*MATERIALES!$C$189)+(1*MATERIALES!$C$194)+(4*MATERIALES!$C$206)+(2*MATERIALES!$C$208)+(((A30*2)+(B30*6))*MATERIALES!$C$208)+(4*MATERIALES!$C$148)+(((A30*5)*2)*MATERIALES!$C$147)+(((A30*2)+(B30*2))*MATERIALES!$C$209)+((((A30*2)+(B30*6))/0.1)*MATERIALES!$C$192)+(((A30*2)+(B30*6))*MATERIALES!$C$165)+(2*MATERIALES!$C$187)+(0.5*MATERIALES!$C$167)</f>
        <v>8848.1327999999994</v>
      </c>
      <c r="I30" s="75"/>
      <c r="J30" s="55">
        <f>(A30*B30)*MATERIALES!$D$82</f>
        <v>699.6</v>
      </c>
      <c r="K30" s="55">
        <f>(A30*B30)*MATERIALES!$D$82</f>
        <v>699.6</v>
      </c>
      <c r="L30" s="55">
        <f>(A30*B30)*MATERIALES!$D$82</f>
        <v>699.6</v>
      </c>
      <c r="M30" s="55">
        <f>(((A30*B30)*2)*MATERIALES!$D$83)+(4*MATERIALES!$C$229)+(((A30*2)+(B30*2))*MATERIALES!$C$230)+(((A30*2)+(B30*2))*MATERIALES!$C$231)+((((A30*2)+(B30*2))/15)*MATERIALES!$C$232)+((((A30*2)+(B30*2))/15)*(MATERIALES!$C$233*0.15))</f>
        <v>2805.77232</v>
      </c>
      <c r="N30" s="55">
        <f>(((A30*B30)*2)*MATERIALES!$D$83)+(8*MATERIALES!$C$229)+(((A30*2)+(B30*4))*MATERIALES!$C$230)+(((A30*2)+(B30*4))*MATERIALES!$C$231)+((((A30*2)+(B30*4))/15)*MATERIALES!$C$232)+((((A30*2)+(B30*4))/15)*(MATERIALES!$C$233*0.15))</f>
        <v>3338.3625600000005</v>
      </c>
      <c r="O30" s="55">
        <f>(((A30*B30)*2)*MATERIALES!$D$83)+(12*MATERIALES!$C$229)+(((A30*2)+(B30*6))*MATERIALES!$C$230)+(((A30*2)+(B30*6))*MATERIALES!$C$231)+((((A30*2)+(B30*6))/15)*MATERIALES!$C$232)+((((A30*2)+(B30*6))/15)*(MATERIALES!$C$233*0.15))</f>
        <v>3870.9528000000005</v>
      </c>
      <c r="P30" s="55">
        <f>(A30*B30)*MATERIALES!$D$89</f>
        <v>2362.8000000000002</v>
      </c>
      <c r="Q30" s="139">
        <f>(A30*B30)*MATERIALES!$D$89</f>
        <v>2362.8000000000002</v>
      </c>
      <c r="R30" s="437">
        <f>(A30*B30)*MATERIALES!$D$89</f>
        <v>2362.8000000000002</v>
      </c>
      <c r="S30" s="132">
        <f t="shared" si="0"/>
        <v>4879.3723840000002</v>
      </c>
      <c r="T30" s="129">
        <f t="shared" si="1"/>
        <v>6068.4212320000006</v>
      </c>
      <c r="U30" s="119">
        <f t="shared" si="2"/>
        <v>12901.772640000001</v>
      </c>
      <c r="V30" s="129">
        <f t="shared" si="3"/>
        <v>9091.7170240000014</v>
      </c>
      <c r="W30" s="129">
        <f t="shared" si="4"/>
        <v>11345.946352000003</v>
      </c>
      <c r="X30" s="119">
        <f t="shared" si="5"/>
        <v>19244.47824</v>
      </c>
      <c r="Y30" s="129">
        <f t="shared" si="6"/>
        <v>7024.3723840000002</v>
      </c>
      <c r="Z30" s="131">
        <f t="shared" si="7"/>
        <v>8213.4212320000006</v>
      </c>
      <c r="AA30" s="438">
        <f t="shared" si="8"/>
        <v>15046.772640000001</v>
      </c>
      <c r="AD30" s="350" t="s">
        <v>554</v>
      </c>
      <c r="AE30" s="246">
        <f>$T$29</f>
        <v>5896.8918560000002</v>
      </c>
      <c r="AF30" s="247">
        <f>+$W$29</f>
        <v>10803.889616</v>
      </c>
      <c r="AG30" s="250">
        <f>+$Z$29</f>
        <v>7846.8918560000002</v>
      </c>
      <c r="AH30" s="250">
        <f>+'MODENA CLASICA CORREDIZA'!$M$14</f>
        <v>0</v>
      </c>
      <c r="AI30" s="252"/>
      <c r="AJ30" s="252"/>
    </row>
    <row r="31" spans="1:37" ht="16.5" customHeight="1" thickBot="1">
      <c r="A31" s="68">
        <v>1.2</v>
      </c>
      <c r="B31" s="69">
        <v>1.2</v>
      </c>
      <c r="C31" s="59">
        <f>((((A31*2)+(B31*2))*MATERIALES!$C$57)+(((A31*2)+(B31*2))*MATERIALES!$C$56)+((A31*2)+(B31*2)*MATERIALES!$C$73))*(MATERIALES!$F$2*MATERIALES!$J$15)</f>
        <v>0</v>
      </c>
      <c r="D31" s="59">
        <f>((((A31*2)+(B31*2))*MATERIALES!$C$57)+(((A31*2)+(B31*4))*MATERIALES!$C$56)+(((A31*2)+(B31*4))*MATERIALES!$C$73)+(B31*MATERIALES!$C$77))*(MATERIALES!$F$2*MATERIALES!$J$15)</f>
        <v>0</v>
      </c>
      <c r="E31" s="439">
        <f>((((A31*2)+(B31*2))*MATERIALES!$C$57)+(((A31*2)+(B31*6))*MATERIALES!$C$56)+(((A31*2)+(B31*6))*MATERIALES!$C$73)+(B31*MATERIALES!$C$77))*(MATERIALES!$F$2*MATERIALES!$J$15)</f>
        <v>0</v>
      </c>
      <c r="F31" s="59">
        <f>(8*MATERIALES!$C$189)+(1*MATERIALES!$C$194)+(2*MATERIALES!$C$206)+(((A31*2)+(B31*2))*MATERIALES!$C$209)+(4*MATERIALES!$C$148)+(((A31*5)*2)*MATERIALES!$C$147)+(((A31*2)+(B31*2))*MATERIALES!$C$210)+((((A31*2)+(B31*2))/0.1)*MATERIALES!$C$192)+(((A31*2)+(B31*2))*MATERIALES!$C$165)+(2*MATERIALES!$C$187)+(0.5*MATERIALES!$C$167)</f>
        <v>2697.49584</v>
      </c>
      <c r="G31" s="59">
        <f>(12*MATERIALES!$C$189)+(1*MATERIALES!$C$194)+(4*MATERIALES!$C$206)+(((A31*2)+(B31*4))*MATERIALES!$C$209)+(4*MATERIALES!$C$148)+(((A31*5)*2)*MATERIALES!$C$147)+(((A31*2)+(B31*2))*MATERIALES!$C$210)+((((A31*2)+(B31*4))/0.1)*MATERIALES!$C$192)+(((A31*2)+(B31*4))*MATERIALES!$C$165)+(2*MATERIALES!$C$187)+(0.5*MATERIALES!$C$167)</f>
        <v>3625.8081600000005</v>
      </c>
      <c r="H31" s="59">
        <f>(16*MATERIALES!$C$189)+(1*MATERIALES!$C$194)+(4*MATERIALES!$C$206)+(2*MATERIALES!$C$208)+(((A31*2)+(B31*6))*MATERIALES!$C$208)+(4*MATERIALES!$C$148)+(((A31*5)*2)*MATERIALES!$C$147)+(((A31*2)+(B31*2))*MATERIALES!$C$209)+((((A31*2)+(B31*6))/0.1)*MATERIALES!$C$192)+(((A31*2)+(B31*6))*MATERIALES!$C$165)+(2*MATERIALES!$C$187)+(0.5*MATERIALES!$C$167)</f>
        <v>9154.248480000002</v>
      </c>
      <c r="I31" s="75"/>
      <c r="J31" s="55">
        <f>(A31*B31)*MATERIALES!$D$82</f>
        <v>763.19999999999993</v>
      </c>
      <c r="K31" s="55">
        <f>(A31*B31)*MATERIALES!$D$82</f>
        <v>763.19999999999993</v>
      </c>
      <c r="L31" s="55">
        <f>(A31*B31)*MATERIALES!$D$82</f>
        <v>763.19999999999993</v>
      </c>
      <c r="M31" s="55">
        <f>(((A31*B31)*2)*MATERIALES!$D$83)+(4*MATERIALES!$C$229)+(((A31*2)+(B31*2))*MATERIALES!$C$230)+(((A31*2)+(B31*2))*MATERIALES!$C$231)+((((A31*2)+(B31*2))/15)*MATERIALES!$C$232)+((((A31*2)+(B31*2))/15)*(MATERIALES!$C$233*0.15))</f>
        <v>3008.2041600000002</v>
      </c>
      <c r="N31" s="55">
        <f>(((A31*B31)*2)*MATERIALES!$D$83)+(8*MATERIALES!$C$229)+(((A31*2)+(B31*4))*MATERIALES!$C$230)+(((A31*2)+(B31*4))*MATERIALES!$C$231)+((((A31*2)+(B31*4))/15)*MATERIALES!$C$232)+((((A31*2)+(B31*4))/15)*(MATERIALES!$C$233*0.15))</f>
        <v>3587.2262399999995</v>
      </c>
      <c r="O31" s="55">
        <f>(((A31*B31)*2)*MATERIALES!$D$83)+(12*MATERIALES!$C$229)+(((A31*2)+(B31*6))*MATERIALES!$C$230)+(((A31*2)+(B31*6))*MATERIALES!$C$231)+((((A31*2)+(B31*6))/15)*MATERIALES!$C$232)+((((A31*2)+(B31*6))/15)*(MATERIALES!$C$233*0.15))</f>
        <v>4166.2483199999997</v>
      </c>
      <c r="P31" s="55">
        <f>(A31*B31)*MATERIALES!$D$89</f>
        <v>2577.6</v>
      </c>
      <c r="Q31" s="139">
        <f>(A31*B31)*MATERIALES!$D$89</f>
        <v>2577.6</v>
      </c>
      <c r="R31" s="437">
        <f>(A31*B31)*MATERIALES!$D$89</f>
        <v>2577.6</v>
      </c>
      <c r="S31" s="132">
        <f t="shared" si="0"/>
        <v>5033.1445919999996</v>
      </c>
      <c r="T31" s="129">
        <f t="shared" si="1"/>
        <v>6239.9506080000001</v>
      </c>
      <c r="U31" s="119">
        <f t="shared" si="2"/>
        <v>13426.923024000003</v>
      </c>
      <c r="V31" s="129">
        <f t="shared" si="3"/>
        <v>9523.1529120000014</v>
      </c>
      <c r="W31" s="129">
        <f t="shared" si="4"/>
        <v>11888.003087999999</v>
      </c>
      <c r="X31" s="119">
        <f t="shared" si="5"/>
        <v>20233.019664000003</v>
      </c>
      <c r="Y31" s="129">
        <f t="shared" si="6"/>
        <v>7373.1445919999996</v>
      </c>
      <c r="Z31" s="131">
        <f t="shared" si="7"/>
        <v>8579.9506079999992</v>
      </c>
      <c r="AA31" s="438">
        <f t="shared" si="8"/>
        <v>15766.923024000003</v>
      </c>
      <c r="AD31" s="351" t="s">
        <v>555</v>
      </c>
      <c r="AE31" s="246">
        <f>$T$30</f>
        <v>6068.4212320000006</v>
      </c>
      <c r="AF31" s="247">
        <f>+$W$30</f>
        <v>11345.946352000003</v>
      </c>
      <c r="AG31" s="250">
        <f>+$Z$30</f>
        <v>8213.4212320000006</v>
      </c>
      <c r="AH31" s="250">
        <f>+'MODENA CLASICA CORREDIZA'!$M$15</f>
        <v>0</v>
      </c>
      <c r="AI31" s="252"/>
      <c r="AJ31" s="259"/>
    </row>
    <row r="32" spans="1:37" ht="16.5" customHeight="1" thickBot="1">
      <c r="A32" s="68">
        <v>1.2</v>
      </c>
      <c r="B32" s="69">
        <v>1.5</v>
      </c>
      <c r="C32" s="59">
        <f>((((A32*2)+(B32*2))*MATERIALES!$C$57)+(((A32*2)+(B32*2))*MATERIALES!$C$56)+((A32*2)+(B32*2)*MATERIALES!$C$73))*(MATERIALES!$F$2*MATERIALES!$J$15)</f>
        <v>0</v>
      </c>
      <c r="D32" s="59">
        <f>((((A32*2)+(B32*2))*MATERIALES!$C$57)+(((A32*2)+(B32*4))*MATERIALES!$C$56)+(((A32*2)+(B32*4))*MATERIALES!$C$73)+(B32*MATERIALES!$C$77))*(MATERIALES!$F$2*MATERIALES!$J$15)</f>
        <v>0</v>
      </c>
      <c r="E32" s="439">
        <f>((((A32*2)+(B32*2))*MATERIALES!$C$57)+(((A32*2)+(B32*6))*MATERIALES!$C$56)+(((A32*2)+(B32*6))*MATERIALES!$C$73)+(B32*MATERIALES!$C$77))*(MATERIALES!$F$2*MATERIALES!$J$15)</f>
        <v>0</v>
      </c>
      <c r="F32" s="59">
        <f>(8*MATERIALES!$C$189)+(1*MATERIALES!$C$194)+(2*MATERIALES!$C$206)+(((A32*2)+(B32*2))*MATERIALES!$C$209)+(4*MATERIALES!$C$148)+(((A32*5)*2)*MATERIALES!$C$147)+(((A32*2)+(B32*2))*MATERIALES!$C$210)+((((A32*2)+(B32*2))/0.1)*MATERIALES!$C$192)+(((A32*2)+(B32*2))*MATERIALES!$C$165)+(2*MATERIALES!$C$187)+(0.5*MATERIALES!$C$167)</f>
        <v>2758.8163200000004</v>
      </c>
      <c r="G32" s="59">
        <f>(12*MATERIALES!$C$189)+(1*MATERIALES!$C$194)+(4*MATERIALES!$C$206)+(((A32*2)+(B32*4))*MATERIALES!$C$209)+(4*MATERIALES!$C$148)+(((A32*5)*2)*MATERIALES!$C$147)+(((A32*2)+(B32*2))*MATERIALES!$C$210)+((((A32*2)+(B32*4))/0.1)*MATERIALES!$C$192)+(((A32*2)+(B32*4))*MATERIALES!$C$165)+(2*MATERIALES!$C$187)+(0.5*MATERIALES!$C$167)</f>
        <v>3728.1067200000007</v>
      </c>
      <c r="H32" s="59">
        <f>(16*MATERIALES!$C$189)+(1*MATERIALES!$C$194)+(4*MATERIALES!$C$206)+(2*MATERIALES!$C$208)+(((A32*2)+(B32*6))*MATERIALES!$C$208)+(4*MATERIALES!$C$148)+(((A32*5)*2)*MATERIALES!$C$147)+(((A32*2)+(B32*2))*MATERIALES!$C$209)+((((A32*2)+(B32*6))/0.1)*MATERIALES!$C$192)+(((A32*2)+(B32*6))*MATERIALES!$C$165)+(2*MATERIALES!$C$187)+(0.5*MATERIALES!$C$167)</f>
        <v>10072.595520000001</v>
      </c>
      <c r="I32" s="75"/>
      <c r="J32" s="55">
        <f>(A32*B32)*MATERIALES!$D$82</f>
        <v>953.99999999999989</v>
      </c>
      <c r="K32" s="55">
        <f>(A32*B32)*MATERIALES!$D$82</f>
        <v>953.99999999999989</v>
      </c>
      <c r="L32" s="55">
        <f>(A32*B32)*MATERIALES!$D$82</f>
        <v>953.99999999999989</v>
      </c>
      <c r="M32" s="55">
        <f>(((A32*B32)*2)*MATERIALES!$D$83)+(4*MATERIALES!$C$229)+(((A32*2)+(B32*2))*MATERIALES!$C$230)+(((A32*2)+(B32*2))*MATERIALES!$C$231)+((((A32*2)+(B32*2))/15)*MATERIALES!$C$232)+((((A32*2)+(B32*2))/15)*(MATERIALES!$C$233*0.15))</f>
        <v>3615.4996799999999</v>
      </c>
      <c r="N32" s="55">
        <f>(((A32*B32)*2)*MATERIALES!$D$83)+(8*MATERIALES!$C$229)+(((A32*2)+(B32*4))*MATERIALES!$C$230)+(((A32*2)+(B32*4))*MATERIALES!$C$231)+((((A32*2)+(B32*4))/15)*MATERIALES!$C$232)+((((A32*2)+(B32*4))/15)*(MATERIALES!$C$233*0.15))</f>
        <v>4333.8172799999993</v>
      </c>
      <c r="O32" s="55">
        <f>(((A32*B32)*2)*MATERIALES!$D$83)+(12*MATERIALES!$C$229)+(((A32*2)+(B32*6))*MATERIALES!$C$230)+(((A32*2)+(B32*6))*MATERIALES!$C$231)+((((A32*2)+(B32*6))/15)*MATERIALES!$C$232)+((((A32*2)+(B32*6))/15)*(MATERIALES!$C$233*0.15))</f>
        <v>5052.1348800000005</v>
      </c>
      <c r="P32" s="55">
        <f>(A32*B32)*MATERIALES!$D$89</f>
        <v>3221.9999999999995</v>
      </c>
      <c r="Q32" s="139">
        <f>(A32*B32)*MATERIALES!$D$89</f>
        <v>3221.9999999999995</v>
      </c>
      <c r="R32" s="437">
        <f>(A32*B32)*MATERIALES!$D$89</f>
        <v>3221.9999999999995</v>
      </c>
      <c r="S32" s="132">
        <f t="shared" si="0"/>
        <v>5494.4612160000006</v>
      </c>
      <c r="T32" s="129">
        <f t="shared" si="1"/>
        <v>6754.5387360000013</v>
      </c>
      <c r="U32" s="119">
        <f t="shared" si="2"/>
        <v>15002.374176000001</v>
      </c>
      <c r="V32" s="129">
        <f t="shared" si="3"/>
        <v>10817.460576000001</v>
      </c>
      <c r="W32" s="129">
        <f t="shared" si="4"/>
        <v>13514.173296000001</v>
      </c>
      <c r="X32" s="119">
        <f t="shared" si="5"/>
        <v>23198.643936</v>
      </c>
      <c r="Y32" s="129">
        <f t="shared" si="6"/>
        <v>8419.4612159999997</v>
      </c>
      <c r="Z32" s="131">
        <f t="shared" si="7"/>
        <v>9679.5387360000004</v>
      </c>
      <c r="AA32" s="438">
        <f t="shared" si="8"/>
        <v>17927.374176000001</v>
      </c>
      <c r="AD32" s="352" t="s">
        <v>556</v>
      </c>
      <c r="AE32" s="246">
        <f>$T$31</f>
        <v>6239.9506080000001</v>
      </c>
      <c r="AF32" s="247">
        <f>+$W$31</f>
        <v>11888.003087999999</v>
      </c>
      <c r="AG32" s="250">
        <f>+$Z$31</f>
        <v>8579.9506079999992</v>
      </c>
      <c r="AH32" s="250">
        <f>+'MODENA CLASICA CORREDIZA'!$M$16</f>
        <v>0</v>
      </c>
      <c r="AI32" s="252"/>
      <c r="AJ32" s="259"/>
    </row>
    <row r="33" spans="1:37" ht="16.5" thickBot="1">
      <c r="A33" s="68">
        <v>1.2</v>
      </c>
      <c r="B33" s="69">
        <v>1.8</v>
      </c>
      <c r="C33" s="59">
        <f>((((A33*2)+(B33*2))*MATERIALES!$C$57)+(((A33*2)+(B33*2))*MATERIALES!$C$56)+((A33*2)+(B33*2)*MATERIALES!$C$73))*(MATERIALES!$F$2*MATERIALES!$J$15)</f>
        <v>0</v>
      </c>
      <c r="D33" s="59">
        <f>((((A33*2)+(B33*2))*MATERIALES!$C$57)+(((A33*2)+(B33*4))*MATERIALES!$C$56)+(((A33*2)+(B33*4))*MATERIALES!$C$73)+(B33*MATERIALES!$C$77))*(MATERIALES!$F$2*MATERIALES!$J$15)</f>
        <v>0</v>
      </c>
      <c r="E33" s="439">
        <f>((((A33*2)+(B33*2))*MATERIALES!$C$57)+(((A33*2)+(B33*6))*MATERIALES!$C$56)+(((A33*2)+(B33*6))*MATERIALES!$C$73)+(B33*MATERIALES!$C$77))*(MATERIALES!$F$2*MATERIALES!$J$15)</f>
        <v>0</v>
      </c>
      <c r="F33" s="59">
        <f>(8*MATERIALES!$C$189)+(1*MATERIALES!$C$194)+(2*MATERIALES!$C$206)+(((A33*2)+(B33*2))*MATERIALES!$C$209)+(4*MATERIALES!$C$148)+(((A33*5)*2)*MATERIALES!$C$147)+(((A33*2)+(B33*2))*MATERIALES!$C$210)+((((A33*2)+(B33*2))/0.1)*MATERIALES!$C$192)+(((A33*2)+(B33*2))*MATERIALES!$C$165)+(2*MATERIALES!$C$187)+(0.5*MATERIALES!$C$167)</f>
        <v>2820.1368000000002</v>
      </c>
      <c r="G33" s="59">
        <f>(12*MATERIALES!$C$189)+(1*MATERIALES!$C$194)+(4*MATERIALES!$C$206)+(((A33*2)+(B33*4))*MATERIALES!$C$209)+(4*MATERIALES!$C$148)+(((A33*5)*2)*MATERIALES!$C$147)+(((A33*2)+(B33*2))*MATERIALES!$C$210)+((((A33*2)+(B33*4))/0.1)*MATERIALES!$C$192)+(((A33*2)+(B33*4))*MATERIALES!$C$165)+(2*MATERIALES!$C$187)+(0.5*MATERIALES!$C$167)</f>
        <v>3830.4052800000004</v>
      </c>
      <c r="H33" s="59">
        <f>(16*MATERIALES!$C$189)+(1*MATERIALES!$C$194)+(4*MATERIALES!$C$206)+(2*MATERIALES!$C$208)+(((A33*2)+(B33*6))*MATERIALES!$C$208)+(4*MATERIALES!$C$148)+(((A33*5)*2)*MATERIALES!$C$147)+(((A33*2)+(B33*2))*MATERIALES!$C$209)+((((A33*2)+(B33*6))/0.1)*MATERIALES!$C$192)+(((A33*2)+(B33*6))*MATERIALES!$C$165)+(2*MATERIALES!$C$187)+(0.5*MATERIALES!$C$167)</f>
        <v>10990.942560000001</v>
      </c>
      <c r="I33" s="75"/>
      <c r="J33" s="55">
        <f>(A33*B33)*MATERIALES!$D$82</f>
        <v>1144.8000000000002</v>
      </c>
      <c r="K33" s="55">
        <f>(A33*B33)*MATERIALES!$D$82</f>
        <v>1144.8000000000002</v>
      </c>
      <c r="L33" s="55">
        <f>(A33*B33)*MATERIALES!$D$82</f>
        <v>1144.8000000000002</v>
      </c>
      <c r="M33" s="55">
        <f>(((A33*B33)*2)*MATERIALES!$D$83)+(4*MATERIALES!$C$229)+(((A33*2)+(B33*2))*MATERIALES!$C$230)+(((A33*2)+(B33*2))*MATERIALES!$C$231)+((((A33*2)+(B33*2))/15)*MATERIALES!$C$232)+((((A33*2)+(B33*2))/15)*(MATERIALES!$C$233*0.15))</f>
        <v>4222.7952000000005</v>
      </c>
      <c r="N33" s="55">
        <f>(((A33*B33)*2)*MATERIALES!$D$83)+(8*MATERIALES!$C$229)+(((A33*2)+(B33*4))*MATERIALES!$C$230)+(((A33*2)+(B33*4))*MATERIALES!$C$231)+((((A33*2)+(B33*4))/15)*MATERIALES!$C$232)+((((A33*2)+(B33*4))/15)*(MATERIALES!$C$233*0.15))</f>
        <v>5080.4083200000005</v>
      </c>
      <c r="O33" s="55">
        <f>(((A33*B33)*2)*MATERIALES!$D$83)+(12*MATERIALES!$C$229)+(((A33*2)+(B33*6))*MATERIALES!$C$230)+(((A33*2)+(B33*6))*MATERIALES!$C$231)+((((A33*2)+(B33*6))/15)*MATERIALES!$C$232)+((((A33*2)+(B33*6))/15)*(MATERIALES!$C$233*0.15))</f>
        <v>5938.0214400000004</v>
      </c>
      <c r="P33" s="55">
        <f>(A33*B33)*MATERIALES!$D$89</f>
        <v>3866.4</v>
      </c>
      <c r="Q33" s="139">
        <f>(A33*B33)*MATERIALES!$D$89</f>
        <v>3866.4</v>
      </c>
      <c r="R33" s="437">
        <f>(A33*B33)*MATERIALES!$D$89</f>
        <v>3866.4</v>
      </c>
      <c r="S33" s="132">
        <f t="shared" si="0"/>
        <v>5955.7778400000007</v>
      </c>
      <c r="T33" s="129">
        <f t="shared" si="1"/>
        <v>7269.1268640000008</v>
      </c>
      <c r="U33" s="119">
        <f t="shared" si="2"/>
        <v>16577.825328000003</v>
      </c>
      <c r="V33" s="129">
        <f t="shared" si="3"/>
        <v>12111.768240000001</v>
      </c>
      <c r="W33" s="129">
        <f t="shared" si="4"/>
        <v>15140.343504</v>
      </c>
      <c r="X33" s="119">
        <f t="shared" si="5"/>
        <v>26164.268208000001</v>
      </c>
      <c r="Y33" s="129">
        <f t="shared" si="6"/>
        <v>9465.7778400000007</v>
      </c>
      <c r="Z33" s="131">
        <f t="shared" si="7"/>
        <v>10779.126864000002</v>
      </c>
      <c r="AA33" s="438">
        <f t="shared" si="8"/>
        <v>20087.825328000003</v>
      </c>
      <c r="AD33" s="351" t="s">
        <v>557</v>
      </c>
      <c r="AE33" s="246">
        <f>$T$32</f>
        <v>6754.5387360000013</v>
      </c>
      <c r="AF33" s="247">
        <f>+$W$32</f>
        <v>13514.173296000001</v>
      </c>
      <c r="AG33" s="250">
        <f>+$Z$32</f>
        <v>9679.5387360000004</v>
      </c>
      <c r="AH33" s="250">
        <f>+'MODENA CLASICA CORREDIZA'!$M$17</f>
        <v>0</v>
      </c>
      <c r="AI33" s="252"/>
    </row>
    <row r="34" spans="1:37" ht="16.5" thickBot="1">
      <c r="A34" s="68">
        <v>1.5</v>
      </c>
      <c r="B34" s="69">
        <v>0.8</v>
      </c>
      <c r="C34" s="59">
        <f>((((A34*2)+(B34*2))*MATERIALES!$C$57)+(((A34*2)+(B34*2))*MATERIALES!$C$56)+((A34*2)+(B34*2)*MATERIALES!$C$73))*(MATERIALES!$F$2*MATERIALES!$J$15)</f>
        <v>0</v>
      </c>
      <c r="D34" s="59">
        <f>((((A34*2)+(B34*2))*MATERIALES!$C$57)+(((A34*2)+(B34*4))*MATERIALES!$C$56)+(((A34*2)+(B34*4))*MATERIALES!$C$73)+(B34*MATERIALES!$C$77))*(MATERIALES!$F$2*MATERIALES!$J$15)</f>
        <v>0</v>
      </c>
      <c r="E34" s="439">
        <f>((((A34*2)+(B34*2))*MATERIALES!$C$57)+(((A34*2)+(B34*6))*MATERIALES!$C$56)+(((A34*2)+(B34*6))*MATERIALES!$C$73)+(B34*MATERIALES!$C$77))*(MATERIALES!$F$2*MATERIALES!$J$15)</f>
        <v>0</v>
      </c>
      <c r="F34" s="59">
        <f>(8*MATERIALES!$C$189)+(1*MATERIALES!$C$194)+(2*MATERIALES!$C$206)+(((A34*2)+(B34*2))*MATERIALES!$C$209)+(4*MATERIALES!$C$148)+(((A34*5)*2)*MATERIALES!$C$147)+(((A34*2)+(B34*2))*MATERIALES!$C$210)+((((A34*2)+(B34*2))/0.1)*MATERIALES!$C$192)+(((A34*2)+(B34*2))*MATERIALES!$C$165)+(2*MATERIALES!$C$187)+(0.5*MATERIALES!$C$167)</f>
        <v>2677.0556800000004</v>
      </c>
      <c r="G34" s="59">
        <f>(12*MATERIALES!$C$189)+(1*MATERIALES!$C$194)+(4*MATERIALES!$C$206)+(((A34*2)+(B34*4))*MATERIALES!$C$209)+(4*MATERIALES!$C$148)+(((A34*5)*2)*MATERIALES!$C$147)+(((A34*2)+(B34*2))*MATERIALES!$C$210)+((((A34*2)+(B34*4))/0.1)*MATERIALES!$C$192)+(((A34*2)+(B34*4))*MATERIALES!$C$165)+(2*MATERIALES!$C$187)+(0.5*MATERIALES!$C$167)</f>
        <v>3550.7305600000004</v>
      </c>
      <c r="H34" s="59">
        <f>(16*MATERIALES!$C$189)+(1*MATERIALES!$C$194)+(4*MATERIALES!$C$206)+(2*MATERIALES!$C$208)+(((A34*2)+(B34*6))*MATERIALES!$C$208)+(4*MATERIALES!$C$148)+(((A34*5)*2)*MATERIALES!$C$147)+(((A34*2)+(B34*2))*MATERIALES!$C$209)+((((A34*2)+(B34*6))/0.1)*MATERIALES!$C$192)+(((A34*2)+(B34*6))*MATERIALES!$C$165)+(2*MATERIALES!$C$187)+(0.5*MATERIALES!$C$167)</f>
        <v>8245.9478400000007</v>
      </c>
      <c r="I34" s="75"/>
      <c r="J34" s="55">
        <f>(A34*B34)*MATERIALES!$D$82</f>
        <v>636.00000000000011</v>
      </c>
      <c r="K34" s="55">
        <f>(A34*B34)*MATERIALES!$D$82</f>
        <v>636.00000000000011</v>
      </c>
      <c r="L34" s="55">
        <f>(A34*B34)*MATERIALES!$D$82</f>
        <v>636.00000000000011</v>
      </c>
      <c r="M34" s="55">
        <f>(((A34*B34)*2)*MATERIALES!$D$83)+(4*MATERIALES!$C$229)+(((A34*2)+(B34*2))*MATERIALES!$C$230)+(((A34*2)+(B34*2))*MATERIALES!$C$231)+((((A34*2)+(B34*2))/15)*MATERIALES!$C$232)+((((A34*2)+(B34*2))/15)*(MATERIALES!$C$233*0.15))</f>
        <v>2649.77232</v>
      </c>
      <c r="N34" s="55">
        <f>(((A34*B34)*2)*MATERIALES!$D$83)+(8*MATERIALES!$C$229)+(((A34*2)+(B34*4))*MATERIALES!$C$230)+(((A34*2)+(B34*4))*MATERIALES!$C$231)+((((A34*2)+(B34*4))/15)*MATERIALES!$C$232)+((((A34*2)+(B34*4))/15)*(MATERIALES!$C$233*0.15))</f>
        <v>3043.0670400000004</v>
      </c>
      <c r="O34" s="55">
        <f>(((A34*B34)*2)*MATERIALES!$D$83)+(12*MATERIALES!$C$229)+(((A34*2)+(B34*6))*MATERIALES!$C$230)+(((A34*2)+(B34*6))*MATERIALES!$C$231)+((((A34*2)+(B34*6))/15)*MATERIALES!$C$232)+((((A34*2)+(B34*6))/15)*(MATERIALES!$C$233*0.15))</f>
        <v>3436.3617600000002</v>
      </c>
      <c r="P34" s="55">
        <f>(A34*B34)*MATERIALES!$D$89</f>
        <v>2148.0000000000005</v>
      </c>
      <c r="Q34" s="139">
        <f>(A34*B34)*MATERIALES!$D$89</f>
        <v>2148.0000000000005</v>
      </c>
      <c r="R34" s="437">
        <f>(A34*B34)*MATERIALES!$D$89</f>
        <v>2148.0000000000005</v>
      </c>
      <c r="S34" s="132">
        <f t="shared" si="0"/>
        <v>4752.1723840000004</v>
      </c>
      <c r="T34" s="129">
        <f t="shared" si="1"/>
        <v>5887.9497280000005</v>
      </c>
      <c r="U34" s="119">
        <f t="shared" si="2"/>
        <v>11991.732192000001</v>
      </c>
      <c r="V34" s="129">
        <f t="shared" si="3"/>
        <v>8779.7170240000014</v>
      </c>
      <c r="W34" s="129">
        <f t="shared" si="4"/>
        <v>10702.083808000001</v>
      </c>
      <c r="X34" s="119">
        <f t="shared" si="5"/>
        <v>17592.455712000003</v>
      </c>
      <c r="Y34" s="129">
        <f t="shared" si="6"/>
        <v>6702.1723840000013</v>
      </c>
      <c r="Z34" s="131">
        <f t="shared" si="7"/>
        <v>7837.9497280000014</v>
      </c>
      <c r="AA34" s="438">
        <f t="shared" si="8"/>
        <v>13941.732192000003</v>
      </c>
      <c r="AD34" s="352" t="s">
        <v>558</v>
      </c>
      <c r="AE34" s="246">
        <f>$T$33</f>
        <v>7269.1268640000008</v>
      </c>
      <c r="AF34" s="247">
        <f>+$W$33</f>
        <v>15140.343504</v>
      </c>
      <c r="AG34" s="250">
        <f>+$Z$33</f>
        <v>10779.126864000002</v>
      </c>
      <c r="AH34" s="250">
        <f>+'MODENA CLASICA CORREDIZA'!$M$39</f>
        <v>0</v>
      </c>
      <c r="AI34" s="252"/>
    </row>
    <row r="35" spans="1:37" ht="16.5" thickBot="1">
      <c r="A35" s="68">
        <v>1.5</v>
      </c>
      <c r="B35" s="69">
        <v>1</v>
      </c>
      <c r="C35" s="59">
        <f>((((A35*2)+(B35*2))*MATERIALES!$C$57)+(((A35*2)+(B35*2))*MATERIALES!$C$56)+((A35*2)+(B35*2)*MATERIALES!$C$73))*(MATERIALES!$F$2*MATERIALES!$J$15)</f>
        <v>0</v>
      </c>
      <c r="D35" s="59">
        <f>((((A35*2)+(B35*2))*MATERIALES!$C$57)+(((A35*2)+(B35*4))*MATERIALES!$C$56)+(((A35*2)+(B35*4))*MATERIALES!$C$73)+(B35*MATERIALES!$C$77))*(MATERIALES!$F$2*MATERIALES!$J$15)</f>
        <v>0</v>
      </c>
      <c r="E35" s="439">
        <f>((((A35*2)+(B35*2))*MATERIALES!$C$57)+(((A35*2)+(B35*6))*MATERIALES!$C$56)+(((A35*2)+(B35*6))*MATERIALES!$C$73)+(B35*MATERIALES!$C$77))*(MATERIALES!$F$2*MATERIALES!$J$15)</f>
        <v>0</v>
      </c>
      <c r="F35" s="59">
        <f>(8*MATERIALES!$C$189)+(1*MATERIALES!$C$194)+(2*MATERIALES!$C$206)+(((A35*2)+(B35*2))*MATERIALES!$C$209)+(4*MATERIALES!$C$148)+(((A35*5)*2)*MATERIALES!$C$147)+(((A35*2)+(B35*2))*MATERIALES!$C$210)+((((A35*2)+(B35*2))/0.1)*MATERIALES!$C$192)+(((A35*2)+(B35*2))*MATERIALES!$C$165)+(2*MATERIALES!$C$187)+(0.5*MATERIALES!$C$167)</f>
        <v>2717.9360000000001</v>
      </c>
      <c r="G35" s="59">
        <f>(12*MATERIALES!$C$189)+(1*MATERIALES!$C$194)+(4*MATERIALES!$C$206)+(((A35*2)+(B35*4))*MATERIALES!$C$209)+(4*MATERIALES!$C$148)+(((A35*5)*2)*MATERIALES!$C$147)+(((A35*2)+(B35*2))*MATERIALES!$C$210)+((((A35*2)+(B35*4))/0.1)*MATERIALES!$C$192)+(((A35*2)+(B35*4))*MATERIALES!$C$165)+(2*MATERIALES!$C$187)+(0.5*MATERIALES!$C$167)</f>
        <v>3618.9296000000004</v>
      </c>
      <c r="H35" s="59">
        <f>(16*MATERIALES!$C$189)+(1*MATERIALES!$C$194)+(4*MATERIALES!$C$206)+(2*MATERIALES!$C$208)+(((A35*2)+(B35*6))*MATERIALES!$C$208)+(4*MATERIALES!$C$148)+(((A35*5)*2)*MATERIALES!$C$147)+(((A35*2)+(B35*2))*MATERIALES!$C$209)+((((A35*2)+(B35*6))/0.1)*MATERIALES!$C$192)+(((A35*2)+(B35*6))*MATERIALES!$C$165)+(2*MATERIALES!$C$187)+(0.5*MATERIALES!$C$167)</f>
        <v>8858.1791999999987</v>
      </c>
      <c r="I35" s="75"/>
      <c r="J35" s="55">
        <f>(A35*B35)*MATERIALES!$D$82</f>
        <v>795</v>
      </c>
      <c r="K35" s="55">
        <f>(A35*B35)*MATERIALES!$D$82</f>
        <v>795</v>
      </c>
      <c r="L35" s="55">
        <f>(A35*B35)*MATERIALES!$D$82</f>
        <v>795</v>
      </c>
      <c r="M35" s="55">
        <f>(((A35*B35)*2)*MATERIALES!$D$83)+(4*MATERIALES!$C$229)+(((A35*2)+(B35*2))*MATERIALES!$C$230)+(((A35*2)+(B35*2))*MATERIALES!$C$231)+((((A35*2)+(B35*2))/15)*MATERIALES!$C$232)+((((A35*2)+(B35*2))/15)*(MATERIALES!$C$233*0.15))</f>
        <v>3132.636</v>
      </c>
      <c r="N35" s="55">
        <f>(((A35*B35)*2)*MATERIALES!$D$83)+(8*MATERIALES!$C$229)+(((A35*2)+(B35*4))*MATERIALES!$C$230)+(((A35*2)+(B35*4))*MATERIALES!$C$231)+((((A35*2)+(B35*4))/15)*MATERIALES!$C$232)+((((A35*2)+(B35*4))/15)*(MATERIALES!$C$233*0.15))</f>
        <v>3618.7944000000002</v>
      </c>
      <c r="O35" s="55">
        <f>(((A35*B35)*2)*MATERIALES!$D$83)+(12*MATERIALES!$C$229)+(((A35*2)+(B35*6))*MATERIALES!$C$230)+(((A35*2)+(B35*6))*MATERIALES!$C$231)+((((A35*2)+(B35*6))/15)*MATERIALES!$C$232)+((((A35*2)+(B35*6))/15)*(MATERIALES!$C$233*0.15))</f>
        <v>4104.9528000000009</v>
      </c>
      <c r="P35" s="55">
        <f>(A35*B35)*MATERIALES!$D$89</f>
        <v>2685</v>
      </c>
      <c r="Q35" s="139">
        <f>(A35*B35)*MATERIALES!$D$89</f>
        <v>2685</v>
      </c>
      <c r="R35" s="437">
        <f>(A35*B35)*MATERIALES!$D$89</f>
        <v>2685</v>
      </c>
      <c r="S35" s="132">
        <f t="shared" si="0"/>
        <v>5123.3168000000005</v>
      </c>
      <c r="T35" s="129">
        <f t="shared" si="1"/>
        <v>6294.6084800000008</v>
      </c>
      <c r="U35" s="119">
        <f t="shared" si="2"/>
        <v>13105.632959999999</v>
      </c>
      <c r="V35" s="129">
        <f t="shared" si="3"/>
        <v>9798.5888000000014</v>
      </c>
      <c r="W35" s="129">
        <f t="shared" si="4"/>
        <v>11942.19728</v>
      </c>
      <c r="X35" s="119">
        <f t="shared" si="5"/>
        <v>19725.538560000001</v>
      </c>
      <c r="Y35" s="129">
        <f t="shared" si="6"/>
        <v>7560.8168000000005</v>
      </c>
      <c r="Z35" s="131">
        <f t="shared" si="7"/>
        <v>8732.1084800000008</v>
      </c>
      <c r="AA35" s="438">
        <f t="shared" si="8"/>
        <v>15543.132959999999</v>
      </c>
      <c r="AD35" s="351" t="s">
        <v>561</v>
      </c>
      <c r="AE35" s="246">
        <f>$T$34</f>
        <v>5887.9497280000005</v>
      </c>
      <c r="AF35" s="247">
        <f>+$W$34</f>
        <v>10702.083808000001</v>
      </c>
      <c r="AG35" s="250">
        <f>+$Z$34</f>
        <v>7837.9497280000014</v>
      </c>
      <c r="AH35" s="250">
        <f>+'MODENA CLASICA CORREDIZA'!$M$40</f>
        <v>0</v>
      </c>
      <c r="AI35" s="252"/>
    </row>
    <row r="36" spans="1:37" ht="16.5" thickBot="1">
      <c r="A36" s="68">
        <v>1.5</v>
      </c>
      <c r="B36" s="69">
        <v>1.1000000000000001</v>
      </c>
      <c r="C36" s="59">
        <f>((((A36*2)+(B36*2))*MATERIALES!$C$57)+(((A36*2)+(B36*2))*MATERIALES!$C$56)+((A36*2)+(B36*2)*MATERIALES!$C$73))*(MATERIALES!$F$2*MATERIALES!$J$15)</f>
        <v>0</v>
      </c>
      <c r="D36" s="59">
        <f>((((A36*2)+(B36*2))*MATERIALES!$C$57)+(((A36*2)+(B36*4))*MATERIALES!$C$56)+(((A36*2)+(B36*4))*MATERIALES!$C$73)+(B36*MATERIALES!$C$77))*(MATERIALES!$F$2*MATERIALES!$J$15)</f>
        <v>0</v>
      </c>
      <c r="E36" s="439">
        <f>((((A36*2)+(B36*2))*MATERIALES!$C$57)+(((A36*2)+(B36*6))*MATERIALES!$C$56)+(((A36*2)+(B36*6))*MATERIALES!$C$73)+(B36*MATERIALES!$C$77))*(MATERIALES!$F$2*MATERIALES!$J$15)</f>
        <v>0</v>
      </c>
      <c r="F36" s="59">
        <f>(8*MATERIALES!$C$189)+(1*MATERIALES!$C$194)+(2*MATERIALES!$C$206)+(((A36*2)+(B36*2))*MATERIALES!$C$209)+(4*MATERIALES!$C$148)+(((A36*5)*2)*MATERIALES!$C$147)+(((A36*2)+(B36*2))*MATERIALES!$C$210)+((((A36*2)+(B36*2))/0.1)*MATERIALES!$C$192)+(((A36*2)+(B36*2))*MATERIALES!$C$165)+(2*MATERIALES!$C$187)+(0.5*MATERIALES!$C$167)</f>
        <v>2738.3761600000003</v>
      </c>
      <c r="G36" s="59">
        <f>(12*MATERIALES!$C$189)+(1*MATERIALES!$C$194)+(4*MATERIALES!$C$206)+(((A36*2)+(B36*4))*MATERIALES!$C$209)+(4*MATERIALES!$C$148)+(((A36*5)*2)*MATERIALES!$C$147)+(((A36*2)+(B36*2))*MATERIALES!$C$210)+((((A36*2)+(B36*4))/0.1)*MATERIALES!$C$192)+(((A36*2)+(B36*4))*MATERIALES!$C$165)+(2*MATERIALES!$C$187)+(0.5*MATERIALES!$C$167)</f>
        <v>3653.0291200000006</v>
      </c>
      <c r="H36" s="59">
        <f>(16*MATERIALES!$C$189)+(1*MATERIALES!$C$194)+(4*MATERIALES!$C$206)+(2*MATERIALES!$C$208)+(((A36*2)+(B36*6))*MATERIALES!$C$208)+(4*MATERIALES!$C$148)+(((A36*5)*2)*MATERIALES!$C$147)+(((A36*2)+(B36*2))*MATERIALES!$C$209)+((((A36*2)+(B36*6))/0.1)*MATERIALES!$C$192)+(((A36*2)+(B36*6))*MATERIALES!$C$165)+(2*MATERIALES!$C$187)+(0.5*MATERIALES!$C$167)</f>
        <v>9164.2948800000013</v>
      </c>
      <c r="I36" s="75"/>
      <c r="J36" s="55">
        <f>(A36*B36)*MATERIALES!$D$82</f>
        <v>874.50000000000011</v>
      </c>
      <c r="K36" s="55">
        <f>(A36*B36)*MATERIALES!$D$83</f>
        <v>1072.5</v>
      </c>
      <c r="L36" s="55">
        <f>(A36*B36)*MATERIALES!$D$82</f>
        <v>874.50000000000011</v>
      </c>
      <c r="M36" s="55">
        <f>(((A36*B36)*2)*MATERIALES!$D$83)+(4*MATERIALES!$C$229)+(((A36*2)+(B36*2))*MATERIALES!$C$230)+(((A36*2)+(B36*2))*MATERIALES!$C$231)+((((A36*2)+(B36*2))/15)*MATERIALES!$C$232)+((((A36*2)+(B36*2))/15)*(MATERIALES!$C$233*0.15))</f>
        <v>3374.0678400000002</v>
      </c>
      <c r="N36" s="55">
        <f>(((A36*B36)*2)*MATERIALES!$D$83)+(8*MATERIALES!$C$229)+(((A36*2)+(B36*4))*MATERIALES!$C$230)+(((A36*2)+(B36*4))*MATERIALES!$C$231)+((((A36*2)+(B36*4))/15)*MATERIALES!$C$232)+((((A36*2)+(B36*4))/15)*(MATERIALES!$C$233*0.15))</f>
        <v>3906.6580800000006</v>
      </c>
      <c r="O36" s="55">
        <f>(((A36*B36)*2)*MATERIALES!$D$83)+(12*MATERIALES!$C$229)+(((A36*2)+(B36*6))*MATERIALES!$C$230)+(((A36*2)+(B36*6))*MATERIALES!$C$231)+((((A36*2)+(B36*6))/15)*MATERIALES!$C$232)+((((A36*2)+(B36*6))/15)*(MATERIALES!$C$233*0.15))</f>
        <v>4439.2483199999997</v>
      </c>
      <c r="P36" s="55">
        <f>(A36*B36)*MATERIALES!$D$89</f>
        <v>2953.5000000000005</v>
      </c>
      <c r="Q36" s="139">
        <f>(A36*B36)*MATERIALES!$D$89</f>
        <v>2953.5000000000005</v>
      </c>
      <c r="R36" s="437">
        <f>(A36*B36)*MATERIALES!$D$89</f>
        <v>2953.5000000000005</v>
      </c>
      <c r="S36" s="132">
        <f t="shared" si="0"/>
        <v>5308.889008000001</v>
      </c>
      <c r="T36" s="129">
        <f t="shared" si="1"/>
        <v>6893.9378560000014</v>
      </c>
      <c r="U36" s="119">
        <f t="shared" si="2"/>
        <v>13662.583344000002</v>
      </c>
      <c r="V36" s="129">
        <f t="shared" si="3"/>
        <v>10308.024688000001</v>
      </c>
      <c r="W36" s="129">
        <f t="shared" si="4"/>
        <v>12562.254016000003</v>
      </c>
      <c r="X36" s="119">
        <f t="shared" si="5"/>
        <v>20792.079984000004</v>
      </c>
      <c r="Y36" s="129">
        <f t="shared" si="6"/>
        <v>7990.1390080000019</v>
      </c>
      <c r="Z36" s="131">
        <f t="shared" si="7"/>
        <v>9179.1878560000023</v>
      </c>
      <c r="AA36" s="438">
        <f t="shared" si="8"/>
        <v>16343.833344000002</v>
      </c>
      <c r="AD36" s="246" t="s">
        <v>562</v>
      </c>
      <c r="AE36" s="246">
        <f>$T$35</f>
        <v>6294.6084800000008</v>
      </c>
      <c r="AF36" s="247">
        <f>+$W$35</f>
        <v>11942.19728</v>
      </c>
      <c r="AG36" s="250">
        <f>+$Z$35</f>
        <v>8732.1084800000008</v>
      </c>
      <c r="AH36" s="250">
        <f>+'MODENA CLASICA CORREDIZA'!$M$41</f>
        <v>0</v>
      </c>
      <c r="AI36" s="252"/>
    </row>
    <row r="37" spans="1:37" ht="16.5" thickBot="1">
      <c r="A37" s="68">
        <v>1.5</v>
      </c>
      <c r="B37" s="69">
        <v>1.2</v>
      </c>
      <c r="C37" s="59">
        <f>((((A37*2)+(B37*2))*MATERIALES!$C$57)+(((A37*2)+(B37*2))*MATERIALES!$C$56)+((A37*2)+(B37*2)*MATERIALES!$C$73))*(MATERIALES!$F$2*MATERIALES!$J$15)</f>
        <v>0</v>
      </c>
      <c r="D37" s="59">
        <f>((((A37*2)+(B37*2))*MATERIALES!$C$57)+(((A37*2)+(B37*4))*MATERIALES!$C$56)+(((A37*2)+(B37*4))*MATERIALES!$C$73)+(B37*MATERIALES!$C$77))*(MATERIALES!$F$2*MATERIALES!$J$15)</f>
        <v>0</v>
      </c>
      <c r="E37" s="439">
        <f>((((A37*2)+(B37*2))*MATERIALES!$C$57)+(((A37*2)+(B37*6))*MATERIALES!$C$56)+(((A37*2)+(B37*6))*MATERIALES!$C$73)+(B37*MATERIALES!$C$77))*(MATERIALES!$F$2*MATERIALES!$J$15)</f>
        <v>0</v>
      </c>
      <c r="F37" s="59">
        <f>(8*MATERIALES!$C$189)+(1*MATERIALES!$C$194)+(2*MATERIALES!$C$206)+(((A37*2)+(B37*2))*MATERIALES!$C$209)+(4*MATERIALES!$C$148)+(((A37*5)*2)*MATERIALES!$C$147)+(((A37*2)+(B37*2))*MATERIALES!$C$210)+((((A37*2)+(B37*2))/0.1)*MATERIALES!$C$192)+(((A37*2)+(B37*2))*MATERIALES!$C$165)+(2*MATERIALES!$C$187)+(0.5*MATERIALES!$C$167)</f>
        <v>2758.8163200000004</v>
      </c>
      <c r="G37" s="59">
        <f>(12*MATERIALES!$C$189)+(1*MATERIALES!$C$194)+(4*MATERIALES!$C$206)+(((A37*2)+(B37*4))*MATERIALES!$C$209)+(4*MATERIALES!$C$148)+(((A37*5)*2)*MATERIALES!$C$147)+(((A37*2)+(B37*2))*MATERIALES!$C$210)+((((A37*2)+(B37*4))/0.1)*MATERIALES!$C$192)+(((A37*2)+(B37*4))*MATERIALES!$C$165)+(2*MATERIALES!$C$187)+(0.5*MATERIALES!$C$167)</f>
        <v>3687.1286399999999</v>
      </c>
      <c r="H37" s="59">
        <f>(16*MATERIALES!$C$189)+(1*MATERIALES!$C$194)+(4*MATERIALES!$C$206)+(2*MATERIALES!$C$208)+(((A37*2)+(B37*6))*MATERIALES!$C$208)+(4*MATERIALES!$C$148)+(((A37*5)*2)*MATERIALES!$C$147)+(((A37*2)+(B37*2))*MATERIALES!$C$209)+((((A37*2)+(B37*6))/0.1)*MATERIALES!$C$192)+(((A37*2)+(B37*6))*MATERIALES!$C$165)+(2*MATERIALES!$C$187)+(0.5*MATERIALES!$C$167)</f>
        <v>9470.4105600000003</v>
      </c>
      <c r="I37" s="75"/>
      <c r="J37" s="55">
        <f>(A37*B37)*MATERIALES!$D$82</f>
        <v>953.99999999999989</v>
      </c>
      <c r="K37" s="55">
        <f>(A37*B37)*MATERIALES!$D$82</f>
        <v>953.99999999999989</v>
      </c>
      <c r="L37" s="55">
        <f>(A37*B37)*MATERIALES!$D$82</f>
        <v>953.99999999999989</v>
      </c>
      <c r="M37" s="55">
        <f>(((A37*B37)*2)*MATERIALES!$D$83)+(4*MATERIALES!$C$229)+(((A37*2)+(B37*2))*MATERIALES!$C$230)+(((A37*2)+(B37*2))*MATERIALES!$C$231)+((((A37*2)+(B37*2))/15)*MATERIALES!$C$232)+((((A37*2)+(B37*2))/15)*(MATERIALES!$C$233*0.15))</f>
        <v>3615.4996799999999</v>
      </c>
      <c r="N37" s="55">
        <f>(((A37*B37)*2)*MATERIALES!$D$83)+(8*MATERIALES!$C$229)+(((A37*2)+(B37*4))*MATERIALES!$C$230)+(((A37*2)+(B37*4))*MATERIALES!$C$231)+((((A37*2)+(B37*4))/15)*MATERIALES!$C$232)+((((A37*2)+(B37*4))/15)*(MATERIALES!$C$233*0.15))</f>
        <v>4194.5217599999996</v>
      </c>
      <c r="O37" s="55">
        <f>(((A37*B37)*2)*MATERIALES!$D$83)+(12*MATERIALES!$C$229)+(((A37*2)+(B37*6))*MATERIALES!$C$230)+(((A37*2)+(B37*6))*MATERIALES!$C$231)+((((A37*2)+(B37*6))/15)*MATERIALES!$C$232)+((((A37*2)+(B37*6))/15)*(MATERIALES!$C$233*0.15))</f>
        <v>4773.5438400000003</v>
      </c>
      <c r="P37" s="55">
        <f>(A37*B37)*MATERIALES!$D$89</f>
        <v>3221.9999999999995</v>
      </c>
      <c r="Q37" s="139">
        <f>(A37*B37)*MATERIALES!$D$89</f>
        <v>3221.9999999999995</v>
      </c>
      <c r="R37" s="437">
        <f>(A37*B37)*MATERIALES!$D$89</f>
        <v>3221.9999999999995</v>
      </c>
      <c r="S37" s="132">
        <f t="shared" si="0"/>
        <v>5494.4612160000006</v>
      </c>
      <c r="T37" s="129">
        <f t="shared" si="1"/>
        <v>6701.2672320000001</v>
      </c>
      <c r="U37" s="119">
        <f t="shared" si="2"/>
        <v>14219.533728</v>
      </c>
      <c r="V37" s="129">
        <f t="shared" si="3"/>
        <v>10817.460576000001</v>
      </c>
      <c r="W37" s="129">
        <f t="shared" si="4"/>
        <v>13182.310751999999</v>
      </c>
      <c r="X37" s="119">
        <f t="shared" si="5"/>
        <v>21858.621407999999</v>
      </c>
      <c r="Y37" s="129">
        <f t="shared" si="6"/>
        <v>8419.4612159999997</v>
      </c>
      <c r="Z37" s="131">
        <f t="shared" si="7"/>
        <v>9626.2672319999983</v>
      </c>
      <c r="AA37" s="438">
        <f t="shared" si="8"/>
        <v>17144.533727999999</v>
      </c>
      <c r="AD37" s="351" t="s">
        <v>563</v>
      </c>
      <c r="AE37" s="246">
        <f>$T$36</f>
        <v>6893.9378560000014</v>
      </c>
      <c r="AF37" s="247">
        <f>+$W$36</f>
        <v>12562.254016000003</v>
      </c>
      <c r="AG37" s="250">
        <f>+$Z$36</f>
        <v>9179.1878560000023</v>
      </c>
      <c r="AH37" s="250">
        <f>+'MODENA CLASICA CORREDIZA'!$M$42</f>
        <v>0</v>
      </c>
      <c r="AI37" s="252"/>
    </row>
    <row r="38" spans="1:37" ht="16.5" thickBot="1">
      <c r="A38" s="68">
        <v>1.5</v>
      </c>
      <c r="B38" s="69">
        <v>1.5</v>
      </c>
      <c r="C38" s="59">
        <f>((((A38*2)+(B38*2))*MATERIALES!$C$57)+(((A38*2)+(B38*2))*MATERIALES!$C$56)+((A38*2)+(B38*2)*MATERIALES!$C$73))*(MATERIALES!$F$2*MATERIALES!$J$15)</f>
        <v>0</v>
      </c>
      <c r="D38" s="59">
        <f>((((A38*2)+(B38*2))*MATERIALES!$C$57)+(((A38*2)+(B38*4))*MATERIALES!$C$56)+(((A38*2)+(B38*4))*MATERIALES!$C$73)+(B38*MATERIALES!$C$77))*(MATERIALES!$F$2*MATERIALES!$J$15)</f>
        <v>0</v>
      </c>
      <c r="E38" s="439">
        <f>((((A38*2)+(B38*2))*MATERIALES!$C$57)+(((A38*2)+(B38*6))*MATERIALES!$C$56)+(((A38*2)+(B38*6))*MATERIALES!$C$73)+(B38*MATERIALES!$C$77))*(MATERIALES!$F$2*MATERIALES!$J$15)</f>
        <v>0</v>
      </c>
      <c r="F38" s="59">
        <f>(8*MATERIALES!$C$189)+(1*MATERIALES!$C$194)+(2*MATERIALES!$C$206)+(((A38*2)+(B38*2))*MATERIALES!$C$209)+(4*MATERIALES!$C$148)+(((A38*5)*2)*MATERIALES!$C$147)+(((A38*2)+(B38*2))*MATERIALES!$C$210)+((((A38*2)+(B38*2))/0.1)*MATERIALES!$C$192)+(((A38*2)+(B38*2))*MATERIALES!$C$165)+(2*MATERIALES!$C$187)+(0.5*MATERIALES!$C$167)</f>
        <v>2820.1368000000002</v>
      </c>
      <c r="G38" s="59">
        <f>(12*MATERIALES!$C$189)+(1*MATERIALES!$C$194)+(4*MATERIALES!$C$206)+(((A38*2)+(B38*4))*MATERIALES!$C$209)+(4*MATERIALES!$C$148)+(((A38*5)*2)*MATERIALES!$C$147)+(((A38*2)+(B38*2))*MATERIALES!$C$210)+((((A38*2)+(B38*4))/0.1)*MATERIALES!$C$192)+(((A38*2)+(B38*4))*MATERIALES!$C$165)+(2*MATERIALES!$C$187)+(0.5*MATERIALES!$C$167)</f>
        <v>3789.4272000000001</v>
      </c>
      <c r="H38" s="59">
        <f>(16*MATERIALES!$C$189)+(1*MATERIALES!$C$194)+(4*MATERIALES!$C$206)+(2*MATERIALES!$C$208)+(((A38*2)+(B38*6))*MATERIALES!$C$208)+(4*MATERIALES!$C$148)+(((A38*5)*2)*MATERIALES!$C$147)+(((A38*2)+(B38*2))*MATERIALES!$C$209)+((((A38*2)+(B38*6))/0.1)*MATERIALES!$C$192)+(((A38*2)+(B38*6))*MATERIALES!$C$165)+(2*MATERIALES!$C$187)+(0.5*MATERIALES!$C$167)</f>
        <v>10388.757599999999</v>
      </c>
      <c r="I38" s="75"/>
      <c r="J38" s="55">
        <f>(A38*B38)*MATERIALES!$D$82</f>
        <v>1192.5</v>
      </c>
      <c r="K38" s="55">
        <f>(A38*B38)*MATERIALES!$D$82</f>
        <v>1192.5</v>
      </c>
      <c r="L38" s="55">
        <f>(A38*B38)*MATERIALES!$D$82</f>
        <v>1192.5</v>
      </c>
      <c r="M38" s="55">
        <f>(((A38*B38)*2)*MATERIALES!$D$83)+(4*MATERIALES!$C$229)+(((A38*2)+(B38*2))*MATERIALES!$C$230)+(((A38*2)+(B38*2))*MATERIALES!$C$231)+((((A38*2)+(B38*2))/15)*MATERIALES!$C$232)+((((A38*2)+(B38*2))/15)*(MATERIALES!$C$233*0.15))</f>
        <v>4339.7952000000005</v>
      </c>
      <c r="N38" s="55">
        <f>(((A38*B38)*2)*MATERIALES!$D$83)+(8*MATERIALES!$C$229)+(((A38*2)+(B38*4))*MATERIALES!$C$230)+(((A38*2)+(B38*4))*MATERIALES!$C$231)+((((A38*2)+(B38*4))/15)*MATERIALES!$C$232)+((((A38*2)+(B38*4))/15)*(MATERIALES!$C$233*0.15))</f>
        <v>5058.1127999999999</v>
      </c>
      <c r="O38" s="55">
        <f>(((A38*B38)*2)*MATERIALES!$D$83)+(12*MATERIALES!$C$229)+(((A38*2)+(B38*6))*MATERIALES!$C$230)+(((A38*2)+(B38*6))*MATERIALES!$C$231)+((((A38*2)+(B38*6))/15)*MATERIALES!$C$232)+((((A38*2)+(B38*6))/15)*(MATERIALES!$C$233*0.15))</f>
        <v>5776.4303999999993</v>
      </c>
      <c r="P38" s="55">
        <f>(A38*B38)*MATERIALES!$D$89</f>
        <v>4027.5</v>
      </c>
      <c r="Q38" s="139">
        <f>(A38*B38)*MATERIALES!$D$89</f>
        <v>4027.5</v>
      </c>
      <c r="R38" s="437">
        <f>(A38*B38)*MATERIALES!$D$89</f>
        <v>4027.5</v>
      </c>
      <c r="S38" s="132">
        <f t="shared" si="0"/>
        <v>6051.1778400000003</v>
      </c>
      <c r="T38" s="129">
        <f t="shared" si="1"/>
        <v>7311.2553600000001</v>
      </c>
      <c r="U38" s="119">
        <f t="shared" si="2"/>
        <v>15890.38488</v>
      </c>
      <c r="V38" s="129">
        <f t="shared" si="3"/>
        <v>12345.768240000001</v>
      </c>
      <c r="W38" s="129">
        <f t="shared" si="4"/>
        <v>15042.480960000001</v>
      </c>
      <c r="X38" s="119">
        <f t="shared" si="5"/>
        <v>25058.24568</v>
      </c>
      <c r="Y38" s="129">
        <f t="shared" si="6"/>
        <v>9707.4278400000003</v>
      </c>
      <c r="Z38" s="131">
        <f t="shared" si="7"/>
        <v>10967.505359999999</v>
      </c>
      <c r="AA38" s="438">
        <f t="shared" si="8"/>
        <v>19546.634879999998</v>
      </c>
      <c r="AD38" s="246" t="s">
        <v>564</v>
      </c>
      <c r="AE38" s="246">
        <f>$T$37</f>
        <v>6701.2672320000001</v>
      </c>
      <c r="AF38" s="247">
        <f>+$W$37</f>
        <v>13182.310751999999</v>
      </c>
      <c r="AG38" s="250">
        <f>+$Z$37</f>
        <v>9626.2672319999983</v>
      </c>
      <c r="AH38" s="250">
        <f>+'MODENA CLASICA CORREDIZA'!$M$43</f>
        <v>0</v>
      </c>
      <c r="AI38" s="252"/>
    </row>
    <row r="39" spans="1:37" ht="16.5" thickBot="1">
      <c r="A39" s="68">
        <v>1.5</v>
      </c>
      <c r="B39" s="69">
        <v>1.8</v>
      </c>
      <c r="C39" s="59">
        <f>((((A39*2)+(B39*2))*MATERIALES!$C$57)+(((A39*2)+(B39*2))*MATERIALES!$C$56)+((A39*2)+(B39*2)*MATERIALES!$C$73))*(MATERIALES!$F$2*MATERIALES!$J$15)</f>
        <v>0</v>
      </c>
      <c r="D39" s="59">
        <f>((((A39*2)+(B39*2))*MATERIALES!$C$57)+(((A39*2)+(B39*4))*MATERIALES!$C$56)+(((A39*2)+(B39*4))*MATERIALES!$C$73)+(B39*MATERIALES!$C$77))*(MATERIALES!$F$2*MATERIALES!$J$15)</f>
        <v>0</v>
      </c>
      <c r="E39" s="439">
        <f>((((A39*2)+(B39*2))*MATERIALES!$C$57)+(((A39*2)+(B39*6))*MATERIALES!$C$56)+(((A39*2)+(B39*6))*MATERIALES!$C$73)+(B39*MATERIALES!$C$77))*(MATERIALES!$F$2*MATERIALES!$J$15)</f>
        <v>0</v>
      </c>
      <c r="F39" s="59">
        <f>(8*MATERIALES!$C$189)+(1*MATERIALES!$C$194)+(2*MATERIALES!$C$206)+(((A39*2)+(B39*2))*MATERIALES!$C$209)+(4*MATERIALES!$C$148)+(((A39*5)*2)*MATERIALES!$C$147)+(((A39*2)+(B39*2))*MATERIALES!$C$210)+((((A39*2)+(B39*2))/0.1)*MATERIALES!$C$192)+(((A39*2)+(B39*2))*MATERIALES!$C$165)+(2*MATERIALES!$C$187)+(0.5*MATERIALES!$C$167)</f>
        <v>2881.4572800000001</v>
      </c>
      <c r="G39" s="59">
        <f>(12*MATERIALES!$C$189)+(1*MATERIALES!$C$194)+(4*MATERIALES!$C$206)+(((A39*2)+(B39*4))*MATERIALES!$C$209)+(4*MATERIALES!$C$148)+(((A39*5)*2)*MATERIALES!$C$147)+(((A39*2)+(B39*2))*MATERIALES!$C$210)+((((A39*2)+(B39*4))/0.1)*MATERIALES!$C$192)+(((A39*2)+(B39*4))*MATERIALES!$C$165)+(2*MATERIALES!$C$187)+(0.5*MATERIALES!$C$167)</f>
        <v>3891.7257600000003</v>
      </c>
      <c r="H39" s="59">
        <f>(16*MATERIALES!$C$189)+(1*MATERIALES!$C$194)+(4*MATERIALES!$C$206)+(2*MATERIALES!$C$208)+(((A39*2)+(B39*6))*MATERIALES!$C$208)+(4*MATERIALES!$C$148)+(((A39*5)*2)*MATERIALES!$C$147)+(((A39*2)+(B39*2))*MATERIALES!$C$209)+((((A39*2)+(B39*6))/0.1)*MATERIALES!$C$192)+(((A39*2)+(B39*6))*MATERIALES!$C$165)+(2*MATERIALES!$C$187)+(0.5*MATERIALES!$C$167)</f>
        <v>11307.104640000001</v>
      </c>
      <c r="I39" s="75"/>
      <c r="J39" s="55">
        <f>(A39*B39)*MATERIALES!$D$82</f>
        <v>1431</v>
      </c>
      <c r="K39" s="55">
        <f>(A39*B39)*MATERIALES!$D$82</f>
        <v>1431</v>
      </c>
      <c r="L39" s="55">
        <f>(A39*B39)*MATERIALES!$D$82</f>
        <v>1431</v>
      </c>
      <c r="M39" s="55">
        <f>(((A39*B39)*2)*MATERIALES!$D$83)+(4*MATERIALES!$C$229)+(((A39*2)+(B39*2))*MATERIALES!$C$230)+(((A39*2)+(B39*2))*MATERIALES!$C$231)+((((A39*2)+(B39*2))/15)*MATERIALES!$C$232)+((((A39*2)+(B39*2))/15)*(MATERIALES!$C$233*0.15))</f>
        <v>5064.0907200000001</v>
      </c>
      <c r="N39" s="55">
        <f>(((A39*B39)*2)*MATERIALES!$D$83)+(8*MATERIALES!$C$229)+(((A39*2)+(B39*4))*MATERIALES!$C$230)+(((A39*2)+(B39*4))*MATERIALES!$C$231)+((((A39*2)+(B39*4))/15)*MATERIALES!$C$232)+((((A39*2)+(B39*4))/15)*(MATERIALES!$C$233*0.15))</f>
        <v>5921.703840000001</v>
      </c>
      <c r="O39" s="55">
        <f>(((A39*B39)*2)*MATERIALES!$D$83)+(12*MATERIALES!$C$229)+(((A39*2)+(B39*6))*MATERIALES!$C$230)+(((A39*2)+(B39*6))*MATERIALES!$C$231)+((((A39*2)+(B39*6))/15)*MATERIALES!$C$232)+((((A39*2)+(B39*6))/15)*(MATERIALES!$C$233*0.15))</f>
        <v>6779.316960000001</v>
      </c>
      <c r="P39" s="55">
        <f>(A39*B39)*MATERIALES!$D$89</f>
        <v>4833</v>
      </c>
      <c r="Q39" s="139">
        <f>(A39*B39)*MATERIALES!$D$89</f>
        <v>4833</v>
      </c>
      <c r="R39" s="437">
        <f>(A39*B39)*MATERIALES!$D$89</f>
        <v>4833</v>
      </c>
      <c r="S39" s="132">
        <f t="shared" si="0"/>
        <v>6607.8944640000009</v>
      </c>
      <c r="T39" s="129">
        <f t="shared" si="1"/>
        <v>7921.2434880000001</v>
      </c>
      <c r="U39" s="119">
        <f t="shared" si="2"/>
        <v>17561.236032000001</v>
      </c>
      <c r="V39" s="129">
        <f t="shared" si="3"/>
        <v>13874.075904000001</v>
      </c>
      <c r="W39" s="129">
        <f t="shared" si="4"/>
        <v>16902.651168000004</v>
      </c>
      <c r="X39" s="119">
        <f t="shared" si="5"/>
        <v>28257.869952000005</v>
      </c>
      <c r="Y39" s="129">
        <f t="shared" si="6"/>
        <v>10995.394464000001</v>
      </c>
      <c r="Z39" s="131">
        <f t="shared" si="7"/>
        <v>12308.743488</v>
      </c>
      <c r="AA39" s="438">
        <f t="shared" si="8"/>
        <v>21948.736032000001</v>
      </c>
      <c r="AD39" s="351" t="s">
        <v>565</v>
      </c>
      <c r="AE39" s="246">
        <f>$T$38</f>
        <v>7311.2553600000001</v>
      </c>
      <c r="AF39" s="247">
        <f>+$W$38</f>
        <v>15042.480960000001</v>
      </c>
      <c r="AG39" s="250">
        <f>+$Z$38</f>
        <v>10967.505359999999</v>
      </c>
      <c r="AH39" s="250">
        <f>+'MODENA CLASICA CORREDIZA'!$M$44</f>
        <v>0</v>
      </c>
      <c r="AI39" s="252"/>
      <c r="AK39" s="252"/>
    </row>
    <row r="40" spans="1:37" ht="16.5" thickBot="1">
      <c r="A40" s="68">
        <v>1.8</v>
      </c>
      <c r="B40" s="69">
        <v>0.8</v>
      </c>
      <c r="C40" s="59">
        <f>((((A40*2)+(B40*2))*MATERIALES!$C$57)+(((A40*2)+(B40*2))*MATERIALES!$C$56)+((A40*2)+(B40*2)*MATERIALES!$C$73))*(MATERIALES!$F$2*MATERIALES!$J$15)</f>
        <v>0</v>
      </c>
      <c r="D40" s="59">
        <f>((((A40*2)+(B40*2))*MATERIALES!$C$57)+(((A40*2)+(B40*4))*MATERIALES!$C$56)+(((A40*2)+(B40*4))*MATERIALES!$C$73)+(B40*MATERIALES!$C$77))*(MATERIALES!$F$2*MATERIALES!$J$15)</f>
        <v>0</v>
      </c>
      <c r="E40" s="439">
        <f>((((A40*2)+(B40*2))*MATERIALES!$C$57)+(((A40*2)+(B40*6))*MATERIALES!$C$56)+(((A40*2)+(B40*6))*MATERIALES!$C$73)+(B40*MATERIALES!$C$77))*(MATERIALES!$F$2*MATERIALES!$J$15)</f>
        <v>0</v>
      </c>
      <c r="F40" s="59">
        <f>(8*MATERIALES!$C$189)+(1*MATERIALES!$C$194)+(2*MATERIALES!$C$206)+(((A40*2)+(B40*2))*MATERIALES!$C$209)+(4*MATERIALES!$C$148)+(((A40*5)*2)*MATERIALES!$C$147)+(((A40*2)+(B40*2))*MATERIALES!$C$210)+((((A40*2)+(B40*2))/0.1)*MATERIALES!$C$192)+(((A40*2)+(B40*2))*MATERIALES!$C$165)+(2*MATERIALES!$C$187)+(0.5*MATERIALES!$C$167)</f>
        <v>2738.3761600000003</v>
      </c>
      <c r="G40" s="59">
        <f>(12*MATERIALES!$C$189)+(1*MATERIALES!$C$194)+(4*MATERIALES!$C$206)+(((A40*2)+(B40*4))*MATERIALES!$C$209)+(4*MATERIALES!$C$148)+(((A40*5)*2)*MATERIALES!$C$147)+(((A40*2)+(B40*2))*MATERIALES!$C$210)+((((A40*2)+(B40*4))/0.1)*MATERIALES!$C$192)+(((A40*2)+(B40*4))*MATERIALES!$C$165)+(2*MATERIALES!$C$187)+(0.5*MATERIALES!$C$167)</f>
        <v>3612.0510400000003</v>
      </c>
      <c r="H40" s="59">
        <f>(16*MATERIALES!$C$189)+(1*MATERIALES!$C$194)+(4*MATERIALES!$C$206)+(2*MATERIALES!$C$208)+(((A40*2)+(B40*6))*MATERIALES!$C$208)+(4*MATERIALES!$C$148)+(((A40*5)*2)*MATERIALES!$C$147)+(((A40*2)+(B40*2))*MATERIALES!$C$209)+((((A40*2)+(B40*6))/0.1)*MATERIALES!$C$192)+(((A40*2)+(B40*6))*MATERIALES!$C$165)+(2*MATERIALES!$C$187)+(0.5*MATERIALES!$C$167)</f>
        <v>8562.1099200000008</v>
      </c>
      <c r="I40" s="75"/>
      <c r="J40" s="55">
        <f>(A40*B40)*MATERIALES!$D$82</f>
        <v>763.2</v>
      </c>
      <c r="K40" s="55">
        <f>(A40*B40)*MATERIALES!$D$82</f>
        <v>763.2</v>
      </c>
      <c r="L40" s="55">
        <f>(A40*B40)*MATERIALES!$D$82</f>
        <v>763.2</v>
      </c>
      <c r="M40" s="55">
        <f>(((A40*B40)*2)*MATERIALES!$D$83)+(4*MATERIALES!$C$229)+(((A40*2)+(B40*2))*MATERIALES!$C$230)+(((A40*2)+(B40*2))*MATERIALES!$C$231)+((((A40*2)+(B40*2))/15)*MATERIALES!$C$232)+((((A40*2)+(B40*2))/15)*(MATERIALES!$C$233*0.15))</f>
        <v>3101.0678400000002</v>
      </c>
      <c r="N40" s="55">
        <f>(((A40*B40)*2)*MATERIALES!$D$83)+(8*MATERIALES!$C$229)+(((A40*2)+(B40*4))*MATERIALES!$C$230)+(((A40*2)+(B40*4))*MATERIALES!$C$231)+((((A40*2)+(B40*4))/15)*MATERIALES!$C$232)+((((A40*2)+(B40*4))/15)*(MATERIALES!$C$233*0.15))</f>
        <v>3494.3625600000005</v>
      </c>
      <c r="O40" s="55">
        <f>(((A40*B40)*2)*MATERIALES!$D$83)+(12*MATERIALES!$C$229)+(((A40*2)+(B40*6))*MATERIALES!$C$230)+(((A40*2)+(B40*6))*MATERIALES!$C$231)+((((A40*2)+(B40*6))/15)*MATERIALES!$C$232)+((((A40*2)+(B40*6))/15)*(MATERIALES!$C$233*0.15))</f>
        <v>3887.6572800000008</v>
      </c>
      <c r="P40" s="55">
        <f>(A40*B40)*MATERIALES!$D$89</f>
        <v>2577.6000000000004</v>
      </c>
      <c r="Q40" s="139">
        <f>(A40*B40)*MATERIALES!$D$89</f>
        <v>2577.6000000000004</v>
      </c>
      <c r="R40" s="437">
        <f>(A40*B40)*MATERIALES!$D$89</f>
        <v>2577.6000000000004</v>
      </c>
      <c r="S40" s="132">
        <f t="shared" si="0"/>
        <v>5086.2890080000006</v>
      </c>
      <c r="T40" s="129">
        <f t="shared" si="1"/>
        <v>6222.0663519999998</v>
      </c>
      <c r="U40" s="119">
        <f t="shared" si="2"/>
        <v>12657.142896000001</v>
      </c>
      <c r="V40" s="129">
        <f t="shared" si="3"/>
        <v>9762.0246880000013</v>
      </c>
      <c r="W40" s="129">
        <f t="shared" si="4"/>
        <v>11684.391472000001</v>
      </c>
      <c r="X40" s="119">
        <f t="shared" si="5"/>
        <v>18906.057456000002</v>
      </c>
      <c r="Y40" s="129">
        <f t="shared" si="6"/>
        <v>7426.2890080000016</v>
      </c>
      <c r="Z40" s="131">
        <f t="shared" si="7"/>
        <v>8562.0663520000016</v>
      </c>
      <c r="AA40" s="438">
        <f t="shared" si="8"/>
        <v>14997.142896000001</v>
      </c>
      <c r="AD40" s="246" t="s">
        <v>566</v>
      </c>
      <c r="AE40" s="246">
        <f>$T$39</f>
        <v>7921.2434880000001</v>
      </c>
      <c r="AF40" s="247">
        <f>+$W$39</f>
        <v>16902.651168000004</v>
      </c>
      <c r="AG40" s="250">
        <f>+$Z$39</f>
        <v>12308.743488</v>
      </c>
      <c r="AH40" s="250">
        <f>+'MODENA CLASICA CORREDIZA'!$M$45</f>
        <v>0</v>
      </c>
      <c r="AI40" s="252"/>
    </row>
    <row r="41" spans="1:37" ht="38.25" thickBot="1">
      <c r="A41" s="68">
        <v>1.8</v>
      </c>
      <c r="B41" s="69">
        <v>1</v>
      </c>
      <c r="C41" s="59">
        <f>((((A41*2)+(B41*2))*MATERIALES!$C$57)+(((A41*2)+(B41*2))*MATERIALES!$C$56)+((A41*2)+(B41*2)*MATERIALES!$C$73))*(MATERIALES!$F$2*MATERIALES!$J$15)</f>
        <v>0</v>
      </c>
      <c r="D41" s="59">
        <f>((((A41*2)+(B41*2))*MATERIALES!$C$57)+(((A41*2)+(B41*4))*MATERIALES!$C$56)+(((A41*2)+(B41*4))*MATERIALES!$C$73)+(B41*MATERIALES!$C$77))*(MATERIALES!$F$2*MATERIALES!$J$15)</f>
        <v>0</v>
      </c>
      <c r="E41" s="439">
        <f>((((A41*2)+(B41*2))*MATERIALES!$C$57)+(((A41*2)+(B41*6))*MATERIALES!$C$56)+(((A41*2)+(B41*6))*MATERIALES!$C$73)+(B41*MATERIALES!$C$77))*(MATERIALES!$F$2*MATERIALES!$J$15)</f>
        <v>0</v>
      </c>
      <c r="F41" s="59">
        <f>(8*MATERIALES!$C$189)+(1*MATERIALES!$C$194)+(2*MATERIALES!$C$206)+(((A41*2)+(B41*2))*MATERIALES!$C$209)+(4*MATERIALES!$C$148)+(((A41*5)*2)*MATERIALES!$C$147)+(((A41*2)+(B41*2))*MATERIALES!$C$210)+((((A41*2)+(B41*2))/0.1)*MATERIALES!$C$192)+(((A41*2)+(B41*2))*MATERIALES!$C$165)+(2*MATERIALES!$C$187)+(0.5*MATERIALES!$C$167)</f>
        <v>2779.2564800000005</v>
      </c>
      <c r="G41" s="59">
        <f>(12*MATERIALES!$C$189)+(1*MATERIALES!$C$194)+(4*MATERIALES!$C$206)+(((A41*2)+(B41*4))*MATERIALES!$C$209)+(4*MATERIALES!$C$148)+(((A41*5)*2)*MATERIALES!$C$147)+(((A41*2)+(B41*2))*MATERIALES!$C$210)+((((A41*2)+(B41*4))/0.1)*MATERIALES!$C$192)+(((A41*2)+(B41*4))*MATERIALES!$C$165)+(2*MATERIALES!$C$187)+(0.5*MATERIALES!$C$167)</f>
        <v>3680.2500800000003</v>
      </c>
      <c r="H41" s="59">
        <f>(16*MATERIALES!$C$189)+(1*MATERIALES!$C$194)+(4*MATERIALES!$C$206)+(2*MATERIALES!$C$208)+(((A41*2)+(B41*6))*MATERIALES!$C$208)+(4*MATERIALES!$C$148)+(((A41*5)*2)*MATERIALES!$C$147)+(((A41*2)+(B41*2))*MATERIALES!$C$209)+((((A41*2)+(B41*6))/0.1)*MATERIALES!$C$192)+(((A41*2)+(B41*6))*MATERIALES!$C$165)+(2*MATERIALES!$C$187)+(0.5*MATERIALES!$C$167)</f>
        <v>9174.3412800000024</v>
      </c>
      <c r="I41" s="75"/>
      <c r="J41" s="55">
        <f>(A41*B41)*MATERIALES!$D$82</f>
        <v>954</v>
      </c>
      <c r="K41" s="55">
        <f>(A41*B41)*MATERIALES!$D$82</f>
        <v>954</v>
      </c>
      <c r="L41" s="55">
        <f>(A41*B41)*MATERIALES!$D$82</f>
        <v>954</v>
      </c>
      <c r="M41" s="55">
        <f>(((A41*B41)*2)*MATERIALES!$D$83)+(4*MATERIALES!$C$229)+(((A41*2)+(B41*2))*MATERIALES!$C$230)+(((A41*2)+(B41*2))*MATERIALES!$C$231)+((((A41*2)+(B41*2))/15)*MATERIALES!$C$232)+((((A41*2)+(B41*2))/15)*(MATERIALES!$C$233*0.15))</f>
        <v>3661.9315200000001</v>
      </c>
      <c r="N41" s="55">
        <f>(((A41*B41)*2)*MATERIALES!$D$83)+(8*MATERIALES!$C$229)+(((A41*2)+(B41*4))*MATERIALES!$C$230)+(((A41*2)+(B41*4))*MATERIALES!$C$231)+((((A41*2)+(B41*4))/15)*MATERIALES!$C$232)+((((A41*2)+(B41*4))/15)*(MATERIALES!$C$233*0.15))</f>
        <v>4148.0899200000003</v>
      </c>
      <c r="O41" s="55">
        <f>(((A41*B41)*2)*MATERIALES!$D$83)+(12*MATERIALES!$C$229)+(((A41*2)+(B41*6))*MATERIALES!$C$230)+(((A41*2)+(B41*6))*MATERIALES!$C$231)+((((A41*2)+(B41*6))/15)*MATERIALES!$C$232)+((((A41*2)+(B41*6))/15)*(MATERIALES!$C$233*0.15))</f>
        <v>4634.2483199999997</v>
      </c>
      <c r="P41" s="55">
        <f>(A41*B41)*MATERIALES!$D$89</f>
        <v>3222</v>
      </c>
      <c r="Q41" s="139">
        <f>(A41*B41)*MATERIALES!$D$89</f>
        <v>3222</v>
      </c>
      <c r="R41" s="437">
        <f>(A41*B41)*MATERIALES!$D$89</f>
        <v>3222</v>
      </c>
      <c r="S41" s="132">
        <f t="shared" si="0"/>
        <v>5521.0334240000011</v>
      </c>
      <c r="T41" s="129">
        <f t="shared" si="1"/>
        <v>6692.3251040000005</v>
      </c>
      <c r="U41" s="119">
        <f t="shared" si="2"/>
        <v>13834.643664000003</v>
      </c>
      <c r="V41" s="129">
        <f t="shared" si="3"/>
        <v>10936.896464000001</v>
      </c>
      <c r="W41" s="129">
        <f t="shared" si="4"/>
        <v>13080.504944</v>
      </c>
      <c r="X41" s="119">
        <f t="shared" si="5"/>
        <v>21195.140304</v>
      </c>
      <c r="Y41" s="129">
        <f t="shared" si="6"/>
        <v>8446.0334240000011</v>
      </c>
      <c r="Z41" s="131">
        <f t="shared" si="7"/>
        <v>9617.3251039999996</v>
      </c>
      <c r="AA41" s="438">
        <f t="shared" si="8"/>
        <v>16759.643664000003</v>
      </c>
      <c r="AD41" s="239" t="s">
        <v>534</v>
      </c>
      <c r="AE41" s="240" t="s">
        <v>697</v>
      </c>
      <c r="AF41" s="241" t="s">
        <v>698</v>
      </c>
      <c r="AG41" s="240" t="s">
        <v>699</v>
      </c>
      <c r="AH41" s="240" t="s">
        <v>645</v>
      </c>
      <c r="AI41" s="242"/>
    </row>
    <row r="42" spans="1:37" ht="16.5" thickBot="1">
      <c r="A42" s="68">
        <v>1.8</v>
      </c>
      <c r="B42" s="69">
        <v>1.1000000000000001</v>
      </c>
      <c r="C42" s="59">
        <f>((((A42*2)+(B42*2))*MATERIALES!$C$57)+(((A42*2)+(B42*2))*MATERIALES!$C$56)+((A42*2)+(B42*2)*MATERIALES!$C$73))*(MATERIALES!$F$2*MATERIALES!$J$15)</f>
        <v>0</v>
      </c>
      <c r="D42" s="59">
        <f>((((A42*2)+(B42*2))*MATERIALES!$C$57)+(((A42*2)+(B42*4))*MATERIALES!$C$56)+(((A42*2)+(B42*4))*MATERIALES!$C$73)+(B42*MATERIALES!$C$77))*(MATERIALES!$F$2*MATERIALES!$J$15)</f>
        <v>0</v>
      </c>
      <c r="E42" s="439">
        <f>((((A42*2)+(B42*2))*MATERIALES!$C$57)+(((A42*2)+(B42*6))*MATERIALES!$C$56)+(((A42*2)+(B42*6))*MATERIALES!$C$73)+(B42*MATERIALES!$C$77))*(MATERIALES!$F$2*MATERIALES!$J$15)</f>
        <v>0</v>
      </c>
      <c r="F42" s="59">
        <f>(8*MATERIALES!$C$189)+(1*MATERIALES!$C$194)+(2*MATERIALES!$C$206)+(((A42*2)+(B42*2))*MATERIALES!$C$209)+(4*MATERIALES!$C$148)+(((A42*5)*2)*MATERIALES!$C$147)+(((A42*2)+(B42*2))*MATERIALES!$C$210)+((((A42*2)+(B42*2))/0.1)*MATERIALES!$C$192)+(((A42*2)+(B42*2))*MATERIALES!$C$165)+(2*MATERIALES!$C$187)+(0.5*MATERIALES!$C$167)</f>
        <v>2799.6966400000001</v>
      </c>
      <c r="G42" s="59">
        <f>(12*MATERIALES!$C$189)+(1*MATERIALES!$C$194)+(4*MATERIALES!$C$206)+(((A42*2)+(B42*4))*MATERIALES!$C$209)+(4*MATERIALES!$C$148)+(((A42*5)*2)*MATERIALES!$C$147)+(((A42*2)+(B42*2))*MATERIALES!$C$210)+((((A42*2)+(B42*4))/0.1)*MATERIALES!$C$192)+(((A42*2)+(B42*4))*MATERIALES!$C$165)+(2*MATERIALES!$C$187)+(0.5*MATERIALES!$C$167)</f>
        <v>3714.3496000000005</v>
      </c>
      <c r="H42" s="59">
        <f>(16*MATERIALES!$C$189)+(1*MATERIALES!$C$194)+(4*MATERIALES!$C$206)+(2*MATERIALES!$C$208)+(((A42*2)+(B42*6))*MATERIALES!$C$208)+(4*MATERIALES!$C$148)+(((A42*5)*2)*MATERIALES!$C$147)+(((A42*2)+(B42*2))*MATERIALES!$C$209)+((((A42*2)+(B42*6))/0.1)*MATERIALES!$C$192)+(((A42*2)+(B42*6))*MATERIALES!$C$165)+(2*MATERIALES!$C$187)+(0.5*MATERIALES!$C$167)</f>
        <v>9480.4569600000013</v>
      </c>
      <c r="I42" s="75"/>
      <c r="J42" s="55">
        <f>(A42*B42)*MATERIALES!$D$82</f>
        <v>1049.4000000000001</v>
      </c>
      <c r="K42" s="55">
        <f>(A42*B42)*MATERIALES!$D$82</f>
        <v>1049.4000000000001</v>
      </c>
      <c r="L42" s="55">
        <f>(A42*B42)*MATERIALES!$D$82</f>
        <v>1049.4000000000001</v>
      </c>
      <c r="M42" s="55">
        <f>(((A42*B42)*2)*MATERIALES!$D$83)+(4*MATERIALES!$C$229)+(((A42*2)+(B42*2))*MATERIALES!$C$230)+(((A42*2)+(B42*2))*MATERIALES!$C$231)+((((A42*2)+(B42*2))/15)*MATERIALES!$C$232)+((((A42*2)+(B42*2))/15)*(MATERIALES!$C$233*0.15))</f>
        <v>3942.3633600000007</v>
      </c>
      <c r="N42" s="55">
        <f>(((A42*B42)*2)*MATERIALES!$D$83)+(8*MATERIALES!$C$229)+(((A42*2)+(B42*4))*MATERIALES!$C$230)+(((A42*2)+(B42*4))*MATERIALES!$C$231)+((((A42*2)+(B42*4))/15)*MATERIALES!$C$232)+((((A42*2)+(B42*4))/15)*(MATERIALES!$C$233*0.15))</f>
        <v>4474.9536000000007</v>
      </c>
      <c r="O42" s="55">
        <f>(((A42*B42)*2)*MATERIALES!$D$83)+(12*MATERIALES!$C$229)+(((A42*2)+(B42*6))*MATERIALES!$C$230)+(((A42*2)+(B42*6))*MATERIALES!$C$231)+((((A42*2)+(B42*6))/15)*MATERIALES!$C$232)+((((A42*2)+(B42*6))/15)*(MATERIALES!$C$233*0.15))</f>
        <v>5007.5438400000012</v>
      </c>
      <c r="P42" s="55">
        <f>(A42*B42)*MATERIALES!$D$89</f>
        <v>3544.2000000000003</v>
      </c>
      <c r="Q42" s="139">
        <f>(A42*B42)*MATERIALES!$D$89</f>
        <v>3544.2000000000003</v>
      </c>
      <c r="R42" s="437">
        <f>(A42*B42)*MATERIALES!$D$89</f>
        <v>3544.2000000000003</v>
      </c>
      <c r="S42" s="132">
        <f t="shared" si="0"/>
        <v>5738.405632</v>
      </c>
      <c r="T42" s="129">
        <f t="shared" si="1"/>
        <v>6927.4544800000012</v>
      </c>
      <c r="U42" s="119">
        <f t="shared" si="2"/>
        <v>14423.394048000002</v>
      </c>
      <c r="V42" s="129">
        <f t="shared" si="3"/>
        <v>11524.332352000001</v>
      </c>
      <c r="W42" s="129">
        <f t="shared" si="4"/>
        <v>13778.561680000003</v>
      </c>
      <c r="X42" s="119">
        <f t="shared" si="5"/>
        <v>22339.681728000003</v>
      </c>
      <c r="Y42" s="129">
        <f t="shared" si="6"/>
        <v>8955.905632</v>
      </c>
      <c r="Z42" s="131">
        <f t="shared" si="7"/>
        <v>10144.95448</v>
      </c>
      <c r="AA42" s="438">
        <f t="shared" si="8"/>
        <v>17640.894048000002</v>
      </c>
      <c r="AD42" s="350" t="s">
        <v>561</v>
      </c>
      <c r="AE42" s="246">
        <f>+$U$34</f>
        <v>11991.732192000001</v>
      </c>
      <c r="AF42" s="247">
        <f>+X34</f>
        <v>17592.455712000003</v>
      </c>
      <c r="AG42" s="250">
        <f>AA34</f>
        <v>13941.732192000003</v>
      </c>
      <c r="AH42" s="250">
        <f>+'MODENA CLASICA CORREDIZA'!$M$13</f>
        <v>0</v>
      </c>
      <c r="AI42" s="252"/>
    </row>
    <row r="43" spans="1:37" ht="16.5" thickBot="1">
      <c r="A43" s="68">
        <v>1.8</v>
      </c>
      <c r="B43" s="69">
        <v>1.2</v>
      </c>
      <c r="C43" s="59">
        <f>((((A43*2)+(B43*2))*MATERIALES!$C$57)+(((A43*2)+(B43*2))*MATERIALES!$C$56)+((A43*2)+(B43*2)*MATERIALES!$C$73))*(MATERIALES!$F$2*MATERIALES!$J$15)</f>
        <v>0</v>
      </c>
      <c r="D43" s="59">
        <f>((((A43*2)+(B43*2))*MATERIALES!$C$57)+(((A43*2)+(B43*4))*MATERIALES!$C$56)+(((A43*2)+(B43*4))*MATERIALES!$C$73)+(B43*MATERIALES!$C$77))*(MATERIALES!$F$2*MATERIALES!$J$15)</f>
        <v>0</v>
      </c>
      <c r="E43" s="439">
        <f>((((A43*2)+(B43*2))*MATERIALES!$C$57)+(((A43*2)+(B43*6))*MATERIALES!$C$56)+(((A43*2)+(B43*6))*MATERIALES!$C$73)+(B43*MATERIALES!$C$77))*(MATERIALES!$F$2*MATERIALES!$J$15)</f>
        <v>0</v>
      </c>
      <c r="F43" s="59">
        <f>(8*MATERIALES!$C$189)+(1*MATERIALES!$C$194)+(2*MATERIALES!$C$206)+(((A43*2)+(B43*2))*MATERIALES!$C$209)+(4*MATERIALES!$C$148)+(((A43*5)*2)*MATERIALES!$C$147)+(((A43*2)+(B43*2))*MATERIALES!$C$210)+((((A43*2)+(B43*2))/0.1)*MATERIALES!$C$192)+(((A43*2)+(B43*2))*MATERIALES!$C$165)+(2*MATERIALES!$C$187)+(0.5*MATERIALES!$C$167)</f>
        <v>2820.1368000000002</v>
      </c>
      <c r="G43" s="59">
        <f>(12*MATERIALES!$C$189)+(1*MATERIALES!$C$194)+(4*MATERIALES!$C$206)+(((A43*2)+(B43*4))*MATERIALES!$C$209)+(4*MATERIALES!$C$148)+(((A43*5)*2)*MATERIALES!$C$147)+(((A43*2)+(B43*2))*MATERIALES!$C$210)+((((A43*2)+(B43*4))/0.1)*MATERIALES!$C$192)+(((A43*2)+(B43*4))*MATERIALES!$C$165)+(2*MATERIALES!$C$187)+(0.5*MATERIALES!$C$167)</f>
        <v>3748.4491200000007</v>
      </c>
      <c r="H43" s="59">
        <f>(16*MATERIALES!$C$189)+(1*MATERIALES!$C$194)+(4*MATERIALES!$C$206)+(2*MATERIALES!$C$208)+(((A43*2)+(B43*6))*MATERIALES!$C$208)+(4*MATERIALES!$C$148)+(((A43*5)*2)*MATERIALES!$C$147)+(((A43*2)+(B43*2))*MATERIALES!$C$209)+((((A43*2)+(B43*6))/0.1)*MATERIALES!$C$192)+(((A43*2)+(B43*6))*MATERIALES!$C$165)+(2*MATERIALES!$C$187)+(0.5*MATERIALES!$C$167)</f>
        <v>9786.5726399999985</v>
      </c>
      <c r="I43" s="75"/>
      <c r="J43" s="55">
        <f>(A43*B43)*MATERIALES!$D$82</f>
        <v>1144.8000000000002</v>
      </c>
      <c r="K43" s="55">
        <f>(A43*B43)*MATERIALES!$D$82</f>
        <v>1144.8000000000002</v>
      </c>
      <c r="L43" s="55">
        <f>(A43*B43)*MATERIALES!$D$82</f>
        <v>1144.8000000000002</v>
      </c>
      <c r="M43" s="55">
        <f>(((A43*B43)*2)*MATERIALES!$D$83)+(4*MATERIALES!$C$229)+(((A43*2)+(B43*2))*MATERIALES!$C$230)+(((A43*2)+(B43*2))*MATERIALES!$C$231)+((((A43*2)+(B43*2))/15)*MATERIALES!$C$232)+((((A43*2)+(B43*2))/15)*(MATERIALES!$C$233*0.15))</f>
        <v>4222.7952000000005</v>
      </c>
      <c r="N43" s="55">
        <f>(((A43*B43)*2)*MATERIALES!$D$83)+(8*MATERIALES!$C$229)+(((A43*2)+(B43*4))*MATERIALES!$C$230)+(((A43*2)+(B43*4))*MATERIALES!$C$231)+((((A43*2)+(B43*4))/15)*MATERIALES!$C$232)+((((A43*2)+(B43*4))/15)*(MATERIALES!$C$233*0.15))</f>
        <v>4801.8172800000002</v>
      </c>
      <c r="O43" s="55">
        <f>(((A43*B43)*2)*MATERIALES!$D$83)+(12*MATERIALES!$C$229)+(((A43*2)+(B43*6))*MATERIALES!$C$230)+(((A43*2)+(B43*6))*MATERIALES!$C$231)+((((A43*2)+(B43*6))/15)*MATERIALES!$C$232)+((((A43*2)+(B43*6))/15)*(MATERIALES!$C$233*0.15))</f>
        <v>5380.8393599999999</v>
      </c>
      <c r="P43" s="55">
        <f>(A43*B43)*MATERIALES!$D$89</f>
        <v>3866.4</v>
      </c>
      <c r="Q43" s="139">
        <f>(A43*B43)*MATERIALES!$D$89</f>
        <v>3866.4</v>
      </c>
      <c r="R43" s="437">
        <f>(A43*B43)*MATERIALES!$D$89</f>
        <v>3866.4</v>
      </c>
      <c r="S43" s="132">
        <f t="shared" si="0"/>
        <v>5955.7778400000007</v>
      </c>
      <c r="T43" s="129">
        <f t="shared" si="1"/>
        <v>7162.5838560000011</v>
      </c>
      <c r="U43" s="119">
        <f t="shared" si="2"/>
        <v>15012.144431999999</v>
      </c>
      <c r="V43" s="129">
        <f t="shared" si="3"/>
        <v>12111.768240000001</v>
      </c>
      <c r="W43" s="129">
        <f t="shared" si="4"/>
        <v>14476.618416000001</v>
      </c>
      <c r="X43" s="119">
        <f t="shared" si="5"/>
        <v>23484.223151999999</v>
      </c>
      <c r="Y43" s="129">
        <f t="shared" si="6"/>
        <v>9465.7778400000007</v>
      </c>
      <c r="Z43" s="131">
        <f t="shared" si="7"/>
        <v>10672.583856000001</v>
      </c>
      <c r="AA43" s="438">
        <f t="shared" si="8"/>
        <v>18522.144432000001</v>
      </c>
      <c r="AD43" s="351" t="s">
        <v>562</v>
      </c>
      <c r="AE43" s="246">
        <f>+$U$35</f>
        <v>13105.632959999999</v>
      </c>
      <c r="AF43" s="247">
        <f t="shared" ref="AF43:AF59" si="9">+X35</f>
        <v>19725.538560000001</v>
      </c>
      <c r="AG43" s="250">
        <f t="shared" ref="AG43:AG59" si="10">AA35</f>
        <v>15543.132959999999</v>
      </c>
      <c r="AH43" s="250">
        <f>+'MODENA CLASICA CORREDIZA'!$M$14</f>
        <v>0</v>
      </c>
      <c r="AI43" s="252"/>
    </row>
    <row r="44" spans="1:37" ht="16.5" thickBot="1">
      <c r="A44" s="68">
        <v>1.8</v>
      </c>
      <c r="B44" s="69">
        <v>1.5</v>
      </c>
      <c r="C44" s="59">
        <f>((((A44*2)+(B44*2))*MATERIALES!$C$57)+(((A44*2)+(B44*2))*MATERIALES!$C$56)+((A44*2)+(B44*2)*MATERIALES!$C$73))*(MATERIALES!$F$2*MATERIALES!$J$15)</f>
        <v>0</v>
      </c>
      <c r="D44" s="59">
        <f>((((A44*2)+(B44*2))*MATERIALES!$C$57)+(((A44*2)+(B44*4))*MATERIALES!$C$56)+(((A44*2)+(B44*4))*MATERIALES!$C$73)+(B44*MATERIALES!$C$77))*(MATERIALES!$F$2*MATERIALES!$J$15)</f>
        <v>0</v>
      </c>
      <c r="E44" s="439">
        <f>((((A44*2)+(B44*2))*MATERIALES!$C$57)+(((A44*2)+(B44*6))*MATERIALES!$C$56)+(((A44*2)+(B44*6))*MATERIALES!$C$73)+(B44*MATERIALES!$C$77))*(MATERIALES!$F$2*MATERIALES!$J$15)</f>
        <v>0</v>
      </c>
      <c r="F44" s="59">
        <f>(8*MATERIALES!$C$189)+(1*MATERIALES!$C$194)+(2*MATERIALES!$C$206)+(((A44*2)+(B44*2))*MATERIALES!$C$209)+(4*MATERIALES!$C$148)+(((A44*5)*2)*MATERIALES!$C$147)+(((A44*2)+(B44*2))*MATERIALES!$C$210)+((((A44*2)+(B44*2))/0.1)*MATERIALES!$C$192)+(((A44*2)+(B44*2))*MATERIALES!$C$165)+(2*MATERIALES!$C$187)+(0.5*MATERIALES!$C$167)</f>
        <v>2881.4572800000001</v>
      </c>
      <c r="G44" s="59">
        <f>(12*MATERIALES!$C$189)+(1*MATERIALES!$C$194)+(4*MATERIALES!$C$206)+(((A44*2)+(B44*4))*MATERIALES!$C$209)+(4*MATERIALES!$C$148)+(((A44*5)*2)*MATERIALES!$C$147)+(((A44*2)+(B44*2))*MATERIALES!$C$210)+((((A44*2)+(B44*4))/0.1)*MATERIALES!$C$192)+(((A44*2)+(B44*4))*MATERIALES!$C$165)+(2*MATERIALES!$C$187)+(0.5*MATERIALES!$C$167)</f>
        <v>3850.7476800000009</v>
      </c>
      <c r="H44" s="59">
        <f>(16*MATERIALES!$C$189)+(1*MATERIALES!$C$194)+(4*MATERIALES!$C$206)+(2*MATERIALES!$C$208)+(((A44*2)+(B44*6))*MATERIALES!$C$208)+(4*MATERIALES!$C$148)+(((A44*5)*2)*MATERIALES!$C$147)+(((A44*2)+(B44*2))*MATERIALES!$C$209)+((((A44*2)+(B44*6))/0.1)*MATERIALES!$C$192)+(((A44*2)+(B44*6))*MATERIALES!$C$165)+(2*MATERIALES!$C$187)+(0.5*MATERIALES!$C$167)</f>
        <v>10704.919680000001</v>
      </c>
      <c r="I44" s="75"/>
      <c r="J44" s="55">
        <f>(A44*B44)*MATERIALES!$D$82</f>
        <v>1431</v>
      </c>
      <c r="K44" s="55">
        <f>(A44*B44)*MATERIALES!$D$82</f>
        <v>1431</v>
      </c>
      <c r="L44" s="55">
        <f>(A44*B44)*MATERIALES!$D$82</f>
        <v>1431</v>
      </c>
      <c r="M44" s="55">
        <f>(((A44*B44)*2)*MATERIALES!$D$83)+(4*MATERIALES!$C$229)+(((A44*2)+(B44*2))*MATERIALES!$C$230)+(((A44*2)+(B44*2))*MATERIALES!$C$231)+((((A44*2)+(B44*2))/15)*MATERIALES!$C$232)+((((A44*2)+(B44*2))/15)*(MATERIALES!$C$233*0.15))</f>
        <v>5064.0907200000001</v>
      </c>
      <c r="N44" s="55">
        <f>(((A44*B44)*2)*MATERIALES!$D$83)+(8*MATERIALES!$C$229)+(((A44*2)+(B44*4))*MATERIALES!$C$230)+(((A44*2)+(B44*4))*MATERIALES!$C$231)+((((A44*2)+(B44*4))/15)*MATERIALES!$C$232)+((((A44*2)+(B44*4))/15)*(MATERIALES!$C$233*0.15))</f>
        <v>5782.4083200000005</v>
      </c>
      <c r="O44" s="55">
        <f>(((A44*B44)*2)*MATERIALES!$D$83)+(12*MATERIALES!$C$229)+(((A44*2)+(B44*6))*MATERIALES!$C$230)+(((A44*2)+(B44*6))*MATERIALES!$C$231)+((((A44*2)+(B44*6))/15)*MATERIALES!$C$232)+((((A44*2)+(B44*6))/15)*(MATERIALES!$C$233*0.15))</f>
        <v>6500.7259199999999</v>
      </c>
      <c r="P44" s="55">
        <f>(A44*B44)*MATERIALES!$D$89</f>
        <v>4833</v>
      </c>
      <c r="Q44" s="139">
        <f>(A44*B44)*MATERIALES!$D$89</f>
        <v>4833</v>
      </c>
      <c r="R44" s="437">
        <f>(A44*B44)*MATERIALES!$D$89</f>
        <v>4833</v>
      </c>
      <c r="S44" s="132">
        <f t="shared" si="0"/>
        <v>6607.8944640000009</v>
      </c>
      <c r="T44" s="129">
        <f t="shared" si="1"/>
        <v>7867.9719840000016</v>
      </c>
      <c r="U44" s="119">
        <f t="shared" si="2"/>
        <v>16778.395584000002</v>
      </c>
      <c r="V44" s="129">
        <f t="shared" si="3"/>
        <v>13874.075904000001</v>
      </c>
      <c r="W44" s="129">
        <f t="shared" si="4"/>
        <v>16570.788624000001</v>
      </c>
      <c r="X44" s="119">
        <f t="shared" si="5"/>
        <v>26917.847424</v>
      </c>
      <c r="Y44" s="129">
        <f t="shared" si="6"/>
        <v>10995.394464000001</v>
      </c>
      <c r="Z44" s="131">
        <f t="shared" si="7"/>
        <v>12255.471984000002</v>
      </c>
      <c r="AA44" s="438">
        <f t="shared" si="8"/>
        <v>21165.895584000002</v>
      </c>
      <c r="AD44" s="350" t="s">
        <v>563</v>
      </c>
      <c r="AE44" s="246">
        <f>+U36</f>
        <v>13662.583344000002</v>
      </c>
      <c r="AF44" s="247">
        <f t="shared" si="9"/>
        <v>20792.079984000004</v>
      </c>
      <c r="AG44" s="250">
        <f t="shared" si="10"/>
        <v>16343.833344000002</v>
      </c>
      <c r="AH44" s="250">
        <f>+'MODENA CLASICA CORREDIZA'!$M$15</f>
        <v>0</v>
      </c>
      <c r="AI44" s="252"/>
    </row>
    <row r="45" spans="1:37" ht="16.5" thickBot="1">
      <c r="A45" s="68">
        <v>1.8</v>
      </c>
      <c r="B45" s="69">
        <v>1.8</v>
      </c>
      <c r="C45" s="59">
        <f>((((A45*2)+(B45*2))*MATERIALES!$C$57)+(((A45*2)+(B45*2))*MATERIALES!$C$56)+((A45*2)+(B45*2)*MATERIALES!$C$73))*(MATERIALES!$F$2*MATERIALES!$J$15)</f>
        <v>0</v>
      </c>
      <c r="D45" s="59">
        <f>((((A45*2)+(B45*2))*MATERIALES!$C$57)+(((A45*2)+(B45*4))*MATERIALES!$C$56)+(((A45*2)+(B45*4))*MATERIALES!$C$73)+(B45*MATERIALES!$C$77))*(MATERIALES!$F$2*MATERIALES!$J$15)</f>
        <v>0</v>
      </c>
      <c r="E45" s="439">
        <f>((((A45*2)+(B45*2))*MATERIALES!$C$57)+(((A45*2)+(B45*6))*MATERIALES!$C$56)+(((A45*2)+(B45*6))*MATERIALES!$C$73)+(B45*MATERIALES!$C$77))*(MATERIALES!$F$2*MATERIALES!$J$15)</f>
        <v>0</v>
      </c>
      <c r="F45" s="59">
        <f>(8*MATERIALES!$C$189)+(1*MATERIALES!$C$194)+(2*MATERIALES!$C$206)+(((A45*2)+(B45*2))*MATERIALES!$C$209)+(4*MATERIALES!$C$148)+(((A45*5)*2)*MATERIALES!$C$147)+(((A45*2)+(B45*2))*MATERIALES!$C$210)+((((A45*2)+(B45*2))/0.1)*MATERIALES!$C$192)+(((A45*2)+(B45*2))*MATERIALES!$C$165)+(2*MATERIALES!$C$187)+(0.5*MATERIALES!$C$167)</f>
        <v>2942.7777600000004</v>
      </c>
      <c r="G45" s="59">
        <f>(12*MATERIALES!$C$189)+(1*MATERIALES!$C$194)+(4*MATERIALES!$C$206)+(((A45*2)+(B45*4))*MATERIALES!$C$209)+(4*MATERIALES!$C$148)+(((A45*5)*2)*MATERIALES!$C$147)+(((A45*2)+(B45*2))*MATERIALES!$C$210)+((((A45*2)+(B45*4))/0.1)*MATERIALES!$C$192)+(((A45*2)+(B45*4))*MATERIALES!$C$165)+(2*MATERIALES!$C$187)+(0.5*MATERIALES!$C$167)</f>
        <v>3953.0462400000006</v>
      </c>
      <c r="H45" s="59">
        <f>(16*MATERIALES!$C$189)+(1*MATERIALES!$C$194)+(4*MATERIALES!$C$206)+(2*MATERIALES!$C$208)+(((A45*2)+(B45*6))*MATERIALES!$C$208)+(4*MATERIALES!$C$148)+(((A45*5)*2)*MATERIALES!$C$147)+(((A45*2)+(B45*2))*MATERIALES!$C$209)+((((A45*2)+(B45*6))/0.1)*MATERIALES!$C$192)+(((A45*2)+(B45*6))*MATERIALES!$C$165)+(2*MATERIALES!$C$187)+(0.5*MATERIALES!$C$167)</f>
        <v>11623.26672</v>
      </c>
      <c r="I45" s="75"/>
      <c r="J45" s="55">
        <f>(A45*B45)*MATERIALES!$D$82</f>
        <v>1717.2</v>
      </c>
      <c r="K45" s="55">
        <f>(A45*B45)*MATERIALES!$D$82</f>
        <v>1717.2</v>
      </c>
      <c r="L45" s="55">
        <f>(A45*B45)*MATERIALES!$D$82</f>
        <v>1717.2</v>
      </c>
      <c r="M45" s="55">
        <f>(((A45*B45)*2)*MATERIALES!$D$83)+(4*MATERIALES!$C$229)+(((A45*2)+(B45*2))*MATERIALES!$C$230)+(((A45*2)+(B45*2))*MATERIALES!$C$231)+((((A45*2)+(B45*2))/15)*MATERIALES!$C$232)+((((A45*2)+(B45*2))/15)*(MATERIALES!$C$233*0.15))</f>
        <v>5905.3862400000007</v>
      </c>
      <c r="N45" s="55">
        <f>(((A45*B45)*2)*MATERIALES!$D$83)+(8*MATERIALES!$C$229)+(((A45*2)+(B45*4))*MATERIALES!$C$230)+(((A45*2)+(B45*4))*MATERIALES!$C$231)+((((A45*2)+(B45*4))/15)*MATERIALES!$C$232)+((((A45*2)+(B45*4))/15)*(MATERIALES!$C$233*0.15))</f>
        <v>6762.9993600000007</v>
      </c>
      <c r="O45" s="55">
        <f>(((A45*B45)*2)*MATERIALES!$D$83)+(12*MATERIALES!$C$229)+(((A45*2)+(B45*6))*MATERIALES!$C$230)+(((A45*2)+(B45*6))*MATERIALES!$C$231)+((((A45*2)+(B45*6))/15)*MATERIALES!$C$232)+((((A45*2)+(B45*6))/15)*(MATERIALES!$C$233*0.15))</f>
        <v>7620.6124799999998</v>
      </c>
      <c r="P45" s="55">
        <f>(A45*B45)*MATERIALES!$D$89</f>
        <v>5799.6</v>
      </c>
      <c r="Q45" s="139">
        <f>(A45*B45)*MATERIALES!$D$89</f>
        <v>5799.6</v>
      </c>
      <c r="R45" s="437">
        <f>(A45*B45)*MATERIALES!$D$89</f>
        <v>5799.6</v>
      </c>
      <c r="S45" s="132">
        <f t="shared" si="0"/>
        <v>7260.0110880000011</v>
      </c>
      <c r="T45" s="129">
        <f t="shared" si="1"/>
        <v>8573.3601120000003</v>
      </c>
      <c r="U45" s="119">
        <f t="shared" si="2"/>
        <v>18544.646735999999</v>
      </c>
      <c r="V45" s="129">
        <f t="shared" si="3"/>
        <v>15636.383568000001</v>
      </c>
      <c r="W45" s="129">
        <f t="shared" si="4"/>
        <v>18664.958832000004</v>
      </c>
      <c r="X45" s="119">
        <f t="shared" si="5"/>
        <v>30351.471696000001</v>
      </c>
      <c r="Y45" s="129">
        <f t="shared" si="6"/>
        <v>12525.011088000003</v>
      </c>
      <c r="Z45" s="131">
        <f t="shared" si="7"/>
        <v>13838.360112000002</v>
      </c>
      <c r="AA45" s="438">
        <f t="shared" si="8"/>
        <v>23809.646736000002</v>
      </c>
      <c r="AD45" s="351" t="s">
        <v>564</v>
      </c>
      <c r="AE45" s="246">
        <f t="shared" ref="AE45:AE59" si="11">+U37</f>
        <v>14219.533728</v>
      </c>
      <c r="AF45" s="247">
        <f t="shared" si="9"/>
        <v>21858.621407999999</v>
      </c>
      <c r="AG45" s="250">
        <f t="shared" si="10"/>
        <v>17144.533727999999</v>
      </c>
      <c r="AH45" s="250">
        <f>+'MODENA CLASICA CORREDIZA'!$M$16</f>
        <v>0</v>
      </c>
      <c r="AI45" s="252"/>
    </row>
    <row r="46" spans="1:37" ht="16.5" thickBot="1">
      <c r="A46" s="68">
        <v>2</v>
      </c>
      <c r="B46" s="69">
        <v>0.8</v>
      </c>
      <c r="C46" s="59">
        <f>((((A46*2)+(B46*2))*MATERIALES!$C$57)+(((A46*2)+(B46*2))*MATERIALES!$C$56)+((A46*2)+(B46*2)*MATERIALES!$C$73))*(MATERIALES!$F$2*MATERIALES!$J$15)</f>
        <v>0</v>
      </c>
      <c r="D46" s="59">
        <f>((((A46*2)+(B46*2))*MATERIALES!$C$57)+(((A46*2)+(B46*4))*MATERIALES!$C$56)+(((A46*2)+(B46*4))*MATERIALES!$C$73)+(B46*MATERIALES!$C$77))*(MATERIALES!$F$2*MATERIALES!$J$15)</f>
        <v>0</v>
      </c>
      <c r="E46" s="439">
        <f>((((A46*2)+(B46*2))*MATERIALES!$C$57)+(((A46*2)+(B46*6))*MATERIALES!$C$56)+(((A46*2)+(B46*6))*MATERIALES!$C$73)+(B46*MATERIALES!$C$77))*(MATERIALES!$F$2*MATERIALES!$J$15)</f>
        <v>0</v>
      </c>
      <c r="F46" s="59">
        <f>(8*MATERIALES!$C$189)+(1*MATERIALES!$C$194)+(2*MATERIALES!$C$206)+(((A46*2)+(B46*2))*MATERIALES!$C$209)+(4*MATERIALES!$C$148)+(((A46*5)*2)*MATERIALES!$C$147)+(((A46*2)+(B46*2))*MATERIALES!$C$210)+((((A46*2)+(B46*2))/0.1)*MATERIALES!$C$192)+(((A46*2)+(B46*2))*MATERIALES!$C$165)+(2*MATERIALES!$C$187)+(0.5*MATERIALES!$C$167)</f>
        <v>2779.2564800000005</v>
      </c>
      <c r="G46" s="59">
        <f>(12*MATERIALES!$C$189)+(1*MATERIALES!$C$194)+(4*MATERIALES!$C$206)+(((A46*2)+(B46*4))*MATERIALES!$C$209)+(4*MATERIALES!$C$148)+(((A46*5)*2)*MATERIALES!$C$147)+(((A46*2)+(B46*2))*MATERIALES!$C$210)+((((A46*2)+(B46*4))/0.1)*MATERIALES!$C$192)+(((A46*2)+(B46*4))*MATERIALES!$C$165)+(2*MATERIALES!$C$187)+(0.5*MATERIALES!$C$167)</f>
        <v>3652.9313600000005</v>
      </c>
      <c r="H46" s="59">
        <f>(16*MATERIALES!$C$189)+(1*MATERIALES!$C$194)+(4*MATERIALES!$C$206)+(2*MATERIALES!$C$208)+(((A46*2)+(B46*6))*MATERIALES!$C$208)+(4*MATERIALES!$C$148)+(((A46*5)*2)*MATERIALES!$C$147)+(((A46*2)+(B46*2))*MATERIALES!$C$209)+((((A46*2)+(B46*6))/0.1)*MATERIALES!$C$192)+(((A46*2)+(B46*6))*MATERIALES!$C$165)+(2*MATERIALES!$C$187)+(0.5*MATERIALES!$C$167)</f>
        <v>8772.884640000002</v>
      </c>
      <c r="I46" s="75"/>
      <c r="J46" s="55">
        <f>(A46*B46)*MATERIALES!$D$82</f>
        <v>848</v>
      </c>
      <c r="K46" s="55">
        <f>(A46*B46)*MATERIALES!$D$82</f>
        <v>848</v>
      </c>
      <c r="L46" s="55">
        <f>(A46*B46)*MATERIALES!$D$82</f>
        <v>848</v>
      </c>
      <c r="M46" s="55">
        <f>(((A46*B46)*2)*MATERIALES!$D$83)+(4*MATERIALES!$C$229)+(((A46*2)+(B46*2))*MATERIALES!$C$230)+(((A46*2)+(B46*2))*MATERIALES!$C$231)+((((A46*2)+(B46*2))/15)*MATERIALES!$C$232)+((((A46*2)+(B46*2))/15)*(MATERIALES!$C$233*0.15))</f>
        <v>3401.9315200000001</v>
      </c>
      <c r="N46" s="55">
        <f>(((A46*B46)*2)*MATERIALES!$D$83)+(8*MATERIALES!$C$229)+(((A46*2)+(B46*4))*MATERIALES!$C$230)+(((A46*2)+(B46*4))*MATERIALES!$C$231)+((((A46*2)+(B46*4))/15)*MATERIALES!$C$232)+((((A46*2)+(B46*4))/15)*(MATERIALES!$C$233*0.15))</f>
        <v>3795.2262399999995</v>
      </c>
      <c r="O46" s="55">
        <f>(((A46*B46)*2)*MATERIALES!$D$83)+(12*MATERIALES!$C$229)+(((A46*2)+(B46*6))*MATERIALES!$C$230)+(((A46*2)+(B46*6))*MATERIALES!$C$231)+((((A46*2)+(B46*6))/15)*MATERIALES!$C$232)+((((A46*2)+(B46*6))/15)*(MATERIALES!$C$233*0.15))</f>
        <v>4188.5209599999998</v>
      </c>
      <c r="P46" s="55">
        <f>(A46*B46)*MATERIALES!$D$89</f>
        <v>2864</v>
      </c>
      <c r="Q46" s="139">
        <f>(A46*B46)*MATERIALES!$D$89</f>
        <v>2864</v>
      </c>
      <c r="R46" s="437">
        <f>(A46*B46)*MATERIALES!$D$89</f>
        <v>2864</v>
      </c>
      <c r="S46" s="132">
        <f t="shared" si="0"/>
        <v>5309.0334240000011</v>
      </c>
      <c r="T46" s="129">
        <f t="shared" si="1"/>
        <v>6444.8107680000012</v>
      </c>
      <c r="U46" s="119">
        <f t="shared" si="2"/>
        <v>13100.750032000004</v>
      </c>
      <c r="V46" s="129">
        <f t="shared" si="3"/>
        <v>10416.896464000001</v>
      </c>
      <c r="W46" s="129">
        <f t="shared" si="4"/>
        <v>12339.263247999999</v>
      </c>
      <c r="X46" s="119">
        <f t="shared" si="5"/>
        <v>19781.791952000003</v>
      </c>
      <c r="Y46" s="129">
        <f t="shared" si="6"/>
        <v>7909.0334240000011</v>
      </c>
      <c r="Z46" s="131">
        <f t="shared" si="7"/>
        <v>9044.8107680000012</v>
      </c>
      <c r="AA46" s="438">
        <f t="shared" si="8"/>
        <v>15700.750032000004</v>
      </c>
      <c r="AD46" s="350" t="s">
        <v>565</v>
      </c>
      <c r="AE46" s="246">
        <f t="shared" si="11"/>
        <v>15890.38488</v>
      </c>
      <c r="AF46" s="247">
        <f t="shared" si="9"/>
        <v>25058.24568</v>
      </c>
      <c r="AG46" s="250">
        <f t="shared" si="10"/>
        <v>19546.634879999998</v>
      </c>
      <c r="AH46" s="250">
        <f>+'MODENA CLASICA CORREDIZA'!$M$17</f>
        <v>0</v>
      </c>
      <c r="AI46" s="252"/>
    </row>
    <row r="47" spans="1:37" ht="16.5" thickBot="1">
      <c r="A47" s="68">
        <v>2</v>
      </c>
      <c r="B47" s="69">
        <v>1</v>
      </c>
      <c r="C47" s="59">
        <f>((((A47*2)+(B47*2))*MATERIALES!$C$57)+(((A47*2)+(B47*2))*MATERIALES!$C$56)+((A47*2)+(B47*2)*MATERIALES!$C$73))*(MATERIALES!$F$2*MATERIALES!$J$15)</f>
        <v>0</v>
      </c>
      <c r="D47" s="59">
        <f>((((A47*2)+(B47*2))*MATERIALES!$C$57)+(((A47*2)+(B47*4))*MATERIALES!$C$56)+(((A47*2)+(B47*4))*MATERIALES!$C$73)+(B47*MATERIALES!$C$77))*(MATERIALES!$F$2*MATERIALES!$J$15)</f>
        <v>0</v>
      </c>
      <c r="E47" s="439">
        <f>((((A47*2)+(B47*2))*MATERIALES!$C$57)+(((A47*2)+(B47*6))*MATERIALES!$C$56)+(((A47*2)+(B47*6))*MATERIALES!$C$73)+(B47*MATERIALES!$C$77))*(MATERIALES!$F$2*MATERIALES!$J$15)</f>
        <v>0</v>
      </c>
      <c r="F47" s="59">
        <f>(8*MATERIALES!$C$189)+(1*MATERIALES!$C$194)+(2*MATERIALES!$C$206)+(((A47*2)+(B47*2))*MATERIALES!$C$209)+(4*MATERIALES!$C$148)+(((A47*5)*2)*MATERIALES!$C$147)+(((A47*2)+(B47*2))*MATERIALES!$C$210)+((((A47*2)+(B47*2))/0.1)*MATERIALES!$C$192)+(((A47*2)+(B47*2))*MATERIALES!$C$165)+(2*MATERIALES!$C$187)+(0.5*MATERIALES!$C$167)</f>
        <v>2820.1368000000002</v>
      </c>
      <c r="G47" s="59">
        <f>(12*MATERIALES!$C$189)+(1*MATERIALES!$C$194)+(4*MATERIALES!$C$206)+(((A47*2)+(B47*4))*MATERIALES!$C$209)+(4*MATERIALES!$C$148)+(((A47*5)*2)*MATERIALES!$C$147)+(((A47*2)+(B47*2))*MATERIALES!$C$210)+((((A47*2)+(B47*4))/0.1)*MATERIALES!$C$192)+(((A47*2)+(B47*4))*MATERIALES!$C$165)+(2*MATERIALES!$C$187)+(0.5*MATERIALES!$C$167)</f>
        <v>3721.1304</v>
      </c>
      <c r="H47" s="59">
        <f>(16*MATERIALES!$C$189)+(1*MATERIALES!$C$194)+(4*MATERIALES!$C$206)+(2*MATERIALES!$C$208)+(((A47*2)+(B47*6))*MATERIALES!$C$208)+(4*MATERIALES!$C$148)+(((A47*5)*2)*MATERIALES!$C$147)+(((A47*2)+(B47*2))*MATERIALES!$C$209)+((((A47*2)+(B47*6))/0.1)*MATERIALES!$C$192)+(((A47*2)+(B47*6))*MATERIALES!$C$165)+(2*MATERIALES!$C$187)+(0.5*MATERIALES!$C$167)</f>
        <v>9385.116</v>
      </c>
      <c r="I47" s="75"/>
      <c r="J47" s="55">
        <f>(A47*B47)*MATERIALES!$D$82</f>
        <v>1060</v>
      </c>
      <c r="K47" s="55">
        <f>(A47*B47)*MATERIALES!$D$82</f>
        <v>1060</v>
      </c>
      <c r="L47" s="55">
        <f>(A47*B47)*MATERIALES!$D$82</f>
        <v>1060</v>
      </c>
      <c r="M47" s="55">
        <f>(((A47*B47)*2)*MATERIALES!$D$83)+(4*MATERIALES!$C$229)+(((A47*2)+(B47*2))*MATERIALES!$C$230)+(((A47*2)+(B47*2))*MATERIALES!$C$231)+((((A47*2)+(B47*2))/15)*MATERIALES!$C$232)+((((A47*2)+(B47*2))/15)*(MATERIALES!$C$233*0.15))</f>
        <v>4014.7952000000005</v>
      </c>
      <c r="N47" s="55">
        <f>(((A47*B47)*2)*MATERIALES!$D$83)+(8*MATERIALES!$C$229)+(((A47*2)+(B47*4))*MATERIALES!$C$230)+(((A47*2)+(B47*4))*MATERIALES!$C$231)+((((A47*2)+(B47*4))/15)*MATERIALES!$C$232)+((((A47*2)+(B47*4))/15)*(MATERIALES!$C$233*0.15))</f>
        <v>4500.9535999999998</v>
      </c>
      <c r="O47" s="55">
        <f>(((A47*B47)*2)*MATERIALES!$D$83)+(12*MATERIALES!$C$229)+(((A47*2)+(B47*6))*MATERIALES!$C$230)+(((A47*2)+(B47*6))*MATERIALES!$C$231)+((((A47*2)+(B47*6))/15)*MATERIALES!$C$232)+((((A47*2)+(B47*6))/15)*(MATERIALES!$C$233*0.15))</f>
        <v>4987.1120000000001</v>
      </c>
      <c r="P47" s="55">
        <f>(A47*B47)*MATERIALES!$D$89</f>
        <v>3580</v>
      </c>
      <c r="Q47" s="139">
        <f>(A47*B47)*MATERIALES!$D$89</f>
        <v>3580</v>
      </c>
      <c r="R47" s="437">
        <f>(A47*B47)*MATERIALES!$D$89</f>
        <v>3580</v>
      </c>
      <c r="S47" s="132">
        <f t="shared" si="0"/>
        <v>5786.1778400000003</v>
      </c>
      <c r="T47" s="129">
        <f t="shared" si="1"/>
        <v>6957.4695200000006</v>
      </c>
      <c r="U47" s="119">
        <f t="shared" si="2"/>
        <v>14320.650800000001</v>
      </c>
      <c r="V47" s="129">
        <f t="shared" si="3"/>
        <v>11695.768240000001</v>
      </c>
      <c r="W47" s="129">
        <f t="shared" si="4"/>
        <v>13839.37672</v>
      </c>
      <c r="X47" s="119">
        <f t="shared" si="5"/>
        <v>22174.874800000001</v>
      </c>
      <c r="Y47" s="129">
        <f t="shared" si="6"/>
        <v>9036.1778400000003</v>
      </c>
      <c r="Z47" s="131">
        <f t="shared" si="7"/>
        <v>10207.469520000001</v>
      </c>
      <c r="AA47" s="438">
        <f t="shared" si="8"/>
        <v>17570.650800000003</v>
      </c>
      <c r="AD47" s="351" t="s">
        <v>566</v>
      </c>
      <c r="AE47" s="246">
        <f t="shared" si="11"/>
        <v>17561.236032000001</v>
      </c>
      <c r="AF47" s="247">
        <f t="shared" si="9"/>
        <v>28257.869952000005</v>
      </c>
      <c r="AG47" s="250">
        <f t="shared" si="10"/>
        <v>21948.736032000001</v>
      </c>
      <c r="AH47" s="250">
        <f>+'MODENA CLASICA CORREDIZA'!$M$39</f>
        <v>0</v>
      </c>
      <c r="AI47" s="252"/>
    </row>
    <row r="48" spans="1:37" ht="16.5" thickBot="1">
      <c r="A48" s="68">
        <v>2</v>
      </c>
      <c r="B48" s="69">
        <v>1.1000000000000001</v>
      </c>
      <c r="C48" s="59">
        <f>((((A48*2)+(B48*2))*MATERIALES!$C$57)+(((A48*2)+(B48*2))*MATERIALES!$C$56)+((A48*2)+(B48*2)*MATERIALES!$C$73))*(MATERIALES!$F$2*MATERIALES!$J$15)</f>
        <v>0</v>
      </c>
      <c r="D48" s="59">
        <f>((((A48*2)+(B48*2))*MATERIALES!$C$57)+(((A48*2)+(B48*4))*MATERIALES!$C$56)+(((A48*2)+(B48*4))*MATERIALES!$C$73)+(B48*MATERIALES!$C$77))*(MATERIALES!$F$2*MATERIALES!$J$15)</f>
        <v>0</v>
      </c>
      <c r="E48" s="439">
        <f>((((A48*2)+(B48*2))*MATERIALES!$C$57)+(((A48*2)+(B48*6))*MATERIALES!$C$56)+(((A48*2)+(B48*6))*MATERIALES!$C$73)+(B48*MATERIALES!$C$77))*(MATERIALES!$F$2*MATERIALES!$J$15)</f>
        <v>0</v>
      </c>
      <c r="F48" s="59">
        <f>(8*MATERIALES!$C$189)+(1*MATERIALES!$C$194)+(2*MATERIALES!$C$206)+(((A48*2)+(B48*2))*MATERIALES!$C$209)+(4*MATERIALES!$C$148)+(((A48*5)*2)*MATERIALES!$C$147)+(((A48*2)+(B48*2))*MATERIALES!$C$210)+((((A48*2)+(B48*2))/0.1)*MATERIALES!$C$192)+(((A48*2)+(B48*2))*MATERIALES!$C$165)+(2*MATERIALES!$C$187)+(0.5*MATERIALES!$C$167)</f>
        <v>2840.5769600000003</v>
      </c>
      <c r="G48" s="59">
        <f>(12*MATERIALES!$C$189)+(1*MATERIALES!$C$194)+(4*MATERIALES!$C$206)+(((A48*2)+(B48*4))*MATERIALES!$C$209)+(4*MATERIALES!$C$148)+(((A48*5)*2)*MATERIALES!$C$147)+(((A48*2)+(B48*2))*MATERIALES!$C$210)+((((A48*2)+(B48*4))/0.1)*MATERIALES!$C$192)+(((A48*2)+(B48*4))*MATERIALES!$C$165)+(2*MATERIALES!$C$187)+(0.5*MATERIALES!$C$167)</f>
        <v>3755.2299200000007</v>
      </c>
      <c r="H48" s="59">
        <f>(16*MATERIALES!$C$189)+(1*MATERIALES!$C$194)+(4*MATERIALES!$C$206)+(2*MATERIALES!$C$208)+(((A48*2)+(B48*6))*MATERIALES!$C$208)+(4*MATERIALES!$C$148)+(((A48*5)*2)*MATERIALES!$C$147)+(((A48*2)+(B48*2))*MATERIALES!$C$209)+((((A48*2)+(B48*6))/0.1)*MATERIALES!$C$192)+(((A48*2)+(B48*6))*MATERIALES!$C$165)+(2*MATERIALES!$C$187)+(0.5*MATERIALES!$C$167)</f>
        <v>9691.2316800000008</v>
      </c>
      <c r="I48" s="75"/>
      <c r="J48" s="55">
        <f>(A48*B48)*MATERIALES!$D$82</f>
        <v>1166</v>
      </c>
      <c r="K48" s="55">
        <f>(A48*B48)*MATERIALES!$D$82</f>
        <v>1166</v>
      </c>
      <c r="L48" s="55">
        <f>(A48*B48)*MATERIALES!$D$82</f>
        <v>1166</v>
      </c>
      <c r="M48" s="55">
        <f>(((A48*B48)*2)*MATERIALES!$D$83)+(4*MATERIALES!$C$229)+(((A48*2)+(B48*2))*MATERIALES!$C$230)+(((A48*2)+(B48*2))*MATERIALES!$C$231)+((((A48*2)+(B48*2))/15)*MATERIALES!$C$232)+((((A48*2)+(B48*2))/15)*(MATERIALES!$C$233*0.15))</f>
        <v>4321.2270400000007</v>
      </c>
      <c r="N48" s="55">
        <f>(((A48*B48)*2)*MATERIALES!$D$83)+(8*MATERIALES!$C$229)+(((A48*2)+(B48*4))*MATERIALES!$C$230)+(((A48*2)+(B48*4))*MATERIALES!$C$231)+((((A48*2)+(B48*4))/15)*MATERIALES!$C$232)+((((A48*2)+(B48*4))/15)*(MATERIALES!$C$233*0.15))</f>
        <v>4853.8172800000002</v>
      </c>
      <c r="O48" s="55">
        <f>(((A48*B48)*2)*MATERIALES!$D$83)+(12*MATERIALES!$C$229)+(((A48*2)+(B48*6))*MATERIALES!$C$230)+(((A48*2)+(B48*6))*MATERIALES!$C$231)+((((A48*2)+(B48*6))/15)*MATERIALES!$C$232)+((((A48*2)+(B48*6))/15)*(MATERIALES!$C$233*0.15))</f>
        <v>5386.4075200000016</v>
      </c>
      <c r="P48" s="55">
        <f>(A48*B48)*MATERIALES!$D$89</f>
        <v>3938.0000000000005</v>
      </c>
      <c r="Q48" s="139">
        <f>(A48*B48)*MATERIALES!$D$89</f>
        <v>3938.0000000000005</v>
      </c>
      <c r="R48" s="437">
        <f>(A48*B48)*MATERIALES!$D$89</f>
        <v>3938.0000000000005</v>
      </c>
      <c r="S48" s="132">
        <f t="shared" si="0"/>
        <v>6024.7500479999999</v>
      </c>
      <c r="T48" s="129">
        <f t="shared" si="1"/>
        <v>7213.7988960000012</v>
      </c>
      <c r="U48" s="119">
        <f t="shared" si="2"/>
        <v>14930.601184000001</v>
      </c>
      <c r="V48" s="129">
        <f t="shared" si="3"/>
        <v>12335.204128000001</v>
      </c>
      <c r="W48" s="129">
        <f t="shared" si="4"/>
        <v>14589.433456000002</v>
      </c>
      <c r="X48" s="119">
        <f t="shared" si="5"/>
        <v>23371.416224000004</v>
      </c>
      <c r="Y48" s="129">
        <f t="shared" si="6"/>
        <v>9599.7500480000017</v>
      </c>
      <c r="Z48" s="131">
        <f t="shared" si="7"/>
        <v>10788.798896000002</v>
      </c>
      <c r="AA48" s="438">
        <f t="shared" si="8"/>
        <v>18505.601184000003</v>
      </c>
      <c r="AD48" s="350" t="s">
        <v>567</v>
      </c>
      <c r="AE48" s="246">
        <f t="shared" si="11"/>
        <v>12657.142896000001</v>
      </c>
      <c r="AF48" s="247">
        <f t="shared" si="9"/>
        <v>18906.057456000002</v>
      </c>
      <c r="AG48" s="250">
        <f t="shared" si="10"/>
        <v>14997.142896000001</v>
      </c>
      <c r="AH48" s="250">
        <f>+'MODENA CLASICA CORREDIZA'!M40</f>
        <v>0</v>
      </c>
      <c r="AI48" s="252"/>
    </row>
    <row r="49" spans="1:36" ht="16.5" thickBot="1">
      <c r="A49" s="68">
        <v>2</v>
      </c>
      <c r="B49" s="69">
        <v>1.2</v>
      </c>
      <c r="C49" s="59">
        <f>((((A49*2)+(B49*2))*MATERIALES!$C$57)+(((A49*2)+(B49*2))*MATERIALES!$C$56)+((A49*2)+(B49*2)*MATERIALES!$C$73))*(MATERIALES!$F$2*MATERIALES!$J$15)</f>
        <v>0</v>
      </c>
      <c r="D49" s="59">
        <f>((((A49*2)+(B49*2))*MATERIALES!$C$57)+(((A49*2)+(B49*4))*MATERIALES!$C$56)+(((A49*2)+(B49*4))*MATERIALES!$C$73)+(B49*MATERIALES!$C$77))*(MATERIALES!$F$2*MATERIALES!$J$15)</f>
        <v>0</v>
      </c>
      <c r="E49" s="439">
        <f>((((A49*2)+(B49*2))*MATERIALES!$C$57)+(((A49*2)+(B49*6))*MATERIALES!$C$56)+(((A49*2)+(B49*6))*MATERIALES!$C$73)+(B49*MATERIALES!$C$77))*(MATERIALES!$F$2*MATERIALES!$J$15)</f>
        <v>0</v>
      </c>
      <c r="F49" s="59">
        <f>(8*MATERIALES!$C$189)+(1*MATERIALES!$C$194)+(2*MATERIALES!$C$206)+(((A49*2)+(B49*2))*MATERIALES!$C$209)+(4*MATERIALES!$C$148)+(((A49*5)*2)*MATERIALES!$C$147)+(((A49*2)+(B49*2))*MATERIALES!$C$210)+((((A49*2)+(B49*2))/0.1)*MATERIALES!$C$192)+(((A49*2)+(B49*2))*MATERIALES!$C$165)+(2*MATERIALES!$C$187)+(0.5*MATERIALES!$C$167)</f>
        <v>2861.01712</v>
      </c>
      <c r="G49" s="59">
        <f>(12*MATERIALES!$C$189)+(1*MATERIALES!$C$194)+(4*MATERIALES!$C$206)+(((A49*2)+(B49*4))*MATERIALES!$C$209)+(4*MATERIALES!$C$148)+(((A49*5)*2)*MATERIALES!$C$147)+(((A49*2)+(B49*2))*MATERIALES!$C$210)+((((A49*2)+(B49*4))/0.1)*MATERIALES!$C$192)+(((A49*2)+(B49*4))*MATERIALES!$C$165)+(2*MATERIALES!$C$187)+(0.5*MATERIALES!$C$167)</f>
        <v>3789.32944</v>
      </c>
      <c r="H49" s="59">
        <f>(16*MATERIALES!$C$189)+(1*MATERIALES!$C$194)+(4*MATERIALES!$C$206)+(2*MATERIALES!$C$208)+(((A49*2)+(B49*6))*MATERIALES!$C$208)+(4*MATERIALES!$C$148)+(((A49*5)*2)*MATERIALES!$C$147)+(((A49*2)+(B49*2))*MATERIALES!$C$209)+((((A49*2)+(B49*6))/0.1)*MATERIALES!$C$192)+(((A49*2)+(B49*6))*MATERIALES!$C$165)+(2*MATERIALES!$C$187)+(0.5*MATERIALES!$C$167)</f>
        <v>9997.3473599999998</v>
      </c>
      <c r="I49" s="75"/>
      <c r="J49" s="55">
        <f>(A49*B49)*MATERIALES!$D$82</f>
        <v>1272</v>
      </c>
      <c r="K49" s="55">
        <f>(A49*B49)*MATERIALES!$D$82</f>
        <v>1272</v>
      </c>
      <c r="L49" s="55">
        <f>(A49*B49)*MATERIALES!$D$82</f>
        <v>1272</v>
      </c>
      <c r="M49" s="55">
        <f>(((A49*B49)*2)*MATERIALES!$D$83)+(4*MATERIALES!$C$229)+(((A49*2)+(B49*2))*MATERIALES!$C$230)+(((A49*2)+(B49*2))*MATERIALES!$C$231)+((((A49*2)+(B49*2))/15)*MATERIALES!$C$232)+((((A49*2)+(B49*2))/15)*(MATERIALES!$C$233*0.15))</f>
        <v>4627.65888</v>
      </c>
      <c r="N49" s="55">
        <f>(((A49*B49)*2)*MATERIALES!$D$83)+(8*MATERIALES!$C$229)+(((A49*2)+(B49*4))*MATERIALES!$C$230)+(((A49*2)+(B49*4))*MATERIALES!$C$231)+((((A49*2)+(B49*4))/15)*MATERIALES!$C$232)+((((A49*2)+(B49*4))/15)*(MATERIALES!$C$233*0.15))</f>
        <v>5206.6809599999997</v>
      </c>
      <c r="O49" s="55">
        <f>(((A49*B49)*2)*MATERIALES!$D$83)+(12*MATERIALES!$C$229)+(((A49*2)+(B49*6))*MATERIALES!$C$230)+(((A49*2)+(B49*6))*MATERIALES!$C$231)+((((A49*2)+(B49*6))/15)*MATERIALES!$C$232)+((((A49*2)+(B49*6))/15)*(MATERIALES!$C$233*0.15))</f>
        <v>5785.7030400000003</v>
      </c>
      <c r="P49" s="55">
        <f>(A49*B49)*MATERIALES!$D$89</f>
        <v>4296</v>
      </c>
      <c r="Q49" s="139">
        <f>(A49*B49)*MATERIALES!$D$89</f>
        <v>4296</v>
      </c>
      <c r="R49" s="437">
        <f>(A49*B49)*MATERIALES!$D$89</f>
        <v>4296</v>
      </c>
      <c r="S49" s="132">
        <f t="shared" si="0"/>
        <v>6263.3222559999995</v>
      </c>
      <c r="T49" s="129">
        <f t="shared" si="1"/>
        <v>7470.1282719999999</v>
      </c>
      <c r="U49" s="119">
        <f t="shared" si="2"/>
        <v>15540.551568000001</v>
      </c>
      <c r="V49" s="129">
        <f t="shared" si="3"/>
        <v>12974.640015999999</v>
      </c>
      <c r="W49" s="129">
        <f t="shared" si="4"/>
        <v>15339.490191999999</v>
      </c>
      <c r="X49" s="119">
        <f t="shared" si="5"/>
        <v>24567.957648000003</v>
      </c>
      <c r="Y49" s="129">
        <f t="shared" si="6"/>
        <v>10163.322255999999</v>
      </c>
      <c r="Z49" s="131">
        <f t="shared" si="7"/>
        <v>11370.128272</v>
      </c>
      <c r="AA49" s="438">
        <f t="shared" si="8"/>
        <v>19440.551568000003</v>
      </c>
      <c r="AD49" s="351" t="s">
        <v>568</v>
      </c>
      <c r="AE49" s="246">
        <f t="shared" si="11"/>
        <v>13834.643664000003</v>
      </c>
      <c r="AF49" s="247">
        <f t="shared" si="9"/>
        <v>21195.140304</v>
      </c>
      <c r="AG49" s="250">
        <f t="shared" si="10"/>
        <v>16759.643664000003</v>
      </c>
      <c r="AH49" s="250">
        <f>+'MODENA CLASICA CORREDIZA'!M41</f>
        <v>0</v>
      </c>
      <c r="AI49" s="252"/>
    </row>
    <row r="50" spans="1:36" ht="16.5" thickBot="1">
      <c r="A50" s="68">
        <v>2</v>
      </c>
      <c r="B50" s="69">
        <v>1.5</v>
      </c>
      <c r="C50" s="59">
        <f>((((A50*2)+(B50*2))*MATERIALES!$C$57)+(((A50*2)+(B50*2))*MATERIALES!$C$56)+((A50*2)+(B50*2)*MATERIALES!$C$73))*(MATERIALES!$F$2*MATERIALES!$J$15)</f>
        <v>0</v>
      </c>
      <c r="D50" s="59">
        <f>((((A50*2)+(B50*2))*MATERIALES!$C$57)+(((A50*2)+(B50*4))*MATERIALES!$C$56)+(((A50*2)+(B50*4))*MATERIALES!$C$73)+(B50*MATERIALES!$C$77))*(MATERIALES!$F$2*MATERIALES!$J$15)</f>
        <v>0</v>
      </c>
      <c r="E50" s="439">
        <f>((((A50*2)+(B50*2))*MATERIALES!$C$57)+(((A50*2)+(B50*6))*MATERIALES!$C$56)+(((A50*2)+(B50*6))*MATERIALES!$C$73)+(B50*MATERIALES!$C$77))*(MATERIALES!$F$2*MATERIALES!$J$15)</f>
        <v>0</v>
      </c>
      <c r="F50" s="59">
        <f>(8*MATERIALES!$C$189)+(1*MATERIALES!$C$194)+(2*MATERIALES!$C$206)+(((A50*2)+(B50*2))*MATERIALES!$C$209)+(4*MATERIALES!$C$148)+(((A50*5)*2)*MATERIALES!$C$147)+(((A50*2)+(B50*2))*MATERIALES!$C$210)+((((A50*2)+(B50*2))/0.1)*MATERIALES!$C$192)+(((A50*2)+(B50*2))*MATERIALES!$C$165)+(2*MATERIALES!$C$187)+(0.5*MATERIALES!$C$167)</f>
        <v>2922.3376000000003</v>
      </c>
      <c r="G50" s="59">
        <f>(12*MATERIALES!$C$189)+(1*MATERIALES!$C$194)+(4*MATERIALES!$C$206)+(((A50*2)+(B50*4))*MATERIALES!$C$209)+(4*MATERIALES!$C$148)+(((A50*5)*2)*MATERIALES!$C$147)+(((A50*2)+(B50*2))*MATERIALES!$C$210)+((((A50*2)+(B50*4))/0.1)*MATERIALES!$C$192)+(((A50*2)+(B50*4))*MATERIALES!$C$165)+(2*MATERIALES!$C$187)+(0.5*MATERIALES!$C$167)</f>
        <v>3891.6280000000002</v>
      </c>
      <c r="H50" s="59">
        <f>(16*MATERIALES!$C$189)+(1*MATERIALES!$C$194)+(4*MATERIALES!$C$206)+(2*MATERIALES!$C$208)+(((A50*2)+(B50*6))*MATERIALES!$C$208)+(4*MATERIALES!$C$148)+(((A50*5)*2)*MATERIALES!$C$147)+(((A50*2)+(B50*2))*MATERIALES!$C$209)+((((A50*2)+(B50*6))/0.1)*MATERIALES!$C$192)+(((A50*2)+(B50*6))*MATERIALES!$C$165)+(2*MATERIALES!$C$187)+(0.5*MATERIALES!$C$167)</f>
        <v>10915.6944</v>
      </c>
      <c r="I50" s="75"/>
      <c r="J50" s="55">
        <f>(A50*B50)*MATERIALES!$D$82</f>
        <v>1590</v>
      </c>
      <c r="K50" s="55">
        <f>(A50*B50)*MATERIALES!$D$82</f>
        <v>1590</v>
      </c>
      <c r="L50" s="55">
        <f>(A50*B50)*MATERIALES!$D$82</f>
        <v>1590</v>
      </c>
      <c r="M50" s="55">
        <f>(((A50*B50)*2)*MATERIALES!$D$83)+(4*MATERIALES!$C$229)+(((A50*2)+(B50*2))*MATERIALES!$C$230)+(((A50*2)+(B50*2))*MATERIALES!$C$231)+((((A50*2)+(B50*2))/15)*MATERIALES!$C$232)+((((A50*2)+(B50*2))/15)*(MATERIALES!$C$233*0.15))</f>
        <v>5546.9543999999996</v>
      </c>
      <c r="N50" s="55">
        <f>(((A50*B50)*2)*MATERIALES!$D$83)+(8*MATERIALES!$C$229)+(((A50*2)+(B50*4))*MATERIALES!$C$230)+(((A50*2)+(B50*4))*MATERIALES!$C$231)+((((A50*2)+(B50*4))/15)*MATERIALES!$C$232)+((((A50*2)+(B50*4))/15)*(MATERIALES!$C$233*0.15))</f>
        <v>6265.2719999999999</v>
      </c>
      <c r="O50" s="55">
        <f>(((A50*B50)*2)*MATERIALES!$D$83)+(12*MATERIALES!$C$229)+(((A50*2)+(B50*6))*MATERIALES!$C$230)+(((A50*2)+(B50*6))*MATERIALES!$C$231)+((((A50*2)+(B50*6))/15)*MATERIALES!$C$232)+((((A50*2)+(B50*6))/15)*(MATERIALES!$C$233*0.15))</f>
        <v>6983.5896000000002</v>
      </c>
      <c r="P50" s="55">
        <f>(A50*B50)*MATERIALES!$D$89</f>
        <v>5370</v>
      </c>
      <c r="Q50" s="139">
        <f>(A50*B50)*MATERIALES!$D$89</f>
        <v>5370</v>
      </c>
      <c r="R50" s="437">
        <f>(A50*B50)*MATERIALES!$D$89</f>
        <v>5370</v>
      </c>
      <c r="S50" s="132">
        <f t="shared" si="0"/>
        <v>6979.0388800000001</v>
      </c>
      <c r="T50" s="129">
        <f t="shared" si="1"/>
        <v>8239.1164000000008</v>
      </c>
      <c r="U50" s="119">
        <f t="shared" si="2"/>
        <v>17370.402719999998</v>
      </c>
      <c r="V50" s="129">
        <f t="shared" si="3"/>
        <v>14892.947679999999</v>
      </c>
      <c r="W50" s="129">
        <f t="shared" si="4"/>
        <v>17589.660400000001</v>
      </c>
      <c r="X50" s="119">
        <f t="shared" si="5"/>
        <v>28157.581920000001</v>
      </c>
      <c r="Y50" s="129">
        <f t="shared" si="6"/>
        <v>11854.03888</v>
      </c>
      <c r="Z50" s="131">
        <f t="shared" si="7"/>
        <v>13114.116400000001</v>
      </c>
      <c r="AA50" s="438">
        <f t="shared" si="8"/>
        <v>22245.402719999998</v>
      </c>
      <c r="AD50" s="352" t="s">
        <v>569</v>
      </c>
      <c r="AE50" s="246">
        <f t="shared" si="11"/>
        <v>14423.394048000002</v>
      </c>
      <c r="AF50" s="247">
        <f t="shared" si="9"/>
        <v>22339.681728000003</v>
      </c>
      <c r="AG50" s="250">
        <f t="shared" si="10"/>
        <v>17640.894048000002</v>
      </c>
      <c r="AH50" s="250">
        <f>+'MODENA CLASICA CORREDIZA'!M42</f>
        <v>0</v>
      </c>
      <c r="AI50" s="252"/>
      <c r="AJ50" s="252"/>
    </row>
    <row r="51" spans="1:36" ht="16.5" thickBot="1">
      <c r="A51" s="68">
        <v>2</v>
      </c>
      <c r="B51" s="69">
        <v>1.8</v>
      </c>
      <c r="C51" s="59">
        <f>((((A51*2)+(B51*2))*MATERIALES!$C$57)+(((A51*2)+(B51*2))*MATERIALES!$C$56)+((A51*2)+(B51*2)*MATERIALES!$C$73))*(MATERIALES!$F$2*MATERIALES!$J$15)</f>
        <v>0</v>
      </c>
      <c r="D51" s="59">
        <f>((((A51*2)+(B51*2))*MATERIALES!$C$57)+(((A51*2)+(B51*4))*MATERIALES!$C$56)+(((A51*2)+(B51*4))*MATERIALES!$C$73)+(B51*MATERIALES!$C$77))*(MATERIALES!$F$2*MATERIALES!$J$15)</f>
        <v>0</v>
      </c>
      <c r="E51" s="439">
        <f>((((A51*2)+(B51*2))*MATERIALES!$C$57)+(((A51*2)+(B51*6))*MATERIALES!$C$56)+(((A51*2)+(B51*6))*MATERIALES!$C$73)+(B51*MATERIALES!$C$77))*(MATERIALES!$F$2*MATERIALES!$J$15)</f>
        <v>0</v>
      </c>
      <c r="F51" s="59">
        <f>(8*MATERIALES!$C$189)+(1*MATERIALES!$C$194)+(2*MATERIALES!$C$206)+(((A51*2)+(B51*2))*MATERIALES!$C$209)+(4*MATERIALES!$C$148)+(((A51*5)*2)*MATERIALES!$C$147)+(((A51*2)+(B51*2))*MATERIALES!$C$210)+((((A51*2)+(B51*2))/0.1)*MATERIALES!$C$192)+(((A51*2)+(B51*2))*MATERIALES!$C$165)+(2*MATERIALES!$C$187)+(0.5*MATERIALES!$C$167)</f>
        <v>2983.6580800000002</v>
      </c>
      <c r="G51" s="59">
        <f>(12*MATERIALES!$C$189)+(1*MATERIALES!$C$194)+(4*MATERIALES!$C$206)+(((A51*2)+(B51*4))*MATERIALES!$C$209)+(4*MATERIALES!$C$148)+(((A51*5)*2)*MATERIALES!$C$147)+(((A51*2)+(B51*2))*MATERIALES!$C$210)+((((A51*2)+(B51*4))/0.1)*MATERIALES!$C$192)+(((A51*2)+(B51*4))*MATERIALES!$C$165)+(2*MATERIALES!$C$187)+(0.5*MATERIALES!$C$167)</f>
        <v>3993.9265600000003</v>
      </c>
      <c r="H51" s="59">
        <f>(16*MATERIALES!$C$189)+(1*MATERIALES!$C$194)+(4*MATERIALES!$C$206)+(2*MATERIALES!$C$208)+(((A51*2)+(B51*6))*MATERIALES!$C$208)+(4*MATERIALES!$C$148)+(((A51*5)*2)*MATERIALES!$C$147)+(((A51*2)+(B51*2))*MATERIALES!$C$209)+((((A51*2)+(B51*6))/0.1)*MATERIALES!$C$192)+(((A51*2)+(B51*6))*MATERIALES!$C$165)+(2*MATERIALES!$C$187)+(0.5*MATERIALES!$C$167)</f>
        <v>11834.041440000001</v>
      </c>
      <c r="I51" s="75"/>
      <c r="J51" s="55">
        <f>(A51*B51)*MATERIALES!$D$82</f>
        <v>1908</v>
      </c>
      <c r="K51" s="55">
        <f>(A51*B51)*MATERIALES!$D$82</f>
        <v>1908</v>
      </c>
      <c r="L51" s="55">
        <f>(A51*B51)*MATERIALES!$D$82</f>
        <v>1908</v>
      </c>
      <c r="M51" s="55">
        <f>(((A51*B51)*2)*MATERIALES!$D$83)+(4*MATERIALES!$C$229)+(((A51*2)+(B51*2))*MATERIALES!$C$230)+(((A51*2)+(B51*2))*MATERIALES!$C$231)+((((A51*2)+(B51*2))/15)*MATERIALES!$C$232)+((((A51*2)+(B51*2))/15)*(MATERIALES!$C$233*0.15))</f>
        <v>6466.2499200000002</v>
      </c>
      <c r="N51" s="55">
        <f>(((A51*B51)*2)*MATERIALES!$D$83)+(8*MATERIALES!$C$229)+(((A51*2)+(B51*4))*MATERIALES!$C$230)+(((A51*2)+(B51*4))*MATERIALES!$C$231)+((((A51*2)+(B51*4))/15)*MATERIALES!$C$232)+((((A51*2)+(B51*4))/15)*(MATERIALES!$C$233*0.15))</f>
        <v>7323.8630400000002</v>
      </c>
      <c r="O51" s="55">
        <f>(((A51*B51)*2)*MATERIALES!$D$83)+(12*MATERIALES!$C$229)+(((A51*2)+(B51*6))*MATERIALES!$C$230)+(((A51*2)+(B51*6))*MATERIALES!$C$231)+((((A51*2)+(B51*6))/15)*MATERIALES!$C$232)+((((A51*2)+(B51*6))/15)*(MATERIALES!$C$233*0.15))</f>
        <v>8181.4761600000011</v>
      </c>
      <c r="P51" s="55">
        <f>(A51*B51)*MATERIALES!$D$89</f>
        <v>6444</v>
      </c>
      <c r="Q51" s="139">
        <f>(A51*B51)*MATERIALES!$D$89</f>
        <v>6444</v>
      </c>
      <c r="R51" s="437">
        <f>(A51*B51)*MATERIALES!$D$89</f>
        <v>6444</v>
      </c>
      <c r="S51" s="132">
        <f t="shared" si="0"/>
        <v>7694.7555040000007</v>
      </c>
      <c r="T51" s="129">
        <f t="shared" si="1"/>
        <v>9008.1045279999998</v>
      </c>
      <c r="U51" s="119">
        <f t="shared" si="2"/>
        <v>19200.253872000001</v>
      </c>
      <c r="V51" s="129">
        <f t="shared" si="3"/>
        <v>16811.255344000001</v>
      </c>
      <c r="W51" s="129">
        <f t="shared" si="4"/>
        <v>19839.830608</v>
      </c>
      <c r="X51" s="119">
        <f t="shared" si="5"/>
        <v>31747.206192000005</v>
      </c>
      <c r="Y51" s="129">
        <f t="shared" si="6"/>
        <v>13544.755504000001</v>
      </c>
      <c r="Z51" s="131">
        <f t="shared" si="7"/>
        <v>14858.104528</v>
      </c>
      <c r="AA51" s="438">
        <f t="shared" si="8"/>
        <v>25050.253872000001</v>
      </c>
      <c r="AD51" s="351" t="s">
        <v>570</v>
      </c>
      <c r="AE51" s="246">
        <f t="shared" si="11"/>
        <v>15012.144431999999</v>
      </c>
      <c r="AF51" s="247">
        <f t="shared" si="9"/>
        <v>23484.223151999999</v>
      </c>
      <c r="AG51" s="250">
        <f t="shared" si="10"/>
        <v>18522.144432000001</v>
      </c>
      <c r="AH51" s="250">
        <f>+'MODENA CLASICA CORREDIZA'!M43</f>
        <v>0</v>
      </c>
      <c r="AI51" s="252"/>
    </row>
    <row r="52" spans="1:36" ht="16.5" thickBot="1">
      <c r="A52" s="68"/>
      <c r="B52" s="69"/>
      <c r="C52" s="59">
        <f>((((A52*2)+(B52*2))*MATERIALES!$C$57)+(((A52*2)+(B52*2))*MATERIALES!$C$56)+((A52*2)+(B52*2)*MATERIALES!$C$73))*(MATERIALES!$F$2*MATERIALES!$J$15)</f>
        <v>0</v>
      </c>
      <c r="D52" s="59">
        <f>((((A52*2)+(B52*2))*MATERIALES!$C$57)+(((A52*2)+(B52*4))*MATERIALES!$C$56)+(((A52*2)+(B52*4))*MATERIALES!$C$73)+(B52*MATERIALES!$C$77))*(MATERIALES!$F$2*MATERIALES!$J$15)</f>
        <v>0</v>
      </c>
      <c r="E52" s="439">
        <f>((((A52*2)+(B52*2))*MATERIALES!$C$57)+(((A52*2)+(B52*6))*MATERIALES!$C$56)+(((A52*2)+(B52*6))*MATERIALES!$C$73)+(B52*MATERIALES!$C$77))*(MATERIALES!$F$2*MATERIALES!$J$15)</f>
        <v>0</v>
      </c>
      <c r="F52" s="59">
        <f>(8*MATERIALES!$C$189)+(1*MATERIALES!$C$194)+(2*MATERIALES!$C$206)+(((A52*2)+(B52*2))*MATERIALES!$C$209)+(4*MATERIALES!$C$148)+(((A52*5)*2)*MATERIALES!$C$147)+(((A52*2)+(B52*2))*MATERIALES!$C$210)+((((A52*2)+(B52*2))/0.1)*MATERIALES!$C$192)+(((A52*2)+(B52*2))*MATERIALES!$C$165)+(2*MATERIALES!$C$187)+(0.5*MATERIALES!$C$167)</f>
        <v>2206.9320000000002</v>
      </c>
      <c r="G52" s="59">
        <f>(12*MATERIALES!$C$189)+(1*MATERIALES!$C$194)+(4*MATERIALES!$C$206)+(((A52*2)+(B52*4))*MATERIALES!$C$209)+(4*MATERIALES!$C$148)+(((A52*5)*2)*MATERIALES!$C$147)+(((A52*2)+(B52*2))*MATERIALES!$C$210)+((((A52*2)+(B52*4))/0.1)*MATERIALES!$C$192)+(((A52*2)+(B52*4))*MATERIALES!$C$165)+(2*MATERIALES!$C$187)+(0.5*MATERIALES!$C$167)</f>
        <v>2971.3320000000003</v>
      </c>
      <c r="H52" s="59">
        <f>(16*MATERIALES!$C$189)+(1*MATERIALES!$C$194)+(4*MATERIALES!$C$206)+(2*MATERIALES!$C$208)+(((A52*2)+(B52*6))*MATERIALES!$C$208)+(4*MATERIALES!$C$148)+(((A52*5)*2)*MATERIALES!$C$147)+(((A52*2)+(B52*2))*MATERIALES!$C$209)+((((A52*2)+(B52*6))/0.1)*MATERIALES!$C$192)+(((A52*2)+(B52*6))*MATERIALES!$C$165)+(2*MATERIALES!$C$187)+(0.5*MATERIALES!$C$167)</f>
        <v>4216.2120000000004</v>
      </c>
      <c r="I52" s="75"/>
      <c r="J52" s="55">
        <f>(A52*B52)*MATERIALES!$D$82</f>
        <v>0</v>
      </c>
      <c r="K52" s="55">
        <f>(A52*B52)*MATERIALES!$D$82</f>
        <v>0</v>
      </c>
      <c r="L52" s="55">
        <f>(A52*B52)*MATERIALES!$D$82</f>
        <v>0</v>
      </c>
      <c r="M52" s="55">
        <f>(((A52*B52)*2)*MATERIALES!$D$83)+(4*MATERIALES!$C$229)+(((A52*2)+(B52*2))*MATERIALES!$C$230)+(((A52*2)+(B52*2))*MATERIALES!$C$231)+((((A52*2)+(B52*2))/15)*MATERIALES!$C$232)+((((A52*2)+(B52*2))/15)*(MATERIALES!$C$233*0.15))</f>
        <v>21.84</v>
      </c>
      <c r="N52" s="55">
        <f>(((A52*B52)*2)*MATERIALES!$D$83)+(8*MATERIALES!$C$229)+(((A52*2)+(B52*4))*MATERIALES!$C$230)+(((A52*2)+(B52*4))*MATERIALES!$C$231)+((((A52*2)+(B52*4))/15)*MATERIALES!$C$232)+((((A52*2)+(B52*4))/15)*(MATERIALES!$C$233*0.15))</f>
        <v>43.68</v>
      </c>
      <c r="O52" s="55">
        <f>(((A52*B52)*2)*MATERIALES!$D$83)+(12*MATERIALES!$C$229)+(((A52*2)+(B52*6))*MATERIALES!$C$230)+(((A52*2)+(B52*6))*MATERIALES!$C$231)+((((A52*2)+(B52*6))/15)*MATERIALES!$C$232)+((((A52*2)+(B52*6))/15)*(MATERIALES!$C$233*0.15))</f>
        <v>65.52</v>
      </c>
      <c r="P52" s="55">
        <f>(A52*B52)*MATERIALES!$D$89</f>
        <v>0</v>
      </c>
      <c r="Q52" s="139">
        <f>(A52*B52)*MATERIALES!$D$89</f>
        <v>0</v>
      </c>
      <c r="R52" s="437">
        <f>(A52*B52)*MATERIALES!$D$89</f>
        <v>0</v>
      </c>
      <c r="S52" s="132">
        <f t="shared" si="0"/>
        <v>2869.0116000000003</v>
      </c>
      <c r="T52" s="129">
        <f t="shared" si="1"/>
        <v>3862.7316000000005</v>
      </c>
      <c r="U52" s="119">
        <f t="shared" si="2"/>
        <v>5481.075600000001</v>
      </c>
      <c r="V52" s="129">
        <f t="shared" si="3"/>
        <v>2912.6916000000001</v>
      </c>
      <c r="W52" s="129">
        <f t="shared" si="4"/>
        <v>3950.0916000000007</v>
      </c>
      <c r="X52" s="119">
        <f t="shared" si="5"/>
        <v>5612.115600000001</v>
      </c>
      <c r="Y52" s="129">
        <f t="shared" si="6"/>
        <v>2869.0116000000003</v>
      </c>
      <c r="Z52" s="131">
        <f t="shared" si="7"/>
        <v>3862.7316000000005</v>
      </c>
      <c r="AA52" s="438">
        <f t="shared" si="8"/>
        <v>5481.075600000001</v>
      </c>
      <c r="AD52" s="352" t="s">
        <v>571</v>
      </c>
      <c r="AE52" s="246">
        <f t="shared" si="11"/>
        <v>16778.395584000002</v>
      </c>
      <c r="AF52" s="247">
        <f t="shared" si="9"/>
        <v>26917.847424</v>
      </c>
      <c r="AG52" s="250">
        <f t="shared" si="10"/>
        <v>21165.895584000002</v>
      </c>
      <c r="AH52" s="250">
        <f>+'MODENA CLASICA CORREDIZA'!M44</f>
        <v>0</v>
      </c>
      <c r="AI52" s="252"/>
    </row>
    <row r="53" spans="1:36" ht="16.5" thickBot="1">
      <c r="A53" s="68"/>
      <c r="B53" s="69"/>
      <c r="C53" s="59">
        <f>((((A53*2)+(B53*2))*MATERIALES!$C$57)+(((A53*2)+(B53*2))*MATERIALES!$C$56)+((A53*2)+(B53*2)*MATERIALES!$C$73))*(MATERIALES!$F$2*MATERIALES!$J$15)</f>
        <v>0</v>
      </c>
      <c r="D53" s="59">
        <f>((((A53*2)+(B53*2))*MATERIALES!$C$57)+(((A53*2)+(B53*4))*MATERIALES!$C$56)+(((A53*2)+(B53*4))*MATERIALES!$C$73)+(B53*MATERIALES!$C$77))*(MATERIALES!$F$2*MATERIALES!$J$15)</f>
        <v>0</v>
      </c>
      <c r="E53" s="439">
        <f>((((A53*2)+(B53*2))*MATERIALES!$C$57)+(((A53*2)+(B53*6))*MATERIALES!$C$56)+(((A53*2)+(B53*6))*MATERIALES!$C$73)+(B53*MATERIALES!$C$77))*(MATERIALES!$F$2*MATERIALES!$J$15)</f>
        <v>0</v>
      </c>
      <c r="F53" s="59">
        <f>(8*MATERIALES!$C$189)+(1*MATERIALES!$C$194)+(2*MATERIALES!$C$206)+(((A53*2)+(B53*2))*MATERIALES!$C$209)+(4*MATERIALES!$C$148)+(((A53*5)*2)*MATERIALES!$C$147)+(((A53*2)+(B53*2))*MATERIALES!$C$210)+((((A53*2)+(B53*2))/0.1)*MATERIALES!$C$192)+(((A53*2)+(B53*2))*MATERIALES!$C$165)+(2*MATERIALES!$C$187)+(0.5*MATERIALES!$C$167)</f>
        <v>2206.9320000000002</v>
      </c>
      <c r="G53" s="59">
        <f>(12*MATERIALES!$C$189)+(1*MATERIALES!$C$194)+(4*MATERIALES!$C$206)+(((A53*2)+(B53*4))*MATERIALES!$C$209)+(4*MATERIALES!$C$148)+(((A53*5)*2)*MATERIALES!$C$147)+(((A53*2)+(B53*2))*MATERIALES!$C$210)+((((A53*2)+(B53*4))/0.1)*MATERIALES!$C$192)+(((A53*2)+(B53*4))*MATERIALES!$C$165)+(2*MATERIALES!$C$187)+(0.5*MATERIALES!$C$167)</f>
        <v>2971.3320000000003</v>
      </c>
      <c r="H53" s="59">
        <f>(16*MATERIALES!$C$189)+(1*MATERIALES!$C$194)+(4*MATERIALES!$C$206)+(2*MATERIALES!$C$208)+(((A53*2)+(B53*6))*MATERIALES!$C$208)+(4*MATERIALES!$C$148)+(((A53*5)*2)*MATERIALES!$C$147)+(((A53*2)+(B53*2))*MATERIALES!$C$209)+((((A53*2)+(B53*6))/0.1)*MATERIALES!$C$192)+(((A53*2)+(B53*6))*MATERIALES!$C$165)+(2*MATERIALES!$C$187)+(0.5*MATERIALES!$C$167)</f>
        <v>4216.2120000000004</v>
      </c>
      <c r="I53" s="75"/>
      <c r="J53" s="55">
        <f>(A53*B53)*MATERIALES!$D$82</f>
        <v>0</v>
      </c>
      <c r="K53" s="55">
        <f>(A53*B53)*MATERIALES!$D$82</f>
        <v>0</v>
      </c>
      <c r="L53" s="55">
        <f>(A53*B53)*MATERIALES!$D$82</f>
        <v>0</v>
      </c>
      <c r="M53" s="55">
        <f>(((A53*B53)*2)*MATERIALES!$D$83)+(4*MATERIALES!$C$229)+(((A53*2)+(B53*2))*MATERIALES!$C$230)+(((A53*2)+(B53*2))*MATERIALES!$C$231)+((((A53*2)+(B53*2))/15)*MATERIALES!$C$232)+((((A53*2)+(B53*2))/15)*(MATERIALES!$C$233*0.15))</f>
        <v>21.84</v>
      </c>
      <c r="N53" s="55">
        <f>(((A53*B53)*2)*MATERIALES!$D$83)+(8*MATERIALES!$C$229)+(((A53*2)+(B53*4))*MATERIALES!$C$230)+(((A53*2)+(B53*4))*MATERIALES!$C$231)+((((A53*2)+(B53*4))/15)*MATERIALES!$C$232)+((((A53*2)+(B53*4))/15)*(MATERIALES!$C$233*0.15))</f>
        <v>43.68</v>
      </c>
      <c r="O53" s="55">
        <f>(((A53*B53)*2)*MATERIALES!$D$83)+(12*MATERIALES!$C$229)+(((A53*2)+(B53*6))*MATERIALES!$C$230)+(((A53*2)+(B53*6))*MATERIALES!$C$231)+((((A53*2)+(B53*6))/15)*MATERIALES!$C$232)+((((A53*2)+(B53*6))/15)*(MATERIALES!$C$233*0.15))</f>
        <v>65.52</v>
      </c>
      <c r="P53" s="55">
        <f>(A53*B53)*MATERIALES!$D$89</f>
        <v>0</v>
      </c>
      <c r="Q53" s="139">
        <f>(A53*B53)*MATERIALES!$D$89</f>
        <v>0</v>
      </c>
      <c r="R53" s="437">
        <f>(A53*B53)*MATERIALES!$D$89</f>
        <v>0</v>
      </c>
      <c r="S53" s="132">
        <f t="shared" si="0"/>
        <v>2869.0116000000003</v>
      </c>
      <c r="T53" s="129">
        <f t="shared" si="1"/>
        <v>3862.7316000000005</v>
      </c>
      <c r="U53" s="119">
        <f t="shared" si="2"/>
        <v>5481.075600000001</v>
      </c>
      <c r="V53" s="129">
        <f t="shared" si="3"/>
        <v>2912.6916000000001</v>
      </c>
      <c r="W53" s="129">
        <f t="shared" si="4"/>
        <v>3950.0916000000007</v>
      </c>
      <c r="X53" s="119">
        <f t="shared" si="5"/>
        <v>5612.115600000001</v>
      </c>
      <c r="Y53" s="129">
        <f t="shared" si="6"/>
        <v>2869.0116000000003</v>
      </c>
      <c r="Z53" s="131">
        <f t="shared" si="7"/>
        <v>3862.7316000000005</v>
      </c>
      <c r="AA53" s="438">
        <f t="shared" si="8"/>
        <v>5481.075600000001</v>
      </c>
      <c r="AD53" s="351" t="s">
        <v>572</v>
      </c>
      <c r="AE53" s="246">
        <f t="shared" si="11"/>
        <v>18544.646735999999</v>
      </c>
      <c r="AF53" s="247">
        <f t="shared" si="9"/>
        <v>30351.471696000001</v>
      </c>
      <c r="AG53" s="250">
        <f t="shared" si="10"/>
        <v>23809.646736000002</v>
      </c>
      <c r="AH53" s="250">
        <f>+'MODENA CLASICA CORREDIZA'!M45</f>
        <v>0</v>
      </c>
      <c r="AI53" s="252"/>
    </row>
    <row r="54" spans="1:36" ht="16.5" thickBot="1">
      <c r="A54" s="68"/>
      <c r="B54" s="69"/>
      <c r="C54" s="59">
        <f>((((A54*2)+(B54*2))*MATERIALES!$C$57)+(((A54*2)+(B54*2))*MATERIALES!$C$56)+((A54*2)+(B54*2)*MATERIALES!$C$73))*(MATERIALES!$F$2*MATERIALES!$J$15)</f>
        <v>0</v>
      </c>
      <c r="D54" s="59">
        <f>((((A54*2)+(B54*2))*MATERIALES!$C$57)+(((A54*2)+(B54*4))*MATERIALES!$C$56)+(((A54*2)+(B54*4))*MATERIALES!$C$73)+(B54*MATERIALES!$C$77))*(MATERIALES!$F$2*MATERIALES!$J$15)</f>
        <v>0</v>
      </c>
      <c r="E54" s="439">
        <f>((((A54*2)+(B54*2))*MATERIALES!$C$57)+(((A54*2)+(B54*6))*MATERIALES!$C$56)+(((A54*2)+(B54*6))*MATERIALES!$C$73)+(B54*MATERIALES!$C$77))*(MATERIALES!$F$2*MATERIALES!$J$15)</f>
        <v>0</v>
      </c>
      <c r="F54" s="59">
        <f>(8*MATERIALES!$C$189)+(1*MATERIALES!$C$194)+(2*MATERIALES!$C$206)+(((A54*2)+(B54*2))*MATERIALES!$C$209)+(4*MATERIALES!$C$148)+(((A54*5)*2)*MATERIALES!$C$147)+(((A54*2)+(B54*2))*MATERIALES!$C$210)+((((A54*2)+(B54*2))/0.1)*MATERIALES!$C$192)+(((A54*2)+(B54*2))*MATERIALES!$C$165)+(2*MATERIALES!$C$187)+(0.5*MATERIALES!$C$167)</f>
        <v>2206.9320000000002</v>
      </c>
      <c r="G54" s="59">
        <f>(12*MATERIALES!$C$189)+(1*MATERIALES!$C$194)+(4*MATERIALES!$C$206)+(((A54*2)+(B54*4))*MATERIALES!$C$209)+(4*MATERIALES!$C$148)+(((A54*5)*2)*MATERIALES!$C$147)+(((A54*2)+(B54*2))*MATERIALES!$C$210)+((((A54*2)+(B54*4))/0.1)*MATERIALES!$C$192)+(((A54*2)+(B54*4))*MATERIALES!$C$165)+(2*MATERIALES!$C$187)+(0.5*MATERIALES!$C$167)</f>
        <v>2971.3320000000003</v>
      </c>
      <c r="H54" s="59">
        <f>(16*MATERIALES!$C$189)+(1*MATERIALES!$C$194)+(4*MATERIALES!$C$206)+(2*MATERIALES!$C$208)+(((A54*2)+(B54*6))*MATERIALES!$C$208)+(4*MATERIALES!$C$148)+(((A54*5)*2)*MATERIALES!$C$147)+(((A54*2)+(B54*2))*MATERIALES!$C$209)+((((A54*2)+(B54*6))/0.1)*MATERIALES!$C$192)+(((A54*2)+(B54*6))*MATERIALES!$C$165)+(2*MATERIALES!$C$187)+(0.5*MATERIALES!$C$167)</f>
        <v>4216.2120000000004</v>
      </c>
      <c r="I54" s="75"/>
      <c r="J54" s="55">
        <f>(A54*B54)*MATERIALES!$D$82</f>
        <v>0</v>
      </c>
      <c r="K54" s="55">
        <f>(A54*B54)*MATERIALES!$D$82</f>
        <v>0</v>
      </c>
      <c r="L54" s="55">
        <f>(A54*B54)*MATERIALES!$D$82</f>
        <v>0</v>
      </c>
      <c r="M54" s="55">
        <f>(((A54*B54)*2)*MATERIALES!$D$83)+(4*MATERIALES!$C$229)+(((A54*2)+(B54*2))*MATERIALES!$C$230)+(((A54*2)+(B54*2))*MATERIALES!$C$231)+((((A54*2)+(B54*2))/15)*MATERIALES!$C$232)+((((A54*2)+(B54*2))/15)*(MATERIALES!$C$233*0.15))</f>
        <v>21.84</v>
      </c>
      <c r="N54" s="55">
        <f>(((A54*B54)*2)*MATERIALES!$D$83)+(8*MATERIALES!$C$229)+(((A54*2)+(B54*4))*MATERIALES!$C$230)+(((A54*2)+(B54*4))*MATERIALES!$C$231)+((((A54*2)+(B54*4))/15)*MATERIALES!$C$232)+((((A54*2)+(B54*4))/15)*(MATERIALES!$C$233*0.15))</f>
        <v>43.68</v>
      </c>
      <c r="O54" s="55">
        <f>(((A54*B54)*2)*MATERIALES!$D$83)+(12*MATERIALES!$C$229)+(((A54*2)+(B54*6))*MATERIALES!$C$230)+(((A54*2)+(B54*6))*MATERIALES!$C$231)+((((A54*2)+(B54*6))/15)*MATERIALES!$C$232)+((((A54*2)+(B54*6))/15)*(MATERIALES!$C$233*0.15))</f>
        <v>65.52</v>
      </c>
      <c r="P54" s="55">
        <f>(A54*B54)*MATERIALES!$D$89</f>
        <v>0</v>
      </c>
      <c r="Q54" s="139">
        <f>(A54*B54)*MATERIALES!$D$89</f>
        <v>0</v>
      </c>
      <c r="R54" s="437">
        <f>(A54*B54)*MATERIALES!$D$89</f>
        <v>0</v>
      </c>
      <c r="S54" s="132">
        <f t="shared" si="0"/>
        <v>2869.0116000000003</v>
      </c>
      <c r="T54" s="129">
        <f t="shared" si="1"/>
        <v>3862.7316000000005</v>
      </c>
      <c r="U54" s="119">
        <f t="shared" si="2"/>
        <v>5481.075600000001</v>
      </c>
      <c r="V54" s="129">
        <f t="shared" si="3"/>
        <v>2912.6916000000001</v>
      </c>
      <c r="W54" s="129">
        <f t="shared" si="4"/>
        <v>3950.0916000000007</v>
      </c>
      <c r="X54" s="119">
        <f t="shared" si="5"/>
        <v>5612.115600000001</v>
      </c>
      <c r="Y54" s="129">
        <f t="shared" si="6"/>
        <v>2869.0116000000003</v>
      </c>
      <c r="Z54" s="131">
        <f t="shared" si="7"/>
        <v>3862.7316000000005</v>
      </c>
      <c r="AA54" s="438">
        <f t="shared" si="8"/>
        <v>5481.075600000001</v>
      </c>
      <c r="AD54" s="246" t="s">
        <v>573</v>
      </c>
      <c r="AE54" s="246">
        <f t="shared" si="11"/>
        <v>13100.750032000004</v>
      </c>
      <c r="AF54" s="247">
        <f t="shared" si="9"/>
        <v>19781.791952000003</v>
      </c>
      <c r="AG54" s="250">
        <f t="shared" si="10"/>
        <v>15700.750032000004</v>
      </c>
      <c r="AH54" s="250">
        <f>+'MODENA CLASICA CORREDIZA'!M40</f>
        <v>0</v>
      </c>
      <c r="AI54" s="252"/>
    </row>
    <row r="55" spans="1:36" ht="16.5" thickBot="1">
      <c r="A55" s="68">
        <v>2.4</v>
      </c>
      <c r="B55" s="69">
        <v>0.8</v>
      </c>
      <c r="C55" s="59">
        <f>((((A55*2)+(B55*2))*MATERIALES!$C$57)+(((A55*2)+(B55*2))*MATERIALES!$C$56)+((A55*2)+(B55*2)*MATERIALES!$C$73))*(MATERIALES!$F$2*MATERIALES!$J$15)</f>
        <v>0</v>
      </c>
      <c r="D55" s="59">
        <f>((((A55*2)+(B55*2))*MATERIALES!$C$57)+(((A55*2)+(B55*4))*MATERIALES!$C$56)+(((A55*2)+(B55*4))*MATERIALES!$C$73)+(B55*MATERIALES!$C$77))*(MATERIALES!$F$2*MATERIALES!$J$15)</f>
        <v>0</v>
      </c>
      <c r="E55" s="439">
        <f>((((A55*2)+(B55*2))*MATERIALES!$C$57)+(((A55*2)+(B55*6))*MATERIALES!$C$56)+(((A55*2)+(B55*6))*MATERIALES!$C$73)+(B55*MATERIALES!$C$77))*(MATERIALES!$F$2*MATERIALES!$J$15)</f>
        <v>0</v>
      </c>
      <c r="F55" s="59">
        <f>(8*MATERIALES!$C$189)+(1*MATERIALES!$C$194)+(2*MATERIALES!$C$206)+(((A55*2)+(B55*2))*MATERIALES!$C$209)+(4*MATERIALES!$C$148)+(((A55*5)*2)*MATERIALES!$C$147)+(((A55*2)+(B55*2))*MATERIALES!$C$210)+((((A55*2)+(B55*2))/0.1)*MATERIALES!$C$192)+(((A55*2)+(B55*2))*MATERIALES!$C$165)+(2*MATERIALES!$C$187)+(0.5*MATERIALES!$C$167)</f>
        <v>2861.01712</v>
      </c>
      <c r="G55" s="59">
        <f>(12*MATERIALES!$C$189)+(1*MATERIALES!$C$194)+(4*MATERIALES!$C$206)+(((A55*2)+(B55*4))*MATERIALES!$C$209)+(4*MATERIALES!$C$148)+(((A55*5)*2)*MATERIALES!$C$147)+(((A55*2)+(B55*2))*MATERIALES!$C$210)+((((A55*2)+(B55*4))/0.1)*MATERIALES!$C$192)+(((A55*2)+(B55*4))*MATERIALES!$C$165)+(2*MATERIALES!$C$187)+(0.5*MATERIALES!$C$167)</f>
        <v>3734.692</v>
      </c>
      <c r="H55" s="59">
        <f>(16*MATERIALES!$C$189)+(1*MATERIALES!$C$194)+(4*MATERIALES!$C$206)+(2*MATERIALES!$C$208)+(((A55*2)+(B55*6))*MATERIALES!$C$208)+(4*MATERIALES!$C$148)+(((A55*5)*2)*MATERIALES!$C$147)+(((A55*2)+(B55*2))*MATERIALES!$C$209)+((((A55*2)+(B55*6))/0.1)*MATERIALES!$C$192)+(((A55*2)+(B55*6))*MATERIALES!$C$165)+(2*MATERIALES!$C$187)+(0.5*MATERIALES!$C$167)</f>
        <v>9194.4340800000009</v>
      </c>
      <c r="I55" s="75"/>
      <c r="J55" s="55">
        <f>(A55*B55)*MATERIALES!$D$82</f>
        <v>1017.5999999999999</v>
      </c>
      <c r="K55" s="55">
        <f>(A55*B55)*MATERIALES!$D$82</f>
        <v>1017.5999999999999</v>
      </c>
      <c r="L55" s="55">
        <f>(A55*B55)*MATERIALES!$D$82</f>
        <v>1017.5999999999999</v>
      </c>
      <c r="M55" s="55">
        <f>(((A55*B55)*2)*MATERIALES!$D$83)+(4*MATERIALES!$C$229)+(((A55*2)+(B55*2))*MATERIALES!$C$230)+(((A55*2)+(B55*2))*MATERIALES!$C$231)+((((A55*2)+(B55*2))/15)*MATERIALES!$C$232)+((((A55*2)+(B55*2))/15)*(MATERIALES!$C$233*0.15))</f>
        <v>4003.6588800000004</v>
      </c>
      <c r="N55" s="55">
        <f>(((A55*B55)*2)*MATERIALES!$D$83)+(8*MATERIALES!$C$229)+(((A55*2)+(B55*4))*MATERIALES!$C$230)+(((A55*2)+(B55*4))*MATERIALES!$C$231)+((((A55*2)+(B55*4))/15)*MATERIALES!$C$232)+((((A55*2)+(B55*4))/15)*(MATERIALES!$C$233*0.15))</f>
        <v>4396.9535999999998</v>
      </c>
      <c r="O55" s="55">
        <f>(((A55*B55)*2)*MATERIALES!$D$83)+(12*MATERIALES!$C$229)+(((A55*2)+(B55*6))*MATERIALES!$C$230)+(((A55*2)+(B55*6))*MATERIALES!$C$231)+((((A55*2)+(B55*6))/15)*MATERIALES!$C$232)+((((A55*2)+(B55*6))/15)*(MATERIALES!$C$233*0.15))</f>
        <v>4790.2483200000006</v>
      </c>
      <c r="P55" s="55">
        <f>(A55*B55)*MATERIALES!$D$89</f>
        <v>3436.7999999999997</v>
      </c>
      <c r="Q55" s="139">
        <f>(A55*B55)*MATERIALES!$D$89</f>
        <v>3436.7999999999997</v>
      </c>
      <c r="R55" s="437">
        <f>(A55*B55)*MATERIALES!$D$89</f>
        <v>3436.7999999999997</v>
      </c>
      <c r="S55" s="132">
        <f t="shared" si="0"/>
        <v>5754.5222560000002</v>
      </c>
      <c r="T55" s="129">
        <f t="shared" si="1"/>
        <v>6890.2996000000003</v>
      </c>
      <c r="U55" s="119">
        <f t="shared" si="2"/>
        <v>13987.964304000001</v>
      </c>
      <c r="V55" s="129">
        <f t="shared" si="3"/>
        <v>11726.640016000001</v>
      </c>
      <c r="W55" s="129">
        <f t="shared" si="4"/>
        <v>13649.006799999999</v>
      </c>
      <c r="X55" s="119">
        <f t="shared" si="5"/>
        <v>21533.260944000001</v>
      </c>
      <c r="Y55" s="129">
        <f t="shared" si="6"/>
        <v>8874.5222560000002</v>
      </c>
      <c r="Z55" s="131">
        <f t="shared" si="7"/>
        <v>10010.2996</v>
      </c>
      <c r="AA55" s="438">
        <f t="shared" si="8"/>
        <v>17107.964304000001</v>
      </c>
      <c r="AD55" s="351" t="s">
        <v>574</v>
      </c>
      <c r="AE55" s="246">
        <f t="shared" si="11"/>
        <v>14320.650800000001</v>
      </c>
      <c r="AF55" s="247">
        <f t="shared" si="9"/>
        <v>22174.874800000001</v>
      </c>
      <c r="AG55" s="250">
        <f t="shared" si="10"/>
        <v>17570.650800000003</v>
      </c>
      <c r="AH55" s="250">
        <f>+'MODENA CLASICA CORREDIZA'!M41</f>
        <v>0</v>
      </c>
      <c r="AI55" s="252"/>
    </row>
    <row r="56" spans="1:36" ht="16.5" thickBot="1">
      <c r="A56" s="68">
        <v>2.4</v>
      </c>
      <c r="B56" s="69">
        <v>1</v>
      </c>
      <c r="C56" s="59">
        <f>((((A56*2)+(B56*2))*MATERIALES!$C$57)+(((A56*2)+(B56*2))*MATERIALES!$C$56)+((A56*2)+(B56*2)*MATERIALES!$C$73))*(MATERIALES!$F$2*MATERIALES!$J$15)</f>
        <v>0</v>
      </c>
      <c r="D56" s="59">
        <f>((((A56*2)+(B56*2))*MATERIALES!$C$57)+(((A56*2)+(B56*4))*MATERIALES!$C$56)+(((A56*2)+(B56*4))*MATERIALES!$C$73)+(B56*MATERIALES!$C$77))*(MATERIALES!$F$2*MATERIALES!$J$15)</f>
        <v>0</v>
      </c>
      <c r="E56" s="439">
        <f>((((A56*2)+(B56*2))*MATERIALES!$C$57)+(((A56*2)+(B56*6))*MATERIALES!$C$56)+(((A56*2)+(B56*6))*MATERIALES!$C$73)+(B56*MATERIALES!$C$77))*(MATERIALES!$F$2*MATERIALES!$J$15)</f>
        <v>0</v>
      </c>
      <c r="F56" s="59">
        <f>(8*MATERIALES!$C$189)+(1*MATERIALES!$C$194)+(2*MATERIALES!$C$206)+(((A56*2)+(B56*2))*MATERIALES!$C$209)+(4*MATERIALES!$C$148)+(((A56*5)*2)*MATERIALES!$C$147)+(((A56*2)+(B56*2))*MATERIALES!$C$210)+((((A56*2)+(B56*2))/0.1)*MATERIALES!$C$192)+(((A56*2)+(B56*2))*MATERIALES!$C$165)+(2*MATERIALES!$C$187)+(0.5*MATERIALES!$C$167)</f>
        <v>2901.8974400000002</v>
      </c>
      <c r="G56" s="59">
        <f>(12*MATERIALES!$C$189)+(1*MATERIALES!$C$194)+(4*MATERIALES!$C$206)+(((A56*2)+(B56*4))*MATERIALES!$C$209)+(4*MATERIALES!$C$148)+(((A56*5)*2)*MATERIALES!$C$147)+(((A56*2)+(B56*2))*MATERIALES!$C$210)+((((A56*2)+(B56*4))/0.1)*MATERIALES!$C$192)+(((A56*2)+(B56*4))*MATERIALES!$C$165)+(2*MATERIALES!$C$187)+(0.5*MATERIALES!$C$167)</f>
        <v>3802.89104</v>
      </c>
      <c r="H56" s="59">
        <f>(16*MATERIALES!$C$189)+(1*MATERIALES!$C$194)+(4*MATERIALES!$C$206)+(2*MATERIALES!$C$208)+(((A56*2)+(B56*6))*MATERIALES!$C$208)+(4*MATERIALES!$C$148)+(((A56*5)*2)*MATERIALES!$C$147)+(((A56*2)+(B56*2))*MATERIALES!$C$209)+((((A56*2)+(B56*6))/0.1)*MATERIALES!$C$192)+(((A56*2)+(B56*6))*MATERIALES!$C$165)+(2*MATERIALES!$C$187)+(0.5*MATERIALES!$C$167)</f>
        <v>9806.6654400000007</v>
      </c>
      <c r="I56" s="75"/>
      <c r="J56" s="55">
        <f>(A56*B56)*MATERIALES!$D$82</f>
        <v>1272</v>
      </c>
      <c r="K56" s="55">
        <f>(A56*B56)*MATERIALES!$D$82</f>
        <v>1272</v>
      </c>
      <c r="L56" s="55">
        <f>(A56*B56)*MATERIALES!$D$82</f>
        <v>1272</v>
      </c>
      <c r="M56" s="55">
        <f>(((A56*B56)*2)*MATERIALES!$D$83)+(4*MATERIALES!$C$229)+(((A56*2)+(B56*2))*MATERIALES!$C$230)+(((A56*2)+(B56*2))*MATERIALES!$C$231)+((((A56*2)+(B56*2))/15)*MATERIALES!$C$232)+((((A56*2)+(B56*2))/15)*(MATERIALES!$C$233*0.15))</f>
        <v>4720.5225600000003</v>
      </c>
      <c r="N56" s="55">
        <f>(((A56*B56)*2)*MATERIALES!$D$83)+(8*MATERIALES!$C$229)+(((A56*2)+(B56*4))*MATERIALES!$C$230)+(((A56*2)+(B56*4))*MATERIALES!$C$231)+((((A56*2)+(B56*4))/15)*MATERIALES!$C$232)+((((A56*2)+(B56*4))/15)*(MATERIALES!$C$233*0.15))</f>
        <v>5206.6809599999997</v>
      </c>
      <c r="O56" s="55">
        <f>(((A56*B56)*2)*MATERIALES!$D$83)+(12*MATERIALES!$C$229)+(((A56*2)+(B56*6))*MATERIALES!$C$230)+(((A56*2)+(B56*6))*MATERIALES!$C$231)+((((A56*2)+(B56*6))/15)*MATERIALES!$C$232)+((((A56*2)+(B56*6))/15)*(MATERIALES!$C$233*0.15))</f>
        <v>5692.8393600000009</v>
      </c>
      <c r="P56" s="55">
        <f>(A56*B56)*MATERIALES!$D$89</f>
        <v>4296</v>
      </c>
      <c r="Q56" s="139">
        <f>(A56*B56)*MATERIALES!$D$89</f>
        <v>4296</v>
      </c>
      <c r="R56" s="437">
        <f>(A56*B56)*MATERIALES!$D$89</f>
        <v>4296</v>
      </c>
      <c r="S56" s="132">
        <f t="shared" si="0"/>
        <v>6316.4666720000005</v>
      </c>
      <c r="T56" s="129">
        <f t="shared" si="1"/>
        <v>7487.7583519999998</v>
      </c>
      <c r="U56" s="119">
        <f t="shared" si="2"/>
        <v>15292.665072000002</v>
      </c>
      <c r="V56" s="129">
        <f t="shared" si="3"/>
        <v>13213.511792000001</v>
      </c>
      <c r="W56" s="129">
        <f t="shared" si="4"/>
        <v>15357.120272</v>
      </c>
      <c r="X56" s="119">
        <f t="shared" si="5"/>
        <v>24134.343792000003</v>
      </c>
      <c r="Y56" s="129">
        <f t="shared" si="6"/>
        <v>10216.466672</v>
      </c>
      <c r="Z56" s="131">
        <f t="shared" si="7"/>
        <v>11387.758352000001</v>
      </c>
      <c r="AA56" s="438">
        <f t="shared" si="8"/>
        <v>19192.665072000003</v>
      </c>
      <c r="AD56" s="246" t="s">
        <v>575</v>
      </c>
      <c r="AE56" s="246">
        <f t="shared" si="11"/>
        <v>14930.601184000001</v>
      </c>
      <c r="AF56" s="247">
        <f t="shared" si="9"/>
        <v>23371.416224000004</v>
      </c>
      <c r="AG56" s="250">
        <f t="shared" si="10"/>
        <v>18505.601184000003</v>
      </c>
      <c r="AH56" s="250">
        <f>+'MODENA CLASICA CORREDIZA'!M42</f>
        <v>0</v>
      </c>
      <c r="AI56" s="252"/>
    </row>
    <row r="57" spans="1:36" ht="16.5" thickBot="1">
      <c r="A57" s="68">
        <v>2.4</v>
      </c>
      <c r="B57" s="69">
        <v>1.2</v>
      </c>
      <c r="C57" s="59">
        <f>((((A57*2)+(B57*2))*MATERIALES!$C$57)+(((A57*2)+(B57*2))*MATERIALES!$C$56)+((A57*2)+(B57*2)*MATERIALES!$C$73))*(MATERIALES!$F$2*MATERIALES!$J$15)</f>
        <v>0</v>
      </c>
      <c r="D57" s="59">
        <f>((((A57*2)+(B57*2))*MATERIALES!$C$57)+(((A57*2)+(B57*4))*MATERIALES!$C$56)+(((A57*2)+(B57*4))*MATERIALES!$C$73)+(B57*MATERIALES!$C$77))*(MATERIALES!$F$2*MATERIALES!$J$15)</f>
        <v>0</v>
      </c>
      <c r="E57" s="439">
        <f>((((A57*2)+(B57*2))*MATERIALES!$C$57)+(((A57*2)+(B57*6))*MATERIALES!$C$56)+(((A57*2)+(B57*6))*MATERIALES!$C$73)+(B57*MATERIALES!$C$77))*(MATERIALES!$F$2*MATERIALES!$J$15)</f>
        <v>0</v>
      </c>
      <c r="F57" s="59">
        <f>(8*MATERIALES!$C$189)+(1*MATERIALES!$C$194)+(2*MATERIALES!$C$206)+(((A57*2)+(B57*2))*MATERIALES!$C$209)+(4*MATERIALES!$C$148)+(((A57*5)*2)*MATERIALES!$C$147)+(((A57*2)+(B57*2))*MATERIALES!$C$210)+((((A57*2)+(B57*2))/0.1)*MATERIALES!$C$192)+(((A57*2)+(B57*2))*MATERIALES!$C$165)+(2*MATERIALES!$C$187)+(0.5*MATERIALES!$C$167)</f>
        <v>2942.7777600000004</v>
      </c>
      <c r="G57" s="59">
        <f>(12*MATERIALES!$C$189)+(1*MATERIALES!$C$194)+(4*MATERIALES!$C$206)+(((A57*2)+(B57*4))*MATERIALES!$C$209)+(4*MATERIALES!$C$148)+(((A57*5)*2)*MATERIALES!$C$147)+(((A57*2)+(B57*2))*MATERIALES!$C$210)+((((A57*2)+(B57*4))/0.1)*MATERIALES!$C$192)+(((A57*2)+(B57*4))*MATERIALES!$C$165)+(2*MATERIALES!$C$187)+(0.5*MATERIALES!$C$167)</f>
        <v>3871.0900800000004</v>
      </c>
      <c r="H57" s="59">
        <f>(16*MATERIALES!$C$189)+(1*MATERIALES!$C$194)+(4*MATERIALES!$C$206)+(2*MATERIALES!$C$208)+(((A57*2)+(B57*6))*MATERIALES!$C$208)+(4*MATERIALES!$C$148)+(((A57*5)*2)*MATERIALES!$C$147)+(((A57*2)+(B57*2))*MATERIALES!$C$209)+((((A57*2)+(B57*6))/0.1)*MATERIALES!$C$192)+(((A57*2)+(B57*6))*MATERIALES!$C$165)+(2*MATERIALES!$C$187)+(0.5*MATERIALES!$C$167)</f>
        <v>10418.896799999999</v>
      </c>
      <c r="I57" s="75"/>
      <c r="J57" s="55">
        <f>(A57*B57)*MATERIALES!$D$82</f>
        <v>1526.3999999999999</v>
      </c>
      <c r="K57" s="55">
        <f>(A57*B57)*MATERIALES!$D$82</f>
        <v>1526.3999999999999</v>
      </c>
      <c r="L57" s="55">
        <f>(A57*B57)*MATERIALES!$D$82</f>
        <v>1526.3999999999999</v>
      </c>
      <c r="M57" s="55">
        <f>(((A57*B57)*2)*MATERIALES!$D$83)+(4*MATERIALES!$C$229)+(((A57*2)+(B57*2))*MATERIALES!$C$230)+(((A57*2)+(B57*2))*MATERIALES!$C$231)+((((A57*2)+(B57*2))/15)*MATERIALES!$C$232)+((((A57*2)+(B57*2))/15)*(MATERIALES!$C$233*0.15))</f>
        <v>5437.3862399999998</v>
      </c>
      <c r="N57" s="55">
        <f>(((A57*B57)*2)*MATERIALES!$D$83)+(8*MATERIALES!$C$229)+(((A57*2)+(B57*4))*MATERIALES!$C$230)+(((A57*2)+(B57*4))*MATERIALES!$C$231)+((((A57*2)+(B57*4))/15)*MATERIALES!$C$232)+((((A57*2)+(B57*4))/15)*(MATERIALES!$C$233*0.15))</f>
        <v>6016.4083200000005</v>
      </c>
      <c r="O57" s="55">
        <f>(((A57*B57)*2)*MATERIALES!$D$83)+(12*MATERIALES!$C$229)+(((A57*2)+(B57*6))*MATERIALES!$C$230)+(((A57*2)+(B57*6))*MATERIALES!$C$231)+((((A57*2)+(B57*6))/15)*MATERIALES!$C$232)+((((A57*2)+(B57*6))/15)*(MATERIALES!$C$233*0.15))</f>
        <v>6595.4303999999993</v>
      </c>
      <c r="P57" s="55">
        <f>(A57*B57)*MATERIALES!$D$89</f>
        <v>5155.2</v>
      </c>
      <c r="Q57" s="139">
        <f>(A57*B57)*MATERIALES!$D$89</f>
        <v>5155.2</v>
      </c>
      <c r="R57" s="437">
        <f>(A57*B57)*MATERIALES!$D$89</f>
        <v>5155.2</v>
      </c>
      <c r="S57" s="132">
        <f t="shared" si="0"/>
        <v>6878.4110880000007</v>
      </c>
      <c r="T57" s="129">
        <f t="shared" si="1"/>
        <v>8085.2171040000012</v>
      </c>
      <c r="U57" s="119">
        <f t="shared" si="2"/>
        <v>16597.365839999999</v>
      </c>
      <c r="V57" s="129">
        <f t="shared" si="3"/>
        <v>14700.383568000001</v>
      </c>
      <c r="W57" s="129">
        <f t="shared" si="4"/>
        <v>17065.233744000001</v>
      </c>
      <c r="X57" s="119">
        <f t="shared" si="5"/>
        <v>26735.426639999998</v>
      </c>
      <c r="Y57" s="129">
        <f t="shared" si="6"/>
        <v>11558.411088000001</v>
      </c>
      <c r="Z57" s="131">
        <f t="shared" si="7"/>
        <v>12765.217103999999</v>
      </c>
      <c r="AA57" s="438">
        <f t="shared" si="8"/>
        <v>21277.365839999999</v>
      </c>
      <c r="AD57" s="351" t="s">
        <v>576</v>
      </c>
      <c r="AE57" s="246">
        <f t="shared" si="11"/>
        <v>15540.551568000001</v>
      </c>
      <c r="AF57" s="247">
        <f t="shared" si="9"/>
        <v>24567.957648000003</v>
      </c>
      <c r="AG57" s="250">
        <f t="shared" si="10"/>
        <v>19440.551568000003</v>
      </c>
      <c r="AH57" s="250">
        <f>+'MODENA CLASICA CORREDIZA'!M43</f>
        <v>0</v>
      </c>
      <c r="AI57" s="252"/>
    </row>
    <row r="58" spans="1:36" ht="16.5" thickBot="1">
      <c r="A58" s="68">
        <v>2.4</v>
      </c>
      <c r="B58" s="69">
        <v>1.5</v>
      </c>
      <c r="C58" s="59">
        <f>((((A58*2)+(B58*2))*MATERIALES!$C$57)+(((A58*2)+(B58*2))*MATERIALES!$C$56)+((A58*2)+(B58*2)*MATERIALES!$C$73))*(MATERIALES!$F$2*MATERIALES!$J$15)</f>
        <v>0</v>
      </c>
      <c r="D58" s="59">
        <f>((((A58*2)+(B58*2))*MATERIALES!$C$57)+(((A58*2)+(B58*4))*MATERIALES!$C$56)+(((A58*2)+(B58*4))*MATERIALES!$C$73)+(B58*MATERIALES!$C$77))*(MATERIALES!$F$2*MATERIALES!$J$15)</f>
        <v>0</v>
      </c>
      <c r="E58" s="439">
        <f>((((A58*2)+(B58*2))*MATERIALES!$C$57)+(((A58*2)+(B58*6))*MATERIALES!$C$56)+(((A58*2)+(B58*6))*MATERIALES!$C$73)+(B58*MATERIALES!$C$77))*(MATERIALES!$F$2*MATERIALES!$J$15)</f>
        <v>0</v>
      </c>
      <c r="F58" s="59">
        <f>(8*MATERIALES!$C$189)+(1*MATERIALES!$C$194)+(2*MATERIALES!$C$206)+(((A58*2)+(B58*2))*MATERIALES!$C$209)+(4*MATERIALES!$C$148)+(((A58*5)*2)*MATERIALES!$C$147)+(((A58*2)+(B58*2))*MATERIALES!$C$210)+((((A58*2)+(B58*2))/0.1)*MATERIALES!$C$192)+(((A58*2)+(B58*2))*MATERIALES!$C$165)+(2*MATERIALES!$C$187)+(0.5*MATERIALES!$C$167)</f>
        <v>3004.0982399999998</v>
      </c>
      <c r="G58" s="59">
        <f>(12*MATERIALES!$C$189)+(1*MATERIALES!$C$194)+(4*MATERIALES!$C$206)+(((A58*2)+(B58*4))*MATERIALES!$C$209)+(4*MATERIALES!$C$148)+(((A58*5)*2)*MATERIALES!$C$147)+(((A58*2)+(B58*2))*MATERIALES!$C$210)+((((A58*2)+(B58*4))/0.1)*MATERIALES!$C$192)+(((A58*2)+(B58*4))*MATERIALES!$C$165)+(2*MATERIALES!$C$187)+(0.5*MATERIALES!$C$167)</f>
        <v>3973.3886400000006</v>
      </c>
      <c r="H58" s="59">
        <f>(16*MATERIALES!$C$189)+(1*MATERIALES!$C$194)+(4*MATERIALES!$C$206)+(2*MATERIALES!$C$208)+(((A58*2)+(B58*6))*MATERIALES!$C$208)+(4*MATERIALES!$C$148)+(((A58*5)*2)*MATERIALES!$C$147)+(((A58*2)+(B58*2))*MATERIALES!$C$209)+((((A58*2)+(B58*6))/0.1)*MATERIALES!$C$192)+(((A58*2)+(B58*6))*MATERIALES!$C$165)+(2*MATERIALES!$C$187)+(0.5*MATERIALES!$C$167)</f>
        <v>11337.243840000001</v>
      </c>
      <c r="I58" s="75"/>
      <c r="J58" s="55">
        <f>(A58*B58)*MATERIALES!$D$82</f>
        <v>1907.9999999999998</v>
      </c>
      <c r="K58" s="55">
        <f>(A58*B58)*MATERIALES!$D$82</f>
        <v>1907.9999999999998</v>
      </c>
      <c r="L58" s="55">
        <f>(A58*B58)*MATERIALES!$D$82</f>
        <v>1907.9999999999998</v>
      </c>
      <c r="M58" s="55">
        <f>(((A58*B58)*2)*MATERIALES!$D$83)+(4*MATERIALES!$C$229)+(((A58*2)+(B58*2))*MATERIALES!$C$230)+(((A58*2)+(B58*2))*MATERIALES!$C$231)+((((A58*2)+(B58*2))/15)*MATERIALES!$C$232)+((((A58*2)+(B58*2))/15)*(MATERIALES!$C$233*0.15))</f>
        <v>6512.6817599999995</v>
      </c>
      <c r="N58" s="55">
        <f>(((A58*B58)*2)*MATERIALES!$D$83)+(8*MATERIALES!$C$229)+(((A58*2)+(B58*4))*MATERIALES!$C$230)+(((A58*2)+(B58*4))*MATERIALES!$C$231)+((((A58*2)+(B58*4))/15)*MATERIALES!$C$232)+((((A58*2)+(B58*4))/15)*(MATERIALES!$C$233*0.15))</f>
        <v>7230.9993599999998</v>
      </c>
      <c r="O58" s="55">
        <f>(((A58*B58)*2)*MATERIALES!$D$83)+(12*MATERIALES!$C$229)+(((A58*2)+(B58*6))*MATERIALES!$C$230)+(((A58*2)+(B58*6))*MATERIALES!$C$231)+((((A58*2)+(B58*6))/15)*MATERIALES!$C$232)+((((A58*2)+(B58*6))/15)*(MATERIALES!$C$233*0.15))</f>
        <v>7949.3169599999992</v>
      </c>
      <c r="P58" s="55">
        <f>(A58*B58)*MATERIALES!$D$89</f>
        <v>6443.9999999999991</v>
      </c>
      <c r="Q58" s="139">
        <f>(A58*B58)*MATERIALES!$D$89</f>
        <v>6443.9999999999991</v>
      </c>
      <c r="R58" s="437">
        <f>(A58*B58)*MATERIALES!$D$89</f>
        <v>6443.9999999999991</v>
      </c>
      <c r="S58" s="132">
        <f t="shared" si="0"/>
        <v>7721.3277119999993</v>
      </c>
      <c r="T58" s="129">
        <f t="shared" si="1"/>
        <v>8981.405232000001</v>
      </c>
      <c r="U58" s="119">
        <f t="shared" si="2"/>
        <v>18554.416992000002</v>
      </c>
      <c r="V58" s="129">
        <f t="shared" si="3"/>
        <v>16930.691231999997</v>
      </c>
      <c r="W58" s="129">
        <f t="shared" si="4"/>
        <v>19627.403952000001</v>
      </c>
      <c r="X58" s="119">
        <f t="shared" si="5"/>
        <v>30637.050911999999</v>
      </c>
      <c r="Y58" s="129">
        <f t="shared" si="6"/>
        <v>13571.327711999998</v>
      </c>
      <c r="Z58" s="131">
        <f t="shared" si="7"/>
        <v>14831.405231999999</v>
      </c>
      <c r="AA58" s="438">
        <f t="shared" si="8"/>
        <v>24404.416991999999</v>
      </c>
      <c r="AD58" s="246" t="s">
        <v>577</v>
      </c>
      <c r="AE58" s="246">
        <f t="shared" si="11"/>
        <v>17370.402719999998</v>
      </c>
      <c r="AF58" s="247">
        <f t="shared" si="9"/>
        <v>28157.581920000001</v>
      </c>
      <c r="AG58" s="250">
        <f t="shared" si="10"/>
        <v>22245.402719999998</v>
      </c>
      <c r="AH58" s="250">
        <f>+'MODENA CLASICA CORREDIZA'!M44</f>
        <v>0</v>
      </c>
      <c r="AI58" s="252"/>
    </row>
    <row r="59" spans="1:36" ht="16.5" thickBot="1">
      <c r="A59" s="71">
        <v>2.4</v>
      </c>
      <c r="B59" s="72">
        <v>1.8</v>
      </c>
      <c r="C59" s="59">
        <f>((((A59*2)+(B59*2))*MATERIALES!$C$57)+(((A59*2)+(B59*2))*MATERIALES!$C$56)+((A59*2)+(B59*2)*MATERIALES!$C$73))*(MATERIALES!$F$2*MATERIALES!$J$15)</f>
        <v>0</v>
      </c>
      <c r="D59" s="60">
        <f>((((A59*2)+(B59*2))*MATERIALES!$C$57)+(((A59*2)+(B59*4))*MATERIALES!$C$56)+(((A59*2)+(B59*4))*MATERIALES!$C$73)+(B59*MATERIALES!$C$77))*(MATERIALES!$F$2*MATERIALES!$J$15)</f>
        <v>0</v>
      </c>
      <c r="E59" s="439">
        <f>((((A59*2)+(B59*2))*MATERIALES!$C$57)+(((A59*2)+(B59*6))*MATERIALES!$C$56)+(((A59*2)+(B59*6))*MATERIALES!$C$73)+(B59*MATERIALES!$C$77))*(MATERIALES!$F$2*MATERIALES!$J$15)</f>
        <v>0</v>
      </c>
      <c r="F59" s="60">
        <f>(8*MATERIALES!$C$189)+(1*MATERIALES!$C$194)+(2*MATERIALES!$C$206)+(((A59*2)+(B59*2))*MATERIALES!$C$209)+(4*MATERIALES!$C$148)+(((A59*5)*2)*MATERIALES!$C$147)+(((A59*2)+(B59*2))*MATERIALES!$C$210)+((((A59*2)+(B59*2))/0.1)*MATERIALES!$C$192)+(((A59*2)+(B59*2))*MATERIALES!$C$165)+(2*MATERIALES!$C$187)+(0.5*MATERIALES!$C$167)</f>
        <v>3065.4187200000006</v>
      </c>
      <c r="G59" s="60">
        <f>(12*MATERIALES!$C$189)+(1*MATERIALES!$C$194)+(4*MATERIALES!$C$206)+(((A59*2)+(B59*4))*MATERIALES!$C$209)+(4*MATERIALES!$C$148)+(((A59*5)*2)*MATERIALES!$C$147)+(((A59*2)+(B59*2))*MATERIALES!$C$210)+((((A59*2)+(B59*4))/0.1)*MATERIALES!$C$192)+(((A59*2)+(B59*4))*MATERIALES!$C$165)+(2*MATERIALES!$C$187)+(0.5*MATERIALES!$C$167)</f>
        <v>4075.6871999999998</v>
      </c>
      <c r="H59" s="59">
        <f>(16*MATERIALES!$C$189)+(1*MATERIALES!$C$194)+(4*MATERIALES!$C$206)+(2*MATERIALES!$C$208)+(((A59*2)+(B59*6))*MATERIALES!$C$208)+(4*MATERIALES!$C$148)+(((A59*5)*2)*MATERIALES!$C$147)+(((A59*2)+(B59*2))*MATERIALES!$C$209)+((((A59*2)+(B59*6))/0.1)*MATERIALES!$C$192)+(((A59*2)+(B59*6))*MATERIALES!$C$165)+(2*MATERIALES!$C$187)+(0.5*MATERIALES!$C$167)</f>
        <v>12255.59088</v>
      </c>
      <c r="I59" s="76"/>
      <c r="J59" s="56">
        <f>(A59*B59)*MATERIALES!$D$82</f>
        <v>2289.6000000000004</v>
      </c>
      <c r="K59" s="56">
        <f>(A59*B59)*MATERIALES!$D$82</f>
        <v>2289.6000000000004</v>
      </c>
      <c r="L59" s="56">
        <f>(A59*B59)*MATERIALES!$D$82</f>
        <v>2289.6000000000004</v>
      </c>
      <c r="M59" s="56">
        <f>(((A59*B59)*2)*MATERIALES!$D$83)+(4*MATERIALES!$C$229)+(((A59*2)+(B59*2))*MATERIALES!$C$230)+(((A59*2)+(B59*2))*MATERIALES!$C$231)+((((A59*2)+(B59*2))/15)*MATERIALES!$C$232)+((((A59*2)+(B59*2))/15)*(MATERIALES!$C$233*0.15))</f>
        <v>7587.9772800000001</v>
      </c>
      <c r="N59" s="56">
        <f>(((A59*B59)*2)*MATERIALES!$D$83)+(8*MATERIALES!$C$229)+(((A59*2)+(B59*4))*MATERIALES!$C$230)+(((A59*2)+(B59*4))*MATERIALES!$C$231)+((((A59*2)+(B59*4))/15)*MATERIALES!$C$232)+((((A59*2)+(B59*4))/15)*(MATERIALES!$C$233*0.15))</f>
        <v>8445.590400000001</v>
      </c>
      <c r="O59" s="55">
        <f>(((A59*B59)*2)*MATERIALES!$D$83)+(12*MATERIALES!$C$229)+(((A59*2)+(B59*6))*MATERIALES!$C$230)+(((A59*2)+(B59*6))*MATERIALES!$C$231)+((((A59*2)+(B59*6))/15)*MATERIALES!$C$232)+((((A59*2)+(B59*6))/15)*(MATERIALES!$C$233*0.15))</f>
        <v>9303.2035200000009</v>
      </c>
      <c r="P59" s="56">
        <f>(A59*B59)*MATERIALES!$D$89</f>
        <v>7732.8</v>
      </c>
      <c r="Q59" s="140">
        <f>(A59*B59)*MATERIALES!$D$89</f>
        <v>7732.8</v>
      </c>
      <c r="R59" s="437">
        <f>(A59*B59)*MATERIALES!$D$89</f>
        <v>7732.8</v>
      </c>
      <c r="S59" s="133">
        <f t="shared" si="0"/>
        <v>8564.2443360000016</v>
      </c>
      <c r="T59" s="130">
        <f t="shared" si="1"/>
        <v>9877.5933600000008</v>
      </c>
      <c r="U59" s="119">
        <f t="shared" si="2"/>
        <v>20511.468143999999</v>
      </c>
      <c r="V59" s="130">
        <f t="shared" si="3"/>
        <v>19160.998896000001</v>
      </c>
      <c r="W59" s="130">
        <f t="shared" si="4"/>
        <v>22189.574160000004</v>
      </c>
      <c r="X59" s="119">
        <f t="shared" si="5"/>
        <v>34538.675184</v>
      </c>
      <c r="Y59" s="130">
        <f t="shared" si="6"/>
        <v>15584.244336000002</v>
      </c>
      <c r="Z59" s="131">
        <f t="shared" si="7"/>
        <v>16897.593359999999</v>
      </c>
      <c r="AA59" s="438">
        <f t="shared" si="8"/>
        <v>27531.468143999999</v>
      </c>
      <c r="AD59" s="440" t="s">
        <v>578</v>
      </c>
      <c r="AE59" s="246">
        <f t="shared" si="11"/>
        <v>19200.253872000001</v>
      </c>
      <c r="AF59" s="247">
        <f t="shared" si="9"/>
        <v>31747.206192000005</v>
      </c>
      <c r="AG59" s="250">
        <f t="shared" si="10"/>
        <v>25050.253872000001</v>
      </c>
      <c r="AH59" s="250">
        <f>+'MODENA CLASICA CORREDIZA'!M45</f>
        <v>0</v>
      </c>
      <c r="AI59" s="252"/>
    </row>
    <row r="60" spans="1:36">
      <c r="AE60" s="77"/>
      <c r="AF60" s="77"/>
      <c r="AG60" s="77"/>
    </row>
    <row r="61" spans="1:36">
      <c r="A61" s="77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</row>
  </sheetData>
  <mergeCells count="13">
    <mergeCell ref="Y4:AA4"/>
    <mergeCell ref="A3:AA3"/>
    <mergeCell ref="AK1:AK11"/>
    <mergeCell ref="AD3:AH4"/>
    <mergeCell ref="P2:Q2"/>
    <mergeCell ref="J2:N2"/>
    <mergeCell ref="J4:L4"/>
    <mergeCell ref="M4:O4"/>
    <mergeCell ref="C2:I2"/>
    <mergeCell ref="A5:I5"/>
    <mergeCell ref="P4:R4"/>
    <mergeCell ref="S4:U4"/>
    <mergeCell ref="V4:X4"/>
  </mergeCells>
  <pageMargins left="1.1200000000000001" right="0.59055118110236227" top="0" bottom="0" header="0.31496062992125984" footer="0.31496062992125984"/>
  <pageSetup scale="76" orientation="portrait" r:id="rId1"/>
  <tableParts count="3">
    <tablePart r:id="rId2"/>
    <tablePart r:id="rId3"/>
    <tablePart r:id="rId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66"/>
  <sheetViews>
    <sheetView topLeftCell="N1" workbookViewId="0">
      <selection activeCell="T41" sqref="T41"/>
    </sheetView>
  </sheetViews>
  <sheetFormatPr baseColWidth="10" defaultRowHeight="15"/>
  <cols>
    <col min="1" max="2" width="0" hidden="1" customWidth="1"/>
    <col min="3" max="3" width="12.28515625" hidden="1" customWidth="1"/>
    <col min="4" max="8" width="0" hidden="1" customWidth="1"/>
    <col min="9" max="11" width="12.28515625" hidden="1" customWidth="1"/>
    <col min="12" max="12" width="21.28515625" hidden="1" customWidth="1"/>
    <col min="13" max="13" width="0" hidden="1" customWidth="1"/>
    <col min="15" max="15" width="14" customWidth="1"/>
    <col min="16" max="19" width="16.28515625" customWidth="1"/>
    <col min="20" max="20" width="5.42578125" customWidth="1"/>
  </cols>
  <sheetData>
    <row r="1" spans="1:20" ht="15.75" thickBot="1">
      <c r="O1" s="32"/>
      <c r="P1" s="32"/>
      <c r="Q1" s="32"/>
      <c r="R1" s="32"/>
      <c r="S1" s="267"/>
      <c r="T1" s="884" t="s">
        <v>647</v>
      </c>
    </row>
    <row r="2" spans="1:20" ht="15.75" customHeight="1" thickBot="1">
      <c r="C2" s="895">
        <v>0.3</v>
      </c>
      <c r="D2" s="897"/>
      <c r="E2" s="896"/>
      <c r="F2" s="895">
        <v>1</v>
      </c>
      <c r="G2" s="897"/>
      <c r="H2" s="141">
        <v>0.5</v>
      </c>
      <c r="K2" s="62" t="s">
        <v>163</v>
      </c>
      <c r="O2" s="32"/>
      <c r="P2" s="32"/>
      <c r="Q2" s="32"/>
      <c r="R2" s="32"/>
      <c r="S2" s="267"/>
      <c r="T2" s="885"/>
    </row>
    <row r="3" spans="1:20" ht="24" thickBot="1">
      <c r="A3" s="792" t="s">
        <v>377</v>
      </c>
      <c r="B3" s="793"/>
      <c r="C3" s="793"/>
      <c r="D3" s="793"/>
      <c r="E3" s="793"/>
      <c r="F3" s="793"/>
      <c r="G3" s="793"/>
      <c r="H3" s="793"/>
      <c r="I3" s="793"/>
      <c r="J3" s="793"/>
      <c r="K3" s="794"/>
      <c r="O3" s="841" t="s">
        <v>660</v>
      </c>
      <c r="P3" s="842"/>
      <c r="Q3" s="842"/>
      <c r="R3" s="843"/>
      <c r="S3" s="259"/>
      <c r="T3" s="885"/>
    </row>
    <row r="4" spans="1:20" s="32" customFormat="1" ht="24" thickBot="1">
      <c r="A4" s="116" t="s">
        <v>116</v>
      </c>
      <c r="B4" s="116" t="s">
        <v>117</v>
      </c>
      <c r="C4" s="116" t="s">
        <v>162</v>
      </c>
      <c r="D4" s="116" t="s">
        <v>376</v>
      </c>
      <c r="E4" s="116" t="s">
        <v>120</v>
      </c>
      <c r="F4" s="225" t="s">
        <v>520</v>
      </c>
      <c r="G4" s="134" t="s">
        <v>260</v>
      </c>
      <c r="H4" s="136" t="s">
        <v>259</v>
      </c>
      <c r="I4" s="225" t="s">
        <v>521</v>
      </c>
      <c r="J4" s="136" t="s">
        <v>262</v>
      </c>
      <c r="K4" s="116" t="s">
        <v>263</v>
      </c>
      <c r="O4" s="844"/>
      <c r="P4" s="845"/>
      <c r="Q4" s="845"/>
      <c r="R4" s="846"/>
      <c r="S4" s="259"/>
      <c r="T4" s="885"/>
    </row>
    <row r="5" spans="1:20" ht="38.25" thickBot="1">
      <c r="A5" s="795"/>
      <c r="B5" s="796"/>
      <c r="C5" s="796"/>
      <c r="D5" s="796"/>
      <c r="E5" s="796"/>
      <c r="F5" s="796"/>
      <c r="G5" s="796"/>
      <c r="H5" s="796"/>
      <c r="I5" s="796"/>
      <c r="J5" s="796"/>
      <c r="K5" s="797"/>
      <c r="L5" s="197"/>
      <c r="M5" s="4"/>
      <c r="O5" s="239" t="s">
        <v>534</v>
      </c>
      <c r="P5" s="240" t="s">
        <v>648</v>
      </c>
      <c r="Q5" s="240" t="s">
        <v>649</v>
      </c>
      <c r="R5" s="240" t="s">
        <v>650</v>
      </c>
      <c r="S5" s="267"/>
      <c r="T5" s="885"/>
    </row>
    <row r="6" spans="1:20" ht="15.75">
      <c r="A6" s="158">
        <v>0.6</v>
      </c>
      <c r="B6" s="159">
        <v>0.4</v>
      </c>
      <c r="C6" s="74">
        <f>((((A6*2)+(B6*2))*MATERIALES!$C$57)+(((A6*2)+(B6*2))*MATERIALES!$C$56)+(((A6*2)+(B6*2))*MATERIALES!$C$73))*(MATERIALES!$F$2*MATERIALES!$J$15)</f>
        <v>0</v>
      </c>
      <c r="D6" s="74">
        <f>(8*MATERIALES!$C$189)+(1*MATERIALES!$C$195)+(((A6*2)+(B6*2))*MATERIALES!$C$209)+(4*MATERIALES!$C$148)+(((A6*5)*2)*MATERIALES!$C$147)+(((A6*2)+(B6*2))*MATERIALES!$C$210)+((((A6*2)+(B6*2))/0.1)*MATERIALES!$C$192)+(((A6*2)+(B6*2))*MATERIALES!$C$165)+(2*MATERIALES!$C$187)</f>
        <v>7199.7536</v>
      </c>
      <c r="E6" s="74">
        <f>(0.5*MATERIALES!$D$254)</f>
        <v>557</v>
      </c>
      <c r="F6" s="111">
        <f>(A6*B6)*MATERIALES!$D$82</f>
        <v>127.19999999999999</v>
      </c>
      <c r="G6" s="111">
        <f>(((A6*B6)*2)*MATERIALES!$D$83)+(4*MATERIALES!$C$229)+(((A6*2)+(B6*2))*MATERIALES!$C$230)+(((A6*2)+(B6*2))*MATERIALES!$C$231)+((((A6*2)+(B6*2))/15)*MATERIALES!$C$232)+((((A6*2)+(B6*2))/15)*(MATERIALES!$C$233*0.15))</f>
        <v>798.15840000000003</v>
      </c>
      <c r="H6" s="111">
        <f>(A6*B6)*MATERIALES!$D$89</f>
        <v>429.59999999999997</v>
      </c>
      <c r="I6" s="175">
        <f>((C6+D6+E6)*1.3)+(F6*2)</f>
        <v>10338.179679999999</v>
      </c>
      <c r="J6" s="175">
        <f>((C6+D6+E6)*1.3)+(G6*2)</f>
        <v>11680.09648</v>
      </c>
      <c r="K6" s="160">
        <f>((C6+D6+E6)*1.3)+(H6*1.5)</f>
        <v>10728.179679999999</v>
      </c>
      <c r="L6" s="915" t="s">
        <v>404</v>
      </c>
      <c r="O6" s="245" t="s">
        <v>594</v>
      </c>
      <c r="P6" s="246">
        <f>+I120</f>
        <v>5315.774096000001</v>
      </c>
      <c r="Q6" s="246">
        <f>+J120</f>
        <v>7012.5696160000007</v>
      </c>
      <c r="R6" s="251">
        <f>+K120</f>
        <v>5835.774096000001</v>
      </c>
      <c r="S6" s="267"/>
      <c r="T6" s="885"/>
    </row>
    <row r="7" spans="1:20" ht="15.75">
      <c r="A7" s="161">
        <v>0.6</v>
      </c>
      <c r="B7" s="162">
        <v>0.6</v>
      </c>
      <c r="C7" s="75">
        <f>((((A7*2)+(B7*2))*MATERIALES!$C$57)+(((A7*2)+(B7*2))*MATERIALES!$C$56)+(((A7*2)+(B7*2))*MATERIALES!$C$73))*(MATERIALES!$F$2*MATERIALES!$J$15)</f>
        <v>0</v>
      </c>
      <c r="D7" s="75">
        <f>(8*MATERIALES!$C$189)+(1*MATERIALES!$C$195)+(((A7*2)+(B7*2))*MATERIALES!$C$209)+(4*MATERIALES!$C$148)+(((A7*5)*2)*MATERIALES!$C$147)+(((A7*2)+(B7*2))*MATERIALES!$C$210)+((((A7*2)+(B7*2))/0.1)*MATERIALES!$C$192)+(((A7*2)+(B7*2))*MATERIALES!$C$165)+(2*MATERIALES!$C$187)</f>
        <v>7240.6339200000002</v>
      </c>
      <c r="E7" s="75">
        <f>(0.5*MATERIALES!$D$254)</f>
        <v>557</v>
      </c>
      <c r="F7" s="112">
        <f>(A7*B7)*MATERIALES!$D$82</f>
        <v>190.79999999999998</v>
      </c>
      <c r="G7" s="112">
        <f>(((A7*B7)*2)*MATERIALES!$D$83)+(4*MATERIALES!$C$229)+(((A7*2)+(B7*2))*MATERIALES!$C$230)+(((A7*2)+(B7*2))*MATERIALES!$C$231)+((((A7*2)+(B7*2))/15)*MATERIALES!$C$232)+((((A7*2)+(B7*2))/15)*(MATERIALES!$C$233*0.15))</f>
        <v>1047.02208</v>
      </c>
      <c r="H7" s="112">
        <f>(A7*B7)*MATERIALES!$D$89</f>
        <v>644.4</v>
      </c>
      <c r="I7" s="167">
        <f t="shared" ref="I7:I37" si="0">((C7+D7+E7)*1.3)+(F7*2)</f>
        <v>10518.524096000001</v>
      </c>
      <c r="J7" s="167">
        <f t="shared" ref="J7:J37" si="1">((C7+D7+E7)*1.3)+(G7*2)</f>
        <v>12230.968256</v>
      </c>
      <c r="K7" s="163">
        <f t="shared" ref="K7:K37" si="2">((C7+D7+E7)*1.3)+(H7*1.5)</f>
        <v>11103.524096000001</v>
      </c>
      <c r="L7" s="916"/>
      <c r="O7" s="245" t="s">
        <v>595</v>
      </c>
      <c r="P7" s="246">
        <f t="shared" ref="P7:P10" si="3">+I121</f>
        <v>5453.7185120000004</v>
      </c>
      <c r="Q7" s="246">
        <f t="shared" ref="Q7:Q10" si="4">+J121</f>
        <v>7413.4900320000006</v>
      </c>
      <c r="R7" s="251">
        <f t="shared" ref="R7:R10" si="5">+K121</f>
        <v>6103.7185120000004</v>
      </c>
      <c r="S7" s="267"/>
      <c r="T7" s="885"/>
    </row>
    <row r="8" spans="1:20" ht="15.75">
      <c r="A8" s="161">
        <v>0.6</v>
      </c>
      <c r="B8" s="162">
        <v>0.6</v>
      </c>
      <c r="C8" s="75">
        <f>((((A8*2)+(B8*2))*MATERIALES!$C$57)+(((A8*2)+(B8*2))*MATERIALES!$C$56)+(((A8*2)+(B8*2))*MATERIALES!$C$73))*(MATERIALES!$F$2*MATERIALES!$J$15)</f>
        <v>0</v>
      </c>
      <c r="D8" s="75">
        <f>(8*MATERIALES!$C$189)+(1*MATERIALES!$C$195)+(((A8*2)+(B8*2))*MATERIALES!$C$209)+(4*MATERIALES!$C$148)+(((A8*5)*2)*MATERIALES!$C$147)+(((A8*2)+(B8*2))*MATERIALES!$C$210)+((((A8*2)+(B8*2))/0.1)*MATERIALES!$C$192)+(((A8*2)+(B8*2))*MATERIALES!$C$165)+(2*MATERIALES!$C$187)</f>
        <v>7240.6339200000002</v>
      </c>
      <c r="E8" s="75">
        <f>(0.5*MATERIALES!$D$254)</f>
        <v>557</v>
      </c>
      <c r="F8" s="112">
        <f>(A8*B8)*MATERIALES!$D$82</f>
        <v>190.79999999999998</v>
      </c>
      <c r="G8" s="112">
        <f>(((A8*B8)*2)*MATERIALES!$D$83)+(4*MATERIALES!$C$229)+(((A8*2)+(B8*2))*MATERIALES!$C$230)+(((A8*2)+(B8*2))*MATERIALES!$C$231)+((((A8*2)+(B8*2))/15)*MATERIALES!$C$232)+((((A8*2)+(B8*2))/15)*(MATERIALES!$C$233*0.15))</f>
        <v>1047.02208</v>
      </c>
      <c r="H8" s="112">
        <f>(A8*B8)*MATERIALES!$D$89</f>
        <v>644.4</v>
      </c>
      <c r="I8" s="167">
        <f t="shared" si="0"/>
        <v>10518.524096000001</v>
      </c>
      <c r="J8" s="167">
        <f t="shared" si="1"/>
        <v>12230.968256</v>
      </c>
      <c r="K8" s="163">
        <f t="shared" si="2"/>
        <v>11103.524096000001</v>
      </c>
      <c r="L8" s="916"/>
      <c r="O8" s="245" t="s">
        <v>651</v>
      </c>
      <c r="P8" s="246">
        <f t="shared" si="3"/>
        <v>5522.6907199999996</v>
      </c>
      <c r="Q8" s="246">
        <f t="shared" si="4"/>
        <v>7636.9259200000006</v>
      </c>
      <c r="R8" s="251">
        <f t="shared" si="5"/>
        <v>6237.6907200000005</v>
      </c>
      <c r="S8" s="267"/>
      <c r="T8" s="885"/>
    </row>
    <row r="9" spans="1:20" ht="15.75">
      <c r="A9" s="161">
        <v>0.4</v>
      </c>
      <c r="B9" s="162">
        <v>0.8</v>
      </c>
      <c r="C9" s="75">
        <f>((((A9*2)+(B9*2))*MATERIALES!$C$57)+(((A9*2)+(B9*2))*MATERIALES!$C$56)+(((A9*2)+(B9*2))*MATERIALES!$C$73))*(MATERIALES!$F$2*MATERIALES!$J$15)</f>
        <v>0</v>
      </c>
      <c r="D9" s="75">
        <f>(8*MATERIALES!$C$189)+(1*MATERIALES!$C$195)+(((A9*2)+(B9*2))*MATERIALES!$C$209)+(4*MATERIALES!$C$148)+(((A9*5)*2)*MATERIALES!$C$147)+(((A9*2)+(B9*2))*MATERIALES!$C$210)+((((A9*2)+(B9*2))/0.1)*MATERIALES!$C$192)+(((A9*2)+(B9*2))*MATERIALES!$C$165)+(2*MATERIALES!$C$187)</f>
        <v>7240.6339200000002</v>
      </c>
      <c r="E9" s="75">
        <f>(0.5*MATERIALES!$D$254)</f>
        <v>557</v>
      </c>
      <c r="F9" s="112">
        <f>(A9*B9)*MATERIALES!$D$82</f>
        <v>169.60000000000002</v>
      </c>
      <c r="G9" s="112">
        <f>(((A9*B9)*2)*MATERIALES!$D$83)+(4*MATERIALES!$C$229)+(((A9*2)+(B9*2))*MATERIALES!$C$230)+(((A9*2)+(B9*2))*MATERIALES!$C$231)+((((A9*2)+(B9*2))/15)*MATERIALES!$C$232)+((((A9*2)+(B9*2))/15)*(MATERIALES!$C$233*0.15))</f>
        <v>995.02208000000007</v>
      </c>
      <c r="H9" s="112">
        <f>(A9*B9)*MATERIALES!$D$89</f>
        <v>572.80000000000007</v>
      </c>
      <c r="I9" s="167">
        <f t="shared" si="0"/>
        <v>10476.124096000001</v>
      </c>
      <c r="J9" s="167">
        <f t="shared" si="1"/>
        <v>12126.968256</v>
      </c>
      <c r="K9" s="163">
        <f t="shared" si="2"/>
        <v>10996.124096000001</v>
      </c>
      <c r="L9" s="916"/>
      <c r="O9" s="245" t="s">
        <v>596</v>
      </c>
      <c r="P9" s="246">
        <f t="shared" si="3"/>
        <v>5591.6629280000006</v>
      </c>
      <c r="Q9" s="246">
        <f t="shared" si="4"/>
        <v>7860.3618080000006</v>
      </c>
      <c r="R9" s="251">
        <f t="shared" si="5"/>
        <v>6371.6629280000006</v>
      </c>
      <c r="S9" s="267"/>
      <c r="T9" s="885"/>
    </row>
    <row r="10" spans="1:20" ht="15.75">
      <c r="A10" s="161">
        <v>0.5</v>
      </c>
      <c r="B10" s="162">
        <v>0.8</v>
      </c>
      <c r="C10" s="75">
        <f>((((A10*2)+(B10*2))*MATERIALES!$C$57)+(((A10*2)+(B10*2))*MATERIALES!$C$56)+(((A10*2)+(B10*2))*MATERIALES!$C$73))*(MATERIALES!$F$2*MATERIALES!$J$15)</f>
        <v>0</v>
      </c>
      <c r="D10" s="75">
        <f>(8*MATERIALES!$C$189)+(1*MATERIALES!$C$195)+(((A10*2)+(B10*2))*MATERIALES!$C$209)+(4*MATERIALES!$C$148)+(((A10*5)*2)*MATERIALES!$C$147)+(((A10*2)+(B10*2))*MATERIALES!$C$210)+((((A10*2)+(B10*2))/0.1)*MATERIALES!$C$192)+(((A10*2)+(B10*2))*MATERIALES!$C$165)+(2*MATERIALES!$C$187)</f>
        <v>7261.0740799999994</v>
      </c>
      <c r="E10" s="75">
        <f>(0.5*MATERIALES!$D$254)</f>
        <v>557</v>
      </c>
      <c r="F10" s="112">
        <f>(A10*B10)*MATERIALES!$D$82</f>
        <v>212</v>
      </c>
      <c r="G10" s="112">
        <f>(((A10*B10)*2)*MATERIALES!$D$83)+(4*MATERIALES!$C$229)+(((A10*2)+(B10*2))*MATERIALES!$C$230)+(((A10*2)+(B10*2))*MATERIALES!$C$231)+((((A10*2)+(B10*2))/15)*MATERIALES!$C$232)+((((A10*2)+(B10*2))/15)*(MATERIALES!$C$233*0.15))</f>
        <v>1145.4539199999999</v>
      </c>
      <c r="H10" s="112">
        <f>(A10*B10)*MATERIALES!$D$89</f>
        <v>716</v>
      </c>
      <c r="I10" s="167">
        <f t="shared" si="0"/>
        <v>10587.496304</v>
      </c>
      <c r="J10" s="167">
        <f t="shared" si="1"/>
        <v>12454.404144</v>
      </c>
      <c r="K10" s="163">
        <f t="shared" si="2"/>
        <v>11237.496304</v>
      </c>
      <c r="L10" s="916"/>
      <c r="O10" s="245" t="s">
        <v>597</v>
      </c>
      <c r="P10" s="246">
        <f t="shared" si="3"/>
        <v>5798.5795520000011</v>
      </c>
      <c r="Q10" s="246">
        <f t="shared" si="4"/>
        <v>8530.6694720000014</v>
      </c>
      <c r="R10" s="251">
        <f t="shared" si="5"/>
        <v>6773.5795520000011</v>
      </c>
      <c r="S10" s="267"/>
      <c r="T10" s="885"/>
    </row>
    <row r="11" spans="1:20" ht="16.5" thickBot="1">
      <c r="A11" s="161">
        <v>0.6</v>
      </c>
      <c r="B11" s="162">
        <v>0.8</v>
      </c>
      <c r="C11" s="75">
        <f>((((A11*2)+(B11*2))*MATERIALES!$C$57)+(((A11*2)+(B11*2))*MATERIALES!$C$56)+(((A11*2)+(B11*2))*MATERIALES!$C$73))*(MATERIALES!$F$2*MATERIALES!$J$15)</f>
        <v>0</v>
      </c>
      <c r="D11" s="75">
        <f>(8*MATERIALES!$C$189)+(1*MATERIALES!$C$195)+(((A11*2)+(B11*2))*MATERIALES!$C$209)+(4*MATERIALES!$C$148)+(((A11*5)*2)*MATERIALES!$C$147)+(((A11*2)+(B11*2))*MATERIALES!$C$210)+((((A11*2)+(B11*2))/0.1)*MATERIALES!$C$192)+(((A11*2)+(B11*2))*MATERIALES!$C$165)+(2*MATERIALES!$C$187)</f>
        <v>7281.5142400000004</v>
      </c>
      <c r="E11" s="75">
        <f>(0.5*MATERIALES!$D$254)</f>
        <v>557</v>
      </c>
      <c r="F11" s="112">
        <f>(A11*B11)*MATERIALES!$D$82</f>
        <v>254.39999999999998</v>
      </c>
      <c r="G11" s="112">
        <f>(((A11*B11)*2)*MATERIALES!$D$83)+(4*MATERIALES!$C$229)+(((A11*2)+(B11*2))*MATERIALES!$C$230)+(((A11*2)+(B11*2))*MATERIALES!$C$231)+((((A11*2)+(B11*2))/15)*MATERIALES!$C$232)+((((A11*2)+(B11*2))/15)*(MATERIALES!$C$233*0.15))</f>
        <v>1295.8857600000001</v>
      </c>
      <c r="H11" s="112">
        <f>(A11*B11)*MATERIALES!$D$89</f>
        <v>859.19999999999993</v>
      </c>
      <c r="I11" s="167">
        <f t="shared" si="0"/>
        <v>10698.868512000001</v>
      </c>
      <c r="J11" s="167">
        <f t="shared" si="1"/>
        <v>12781.840032000002</v>
      </c>
      <c r="K11" s="163">
        <f t="shared" si="2"/>
        <v>11478.868512000001</v>
      </c>
      <c r="L11" s="916"/>
      <c r="O11" s="245" t="s">
        <v>599</v>
      </c>
      <c r="P11" s="246">
        <f>+I127</f>
        <v>5427.1463040000008</v>
      </c>
      <c r="Q11" s="246">
        <f>+J127</f>
        <v>7294.0541440000006</v>
      </c>
      <c r="R11" s="251">
        <f>+K127</f>
        <v>6077.1463040000008</v>
      </c>
      <c r="S11" s="267"/>
      <c r="T11" s="886"/>
    </row>
    <row r="12" spans="1:20" ht="15.75">
      <c r="A12" s="161">
        <v>1</v>
      </c>
      <c r="B12" s="162">
        <v>0.4</v>
      </c>
      <c r="C12" s="75">
        <f>((((A12*2)+(B12*2))*MATERIALES!$C$57)+(((A12*2)+(B12*2))*MATERIALES!$C$56)+(((A12*2)+(B12*2))*MATERIALES!$C$73))*(MATERIALES!$F$2*MATERIALES!$J$15)</f>
        <v>0</v>
      </c>
      <c r="D12" s="75">
        <f>(8*MATERIALES!$C$189)+(1*MATERIALES!$C$195)+(((A12*2)+(B12*2))*MATERIALES!$C$209)+(4*MATERIALES!$C$148)+(((A12*5)*2)*MATERIALES!$C$147)+(((A12*2)+(B12*2))*MATERIALES!$C$210)+((((A12*2)+(B12*2))/0.1)*MATERIALES!$C$192)+(((A12*2)+(B12*2))*MATERIALES!$C$165)+(2*MATERIALES!$C$187)</f>
        <v>7281.5142400000004</v>
      </c>
      <c r="E12" s="75">
        <f>(0.5*MATERIALES!$D$254)</f>
        <v>557</v>
      </c>
      <c r="F12" s="112">
        <f>(A12*B12)*MATERIALES!$D$82</f>
        <v>212</v>
      </c>
      <c r="G12" s="112">
        <f>(((A12*B12)*2)*MATERIALES!$D$83)+(4*MATERIALES!$C$229)+(((A12*2)+(B12*2))*MATERIALES!$C$230)+(((A12*2)+(B12*2))*MATERIALES!$C$231)+((((A12*2)+(B12*2))/15)*MATERIALES!$C$232)+((((A12*2)+(B12*2))/15)*(MATERIALES!$C$233*0.15))</f>
        <v>1191.8857600000001</v>
      </c>
      <c r="H12" s="112">
        <f>(A12*B12)*MATERIALES!$D$89</f>
        <v>716</v>
      </c>
      <c r="I12" s="167">
        <f t="shared" si="0"/>
        <v>10614.068512000002</v>
      </c>
      <c r="J12" s="167">
        <f t="shared" si="1"/>
        <v>12573.840032000002</v>
      </c>
      <c r="K12" s="163">
        <f t="shared" si="2"/>
        <v>11264.068512000002</v>
      </c>
      <c r="L12" s="916"/>
      <c r="O12" s="245" t="s">
        <v>600</v>
      </c>
      <c r="P12" s="246">
        <f t="shared" ref="P12:P15" si="6">+I128</f>
        <v>5586.29072</v>
      </c>
      <c r="Q12" s="246">
        <f t="shared" ref="Q12:Q15" si="7">+J128</f>
        <v>7792.9259199999997</v>
      </c>
      <c r="R12" s="251">
        <f t="shared" ref="R12:R15" si="8">+K128</f>
        <v>6398.79072</v>
      </c>
      <c r="S12" s="248"/>
      <c r="T12" s="4"/>
    </row>
    <row r="13" spans="1:20" ht="16.5" thickBot="1">
      <c r="A13" s="161">
        <v>0.4</v>
      </c>
      <c r="B13" s="162">
        <v>0.8</v>
      </c>
      <c r="C13" s="75">
        <f>((((A13*2)+(B13*2))*MATERIALES!$C$57)+(((A13*2)+(B13*2))*MATERIALES!$C$56)+(((A13*2)+(B13*2))*MATERIALES!$C$73))*(MATERIALES!$F$2*MATERIALES!$J$15)</f>
        <v>0</v>
      </c>
      <c r="D13" s="75">
        <f>(8*MATERIALES!$C$189)+(1*MATERIALES!$C$195)+(((A13*2)+(B13*2))*MATERIALES!$C$209)+(4*MATERIALES!$C$148)+(((A13*5)*2)*MATERIALES!$C$147)+(((A13*2)+(B13*2))*MATERIALES!$C$210)+((((A13*2)+(B13*2))/0.1)*MATERIALES!$C$192)+(((A13*2)+(B13*2))*MATERIALES!$C$165)+(2*MATERIALES!$C$187)</f>
        <v>7240.6339200000002</v>
      </c>
      <c r="E13" s="75">
        <f>(0.5*MATERIALES!$D$254)</f>
        <v>557</v>
      </c>
      <c r="F13" s="112">
        <f>(A13*B13)*MATERIALES!$D$82</f>
        <v>169.60000000000002</v>
      </c>
      <c r="G13" s="112">
        <f>(((A13*B13)*2)*MATERIALES!$D$83)+(4*MATERIALES!$C$229)+(((A13*2)+(B13*2))*MATERIALES!$C$230)+(((A13*2)+(B13*2))*MATERIALES!$C$231)+((((A13*2)+(B13*2))/15)*MATERIALES!$C$232)+((((A13*2)+(B13*2))/15)*(MATERIALES!$C$233*0.15))</f>
        <v>995.02208000000007</v>
      </c>
      <c r="H13" s="112">
        <f>(A13*B13)*MATERIALES!$D$89</f>
        <v>572.80000000000007</v>
      </c>
      <c r="I13" s="167">
        <f t="shared" si="0"/>
        <v>10476.124096000001</v>
      </c>
      <c r="J13" s="167">
        <f t="shared" si="1"/>
        <v>12126.968256</v>
      </c>
      <c r="K13" s="163">
        <f t="shared" si="2"/>
        <v>10996.124096000001</v>
      </c>
      <c r="L13" s="916"/>
      <c r="O13" s="245" t="s">
        <v>652</v>
      </c>
      <c r="P13" s="246">
        <f t="shared" si="6"/>
        <v>5665.8629280000005</v>
      </c>
      <c r="Q13" s="246">
        <f t="shared" si="7"/>
        <v>8042.3618080000015</v>
      </c>
      <c r="R13" s="251">
        <f t="shared" si="8"/>
        <v>6559.6129280000005</v>
      </c>
      <c r="S13" s="248"/>
      <c r="T13" s="4"/>
    </row>
    <row r="14" spans="1:20" ht="15.75">
      <c r="A14" s="168">
        <v>0.4</v>
      </c>
      <c r="B14" s="169">
        <v>1</v>
      </c>
      <c r="C14" s="170">
        <f>((((A14*2)+(B14*2))*MATERIALES!$C$57)+(((A14*2)+(B14*2))*MATERIALES!$C$56)+(((A14*2)+(B14*2))*MATERIALES!$C$73))*(MATERIALES!$F$2*MATERIALES!$J$15)</f>
        <v>0</v>
      </c>
      <c r="D14" s="170">
        <f>(8*MATERIALES!$C$189)+(1*MATERIALES!$C$195)+(((A14*2)+(B14*2))*MATERIALES!$C$209)+(4*MATERIALES!$C$148)+(((A14*5)*2)*MATERIALES!$C$147)+(((A14*2)+(B14*2))*MATERIALES!$C$210)+((((A14*2)+(B14*2))/0.1)*MATERIALES!$C$192)+(((A14*2)+(B14*2))*MATERIALES!$C$165)+(2*MATERIALES!$C$187)</f>
        <v>7281.5142400000004</v>
      </c>
      <c r="E14" s="170">
        <f>(0.5*MATERIALES!$D$254)</f>
        <v>557</v>
      </c>
      <c r="F14" s="171">
        <f>(A14*B14)*MATERIALES!$D$82</f>
        <v>212</v>
      </c>
      <c r="G14" s="171">
        <f>(((A14*B14)*2)*MATERIALES!$D$83)+(4*MATERIALES!$C$229)+(((A14*2)+(B14*2))*MATERIALES!$C$230)+(((A14*2)+(B14*2))*MATERIALES!$C$231)+((((A14*2)+(B14*2))/15)*MATERIALES!$C$232)+((((A14*2)+(B14*2))/15)*(MATERIALES!$C$233*0.15))</f>
        <v>1191.8857600000001</v>
      </c>
      <c r="H14" s="171">
        <f>(A14*B14)*MATERIALES!$D$89</f>
        <v>716</v>
      </c>
      <c r="I14" s="172">
        <f t="shared" si="0"/>
        <v>10614.068512000002</v>
      </c>
      <c r="J14" s="172">
        <f t="shared" si="1"/>
        <v>12573.840032000002</v>
      </c>
      <c r="K14" s="174">
        <f t="shared" si="2"/>
        <v>11264.068512000002</v>
      </c>
      <c r="L14" s="917" t="s">
        <v>405</v>
      </c>
      <c r="O14" s="249" t="s">
        <v>601</v>
      </c>
      <c r="P14" s="246">
        <f t="shared" si="6"/>
        <v>5745.435136000001</v>
      </c>
      <c r="Q14" s="246">
        <f t="shared" si="7"/>
        <v>8291.7976960000015</v>
      </c>
      <c r="R14" s="251">
        <f t="shared" si="8"/>
        <v>6720.435136000001</v>
      </c>
      <c r="S14" s="252"/>
      <c r="T14" s="4"/>
    </row>
    <row r="15" spans="1:20" ht="15.75">
      <c r="A15" s="168">
        <v>0.4</v>
      </c>
      <c r="B15" s="169">
        <v>1.1000000000000001</v>
      </c>
      <c r="C15" s="170">
        <f>((((A15*2)+(B15*2))*MATERIALES!$C$57)+(((A15*2)+(B15*2))*MATERIALES!$C$56)+(((A15*2)+(B15*2))*MATERIALES!$C$73))*(MATERIALES!$F$2*MATERIALES!$J$15)</f>
        <v>0</v>
      </c>
      <c r="D15" s="170">
        <f>(8*MATERIALES!$C$189)+(1*MATERIALES!$C$195)+(((A15*2)+(B15*2))*MATERIALES!$C$209)+(4*MATERIALES!$C$148)+(((A15*5)*2)*MATERIALES!$C$147)+(((A15*2)+(B15*2))*MATERIALES!$C$210)+((((A15*2)+(B15*2))/0.1)*MATERIALES!$C$192)+(((A15*2)+(B15*2))*MATERIALES!$C$165)+(2*MATERIALES!$C$187)</f>
        <v>7301.9544000000005</v>
      </c>
      <c r="E15" s="170">
        <f>(0.5*MATERIALES!$D$254)</f>
        <v>557</v>
      </c>
      <c r="F15" s="171">
        <f>(A15*B15)*MATERIALES!$D$82</f>
        <v>233.20000000000002</v>
      </c>
      <c r="G15" s="171">
        <f>(((A15*B15)*2)*MATERIALES!$D$83)+(4*MATERIALES!$C$229)+(((A15*2)+(B15*2))*MATERIALES!$C$230)+(((A15*2)+(B15*2))*MATERIALES!$C$231)+((((A15*2)+(B15*2))/15)*MATERIALES!$C$232)+((((A15*2)+(B15*2))/15)*(MATERIALES!$C$233*0.15))</f>
        <v>1290.3176000000003</v>
      </c>
      <c r="H15" s="171">
        <f>(A15*B15)*MATERIALES!$D$89</f>
        <v>787.60000000000014</v>
      </c>
      <c r="I15" s="172">
        <f t="shared" si="0"/>
        <v>10683.040720000001</v>
      </c>
      <c r="J15" s="172">
        <f t="shared" si="1"/>
        <v>12797.275920000002</v>
      </c>
      <c r="K15" s="174">
        <f t="shared" si="2"/>
        <v>11398.040720000001</v>
      </c>
      <c r="L15" s="918"/>
      <c r="O15" s="249" t="s">
        <v>602</v>
      </c>
      <c r="P15" s="246">
        <f t="shared" si="6"/>
        <v>5984.1517600000006</v>
      </c>
      <c r="Q15" s="246">
        <f t="shared" si="7"/>
        <v>9040.1053600000014</v>
      </c>
      <c r="R15" s="251">
        <f t="shared" si="8"/>
        <v>7202.9017600000006</v>
      </c>
      <c r="S15" s="252"/>
      <c r="T15" s="4"/>
    </row>
    <row r="16" spans="1:20" ht="15.75">
      <c r="A16" s="168">
        <v>0.4</v>
      </c>
      <c r="B16" s="169">
        <v>1.2</v>
      </c>
      <c r="C16" s="170">
        <f>((((A16*2)+(B16*2))*MATERIALES!$C$57)+(((A16*2)+(B16*2))*MATERIALES!$C$56)+(((A16*2)+(B16*2))*MATERIALES!$C$73))*(MATERIALES!$F$2*MATERIALES!$J$15)</f>
        <v>0</v>
      </c>
      <c r="D16" s="170">
        <f>(8*MATERIALES!$C$189)+(1*MATERIALES!$C$195)+(((A16*2)+(B16*2))*MATERIALES!$C$209)+(4*MATERIALES!$C$148)+(((A16*5)*2)*MATERIALES!$C$147)+(((A16*2)+(B16*2))*MATERIALES!$C$210)+((((A16*2)+(B16*2))/0.1)*MATERIALES!$C$192)+(((A16*2)+(B16*2))*MATERIALES!$C$165)+(2*MATERIALES!$C$187)</f>
        <v>7322.3945599999997</v>
      </c>
      <c r="E16" s="170">
        <f>(0.5*MATERIALES!$D$254)</f>
        <v>557</v>
      </c>
      <c r="F16" s="171">
        <f>(A16*B16)*MATERIALES!$D$82</f>
        <v>254.39999999999998</v>
      </c>
      <c r="G16" s="171">
        <f>(((A16*B16)*2)*MATERIALES!$D$83)+(4*MATERIALES!$C$229)+(((A16*2)+(B16*2))*MATERIALES!$C$230)+(((A16*2)+(B16*2))*MATERIALES!$C$231)+((((A16*2)+(B16*2))/15)*MATERIALES!$C$232)+((((A16*2)+(B16*2))/15)*(MATERIALES!$C$233*0.15))</f>
        <v>1388.74944</v>
      </c>
      <c r="H16" s="171">
        <f>(A16*B16)*MATERIALES!$D$89</f>
        <v>859.19999999999993</v>
      </c>
      <c r="I16" s="172">
        <f t="shared" si="0"/>
        <v>10752.012928</v>
      </c>
      <c r="J16" s="172">
        <f t="shared" si="1"/>
        <v>13020.711808</v>
      </c>
      <c r="K16" s="174">
        <f t="shared" si="2"/>
        <v>11532.012928</v>
      </c>
      <c r="L16" s="918"/>
      <c r="O16" s="249" t="s">
        <v>540</v>
      </c>
      <c r="P16" s="250">
        <f>+I133</f>
        <v>5358.1740960000016</v>
      </c>
      <c r="Q16" s="250">
        <f>+J133</f>
        <v>7070.6182560000016</v>
      </c>
      <c r="R16" s="251">
        <f>+K133</f>
        <v>5943.1740960000006</v>
      </c>
      <c r="S16" s="252"/>
      <c r="T16" s="4"/>
    </row>
    <row r="17" spans="1:20" ht="15.75">
      <c r="A17" s="168">
        <v>0.4</v>
      </c>
      <c r="B17" s="169">
        <v>1.5</v>
      </c>
      <c r="C17" s="170">
        <f>((((A17*2)+(B17*2))*MATERIALES!$C$57)+(((A17*2)+(B17*2))*MATERIALES!$C$56)+(((A17*2)+(B17*2))*MATERIALES!$C$73))*(MATERIALES!$F$2*MATERIALES!$J$15)</f>
        <v>0</v>
      </c>
      <c r="D17" s="170">
        <f>(8*MATERIALES!$C$189)+(1*MATERIALES!$C$195)+(((A17*2)+(B17*2))*MATERIALES!$C$209)+(4*MATERIALES!$C$148)+(((A17*5)*2)*MATERIALES!$C$147)+(((A17*2)+(B17*2))*MATERIALES!$C$210)+((((A17*2)+(B17*2))/0.1)*MATERIALES!$C$192)+(((A17*2)+(B17*2))*MATERIALES!$C$165)+(2*MATERIALES!$C$187)</f>
        <v>7383.715040000001</v>
      </c>
      <c r="E17" s="170">
        <f>(0.5*MATERIALES!$D$254)</f>
        <v>557</v>
      </c>
      <c r="F17" s="171">
        <f>(A17*B17)*MATERIALES!$D$82</f>
        <v>318.00000000000006</v>
      </c>
      <c r="G17" s="171">
        <f>(((A17*B17)*2)*MATERIALES!$D$83)+(4*MATERIALES!$C$229)+(((A17*2)+(B17*2))*MATERIALES!$C$230)+(((A17*2)+(B17*2))*MATERIALES!$C$231)+((((A17*2)+(B17*2))/15)*MATERIALES!$C$232)+((((A17*2)+(B17*2))/15)*(MATERIALES!$C$233*0.15))</f>
        <v>1684.0449600000004</v>
      </c>
      <c r="H17" s="171">
        <f>(A17*B17)*MATERIALES!$D$89</f>
        <v>1074.0000000000002</v>
      </c>
      <c r="I17" s="172">
        <f t="shared" si="0"/>
        <v>10958.929552000001</v>
      </c>
      <c r="J17" s="172">
        <f t="shared" si="1"/>
        <v>13691.019472000002</v>
      </c>
      <c r="K17" s="174">
        <f t="shared" si="2"/>
        <v>11933.929552000001</v>
      </c>
      <c r="L17" s="918"/>
      <c r="O17" s="249" t="s">
        <v>603</v>
      </c>
      <c r="P17" s="250">
        <f t="shared" ref="P17:P21" si="9">+I134</f>
        <v>5538.5185120000006</v>
      </c>
      <c r="Q17" s="250">
        <f t="shared" ref="Q17:Q21" si="10">+J134</f>
        <v>7621.4900320000006</v>
      </c>
      <c r="R17" s="251">
        <f t="shared" ref="R17:R21" si="11">+K134</f>
        <v>6318.5185120000006</v>
      </c>
      <c r="S17" s="252"/>
      <c r="T17" s="4"/>
    </row>
    <row r="18" spans="1:20" ht="16.5" thickBot="1">
      <c r="A18" s="168">
        <v>3</v>
      </c>
      <c r="B18" s="169">
        <v>3</v>
      </c>
      <c r="C18" s="170">
        <f>((((A18*2)+(B18*2))*MATERIALES!$C$57)+(((A18*2)+(B18*2))*MATERIALES!$C$56)+(((A18*2)+(B18*2))*MATERIALES!$C$73))*(MATERIALES!$F$2*MATERIALES!$J$15)</f>
        <v>0</v>
      </c>
      <c r="D18" s="170">
        <f>(8*MATERIALES!$C$189)+(1*MATERIALES!$C$195)+(((A18*2)+(B18*2))*MATERIALES!$C$209)+(4*MATERIALES!$C$148)+(((A18*5)*2)*MATERIALES!$C$147)+(((A18*2)+(B18*2))*MATERIALES!$C$210)+((((A18*2)+(B18*2))/0.1)*MATERIALES!$C$192)+(((A18*2)+(B18*2))*MATERIALES!$C$165)+(2*MATERIALES!$C$187)</f>
        <v>8221.7615999999998</v>
      </c>
      <c r="E18" s="170">
        <f>(0.5*MATERIALES!$D$254)</f>
        <v>557</v>
      </c>
      <c r="F18" s="171">
        <f>(A18*B18)*MATERIALES!$D$82</f>
        <v>4770</v>
      </c>
      <c r="G18" s="171">
        <f>(((A18*B18)*2)*MATERIALES!$D$83)+(4*MATERIALES!$C$229)+(((A18*2)+(B18*2))*MATERIALES!$C$230)+(((A18*2)+(B18*2))*MATERIALES!$C$231)+((((A18*2)+(B18*2))/15)*MATERIALES!$C$232)+((((A18*2)+(B18*2))/15)*(MATERIALES!$C$233*0.15))</f>
        <v>14507.750400000001</v>
      </c>
      <c r="H18" s="171">
        <f>(A18*B18)*MATERIALES!$D$89</f>
        <v>16110</v>
      </c>
      <c r="I18" s="172">
        <f t="shared" si="0"/>
        <v>20952.390080000001</v>
      </c>
      <c r="J18" s="172">
        <f t="shared" si="1"/>
        <v>40427.890880000006</v>
      </c>
      <c r="K18" s="174">
        <f t="shared" si="2"/>
        <v>35577.390079999997</v>
      </c>
      <c r="L18" s="919"/>
      <c r="O18" s="249" t="s">
        <v>604</v>
      </c>
      <c r="P18" s="250">
        <f t="shared" si="9"/>
        <v>5718.8629280000005</v>
      </c>
      <c r="Q18" s="250">
        <f t="shared" si="10"/>
        <v>8172.3618080000006</v>
      </c>
      <c r="R18" s="251">
        <f t="shared" si="11"/>
        <v>6693.8629280000005</v>
      </c>
      <c r="S18" s="252"/>
    </row>
    <row r="19" spans="1:20" ht="15.75">
      <c r="A19" s="161">
        <v>3</v>
      </c>
      <c r="B19" s="162">
        <v>3</v>
      </c>
      <c r="C19" s="75">
        <f>((((A19*2)+(B19*2))*MATERIALES!$C$57)+(((A19*2)+(B19*2))*MATERIALES!$C$56)+(((A19*2)+(B19*2))*MATERIALES!$C$73))*(MATERIALES!$F$2*MATERIALES!$J$15)</f>
        <v>0</v>
      </c>
      <c r="D19" s="75">
        <f>(8*MATERIALES!$C$189)+(1*MATERIALES!$C$195)+(((A19*2)+(B19*2))*MATERIALES!$C$209)+(4*MATERIALES!$C$148)+(((A19*5)*2)*MATERIALES!$C$147)+(((A19*2)+(B19*2))*MATERIALES!$C$210)+((((A19*2)+(B19*2))/0.1)*MATERIALES!$C$192)+(((A19*2)+(B19*2))*MATERIALES!$C$165)+(2*MATERIALES!$C$187)</f>
        <v>8221.7615999999998</v>
      </c>
      <c r="E19" s="75">
        <f>(0.5*MATERIALES!$D$254)</f>
        <v>557</v>
      </c>
      <c r="F19" s="112">
        <f>(A19*B19)*MATERIALES!$D$82</f>
        <v>4770</v>
      </c>
      <c r="G19" s="112">
        <f>(((A19*B19)*2)*MATERIALES!$D$83)+(4*MATERIALES!$C$229)+(((A19*2)+(B19*2))*MATERIALES!$C$230)+(((A19*2)+(B19*2))*MATERIALES!$C$231)+((((A19*2)+(B19*2))/15)*MATERIALES!$C$232)+((((A19*2)+(B19*2))/15)*(MATERIALES!$C$233*0.15))</f>
        <v>14507.750400000001</v>
      </c>
      <c r="H19" s="112">
        <f>(A19*B19)*MATERIALES!$D$89</f>
        <v>16110</v>
      </c>
      <c r="I19" s="167">
        <f t="shared" si="0"/>
        <v>20952.390080000001</v>
      </c>
      <c r="J19" s="167">
        <f t="shared" si="1"/>
        <v>40427.890880000006</v>
      </c>
      <c r="K19" s="163">
        <f t="shared" si="2"/>
        <v>35577.390079999997</v>
      </c>
      <c r="L19" s="910" t="s">
        <v>404</v>
      </c>
      <c r="O19" s="249" t="s">
        <v>653</v>
      </c>
      <c r="P19" s="250">
        <f t="shared" si="9"/>
        <v>5809.0351360000013</v>
      </c>
      <c r="Q19" s="250">
        <f t="shared" si="10"/>
        <v>8447.7976960000015</v>
      </c>
      <c r="R19" s="251">
        <f t="shared" si="11"/>
        <v>6881.5351360000013</v>
      </c>
      <c r="S19" s="252"/>
    </row>
    <row r="20" spans="1:20" ht="16.5" thickBot="1">
      <c r="A20" s="161">
        <v>0.5</v>
      </c>
      <c r="B20" s="162">
        <v>0.8</v>
      </c>
      <c r="C20" s="75">
        <f>((((A20*2)+(B20*2))*MATERIALES!$C$57)+(((A20*2)+(B20*2))*MATERIALES!$C$56)+(((A20*2)+(B20*2))*MATERIALES!$C$73))*(MATERIALES!$F$2*MATERIALES!$J$15)</f>
        <v>0</v>
      </c>
      <c r="D20" s="75">
        <f>(8*MATERIALES!$C$189)+(1*MATERIALES!$C$195)+(((A20*2)+(B20*2))*MATERIALES!$C$209)+(4*MATERIALES!$C$148)+(((A20*5)*2)*MATERIALES!$C$147)+(((A20*2)+(B20*2))*MATERIALES!$C$210)+((((A20*2)+(B20*2))/0.1)*MATERIALES!$C$192)+(((A20*2)+(B20*2))*MATERIALES!$C$165)+(2*MATERIALES!$C$187)</f>
        <v>7261.0740799999994</v>
      </c>
      <c r="E20" s="75">
        <f>(0.5*MATERIALES!$D$254)</f>
        <v>557</v>
      </c>
      <c r="F20" s="112">
        <f>(A20*B20)*MATERIALES!$D$82</f>
        <v>212</v>
      </c>
      <c r="G20" s="112">
        <f>(((A20*B20)*2)*MATERIALES!$D$83)+(4*MATERIALES!$C$229)+(((A20*2)+(B20*2))*MATERIALES!$C$230)+(((A20*2)+(B20*2))*MATERIALES!$C$231)+((((A20*2)+(B20*2))/15)*MATERIALES!$C$232)+((((A20*2)+(B20*2))/15)*(MATERIALES!$C$233*0.15))</f>
        <v>1145.4539199999999</v>
      </c>
      <c r="H20" s="112">
        <f>(A20*B20)*MATERIALES!$D$89</f>
        <v>716</v>
      </c>
      <c r="I20" s="167">
        <f t="shared" si="0"/>
        <v>10587.496304</v>
      </c>
      <c r="J20" s="167">
        <f t="shared" si="1"/>
        <v>12454.404144</v>
      </c>
      <c r="K20" s="163">
        <f t="shared" si="2"/>
        <v>11237.496304</v>
      </c>
      <c r="L20" s="911"/>
      <c r="O20" s="249" t="s">
        <v>605</v>
      </c>
      <c r="P20" s="250">
        <f t="shared" si="9"/>
        <v>5899.2073439999995</v>
      </c>
      <c r="Q20" s="250">
        <f t="shared" si="10"/>
        <v>8723.2335839999996</v>
      </c>
      <c r="R20" s="251">
        <f t="shared" si="11"/>
        <v>7069.2073439999995</v>
      </c>
      <c r="S20" s="252"/>
    </row>
    <row r="21" spans="1:20" ht="15.75">
      <c r="A21" s="168">
        <v>0.5</v>
      </c>
      <c r="B21" s="169">
        <v>1</v>
      </c>
      <c r="C21" s="170">
        <f>((((A21*2)+(B21*2))*MATERIALES!$C$57)+(((A21*2)+(B21*2))*MATERIALES!$C$56)+(((A21*2)+(B21*2))*MATERIALES!$C$73))*(MATERIALES!$F$2*MATERIALES!$J$15)</f>
        <v>0</v>
      </c>
      <c r="D21" s="170">
        <f>(8*MATERIALES!$C$189)+(1*MATERIALES!$C$195)+(((A21*2)+(B21*2))*MATERIALES!$C$209)+(4*MATERIALES!$C$148)+(((A21*5)*2)*MATERIALES!$C$147)+(((A21*2)+(B21*2))*MATERIALES!$C$210)+((((A21*2)+(B21*2))/0.1)*MATERIALES!$C$192)+(((A21*2)+(B21*2))*MATERIALES!$C$165)+(2*MATERIALES!$C$187)</f>
        <v>7301.9544000000005</v>
      </c>
      <c r="E21" s="170">
        <f>(0.5*MATERIALES!$D$254)</f>
        <v>557</v>
      </c>
      <c r="F21" s="171">
        <f>(A21*B21)*MATERIALES!$D$82</f>
        <v>265</v>
      </c>
      <c r="G21" s="171">
        <f>(((A21*B21)*2)*MATERIALES!$D$83)+(4*MATERIALES!$C$229)+(((A21*2)+(B21*2))*MATERIALES!$C$230)+(((A21*2)+(B21*2))*MATERIALES!$C$231)+((((A21*2)+(B21*2))/15)*MATERIALES!$C$232)+((((A21*2)+(B21*2))/15)*(MATERIALES!$C$233*0.15))</f>
        <v>1368.3175999999999</v>
      </c>
      <c r="H21" s="171">
        <f>(A21*B21)*MATERIALES!$D$89</f>
        <v>895</v>
      </c>
      <c r="I21" s="172">
        <f t="shared" si="0"/>
        <v>10746.640720000001</v>
      </c>
      <c r="J21" s="172">
        <f t="shared" si="1"/>
        <v>12953.27592</v>
      </c>
      <c r="K21" s="173">
        <f t="shared" si="2"/>
        <v>11559.140720000001</v>
      </c>
      <c r="L21" s="912" t="s">
        <v>405</v>
      </c>
      <c r="O21" s="249" t="s">
        <v>606</v>
      </c>
      <c r="P21" s="250">
        <f t="shared" si="9"/>
        <v>6169.7239680000002</v>
      </c>
      <c r="Q21" s="250">
        <f t="shared" si="10"/>
        <v>9549.5412479999995</v>
      </c>
      <c r="R21" s="251">
        <f t="shared" si="11"/>
        <v>7632.2239680000002</v>
      </c>
      <c r="S21" s="252"/>
    </row>
    <row r="22" spans="1:20">
      <c r="A22" s="168">
        <v>0.5</v>
      </c>
      <c r="B22" s="169">
        <v>1.1000000000000001</v>
      </c>
      <c r="C22" s="170">
        <f>((((A22*2)+(B22*2))*MATERIALES!$C$57)+(((A22*2)+(B22*2))*MATERIALES!$C$56)+(((A22*2)+(B22*2))*MATERIALES!$C$73))*(MATERIALES!$F$2*MATERIALES!$J$15)</f>
        <v>0</v>
      </c>
      <c r="D22" s="170">
        <f>(8*MATERIALES!$C$189)+(1*MATERIALES!$C$195)+(((A22*2)+(B22*2))*MATERIALES!$C$209)+(4*MATERIALES!$C$148)+(((A22*5)*2)*MATERIALES!$C$147)+(((A22*2)+(B22*2))*MATERIALES!$C$210)+((((A22*2)+(B22*2))/0.1)*MATERIALES!$C$192)+(((A22*2)+(B22*2))*MATERIALES!$C$165)+(2*MATERIALES!$C$187)</f>
        <v>7322.3945599999997</v>
      </c>
      <c r="E22" s="170">
        <f>(0.5*MATERIALES!$D$254)</f>
        <v>557</v>
      </c>
      <c r="F22" s="171">
        <f>(A22*B22)*MATERIALES!$D$82</f>
        <v>291.5</v>
      </c>
      <c r="G22" s="171">
        <f>(((A22*B22)*2)*MATERIALES!$D$83)+(4*MATERIALES!$C$229)+(((A22*2)+(B22*2))*MATERIALES!$C$230)+(((A22*2)+(B22*2))*MATERIALES!$C$231)+((((A22*2)+(B22*2))/15)*MATERIALES!$C$232)+((((A22*2)+(B22*2))/15)*(MATERIALES!$C$233*0.15))</f>
        <v>1479.7494400000003</v>
      </c>
      <c r="H22" s="171">
        <f>(A22*B22)*MATERIALES!$D$89</f>
        <v>984.50000000000011</v>
      </c>
      <c r="I22" s="172">
        <f t="shared" si="0"/>
        <v>10826.212928000001</v>
      </c>
      <c r="J22" s="172">
        <f t="shared" si="1"/>
        <v>13202.711808000002</v>
      </c>
      <c r="K22" s="173">
        <f t="shared" si="2"/>
        <v>11719.962928000001</v>
      </c>
      <c r="L22" s="913"/>
    </row>
    <row r="23" spans="1:20">
      <c r="A23" s="168">
        <v>0.5</v>
      </c>
      <c r="B23" s="169">
        <v>1.2</v>
      </c>
      <c r="C23" s="170">
        <f>((((A23*2)+(B23*2))*MATERIALES!$C$57)+(((A23*2)+(B23*2))*MATERIALES!$C$56)+(((A23*2)+(B23*2))*MATERIALES!$C$73))*(MATERIALES!$F$2*MATERIALES!$J$15)</f>
        <v>0</v>
      </c>
      <c r="D23" s="170">
        <f>(8*MATERIALES!$C$189)+(1*MATERIALES!$C$195)+(((A23*2)+(B23*2))*MATERIALES!$C$209)+(4*MATERIALES!$C$148)+(((A23*5)*2)*MATERIALES!$C$147)+(((A23*2)+(B23*2))*MATERIALES!$C$210)+((((A23*2)+(B23*2))/0.1)*MATERIALES!$C$192)+(((A23*2)+(B23*2))*MATERIALES!$C$165)+(2*MATERIALES!$C$187)</f>
        <v>7342.8347200000007</v>
      </c>
      <c r="E23" s="170">
        <f>(0.5*MATERIALES!$D$254)</f>
        <v>557</v>
      </c>
      <c r="F23" s="171">
        <f>(A23*B23)*MATERIALES!$D$82</f>
        <v>318</v>
      </c>
      <c r="G23" s="171">
        <f>(((A23*B23)*2)*MATERIALES!$D$83)+(4*MATERIALES!$C$229)+(((A23*2)+(B23*2))*MATERIALES!$C$230)+(((A23*2)+(B23*2))*MATERIALES!$C$231)+((((A23*2)+(B23*2))/15)*MATERIALES!$C$232)+((((A23*2)+(B23*2))/15)*(MATERIALES!$C$233*0.15))</f>
        <v>1591.1812800000002</v>
      </c>
      <c r="H23" s="171">
        <f>(A23*B23)*MATERIALES!$D$89</f>
        <v>1074</v>
      </c>
      <c r="I23" s="172">
        <f t="shared" si="0"/>
        <v>10905.785136</v>
      </c>
      <c r="J23" s="172">
        <f t="shared" si="1"/>
        <v>13452.147696</v>
      </c>
      <c r="K23" s="173">
        <f t="shared" si="2"/>
        <v>11880.785136</v>
      </c>
      <c r="L23" s="913"/>
    </row>
    <row r="24" spans="1:20" ht="15.75" thickBot="1">
      <c r="A24" s="168">
        <v>0.5</v>
      </c>
      <c r="B24" s="169">
        <v>1.5</v>
      </c>
      <c r="C24" s="170">
        <f>((((A24*2)+(B24*2))*MATERIALES!$C$57)+(((A24*2)+(B24*2))*MATERIALES!$C$56)+(((A24*2)+(B24*2))*MATERIALES!$C$73))*(MATERIALES!$F$2*MATERIALES!$J$15)</f>
        <v>0</v>
      </c>
      <c r="D24" s="170">
        <f>(8*MATERIALES!$C$189)+(1*MATERIALES!$C$195)+(((A24*2)+(B24*2))*MATERIALES!$C$209)+(4*MATERIALES!$C$148)+(((A24*5)*2)*MATERIALES!$C$147)+(((A24*2)+(B24*2))*MATERIALES!$C$210)+((((A24*2)+(B24*2))/0.1)*MATERIALES!$C$192)+(((A24*2)+(B24*2))*MATERIALES!$C$165)+(2*MATERIALES!$C$187)</f>
        <v>7404.1551999999992</v>
      </c>
      <c r="E24" s="170">
        <f>(0.5*MATERIALES!$D$254)</f>
        <v>557</v>
      </c>
      <c r="F24" s="171">
        <f>(A24*B24)*MATERIALES!$D$82</f>
        <v>397.5</v>
      </c>
      <c r="G24" s="171">
        <f>(((A24*B24)*2)*MATERIALES!$D$83)+(4*MATERIALES!$C$229)+(((A24*2)+(B24*2))*MATERIALES!$C$230)+(((A24*2)+(B24*2))*MATERIALES!$C$231)+((((A24*2)+(B24*2))/15)*MATERIALES!$C$232)+((((A24*2)+(B24*2))/15)*(MATERIALES!$C$233*0.15))</f>
        <v>1925.4767999999999</v>
      </c>
      <c r="H24" s="171">
        <f>(A24*B24)*MATERIALES!$D$89</f>
        <v>1342.5</v>
      </c>
      <c r="I24" s="172">
        <f t="shared" si="0"/>
        <v>11144.501759999999</v>
      </c>
      <c r="J24" s="172">
        <f t="shared" si="1"/>
        <v>14200.45536</v>
      </c>
      <c r="K24" s="173">
        <f t="shared" si="2"/>
        <v>12363.251759999999</v>
      </c>
      <c r="L24" s="914"/>
      <c r="O24" s="904" t="s">
        <v>661</v>
      </c>
      <c r="P24" s="905"/>
      <c r="Q24" s="905"/>
      <c r="R24" s="905"/>
      <c r="S24" s="906"/>
    </row>
    <row r="25" spans="1:20">
      <c r="A25" s="161">
        <v>0.6</v>
      </c>
      <c r="B25" s="162">
        <v>0.6</v>
      </c>
      <c r="C25" s="75">
        <f>((((A25*2)+(B25*2))*MATERIALES!$C$57)+(((A25*2)+(B25*2))*MATERIALES!$C$56)+(((A25*2)+(B25*2))*MATERIALES!$C$73))*(MATERIALES!$F$2*MATERIALES!$J$15)</f>
        <v>0</v>
      </c>
      <c r="D25" s="75">
        <f>(8*MATERIALES!$C$189)+(1*MATERIALES!$C$195)+(((A25*2)+(B25*2))*MATERIALES!$C$209)+(4*MATERIALES!$C$148)+(((A25*5)*2)*MATERIALES!$C$147)+(((A25*2)+(B25*2))*MATERIALES!$C$210)+((((A25*2)+(B25*2))/0.1)*MATERIALES!$C$192)+(((A25*2)+(B25*2))*MATERIALES!$C$165)+(2*MATERIALES!$C$187)</f>
        <v>7240.6339200000002</v>
      </c>
      <c r="E25" s="75">
        <f>(0.5*MATERIALES!$D$254)</f>
        <v>557</v>
      </c>
      <c r="F25" s="112">
        <f>(A25*B25)*MATERIALES!$D$82</f>
        <v>190.79999999999998</v>
      </c>
      <c r="G25" s="112">
        <f>(((A25*B25)*2)*MATERIALES!$D$83)+(4*MATERIALES!$C$229)+(((A25*2)+(B25*2))*MATERIALES!$C$230)+(((A25*2)+(B25*2))*MATERIALES!$C$231)+((((A25*2)+(B25*2))/15)*MATERIALES!$C$232)+((((A25*2)+(B25*2))/15)*(MATERIALES!$C$233*0.15))</f>
        <v>1047.02208</v>
      </c>
      <c r="H25" s="112">
        <f>(A25*B25)*MATERIALES!$D$89</f>
        <v>644.4</v>
      </c>
      <c r="I25" s="167">
        <f t="shared" si="0"/>
        <v>10518.524096000001</v>
      </c>
      <c r="J25" s="167">
        <f t="shared" si="1"/>
        <v>12230.968256</v>
      </c>
      <c r="K25" s="163">
        <f t="shared" si="2"/>
        <v>11103.524096000001</v>
      </c>
      <c r="L25" s="910" t="s">
        <v>404</v>
      </c>
      <c r="O25" s="907"/>
      <c r="P25" s="908"/>
      <c r="Q25" s="908"/>
      <c r="R25" s="908"/>
      <c r="S25" s="909"/>
    </row>
    <row r="26" spans="1:20" ht="38.25" thickBot="1">
      <c r="A26" s="161">
        <v>0.6</v>
      </c>
      <c r="B26" s="162">
        <v>0.8</v>
      </c>
      <c r="C26" s="75">
        <f>((((A26*2)+(B26*2))*MATERIALES!$C$57)+(((A26*2)+(B26*2))*MATERIALES!$C$56)+(((A26*2)+(B26*2))*MATERIALES!$C$73))*(MATERIALES!$F$2*MATERIALES!$J$15)</f>
        <v>0</v>
      </c>
      <c r="D26" s="75">
        <f>(8*MATERIALES!$C$189)+(1*MATERIALES!$C$195)+(((A26*2)+(B26*2))*MATERIALES!$C$209)+(4*MATERIALES!$C$148)+(((A26*5)*2)*MATERIALES!$C$147)+(((A26*2)+(B26*2))*MATERIALES!$C$210)+((((A26*2)+(B26*2))/0.1)*MATERIALES!$C$192)+(((A26*2)+(B26*2))*MATERIALES!$C$165)+(2*MATERIALES!$C$187)</f>
        <v>7281.5142400000004</v>
      </c>
      <c r="E26" s="75">
        <f>(0.5*MATERIALES!$D$254)</f>
        <v>557</v>
      </c>
      <c r="F26" s="112">
        <f>(A26*B26)*MATERIALES!$D$82</f>
        <v>254.39999999999998</v>
      </c>
      <c r="G26" s="112">
        <f>(((A26*B26)*2)*MATERIALES!$D$83)+(4*MATERIALES!$C$229)+(((A26*2)+(B26*2))*MATERIALES!$C$230)+(((A26*2)+(B26*2))*MATERIALES!$C$231)+((((A26*2)+(B26*2))/15)*MATERIALES!$C$232)+((((A26*2)+(B26*2))/15)*(MATERIALES!$C$233*0.15))</f>
        <v>1295.8857600000001</v>
      </c>
      <c r="H26" s="112">
        <f>(A26*B26)*MATERIALES!$D$89</f>
        <v>859.19999999999993</v>
      </c>
      <c r="I26" s="167">
        <f t="shared" si="0"/>
        <v>10698.868512000001</v>
      </c>
      <c r="J26" s="167">
        <f t="shared" si="1"/>
        <v>12781.840032000002</v>
      </c>
      <c r="K26" s="163">
        <f t="shared" si="2"/>
        <v>11478.868512000001</v>
      </c>
      <c r="L26" s="911"/>
      <c r="O26" s="239" t="s">
        <v>534</v>
      </c>
      <c r="P26" s="240" t="s">
        <v>648</v>
      </c>
      <c r="Q26" s="240" t="s">
        <v>649</v>
      </c>
      <c r="R26" s="240" t="s">
        <v>650</v>
      </c>
      <c r="S26" s="240" t="s">
        <v>645</v>
      </c>
    </row>
    <row r="27" spans="1:20" ht="15.75">
      <c r="A27" s="168">
        <v>0.6</v>
      </c>
      <c r="B27" s="169">
        <v>1</v>
      </c>
      <c r="C27" s="170">
        <f>((((A27*2)+(B27*2))*MATERIALES!$C$57)+(((A27*2)+(B27*2))*MATERIALES!$C$56)+(((A27*2)+(B27*2))*MATERIALES!$C$73))*(MATERIALES!$F$2*MATERIALES!$J$15)</f>
        <v>0</v>
      </c>
      <c r="D27" s="170">
        <f>(8*MATERIALES!$C$189)+(1*MATERIALES!$C$195)+(((A27*2)+(B27*2))*MATERIALES!$C$209)+(4*MATERIALES!$C$148)+(((A27*5)*2)*MATERIALES!$C$147)+(((A27*2)+(B27*2))*MATERIALES!$C$210)+((((A27*2)+(B27*2))/0.1)*MATERIALES!$C$192)+(((A27*2)+(B27*2))*MATERIALES!$C$165)+(2*MATERIALES!$C$187)</f>
        <v>7322.3945599999997</v>
      </c>
      <c r="E27" s="170">
        <f>(0.5*MATERIALES!$D$254)</f>
        <v>557</v>
      </c>
      <c r="F27" s="171">
        <f>(A27*B27)*MATERIALES!$D$82</f>
        <v>318</v>
      </c>
      <c r="G27" s="171">
        <f>(((A27*B27)*2)*MATERIALES!$D$83)+(4*MATERIALES!$C$229)+(((A27*2)+(B27*2))*MATERIALES!$C$230)+(((A27*2)+(B27*2))*MATERIALES!$C$231)+((((A27*2)+(B27*2))/15)*MATERIALES!$C$232)+((((A27*2)+(B27*2))/15)*(MATERIALES!$C$233*0.15))</f>
        <v>1544.74944</v>
      </c>
      <c r="H27" s="171">
        <f>(A27*B27)*MATERIALES!$D$89</f>
        <v>1074</v>
      </c>
      <c r="I27" s="172">
        <f t="shared" si="0"/>
        <v>10879.212928000001</v>
      </c>
      <c r="J27" s="172">
        <f t="shared" si="1"/>
        <v>13332.711808</v>
      </c>
      <c r="K27" s="173">
        <f t="shared" si="2"/>
        <v>11854.212928000001</v>
      </c>
      <c r="L27" s="912" t="s">
        <v>405</v>
      </c>
      <c r="O27" s="245" t="s">
        <v>594</v>
      </c>
      <c r="P27" s="246">
        <f>+I13</f>
        <v>10476.124096000001</v>
      </c>
      <c r="Q27" s="246">
        <f>+J13</f>
        <v>12126.968256</v>
      </c>
      <c r="R27" s="251">
        <f>K13</f>
        <v>10996.124096000001</v>
      </c>
      <c r="S27" s="250">
        <f>+'MODENA CLASICA CORREDIZA'!M13</f>
        <v>0</v>
      </c>
    </row>
    <row r="28" spans="1:20" ht="15.75">
      <c r="A28" s="168">
        <v>0.6</v>
      </c>
      <c r="B28" s="169">
        <v>1.1000000000000001</v>
      </c>
      <c r="C28" s="170">
        <f>((((A28*2)+(B28*2))*MATERIALES!$C$57)+(((A28*2)+(B28*2))*MATERIALES!$C$56)+(((A28*2)+(B28*2))*MATERIALES!$C$73))*(MATERIALES!$F$2*MATERIALES!$J$15)</f>
        <v>0</v>
      </c>
      <c r="D28" s="170">
        <f>(8*MATERIALES!$C$189)+(1*MATERIALES!$C$195)+(((A28*2)+(B28*2))*MATERIALES!$C$209)+(4*MATERIALES!$C$148)+(((A28*5)*2)*MATERIALES!$C$147)+(((A28*2)+(B28*2))*MATERIALES!$C$210)+((((A28*2)+(B28*2))/0.1)*MATERIALES!$C$192)+(((A28*2)+(B28*2))*MATERIALES!$C$165)+(2*MATERIALES!$C$187)</f>
        <v>7342.8347200000007</v>
      </c>
      <c r="E28" s="170">
        <f>(0.5*MATERIALES!$D$254)</f>
        <v>557</v>
      </c>
      <c r="F28" s="171">
        <f>(A28*B28)*MATERIALES!$D$82</f>
        <v>349.8</v>
      </c>
      <c r="G28" s="171">
        <f>(((A28*B28)*2)*MATERIALES!$D$83)+(4*MATERIALES!$C$229)+(((A28*2)+(B28*2))*MATERIALES!$C$230)+(((A28*2)+(B28*2))*MATERIALES!$C$231)+((((A28*2)+(B28*2))/15)*MATERIALES!$C$232)+((((A28*2)+(B28*2))/15)*(MATERIALES!$C$233*0.15))</f>
        <v>1669.1812800000002</v>
      </c>
      <c r="H28" s="171">
        <f>(A28*B28)*MATERIALES!$D$89</f>
        <v>1181.4000000000001</v>
      </c>
      <c r="I28" s="172">
        <f t="shared" si="0"/>
        <v>10969.385136000001</v>
      </c>
      <c r="J28" s="172">
        <f t="shared" si="1"/>
        <v>13608.147696</v>
      </c>
      <c r="K28" s="173">
        <f t="shared" si="2"/>
        <v>12041.885136000001</v>
      </c>
      <c r="L28" s="913"/>
      <c r="O28" s="245" t="s">
        <v>595</v>
      </c>
      <c r="P28" s="246">
        <f t="shared" ref="P28:P31" si="12">+I14</f>
        <v>10614.068512000002</v>
      </c>
      <c r="Q28" s="246">
        <f t="shared" ref="Q28:Q31" si="13">+J14</f>
        <v>12573.840032000002</v>
      </c>
      <c r="R28" s="251">
        <f t="shared" ref="R28:R31" si="14">K14</f>
        <v>11264.068512000002</v>
      </c>
      <c r="S28" s="250">
        <f>+'MODENA CLASICA CORREDIZA'!M14</f>
        <v>0</v>
      </c>
    </row>
    <row r="29" spans="1:20" ht="15.75">
      <c r="A29" s="168">
        <v>0.6</v>
      </c>
      <c r="B29" s="169">
        <v>1.2</v>
      </c>
      <c r="C29" s="170">
        <f>((((A29*2)+(B29*2))*MATERIALES!$C$57)+(((A29*2)+(B29*2))*MATERIALES!$C$56)+(((A29*2)+(B29*2))*MATERIALES!$C$73))*(MATERIALES!$F$2*MATERIALES!$J$15)</f>
        <v>0</v>
      </c>
      <c r="D29" s="170">
        <f>(8*MATERIALES!$C$189)+(1*MATERIALES!$C$195)+(((A29*2)+(B29*2))*MATERIALES!$C$209)+(4*MATERIALES!$C$148)+(((A29*5)*2)*MATERIALES!$C$147)+(((A29*2)+(B29*2))*MATERIALES!$C$210)+((((A29*2)+(B29*2))/0.1)*MATERIALES!$C$192)+(((A29*2)+(B29*2))*MATERIALES!$C$165)+(2*MATERIALES!$C$187)</f>
        <v>7363.274879999999</v>
      </c>
      <c r="E29" s="170">
        <f>(0.5*MATERIALES!$D$254)</f>
        <v>557</v>
      </c>
      <c r="F29" s="171">
        <f>(A29*B29)*MATERIALES!$D$82</f>
        <v>381.59999999999997</v>
      </c>
      <c r="G29" s="171">
        <f>(((A29*B29)*2)*MATERIALES!$D$83)+(4*MATERIALES!$C$229)+(((A29*2)+(B29*2))*MATERIALES!$C$230)+(((A29*2)+(B29*2))*MATERIALES!$C$231)+((((A29*2)+(B29*2))/15)*MATERIALES!$C$232)+((((A29*2)+(B29*2))/15)*(MATERIALES!$C$233*0.15))</f>
        <v>1793.6131199999998</v>
      </c>
      <c r="H29" s="171">
        <f>(A29*B29)*MATERIALES!$D$89</f>
        <v>1288.8</v>
      </c>
      <c r="I29" s="172">
        <f t="shared" si="0"/>
        <v>11059.557343999999</v>
      </c>
      <c r="J29" s="172">
        <f t="shared" si="1"/>
        <v>13883.583583999998</v>
      </c>
      <c r="K29" s="173">
        <f t="shared" si="2"/>
        <v>12229.557343999997</v>
      </c>
      <c r="L29" s="913"/>
      <c r="O29" s="245" t="s">
        <v>651</v>
      </c>
      <c r="P29" s="246">
        <f t="shared" si="12"/>
        <v>10683.040720000001</v>
      </c>
      <c r="Q29" s="246">
        <f t="shared" si="13"/>
        <v>12797.275920000002</v>
      </c>
      <c r="R29" s="251">
        <f t="shared" si="14"/>
        <v>11398.040720000001</v>
      </c>
      <c r="S29" s="250">
        <f>+'MODENA CLASICA CORREDIZA'!M15</f>
        <v>0</v>
      </c>
    </row>
    <row r="30" spans="1:20" ht="15.75">
      <c r="A30" s="168">
        <v>0.6</v>
      </c>
      <c r="B30" s="169">
        <v>1.5</v>
      </c>
      <c r="C30" s="170">
        <f>((((A30*2)+(B30*2))*MATERIALES!$C$57)+(((A30*2)+(B30*2))*MATERIALES!$C$56)+(((A30*2)+(B30*2))*MATERIALES!$C$73))*(MATERIALES!$F$2*MATERIALES!$J$15)</f>
        <v>0</v>
      </c>
      <c r="D30" s="170">
        <f>(8*MATERIALES!$C$189)+(1*MATERIALES!$C$195)+(((A30*2)+(B30*2))*MATERIALES!$C$209)+(4*MATERIALES!$C$148)+(((A30*5)*2)*MATERIALES!$C$147)+(((A30*2)+(B30*2))*MATERIALES!$C$210)+((((A30*2)+(B30*2))/0.1)*MATERIALES!$C$192)+(((A30*2)+(B30*2))*MATERIALES!$C$165)+(2*MATERIALES!$C$187)</f>
        <v>7424.5953600000003</v>
      </c>
      <c r="E30" s="170">
        <f>(0.5*MATERIALES!$D$254)</f>
        <v>557</v>
      </c>
      <c r="F30" s="171">
        <f>(A30*B30)*MATERIALES!$D$82</f>
        <v>476.99999999999994</v>
      </c>
      <c r="G30" s="171">
        <f>(((A30*B30)*2)*MATERIALES!$D$83)+(4*MATERIALES!$C$229)+(((A30*2)+(B30*2))*MATERIALES!$C$230)+(((A30*2)+(B30*2))*MATERIALES!$C$231)+((((A30*2)+(B30*2))/15)*MATERIALES!$C$232)+((((A30*2)+(B30*2))/15)*(MATERIALES!$C$233*0.15))</f>
        <v>2166.9086399999997</v>
      </c>
      <c r="H30" s="171">
        <f>(A30*B30)*MATERIALES!$D$89</f>
        <v>1610.9999999999998</v>
      </c>
      <c r="I30" s="172">
        <f t="shared" si="0"/>
        <v>11330.073968000001</v>
      </c>
      <c r="J30" s="172">
        <f t="shared" si="1"/>
        <v>14709.891248</v>
      </c>
      <c r="K30" s="173">
        <f t="shared" si="2"/>
        <v>12792.573968000001</v>
      </c>
      <c r="L30" s="913"/>
      <c r="O30" s="245" t="s">
        <v>596</v>
      </c>
      <c r="P30" s="246">
        <f t="shared" si="12"/>
        <v>10752.012928</v>
      </c>
      <c r="Q30" s="246">
        <f t="shared" si="13"/>
        <v>13020.711808</v>
      </c>
      <c r="R30" s="251">
        <f t="shared" si="14"/>
        <v>11532.012928</v>
      </c>
      <c r="S30" s="250">
        <f>+'MODENA CLASICA CORREDIZA'!M16</f>
        <v>0</v>
      </c>
    </row>
    <row r="31" spans="1:20" ht="16.5" thickBot="1">
      <c r="A31" s="168">
        <v>1.5</v>
      </c>
      <c r="B31" s="169">
        <v>1.8</v>
      </c>
      <c r="C31" s="170">
        <f>((((A31*2)+(B31*2))*MATERIALES!$C$57)+(((A31*2)+(B31*2))*MATERIALES!$C$56)+(((A31*2)+(B31*2))*MATERIALES!$C$73))*(MATERIALES!$F$2*MATERIALES!$J$15)</f>
        <v>0</v>
      </c>
      <c r="D31" s="170">
        <f>(8*MATERIALES!$C$189)+(1*MATERIALES!$C$195)+(((A31*2)+(B31*2))*MATERIALES!$C$209)+(4*MATERIALES!$C$148)+(((A31*5)*2)*MATERIALES!$C$147)+(((A31*2)+(B31*2))*MATERIALES!$C$210)+((((A31*2)+(B31*2))/0.1)*MATERIALES!$C$192)+(((A31*2)+(B31*2))*MATERIALES!$C$165)+(2*MATERIALES!$C$187)</f>
        <v>7669.8772800000006</v>
      </c>
      <c r="E31" s="170">
        <f>(0.5*MATERIALES!$D$254)</f>
        <v>557</v>
      </c>
      <c r="F31" s="171">
        <f>(A31*B31)*MATERIALES!$D$82</f>
        <v>1431</v>
      </c>
      <c r="G31" s="171">
        <f>(((A31*B31)*2)*MATERIALES!$D$83)+(4*MATERIALES!$C$229)+(((A31*2)+(B31*2))*MATERIALES!$C$230)+(((A31*2)+(B31*2))*MATERIALES!$C$231)+((((A31*2)+(B31*2))/15)*MATERIALES!$C$232)+((((A31*2)+(B31*2))/15)*(MATERIALES!$C$233*0.15))</f>
        <v>5064.0907200000001</v>
      </c>
      <c r="H31" s="171">
        <f>(A31*B31)*MATERIALES!$D$89</f>
        <v>4833</v>
      </c>
      <c r="I31" s="172">
        <f t="shared" si="0"/>
        <v>13556.940464000001</v>
      </c>
      <c r="J31" s="172">
        <f t="shared" si="1"/>
        <v>20823.121904</v>
      </c>
      <c r="K31" s="173">
        <f t="shared" si="2"/>
        <v>17944.440463999999</v>
      </c>
      <c r="L31" s="914"/>
      <c r="O31" s="245" t="s">
        <v>597</v>
      </c>
      <c r="P31" s="246">
        <f t="shared" si="12"/>
        <v>10958.929552000001</v>
      </c>
      <c r="Q31" s="246">
        <f t="shared" si="13"/>
        <v>13691.019472000002</v>
      </c>
      <c r="R31" s="251">
        <f t="shared" si="14"/>
        <v>11933.929552000001</v>
      </c>
      <c r="S31" s="250">
        <f>+'MODENA CLASICA CORREDIZA'!M17</f>
        <v>0</v>
      </c>
    </row>
    <row r="32" spans="1:20" ht="15.75">
      <c r="A32" s="161">
        <v>1.8</v>
      </c>
      <c r="B32" s="162">
        <v>0.4</v>
      </c>
      <c r="C32" s="75">
        <f>((((A32*2)+(B32*2))*MATERIALES!$C$57)+(((A32*2)+(B32*2))*MATERIALES!$C$56)+(((A32*2)+(B32*2))*MATERIALES!$C$73))*(MATERIALES!$F$2*MATERIALES!$J$15)</f>
        <v>0</v>
      </c>
      <c r="D32" s="75">
        <f>(8*MATERIALES!$C$189)+(1*MATERIALES!$C$195)+(((A32*2)+(B32*2))*MATERIALES!$C$209)+(4*MATERIALES!$C$148)+(((A32*5)*2)*MATERIALES!$C$147)+(((A32*2)+(B32*2))*MATERIALES!$C$210)+((((A32*2)+(B32*2))/0.1)*MATERIALES!$C$192)+(((A32*2)+(B32*2))*MATERIALES!$C$165)+(2*MATERIALES!$C$187)</f>
        <v>7445.0355200000004</v>
      </c>
      <c r="E32" s="75">
        <f>(0.5*MATERIALES!$D$254)</f>
        <v>557</v>
      </c>
      <c r="F32" s="112">
        <f>(A32*B32)*MATERIALES!$D$82</f>
        <v>381.6</v>
      </c>
      <c r="G32" s="112">
        <f>(((A32*B32)*2)*MATERIALES!$D$83)+(4*MATERIALES!$C$229)+(((A32*2)+(B32*2))*MATERIALES!$C$230)+(((A32*2)+(B32*2))*MATERIALES!$C$231)+((((A32*2)+(B32*2))/15)*MATERIALES!$C$232)+((((A32*2)+(B32*2))/15)*(MATERIALES!$C$233*0.15))</f>
        <v>1979.3404800000005</v>
      </c>
      <c r="H32" s="112">
        <f>(A32*B32)*MATERIALES!$D$89</f>
        <v>1288.8000000000002</v>
      </c>
      <c r="I32" s="167">
        <f t="shared" si="0"/>
        <v>11165.846176000001</v>
      </c>
      <c r="J32" s="167">
        <f t="shared" si="1"/>
        <v>14361.327136000002</v>
      </c>
      <c r="K32" s="163">
        <f t="shared" si="2"/>
        <v>12335.846176000001</v>
      </c>
      <c r="L32" s="910" t="s">
        <v>404</v>
      </c>
      <c r="O32" s="245" t="s">
        <v>599</v>
      </c>
      <c r="P32" s="246">
        <f>+I20</f>
        <v>10587.496304</v>
      </c>
      <c r="Q32" s="246">
        <f>+J20</f>
        <v>12454.404144</v>
      </c>
      <c r="R32" s="251">
        <f>+K20</f>
        <v>11237.496304</v>
      </c>
      <c r="S32" s="250">
        <f>+'MODENA CLASICA CORREDIZA'!M20</f>
        <v>0</v>
      </c>
    </row>
    <row r="33" spans="1:19" ht="16.5" thickBot="1">
      <c r="A33" s="161">
        <v>1.8</v>
      </c>
      <c r="B33" s="162">
        <v>0.6</v>
      </c>
      <c r="C33" s="75">
        <f>((((A33*2)+(B33*2))*MATERIALES!$C$57)+(((A33*2)+(B33*2))*MATERIALES!$C$56)+(((A33*2)+(B33*2))*MATERIALES!$C$73))*(MATERIALES!$F$2*MATERIALES!$J$15)</f>
        <v>0</v>
      </c>
      <c r="D33" s="75">
        <f>(8*MATERIALES!$C$189)+(1*MATERIALES!$C$195)+(((A33*2)+(B33*2))*MATERIALES!$C$209)+(4*MATERIALES!$C$148)+(((A33*5)*2)*MATERIALES!$C$147)+(((A33*2)+(B33*2))*MATERIALES!$C$210)+((((A33*2)+(B33*2))/0.1)*MATERIALES!$C$192)+(((A33*2)+(B33*2))*MATERIALES!$C$165)+(2*MATERIALES!$C$187)</f>
        <v>7485.9158400000006</v>
      </c>
      <c r="E33" s="75">
        <f>(0.5*MATERIALES!$D$254)</f>
        <v>557</v>
      </c>
      <c r="F33" s="112">
        <f>(A33*B33)*MATERIALES!$D$82</f>
        <v>572.40000000000009</v>
      </c>
      <c r="G33" s="112">
        <f>(((A33*B33)*2)*MATERIALES!$D$83)+(4*MATERIALES!$C$229)+(((A33*2)+(B33*2))*MATERIALES!$C$230)+(((A33*2)+(B33*2))*MATERIALES!$C$231)+((((A33*2)+(B33*2))/15)*MATERIALES!$C$232)+((((A33*2)+(B33*2))/15)*(MATERIALES!$C$233*0.15))</f>
        <v>2540.2041600000002</v>
      </c>
      <c r="H33" s="112">
        <f>(A33*B33)*MATERIALES!$D$89</f>
        <v>1933.2</v>
      </c>
      <c r="I33" s="167">
        <f t="shared" si="0"/>
        <v>11600.590592</v>
      </c>
      <c r="J33" s="167">
        <f t="shared" si="1"/>
        <v>15536.198912000002</v>
      </c>
      <c r="K33" s="163">
        <f t="shared" si="2"/>
        <v>13355.590592</v>
      </c>
      <c r="L33" s="911"/>
      <c r="O33" s="245" t="s">
        <v>600</v>
      </c>
      <c r="P33" s="246">
        <f t="shared" ref="P33:P36" si="15">+I21</f>
        <v>10746.640720000001</v>
      </c>
      <c r="Q33" s="246">
        <f t="shared" ref="Q33:Q36" si="16">+J21</f>
        <v>12953.27592</v>
      </c>
      <c r="R33" s="251">
        <f t="shared" ref="R33:R36" si="17">+K21</f>
        <v>11559.140720000001</v>
      </c>
      <c r="S33" s="250">
        <f>+'MODENA CLASICA CORREDIZA'!M21</f>
        <v>0</v>
      </c>
    </row>
    <row r="34" spans="1:19" ht="15.75">
      <c r="A34" s="168">
        <v>1.8</v>
      </c>
      <c r="B34" s="169">
        <v>0.8</v>
      </c>
      <c r="C34" s="170">
        <f>((((A34*2)+(B34*2))*MATERIALES!$C$57)+(((A34*2)+(B34*2))*MATERIALES!$C$56)+(((A34*2)+(B34*2))*MATERIALES!$C$73))*(MATERIALES!$F$2*MATERIALES!$J$15)</f>
        <v>0</v>
      </c>
      <c r="D34" s="170">
        <f>(8*MATERIALES!$C$189)+(1*MATERIALES!$C$195)+(((A34*2)+(B34*2))*MATERIALES!$C$209)+(4*MATERIALES!$C$148)+(((A34*5)*2)*MATERIALES!$C$147)+(((A34*2)+(B34*2))*MATERIALES!$C$210)+((((A34*2)+(B34*2))/0.1)*MATERIALES!$C$192)+(((A34*2)+(B34*2))*MATERIALES!$C$165)+(2*MATERIALES!$C$187)</f>
        <v>7526.7961600000008</v>
      </c>
      <c r="E34" s="170">
        <f>(0.5*MATERIALES!$D$254)</f>
        <v>557</v>
      </c>
      <c r="F34" s="171">
        <f>(A34*B34)*MATERIALES!$D$82</f>
        <v>763.2</v>
      </c>
      <c r="G34" s="171">
        <f>(((A34*B34)*2)*MATERIALES!$D$83)+(4*MATERIALES!$C$229)+(((A34*2)+(B34*2))*MATERIALES!$C$230)+(((A34*2)+(B34*2))*MATERIALES!$C$231)+((((A34*2)+(B34*2))/15)*MATERIALES!$C$232)+((((A34*2)+(B34*2))/15)*(MATERIALES!$C$233*0.15))</f>
        <v>3101.0678400000002</v>
      </c>
      <c r="H34" s="171">
        <f>(A34*B34)*MATERIALES!$D$89</f>
        <v>2577.6000000000004</v>
      </c>
      <c r="I34" s="172">
        <f t="shared" si="0"/>
        <v>12035.335008000002</v>
      </c>
      <c r="J34" s="172">
        <f t="shared" si="1"/>
        <v>16711.070688000003</v>
      </c>
      <c r="K34" s="173">
        <f t="shared" si="2"/>
        <v>14375.335008000002</v>
      </c>
      <c r="L34" s="912" t="s">
        <v>405</v>
      </c>
      <c r="O34" s="245" t="s">
        <v>652</v>
      </c>
      <c r="P34" s="246">
        <f t="shared" si="15"/>
        <v>10826.212928000001</v>
      </c>
      <c r="Q34" s="246">
        <f t="shared" si="16"/>
        <v>13202.711808000002</v>
      </c>
      <c r="R34" s="251">
        <f t="shared" si="17"/>
        <v>11719.962928000001</v>
      </c>
      <c r="S34" s="250">
        <f>+'MODENA CLASICA CORREDIZA'!M22</f>
        <v>0</v>
      </c>
    </row>
    <row r="35" spans="1:19" ht="15.75">
      <c r="A35" s="168">
        <v>1.8</v>
      </c>
      <c r="B35" s="169">
        <v>1</v>
      </c>
      <c r="C35" s="170">
        <f>((((A35*2)+(B35*2))*MATERIALES!$C$57)+(((A35*2)+(B35*2))*MATERIALES!$C$56)+(((A35*2)+(B35*2))*MATERIALES!$C$73))*(MATERIALES!$F$2*MATERIALES!$J$15)</f>
        <v>0</v>
      </c>
      <c r="D35" s="170">
        <f>(8*MATERIALES!$C$189)+(1*MATERIALES!$C$195)+(((A35*2)+(B35*2))*MATERIALES!$C$209)+(4*MATERIALES!$C$148)+(((A35*5)*2)*MATERIALES!$C$147)+(((A35*2)+(B35*2))*MATERIALES!$C$210)+((((A35*2)+(B35*2))/0.1)*MATERIALES!$C$192)+(((A35*2)+(B35*2))*MATERIALES!$C$165)+(2*MATERIALES!$C$187)</f>
        <v>7567.6764800000001</v>
      </c>
      <c r="E35" s="170">
        <f>(0.5*MATERIALES!$D$254)</f>
        <v>557</v>
      </c>
      <c r="F35" s="171">
        <f>(A35*B35)*MATERIALES!$D$82</f>
        <v>954</v>
      </c>
      <c r="G35" s="171">
        <f>(((A35*B35)*2)*MATERIALES!$D$83)+(4*MATERIALES!$C$229)+(((A35*2)+(B35*2))*MATERIALES!$C$230)+(((A35*2)+(B35*2))*MATERIALES!$C$231)+((((A35*2)+(B35*2))/15)*MATERIALES!$C$232)+((((A35*2)+(B35*2))/15)*(MATERIALES!$C$233*0.15))</f>
        <v>3661.9315200000001</v>
      </c>
      <c r="H35" s="171">
        <f>(A35*B35)*MATERIALES!$D$89</f>
        <v>3222</v>
      </c>
      <c r="I35" s="172">
        <f t="shared" si="0"/>
        <v>12470.079424</v>
      </c>
      <c r="J35" s="172">
        <f t="shared" si="1"/>
        <v>17885.942464</v>
      </c>
      <c r="K35" s="173">
        <f t="shared" si="2"/>
        <v>15395.079424</v>
      </c>
      <c r="L35" s="913"/>
      <c r="O35" s="249" t="s">
        <v>601</v>
      </c>
      <c r="P35" s="246">
        <f t="shared" si="15"/>
        <v>10905.785136</v>
      </c>
      <c r="Q35" s="246">
        <f t="shared" si="16"/>
        <v>13452.147696</v>
      </c>
      <c r="R35" s="251">
        <f t="shared" si="17"/>
        <v>11880.785136</v>
      </c>
      <c r="S35" s="250">
        <f>+'MODENA CLASICA CORREDIZA'!M23</f>
        <v>0</v>
      </c>
    </row>
    <row r="36" spans="1:19" ht="15.75">
      <c r="A36" s="168">
        <v>1.8</v>
      </c>
      <c r="B36" s="169">
        <v>1.2</v>
      </c>
      <c r="C36" s="170">
        <f>((((A36*2)+(B36*2))*MATERIALES!$C$57)+(((A36*2)+(B36*2))*MATERIALES!$C$56)+(((A36*2)+(B36*2))*MATERIALES!$C$73))*(MATERIALES!$F$2*MATERIALES!$J$15)</f>
        <v>0</v>
      </c>
      <c r="D36" s="170">
        <f>(8*MATERIALES!$C$189)+(1*MATERIALES!$C$195)+(((A36*2)+(B36*2))*MATERIALES!$C$209)+(4*MATERIALES!$C$148)+(((A36*5)*2)*MATERIALES!$C$147)+(((A36*2)+(B36*2))*MATERIALES!$C$210)+((((A36*2)+(B36*2))/0.1)*MATERIALES!$C$192)+(((A36*2)+(B36*2))*MATERIALES!$C$165)+(2*MATERIALES!$C$187)</f>
        <v>7608.5567999999994</v>
      </c>
      <c r="E36" s="170">
        <f>(0.5*MATERIALES!$D$254)</f>
        <v>557</v>
      </c>
      <c r="F36" s="171">
        <f>(A36*B36)*MATERIALES!$D$82</f>
        <v>1144.8000000000002</v>
      </c>
      <c r="G36" s="171">
        <f>(((A36*B36)*2)*MATERIALES!$D$83)+(4*MATERIALES!$C$229)+(((A36*2)+(B36*2))*MATERIALES!$C$230)+(((A36*2)+(B36*2))*MATERIALES!$C$231)+((((A36*2)+(B36*2))/15)*MATERIALES!$C$232)+((((A36*2)+(B36*2))/15)*(MATERIALES!$C$233*0.15))</f>
        <v>4222.7952000000005</v>
      </c>
      <c r="H36" s="171">
        <f>(A36*B36)*MATERIALES!$D$89</f>
        <v>3866.4</v>
      </c>
      <c r="I36" s="172">
        <f t="shared" si="0"/>
        <v>12904.823839999999</v>
      </c>
      <c r="J36" s="172">
        <f t="shared" si="1"/>
        <v>19060.81424</v>
      </c>
      <c r="K36" s="173">
        <f t="shared" si="2"/>
        <v>16414.823839999997</v>
      </c>
      <c r="L36" s="913"/>
      <c r="O36" s="249" t="s">
        <v>602</v>
      </c>
      <c r="P36" s="246">
        <f t="shared" si="15"/>
        <v>11144.501759999999</v>
      </c>
      <c r="Q36" s="246">
        <f t="shared" si="16"/>
        <v>14200.45536</v>
      </c>
      <c r="R36" s="251">
        <f t="shared" si="17"/>
        <v>12363.251759999999</v>
      </c>
      <c r="S36" s="250">
        <f>+'MODENA CLASICA CORREDIZA'!M24</f>
        <v>0</v>
      </c>
    </row>
    <row r="37" spans="1:19" ht="15.75">
      <c r="A37" s="168">
        <v>1.8</v>
      </c>
      <c r="B37" s="169">
        <v>1.5</v>
      </c>
      <c r="C37" s="170">
        <f>((((A37*2)+(B37*2))*MATERIALES!$C$57)+(((A37*2)+(B37*2))*MATERIALES!$C$56)+(((A37*2)+(B37*2))*MATERIALES!$C$73))*(MATERIALES!$F$2*MATERIALES!$J$15)</f>
        <v>0</v>
      </c>
      <c r="D37" s="170">
        <f>(8*MATERIALES!$C$189)+(1*MATERIALES!$C$195)+(((A37*2)+(B37*2))*MATERIALES!$C$209)+(4*MATERIALES!$C$148)+(((A37*5)*2)*MATERIALES!$C$147)+(((A37*2)+(B37*2))*MATERIALES!$C$210)+((((A37*2)+(B37*2))/0.1)*MATERIALES!$C$192)+(((A37*2)+(B37*2))*MATERIALES!$C$165)+(2*MATERIALES!$C$187)</f>
        <v>7669.8772800000006</v>
      </c>
      <c r="E37" s="170">
        <f>(0.5*MATERIALES!$D$254)</f>
        <v>557</v>
      </c>
      <c r="F37" s="171">
        <f>(A37*B37)*MATERIALES!$D$82</f>
        <v>1431</v>
      </c>
      <c r="G37" s="171">
        <f>(((A37*B37)*2)*MATERIALES!$D$83)+(4*MATERIALES!$C$229)+(((A37*2)+(B37*2))*MATERIALES!$C$230)+(((A37*2)+(B37*2))*MATERIALES!$C$231)+((((A37*2)+(B37*2))/15)*MATERIALES!$C$232)+((((A37*2)+(B37*2))/15)*(MATERIALES!$C$233*0.15))</f>
        <v>5064.0907200000001</v>
      </c>
      <c r="H37" s="171">
        <f>(A37*B37)*MATERIALES!$D$89</f>
        <v>4833</v>
      </c>
      <c r="I37" s="172">
        <f t="shared" si="0"/>
        <v>13556.940464000001</v>
      </c>
      <c r="J37" s="172">
        <f t="shared" si="1"/>
        <v>20823.121904</v>
      </c>
      <c r="K37" s="173">
        <f t="shared" si="2"/>
        <v>17944.440463999999</v>
      </c>
      <c r="L37" s="913"/>
      <c r="O37" s="249" t="s">
        <v>540</v>
      </c>
      <c r="P37" s="250">
        <f>+I25</f>
        <v>10518.524096000001</v>
      </c>
      <c r="Q37" s="250">
        <f>+J25</f>
        <v>12230.968256</v>
      </c>
      <c r="R37" s="251">
        <f>+K25</f>
        <v>11103.524096000001</v>
      </c>
      <c r="S37" s="250">
        <f>+'MODENA CLASICA CORREDIZA'!M19</f>
        <v>0</v>
      </c>
    </row>
    <row r="38" spans="1:19" ht="16.5" thickBot="1">
      <c r="A38" s="168">
        <v>1.8</v>
      </c>
      <c r="B38" s="169">
        <v>1.8</v>
      </c>
      <c r="C38" s="170">
        <f>((((A38*2)+(B38*2))*MATERIALES!$C$57)+(((A38*2)+(B38*2))*MATERIALES!$C$56)+(((A38*2)+(B38*2))*MATERIALES!$C$73))*(MATERIALES!$F$2*MATERIALES!$J$15)</f>
        <v>0</v>
      </c>
      <c r="D38" s="170">
        <f>(8*MATERIALES!$C$189)+(1*MATERIALES!$C$195)+(((A38*2)+(B38*2))*MATERIALES!$C$209)+(4*MATERIALES!$C$148)+(((A38*5)*2)*MATERIALES!$C$147)+(((A38*2)+(B38*2))*MATERIALES!$C$210)+((((A38*2)+(B38*2))/0.1)*MATERIALES!$C$192)+(((A38*2)+(B38*2))*MATERIALES!$C$165)+(2*MATERIALES!$C$187)</f>
        <v>7731.19776</v>
      </c>
      <c r="E38" s="170">
        <f>(0.5*MATERIALES!$D$254)</f>
        <v>557</v>
      </c>
      <c r="F38" s="171">
        <f>(A38*B38)*MATERIALES!$D$82</f>
        <v>1717.2</v>
      </c>
      <c r="G38" s="171">
        <f>(((A38*B38)*2)*MATERIALES!$D$83)+(4*MATERIALES!$C$229)+(((A38*2)+(B38*2))*MATERIALES!$C$230)+(((A38*2)+(B38*2))*MATERIALES!$C$231)+((((A38*2)+(B38*2))/15)*MATERIALES!$C$232)+((((A38*2)+(B38*2))/15)*(MATERIALES!$C$233*0.15))</f>
        <v>5905.3862400000007</v>
      </c>
      <c r="H38" s="171">
        <f>(A38*B38)*MATERIALES!$D$89</f>
        <v>5799.6</v>
      </c>
      <c r="I38" s="172">
        <f t="shared" ref="I38:I45" si="18">((C38+D38+E38)*1.3)+(F38*2)</f>
        <v>14209.057088</v>
      </c>
      <c r="J38" s="172">
        <f t="shared" ref="J38:J45" si="19">((C38+D38+E38)*1.3)+(G38*2)</f>
        <v>22585.429568</v>
      </c>
      <c r="K38" s="173">
        <f t="shared" ref="K38:K45" si="20">((C38+D38+E38)*1.3)+(H38*1.5)</f>
        <v>19474.057088000001</v>
      </c>
      <c r="L38" s="914"/>
      <c r="O38" s="249" t="s">
        <v>603</v>
      </c>
      <c r="P38" s="250">
        <f t="shared" ref="P38:P42" si="21">+I26</f>
        <v>10698.868512000001</v>
      </c>
      <c r="Q38" s="250">
        <f t="shared" ref="Q38:Q42" si="22">+J26</f>
        <v>12781.840032000002</v>
      </c>
      <c r="R38" s="251">
        <f t="shared" ref="R38:R42" si="23">+K26</f>
        <v>11478.868512000001</v>
      </c>
      <c r="S38" s="250">
        <f>+'MODENA CLASICA CORREDIZA'!M20</f>
        <v>0</v>
      </c>
    </row>
    <row r="39" spans="1:19" ht="15.75">
      <c r="A39" s="161">
        <v>2</v>
      </c>
      <c r="B39" s="162">
        <v>0.4</v>
      </c>
      <c r="C39" s="75">
        <f>((((A39*2)+(B39*2))*MATERIALES!$C$57)+(((A39*2)+(B39*2))*MATERIALES!$C$56)+(((A39*2)+(B39*2))*MATERIALES!$C$73))*(MATERIALES!$F$2*MATERIALES!$J$15)</f>
        <v>0</v>
      </c>
      <c r="D39" s="75">
        <f>(8*MATERIALES!$C$189)+(1*MATERIALES!$C$195)+(((A39*2)+(B39*2))*MATERIALES!$C$209)+(4*MATERIALES!$C$148)+(((A39*5)*2)*MATERIALES!$C$147)+(((A39*2)+(B39*2))*MATERIALES!$C$210)+((((A39*2)+(B39*2))/0.1)*MATERIALES!$C$192)+(((A39*2)+(B39*2))*MATERIALES!$C$165)+(2*MATERIALES!$C$187)</f>
        <v>7485.9158400000006</v>
      </c>
      <c r="E39" s="75">
        <f>(0.5*MATERIALES!$D$254)</f>
        <v>557</v>
      </c>
      <c r="F39" s="112">
        <f>(A39*B39)*MATERIALES!$D$82</f>
        <v>424</v>
      </c>
      <c r="G39" s="112">
        <f>(((A39*B39)*2)*MATERIALES!$D$83)+(4*MATERIALES!$C$229)+(((A39*2)+(B39*2))*MATERIALES!$C$230)+(((A39*2)+(B39*2))*MATERIALES!$C$231)</f>
        <v>1900.4959999999999</v>
      </c>
      <c r="H39" s="112">
        <f>(A39*B39)*MATERIALES!$D$89</f>
        <v>1432</v>
      </c>
      <c r="I39" s="167">
        <f t="shared" si="18"/>
        <v>11303.790592000001</v>
      </c>
      <c r="J39" s="167">
        <f t="shared" si="19"/>
        <v>14256.782592000001</v>
      </c>
      <c r="K39" s="163">
        <f t="shared" si="20"/>
        <v>12603.790592000001</v>
      </c>
      <c r="L39" s="910" t="s">
        <v>404</v>
      </c>
      <c r="O39" s="249" t="s">
        <v>604</v>
      </c>
      <c r="P39" s="250">
        <f t="shared" si="21"/>
        <v>10879.212928000001</v>
      </c>
      <c r="Q39" s="250">
        <f t="shared" si="22"/>
        <v>13332.711808</v>
      </c>
      <c r="R39" s="251">
        <f t="shared" si="23"/>
        <v>11854.212928000001</v>
      </c>
      <c r="S39" s="250">
        <f>+'MODENA CLASICA CORREDIZA'!M21</f>
        <v>0</v>
      </c>
    </row>
    <row r="40" spans="1:19" ht="16.5" thickBot="1">
      <c r="A40" s="161">
        <v>2</v>
      </c>
      <c r="B40" s="162">
        <v>0.6</v>
      </c>
      <c r="C40" s="75">
        <f>((((A40*2)+(B40*2))*MATERIALES!$C$57)+(((A40*2)+(B40*2))*MATERIALES!$C$56)+(((A40*2)+(B40*2))*MATERIALES!$C$73))*(MATERIALES!$F$2*MATERIALES!$J$15)</f>
        <v>0</v>
      </c>
      <c r="D40" s="75">
        <f>(8*MATERIALES!$C$189)+(1*MATERIALES!$C$195)+(((A40*2)+(B40*2))*MATERIALES!$C$209)+(4*MATERIALES!$C$148)+(((A40*5)*2)*MATERIALES!$C$147)+(((A40*2)+(B40*2))*MATERIALES!$C$210)+((((A40*2)+(B40*2))/0.1)*MATERIALES!$C$192)+(((A40*2)+(B40*2))*MATERIALES!$C$165)+(2*MATERIALES!$C$187)</f>
        <v>7526.7961600000008</v>
      </c>
      <c r="E40" s="75">
        <f>(0.5*MATERIALES!$D$254)</f>
        <v>557</v>
      </c>
      <c r="F40" s="112">
        <f>(A40*B40)*MATERIALES!$D$82</f>
        <v>636</v>
      </c>
      <c r="G40" s="112">
        <f>(((A40*B40)*2)*MATERIALES!$D$83)+(4*MATERIALES!$C$229)+(((A40*2)+(B40*2))*MATERIALES!$C$230)+(((A40*2)+(B40*2))*MATERIALES!$C$231)</f>
        <v>2490.384</v>
      </c>
      <c r="H40" s="112">
        <f>(A40*B40)*MATERIALES!$D$89</f>
        <v>2148</v>
      </c>
      <c r="I40" s="167">
        <f t="shared" si="18"/>
        <v>11780.935008000002</v>
      </c>
      <c r="J40" s="167">
        <f t="shared" si="19"/>
        <v>15489.703008000002</v>
      </c>
      <c r="K40" s="163">
        <f t="shared" si="20"/>
        <v>13730.935008000002</v>
      </c>
      <c r="L40" s="911"/>
      <c r="O40" s="249" t="s">
        <v>653</v>
      </c>
      <c r="P40" s="250">
        <f t="shared" si="21"/>
        <v>10969.385136000001</v>
      </c>
      <c r="Q40" s="250">
        <f t="shared" si="22"/>
        <v>13608.147696</v>
      </c>
      <c r="R40" s="251">
        <f t="shared" si="23"/>
        <v>12041.885136000001</v>
      </c>
      <c r="S40" s="250">
        <f>+'MODENA CLASICA CORREDIZA'!M22</f>
        <v>0</v>
      </c>
    </row>
    <row r="41" spans="1:19" ht="15.75">
      <c r="A41" s="168">
        <v>2</v>
      </c>
      <c r="B41" s="169">
        <v>0.8</v>
      </c>
      <c r="C41" s="170">
        <f>((((A41*2)+(B41*2))*MATERIALES!$C$57)+(((A41*2)+(B41*2))*MATERIALES!$C$56)+(((A41*2)+(B41*2))*MATERIALES!$C$73))*(MATERIALES!$F$2*MATERIALES!$J$15)</f>
        <v>0</v>
      </c>
      <c r="D41" s="170">
        <f>(8*MATERIALES!$C$189)+(1*MATERIALES!$C$195)+(((A41*2)+(B41*2))*MATERIALES!$C$209)+(4*MATERIALES!$C$148)+(((A41*5)*2)*MATERIALES!$C$147)+(((A41*2)+(B41*2))*MATERIALES!$C$210)+((((A41*2)+(B41*2))/0.1)*MATERIALES!$C$192)+(((A41*2)+(B41*2))*MATERIALES!$C$165)+(2*MATERIALES!$C$187)</f>
        <v>7567.6764800000001</v>
      </c>
      <c r="E41" s="170">
        <f>(0.5*MATERIALES!$D$254)</f>
        <v>557</v>
      </c>
      <c r="F41" s="171">
        <f>(A41*B41)*MATERIALES!$D$82</f>
        <v>848</v>
      </c>
      <c r="G41" s="171">
        <f>(((A41*B41)*2)*MATERIALES!$D$83)+(4*MATERIALES!$C$229)+(((A41*2)+(B41*2))*MATERIALES!$C$230)+(((A41*2)+(B41*2))*MATERIALES!$C$231)</f>
        <v>3080.2719999999999</v>
      </c>
      <c r="H41" s="171">
        <f>(A41*B41)*MATERIALES!$D$89</f>
        <v>2864</v>
      </c>
      <c r="I41" s="172">
        <f t="shared" si="18"/>
        <v>12258.079424</v>
      </c>
      <c r="J41" s="172">
        <f t="shared" si="19"/>
        <v>16722.623423999998</v>
      </c>
      <c r="K41" s="173">
        <f t="shared" si="20"/>
        <v>14858.079424</v>
      </c>
      <c r="L41" s="912" t="s">
        <v>405</v>
      </c>
      <c r="O41" s="249" t="s">
        <v>605</v>
      </c>
      <c r="P41" s="250">
        <f t="shared" si="21"/>
        <v>11059.557343999999</v>
      </c>
      <c r="Q41" s="250">
        <f t="shared" si="22"/>
        <v>13883.583583999998</v>
      </c>
      <c r="R41" s="251">
        <f t="shared" si="23"/>
        <v>12229.557343999997</v>
      </c>
      <c r="S41" s="250">
        <f>+'MODENA CLASICA CORREDIZA'!M23</f>
        <v>0</v>
      </c>
    </row>
    <row r="42" spans="1:19" ht="15.75">
      <c r="A42" s="168">
        <v>2</v>
      </c>
      <c r="B42" s="169">
        <v>1</v>
      </c>
      <c r="C42" s="170">
        <f>((((A42*2)+(B42*2))*MATERIALES!$C$57)+(((A42*2)+(B42*2))*MATERIALES!$C$56)+(((A42*2)+(B42*2))*MATERIALES!$C$73))*(MATERIALES!$F$2*MATERIALES!$J$15)</f>
        <v>0</v>
      </c>
      <c r="D42" s="170">
        <f>(8*MATERIALES!$C$189)+(1*MATERIALES!$C$195)+(((A42*2)+(B42*2))*MATERIALES!$C$209)+(4*MATERIALES!$C$148)+(((A42*5)*2)*MATERIALES!$C$147)+(((A42*2)+(B42*2))*MATERIALES!$C$210)+((((A42*2)+(B42*2))/0.1)*MATERIALES!$C$192)+(((A42*2)+(B42*2))*MATERIALES!$C$165)+(2*MATERIALES!$C$187)</f>
        <v>7608.5567999999994</v>
      </c>
      <c r="E42" s="170">
        <f>(0.5*MATERIALES!$D$254)</f>
        <v>557</v>
      </c>
      <c r="F42" s="171">
        <f>(A42*B42)*MATERIALES!$D$82</f>
        <v>1060</v>
      </c>
      <c r="G42" s="171">
        <f>(((A42*B42)*2)*MATERIALES!$D$83)+(4*MATERIALES!$C$229)+(((A42*2)+(B42*2))*MATERIALES!$C$230)+(((A42*2)+(B42*2))*MATERIALES!$C$231)</f>
        <v>3670.1600000000003</v>
      </c>
      <c r="H42" s="171">
        <f>(A42*B42)*MATERIALES!$D$89</f>
        <v>3580</v>
      </c>
      <c r="I42" s="172">
        <f t="shared" si="18"/>
        <v>12735.223839999999</v>
      </c>
      <c r="J42" s="172">
        <f t="shared" si="19"/>
        <v>17955.543839999998</v>
      </c>
      <c r="K42" s="173">
        <f t="shared" si="20"/>
        <v>15985.223839999999</v>
      </c>
      <c r="L42" s="913"/>
      <c r="O42" s="249" t="s">
        <v>606</v>
      </c>
      <c r="P42" s="250">
        <f t="shared" si="21"/>
        <v>11330.073968000001</v>
      </c>
      <c r="Q42" s="250">
        <f t="shared" si="22"/>
        <v>14709.891248</v>
      </c>
      <c r="R42" s="251">
        <f t="shared" si="23"/>
        <v>12792.573968000001</v>
      </c>
      <c r="S42" s="250">
        <f>+'MODENA CLASICA CORREDIZA'!M24</f>
        <v>0</v>
      </c>
    </row>
    <row r="43" spans="1:19">
      <c r="A43" s="168">
        <v>2</v>
      </c>
      <c r="B43" s="169">
        <v>1.2</v>
      </c>
      <c r="C43" s="170">
        <f>((((A43*2)+(B43*2))*MATERIALES!$C$57)+(((A43*2)+(B43*2))*MATERIALES!$C$56)+(((A43*2)+(B43*2))*MATERIALES!$C$73))*(MATERIALES!$F$2*MATERIALES!$J$15)</f>
        <v>0</v>
      </c>
      <c r="D43" s="170">
        <f>(8*MATERIALES!$C$189)+(1*MATERIALES!$C$195)+(((A43*2)+(B43*2))*MATERIALES!$C$209)+(4*MATERIALES!$C$148)+(((A43*5)*2)*MATERIALES!$C$147)+(((A43*2)+(B43*2))*MATERIALES!$C$210)+((((A43*2)+(B43*2))/0.1)*MATERIALES!$C$192)+(((A43*2)+(B43*2))*MATERIALES!$C$165)+(2*MATERIALES!$C$187)</f>
        <v>7649.4371199999996</v>
      </c>
      <c r="E43" s="170">
        <f>(0.5*MATERIALES!$D$254)</f>
        <v>557</v>
      </c>
      <c r="F43" s="171">
        <f>(A43*B43)*MATERIALES!$D$82</f>
        <v>1272</v>
      </c>
      <c r="G43" s="171">
        <f>(((A43*B43)*2)*MATERIALES!$D$83)+(4*MATERIALES!$C$229)+(((A43*2)+(B43*2))*MATERIALES!$C$230)+(((A43*2)+(B43*2))*MATERIALES!$C$231)</f>
        <v>4260.0479999999998</v>
      </c>
      <c r="H43" s="171">
        <f>(A43*B43)*MATERIALES!$D$89</f>
        <v>4296</v>
      </c>
      <c r="I43" s="172">
        <f t="shared" si="18"/>
        <v>13212.368255999998</v>
      </c>
      <c r="J43" s="172">
        <f t="shared" si="19"/>
        <v>19188.464255999999</v>
      </c>
      <c r="K43" s="173">
        <f t="shared" si="20"/>
        <v>17112.368255999998</v>
      </c>
      <c r="L43" s="913"/>
    </row>
    <row r="44" spans="1:19">
      <c r="A44" s="168">
        <v>2</v>
      </c>
      <c r="B44" s="169">
        <v>1.5</v>
      </c>
      <c r="C44" s="170">
        <f>((((A44*2)+(B44*2))*MATERIALES!$C$57)+(((A44*2)+(B44*2))*MATERIALES!$C$56)+(((A44*2)+(B44*2))*MATERIALES!$C$73))*(MATERIALES!$F$2*MATERIALES!$J$15)</f>
        <v>0</v>
      </c>
      <c r="D44" s="170">
        <f>(8*MATERIALES!$C$189)+(1*MATERIALES!$C$195)+(((A44*2)+(B44*2))*MATERIALES!$C$209)+(4*MATERIALES!$C$148)+(((A44*5)*2)*MATERIALES!$C$147)+(((A44*2)+(B44*2))*MATERIALES!$C$210)+((((A44*2)+(B44*2))/0.1)*MATERIALES!$C$192)+(((A44*2)+(B44*2))*MATERIALES!$C$165)+(2*MATERIALES!$C$187)</f>
        <v>7710.7575999999999</v>
      </c>
      <c r="E44" s="170">
        <f>(0.5*MATERIALES!$D$254)</f>
        <v>557</v>
      </c>
      <c r="F44" s="171">
        <f>(A44*B44)*MATERIALES!$D$82</f>
        <v>1590</v>
      </c>
      <c r="G44" s="171">
        <f>(((A44*B44)*2)*MATERIALES!$D$83)+(4*MATERIALES!$C$229)+(((A44*2)+(B44*2))*MATERIALES!$C$230)+(((A44*2)+(B44*2))*MATERIALES!$C$231)</f>
        <v>5144.88</v>
      </c>
      <c r="H44" s="171">
        <f>(A44*B44)*MATERIALES!$D$89</f>
        <v>5370</v>
      </c>
      <c r="I44" s="172">
        <f t="shared" si="18"/>
        <v>13928.084880000002</v>
      </c>
      <c r="J44" s="172">
        <f t="shared" si="19"/>
        <v>21037.844880000004</v>
      </c>
      <c r="K44" s="173">
        <f t="shared" si="20"/>
        <v>18803.084880000002</v>
      </c>
      <c r="L44" s="913"/>
    </row>
    <row r="45" spans="1:19" ht="15.75" thickBot="1">
      <c r="A45" s="168">
        <v>2</v>
      </c>
      <c r="B45" s="169">
        <v>1.8</v>
      </c>
      <c r="C45" s="170">
        <f>((((A45*2)+(B45*2))*MATERIALES!$C$57)+(((A45*2)+(B45*2))*MATERIALES!$C$56)+(((A45*2)+(B45*2))*MATERIALES!$C$73))*(MATERIALES!$F$2*MATERIALES!$J$15)</f>
        <v>0</v>
      </c>
      <c r="D45" s="170">
        <f>(8*MATERIALES!$C$189)+(1*MATERIALES!$C$195)+(((A45*2)+(B45*2))*MATERIALES!$C$209)+(4*MATERIALES!$C$148)+(((A45*5)*2)*MATERIALES!$C$147)+(((A45*2)+(B45*2))*MATERIALES!$C$210)+((((A45*2)+(B45*2))/0.1)*MATERIALES!$C$192)+(((A45*2)+(B45*2))*MATERIALES!$C$165)+(2*MATERIALES!$C$187)</f>
        <v>7772.0780800000002</v>
      </c>
      <c r="E45" s="170">
        <f>(0.5*MATERIALES!$D$254)</f>
        <v>557</v>
      </c>
      <c r="F45" s="171">
        <f>(A45*B45)*MATERIALES!$D$82</f>
        <v>1908</v>
      </c>
      <c r="G45" s="171">
        <f>(((A45*B45)*2)*MATERIALES!$D$83)+(4*MATERIALES!$C$229)+(((A45*2)+(B45*2))*MATERIALES!$C$230)+(((A45*2)+(B45*2))*MATERIALES!$C$231)</f>
        <v>6029.7120000000004</v>
      </c>
      <c r="H45" s="171">
        <f>(A45*B45)*MATERIALES!$D$89</f>
        <v>6444</v>
      </c>
      <c r="I45" s="172">
        <f t="shared" si="18"/>
        <v>14643.801503999999</v>
      </c>
      <c r="J45" s="172">
        <f t="shared" si="19"/>
        <v>22887.225504000002</v>
      </c>
      <c r="K45" s="173">
        <f t="shared" si="20"/>
        <v>20493.801503999999</v>
      </c>
      <c r="L45" s="914"/>
    </row>
    <row r="47" spans="1:19" ht="15.75" thickBot="1"/>
    <row r="48" spans="1:19" ht="15.75" thickBot="1">
      <c r="C48" s="895">
        <v>0.3</v>
      </c>
      <c r="D48" s="897"/>
      <c r="E48" s="896"/>
      <c r="F48" s="895">
        <v>1</v>
      </c>
      <c r="G48" s="897"/>
      <c r="H48" s="141">
        <v>0.5</v>
      </c>
      <c r="K48" s="62" t="s">
        <v>163</v>
      </c>
    </row>
    <row r="49" spans="1:13" ht="15.75" thickBot="1">
      <c r="A49" s="792" t="s">
        <v>379</v>
      </c>
      <c r="B49" s="793"/>
      <c r="C49" s="793"/>
      <c r="D49" s="793"/>
      <c r="E49" s="793"/>
      <c r="F49" s="793"/>
      <c r="G49" s="793"/>
      <c r="H49" s="793"/>
      <c r="I49" s="793"/>
      <c r="J49" s="793"/>
      <c r="K49" s="794"/>
    </row>
    <row r="50" spans="1:13" ht="15.75" thickBot="1">
      <c r="A50" s="116" t="s">
        <v>116</v>
      </c>
      <c r="B50" s="116" t="s">
        <v>117</v>
      </c>
      <c r="C50" s="116" t="s">
        <v>162</v>
      </c>
      <c r="D50" s="116" t="s">
        <v>376</v>
      </c>
      <c r="E50" s="116" t="s">
        <v>120</v>
      </c>
      <c r="F50" s="136" t="s">
        <v>258</v>
      </c>
      <c r="G50" s="134" t="s">
        <v>260</v>
      </c>
      <c r="H50" s="136" t="s">
        <v>259</v>
      </c>
      <c r="I50" s="136" t="s">
        <v>261</v>
      </c>
      <c r="J50" s="136" t="s">
        <v>262</v>
      </c>
      <c r="K50" s="116" t="s">
        <v>263</v>
      </c>
      <c r="L50" s="32"/>
    </row>
    <row r="51" spans="1:13" ht="15.75" thickBot="1">
      <c r="A51" s="795"/>
      <c r="B51" s="796"/>
      <c r="C51" s="796"/>
      <c r="D51" s="796"/>
      <c r="E51" s="796"/>
      <c r="F51" s="796"/>
      <c r="G51" s="796"/>
      <c r="H51" s="796"/>
      <c r="I51" s="796"/>
      <c r="J51" s="796"/>
      <c r="K51" s="797"/>
      <c r="L51" s="197"/>
      <c r="M51" s="4"/>
    </row>
    <row r="52" spans="1:13">
      <c r="A52" s="198">
        <v>0.6</v>
      </c>
      <c r="B52" s="199">
        <v>0.4</v>
      </c>
      <c r="C52" s="200">
        <f>((((A52*2)+(B52*2))*MATERIALES!$C$57)+(((A52*2)+(B52*2))*MATERIALES!$C$76)+(((A52*2)+(B52*2))*MATERIALES!$C$73))*MATERIALES!$F$2</f>
        <v>2548.7280000000001</v>
      </c>
      <c r="D52" s="200">
        <f>(8*MATERIALES!$C$189)+(1*MATERIALES!$C$199)+(1*MATERIALES!$C$203)+(((A52*2)+(B52*2))*MATERIALES!$C$209)+(4*MATERIALES!$C$148)+(((A52*5)*2)*MATERIALES!$C$147)+(((A52*2)+(B52*2))*MATERIALES!$C$210)+((((A52*2)+(B52*2))/0.1)*MATERIALES!$C$192)+(((A52*2)+(B52*2))*MATERIALES!$C$165)+(2*MATERIALES!$C$187)+(0.5*MATERIALES!$C$167)</f>
        <v>5752.8535999999995</v>
      </c>
      <c r="E52" s="200">
        <f>(0.5*MATERIALES!$D$254)</f>
        <v>557</v>
      </c>
      <c r="F52" s="201">
        <f>(A52*B52)*MATERIALES!$D$83</f>
        <v>156</v>
      </c>
      <c r="G52" s="201">
        <f>(((A52*B52)*2)*MATERIALES!$D$83)+(4*MATERIALES!$C$229)+(((A52*2)+(B52*2))*MATERIALES!$C$230)+(((A52*2)+(B52*2))*MATERIALES!$C$231)+((((A52*2)+(B52*2))/15)*MATERIALES!$C$232)+((((A52*2)+(B52*2))/15)*(MATERIALES!$C$233*0.15))</f>
        <v>798.15840000000003</v>
      </c>
      <c r="H52" s="201">
        <f>(A52*B52)*MATERIALES!$D$89</f>
        <v>429.59999999999997</v>
      </c>
      <c r="I52" s="202">
        <f t="shared" ref="I52:I83" si="24">((C52+D52+E52)*1.3)+(F52*2)</f>
        <v>11828.156080000001</v>
      </c>
      <c r="J52" s="202">
        <f t="shared" ref="J52:J83" si="25">((C52+D52+E52)*1.3)+(G52*2)</f>
        <v>13112.472880000001</v>
      </c>
      <c r="K52" s="203">
        <f t="shared" ref="K52:K83" si="26">((C52+D52+E52)*1.3)+(H52*1.5)</f>
        <v>12160.55608</v>
      </c>
      <c r="L52" s="926" t="s">
        <v>503</v>
      </c>
      <c r="M52" s="4"/>
    </row>
    <row r="53" spans="1:13">
      <c r="A53" s="204">
        <v>0.6</v>
      </c>
      <c r="B53" s="205">
        <v>0.6</v>
      </c>
      <c r="C53" s="206">
        <f>((((A53*2)+(B53*2))*MATERIALES!$C$57)+(((A53*2)+(B53*2))*MATERIALES!$C$76)+(((A53*2)+(B53*2))*MATERIALES!$C$73))*MATERIALES!$F$2</f>
        <v>3058.4736000000003</v>
      </c>
      <c r="D53" s="206">
        <f>(8*MATERIALES!$C$189)+(1*MATERIALES!$C$199)+(1*MATERIALES!$C$203)+(((A53*2)+(B53*2))*MATERIALES!$C$209)+(4*MATERIALES!$C$148)+(((A53*5)*2)*MATERIALES!$C$147)+(((A53*2)+(B53*2))*MATERIALES!$C$210)+((((A53*2)+(B53*2))/0.1)*MATERIALES!$C$192)+(((A53*2)+(B53*2))*MATERIALES!$C$165)+(2*MATERIALES!$C$187)+(0.5*MATERIALES!$C$167)</f>
        <v>5793.7339199999997</v>
      </c>
      <c r="E53" s="206">
        <f>(0.5*MATERIALES!$D$254)</f>
        <v>557</v>
      </c>
      <c r="F53" s="207">
        <f>(A53*B53)*MATERIALES!$D$83</f>
        <v>234</v>
      </c>
      <c r="G53" s="207">
        <f>(((A53*B53)*2)*MATERIALES!$D$83)+(4*MATERIALES!$C$229)+(((A53*2)+(B53*2))*MATERIALES!$C$230)+(((A53*2)+(B53*2))*MATERIALES!$C$231)+((((A53*2)+(B53*2))/15)*MATERIALES!$C$232)+((((A53*2)+(B53*2))/15)*(MATERIALES!$C$233*0.15))</f>
        <v>1047.02208</v>
      </c>
      <c r="H53" s="207">
        <f>(A53*B53)*MATERIALES!$D$89</f>
        <v>644.4</v>
      </c>
      <c r="I53" s="208">
        <f t="shared" si="24"/>
        <v>12699.969776</v>
      </c>
      <c r="J53" s="208">
        <f t="shared" si="25"/>
        <v>14326.013935999999</v>
      </c>
      <c r="K53" s="209">
        <f t="shared" si="26"/>
        <v>13198.569776</v>
      </c>
      <c r="L53" s="927"/>
    </row>
    <row r="54" spans="1:13">
      <c r="A54" s="204">
        <v>0.6</v>
      </c>
      <c r="B54" s="205">
        <v>0.8</v>
      </c>
      <c r="C54" s="206">
        <f>((((A54*2)+(B54*2))*MATERIALES!$C$57)+(((A54*2)+(B54*2))*MATERIALES!$C$76)+(((A54*2)+(B54*2))*MATERIALES!$C$73))*MATERIALES!$F$2</f>
        <v>3568.2192</v>
      </c>
      <c r="D54" s="206">
        <f>(8*MATERIALES!$C$189)+(1*MATERIALES!$C$199)+(1*MATERIALES!$C$203)+(((A54*2)+(B54*2))*MATERIALES!$C$209)+(4*MATERIALES!$C$148)+(((A54*5)*2)*MATERIALES!$C$147)+(((A54*2)+(B54*2))*MATERIALES!$C$210)+((((A54*2)+(B54*2))/0.1)*MATERIALES!$C$192)+(((A54*2)+(B54*2))*MATERIALES!$C$165)+(2*MATERIALES!$C$187)+(0.5*MATERIALES!$C$167)</f>
        <v>5834.6142399999999</v>
      </c>
      <c r="E54" s="206">
        <f>(0.5*MATERIALES!$D$254)</f>
        <v>557</v>
      </c>
      <c r="F54" s="207">
        <f>(A54*B54)*MATERIALES!$D$83</f>
        <v>312</v>
      </c>
      <c r="G54" s="207">
        <f>(((A54*B54)*2)*MATERIALES!$D$83)+(4*MATERIALES!$C$229)+(((A54*2)+(B54*2))*MATERIALES!$C$230)+(((A54*2)+(B54*2))*MATERIALES!$C$231)+((((A54*2)+(B54*2))/15)*MATERIALES!$C$232)+((((A54*2)+(B54*2))/15)*(MATERIALES!$C$233*0.15))</f>
        <v>1295.8857600000001</v>
      </c>
      <c r="H54" s="207">
        <f>(A54*B54)*MATERIALES!$D$89</f>
        <v>859.19999999999993</v>
      </c>
      <c r="I54" s="208">
        <f t="shared" si="24"/>
        <v>13571.783472000001</v>
      </c>
      <c r="J54" s="208">
        <f t="shared" si="25"/>
        <v>15539.554992000001</v>
      </c>
      <c r="K54" s="209">
        <f t="shared" si="26"/>
        <v>14236.583472</v>
      </c>
      <c r="L54" s="927"/>
    </row>
    <row r="55" spans="1:13">
      <c r="A55" s="204">
        <v>0.8</v>
      </c>
      <c r="B55" s="205">
        <v>0.4</v>
      </c>
      <c r="C55" s="206">
        <f>((((A55*2)+(B55*2))*MATERIALES!$C$57)+(((A55*2)+(B55*2))*MATERIALES!$C$76)+(((A55*2)+(B55*2))*MATERIALES!$C$73))*MATERIALES!$F$2</f>
        <v>3058.4736000000007</v>
      </c>
      <c r="D55" s="206">
        <f>(8*MATERIALES!$C$189)+(1*MATERIALES!$C$199)+(1*MATERIALES!$C$203)+(((A55*2)+(B55*2))*MATERIALES!$C$209)+(4*MATERIALES!$C$148)+(((A55*5)*2)*MATERIALES!$C$147)+(((A55*2)+(B55*2))*MATERIALES!$C$210)+((((A55*2)+(B55*2))/0.1)*MATERIALES!$C$192)+(((A55*2)+(B55*2))*MATERIALES!$C$165)+(2*MATERIALES!$C$187)+(0.5*MATERIALES!$C$167)</f>
        <v>5793.7339199999997</v>
      </c>
      <c r="E55" s="206">
        <f>(0.5*MATERIALES!$D$254)</f>
        <v>557</v>
      </c>
      <c r="F55" s="207">
        <f>(A55*B55)*MATERIALES!$D$83</f>
        <v>208.00000000000003</v>
      </c>
      <c r="G55" s="207">
        <f>(((A55*B55)*2)*MATERIALES!$D$83)+(4*MATERIALES!$C$229)+(((A55*2)+(B55*2))*MATERIALES!$C$230)+(((A55*2)+(B55*2))*MATERIALES!$C$231)+((((A55*2)+(B55*2))/15)*MATERIALES!$C$232)+((((A55*2)+(B55*2))/15)*(MATERIALES!$C$233*0.15))</f>
        <v>995.02208000000007</v>
      </c>
      <c r="H55" s="207">
        <f>(A55*B55)*MATERIALES!$D$89</f>
        <v>572.80000000000007</v>
      </c>
      <c r="I55" s="208">
        <f t="shared" si="24"/>
        <v>12647.969776</v>
      </c>
      <c r="J55" s="208">
        <f t="shared" si="25"/>
        <v>14222.013935999999</v>
      </c>
      <c r="K55" s="209">
        <f t="shared" si="26"/>
        <v>13091.169776000001</v>
      </c>
      <c r="L55" s="927"/>
    </row>
    <row r="56" spans="1:13">
      <c r="A56" s="204">
        <v>0.8</v>
      </c>
      <c r="B56" s="205">
        <v>0.6</v>
      </c>
      <c r="C56" s="206">
        <f>((((A56*2)+(B56*2))*MATERIALES!$C$57)+(((A56*2)+(B56*2))*MATERIALES!$C$76)+(((A56*2)+(B56*2))*MATERIALES!$C$73))*MATERIALES!$F$2</f>
        <v>3568.2192</v>
      </c>
      <c r="D56" s="206">
        <f>(8*MATERIALES!$C$189)+(1*MATERIALES!$C$199)+(1*MATERIALES!$C$203)+(((A56*2)+(B56*2))*MATERIALES!$C$209)+(4*MATERIALES!$C$148)+(((A56*5)*2)*MATERIALES!$C$147)+(((A56*2)+(B56*2))*MATERIALES!$C$210)+((((A56*2)+(B56*2))/0.1)*MATERIALES!$C$192)+(((A56*2)+(B56*2))*MATERIALES!$C$165)+(2*MATERIALES!$C$187)+(0.5*MATERIALES!$C$167)</f>
        <v>5834.6142399999999</v>
      </c>
      <c r="E56" s="206">
        <f>(0.5*MATERIALES!$D$254)</f>
        <v>557</v>
      </c>
      <c r="F56" s="207">
        <f>(A56*B56)*MATERIALES!$D$83</f>
        <v>312</v>
      </c>
      <c r="G56" s="207">
        <f>(((A56*B56)*2)*MATERIALES!$D$83)+(4*MATERIALES!$C$229)+(((A56*2)+(B56*2))*MATERIALES!$C$230)+(((A56*2)+(B56*2))*MATERIALES!$C$231)+((((A56*2)+(B56*2))/15)*MATERIALES!$C$232)+((((A56*2)+(B56*2))/15)*(MATERIALES!$C$233*0.15))</f>
        <v>1295.8857600000001</v>
      </c>
      <c r="H56" s="207">
        <f>(A56*B56)*MATERIALES!$D$89</f>
        <v>859.19999999999993</v>
      </c>
      <c r="I56" s="208">
        <f t="shared" si="24"/>
        <v>13571.783472000001</v>
      </c>
      <c r="J56" s="208">
        <f t="shared" si="25"/>
        <v>15539.554992000001</v>
      </c>
      <c r="K56" s="209">
        <f t="shared" si="26"/>
        <v>14236.583472</v>
      </c>
      <c r="L56" s="927"/>
    </row>
    <row r="57" spans="1:13">
      <c r="A57" s="204">
        <v>0.8</v>
      </c>
      <c r="B57" s="205">
        <v>0.8</v>
      </c>
      <c r="C57" s="206">
        <f>((((A57*2)+(B57*2))*MATERIALES!$C$57)+(((A57*2)+(B57*2))*MATERIALES!$C$76)+(((A57*2)+(B57*2))*MATERIALES!$C$73))*MATERIALES!$F$2</f>
        <v>4077.9648000000002</v>
      </c>
      <c r="D57" s="206">
        <f>(8*MATERIALES!$C$189)+(1*MATERIALES!$C$199)+(1*MATERIALES!$C$203)+(((A57*2)+(B57*2))*MATERIALES!$C$209)+(4*MATERIALES!$C$148)+(((A57*5)*2)*MATERIALES!$C$147)+(((A57*2)+(B57*2))*MATERIALES!$C$210)+((((A57*2)+(B57*2))/0.1)*MATERIALES!$C$192)+(((A57*2)+(B57*2))*MATERIALES!$C$165)+(2*MATERIALES!$C$187)+(0.5*MATERIALES!$C$167)</f>
        <v>5875.4945599999992</v>
      </c>
      <c r="E57" s="206">
        <f>(0.5*MATERIALES!$D$254)</f>
        <v>557</v>
      </c>
      <c r="F57" s="207">
        <f>(A57*B57)*MATERIALES!$D$83</f>
        <v>416.00000000000006</v>
      </c>
      <c r="G57" s="207">
        <f>(((A57*B57)*2)*MATERIALES!$D$83)+(4*MATERIALES!$C$229)+(((A57*2)+(B57*2))*MATERIALES!$C$230)+(((A57*2)+(B57*2))*MATERIALES!$C$231)+((((A57*2)+(B57*2))/15)*MATERIALES!$C$232)+((((A57*2)+(B57*2))/15)*(MATERIALES!$C$233*0.15))</f>
        <v>1596.7494400000003</v>
      </c>
      <c r="H57" s="207">
        <f>(A57*B57)*MATERIALES!$D$89</f>
        <v>1145.6000000000001</v>
      </c>
      <c r="I57" s="208">
        <f t="shared" si="24"/>
        <v>14495.597167999998</v>
      </c>
      <c r="J57" s="208">
        <f t="shared" si="25"/>
        <v>16857.096047999999</v>
      </c>
      <c r="K57" s="209">
        <f t="shared" si="26"/>
        <v>15381.997167999998</v>
      </c>
      <c r="L57" s="927"/>
    </row>
    <row r="58" spans="1:13">
      <c r="A58" s="204">
        <v>1</v>
      </c>
      <c r="B58" s="205">
        <v>0.4</v>
      </c>
      <c r="C58" s="206">
        <f>((((A58*2)+(B58*2))*MATERIALES!$C$57)+(((A58*2)+(B58*2))*MATERIALES!$C$76)+(((A58*2)+(B58*2))*MATERIALES!$C$73))*MATERIALES!$F$2</f>
        <v>3568.2192</v>
      </c>
      <c r="D58" s="206">
        <f>(8*MATERIALES!$C$189)+(1*MATERIALES!$C$199)+(1*MATERIALES!$C$203)+(((A58*2)+(B58*2))*MATERIALES!$C$209)+(4*MATERIALES!$C$148)+(((A58*5)*2)*MATERIALES!$C$147)+(((A58*2)+(B58*2))*MATERIALES!$C$210)+((((A58*2)+(B58*2))/0.1)*MATERIALES!$C$192)+(((A58*2)+(B58*2))*MATERIALES!$C$165)+(2*MATERIALES!$C$187)+(0.5*MATERIALES!$C$167)</f>
        <v>5834.6142399999999</v>
      </c>
      <c r="E58" s="206">
        <f>(0.5*MATERIALES!$D$254)</f>
        <v>557</v>
      </c>
      <c r="F58" s="207">
        <f>(A58*B58)*MATERIALES!$D$83</f>
        <v>260</v>
      </c>
      <c r="G58" s="207">
        <f>(((A58*B58)*2)*MATERIALES!$D$83)+(4*MATERIALES!$C$229)+(((A58*2)+(B58*2))*MATERIALES!$C$230)+(((A58*2)+(B58*2))*MATERIALES!$C$231)+((((A58*2)+(B58*2))/15)*MATERIALES!$C$232)+((((A58*2)+(B58*2))/15)*(MATERIALES!$C$233*0.15))</f>
        <v>1191.8857600000001</v>
      </c>
      <c r="H58" s="207">
        <f>(A58*B58)*MATERIALES!$D$89</f>
        <v>716</v>
      </c>
      <c r="I58" s="208">
        <f t="shared" si="24"/>
        <v>13467.783472000001</v>
      </c>
      <c r="J58" s="208">
        <f t="shared" si="25"/>
        <v>15331.554992000001</v>
      </c>
      <c r="K58" s="209">
        <f t="shared" si="26"/>
        <v>14021.783472000001</v>
      </c>
      <c r="L58" s="927"/>
    </row>
    <row r="59" spans="1:13">
      <c r="A59" s="204">
        <v>1</v>
      </c>
      <c r="B59" s="205">
        <v>0.6</v>
      </c>
      <c r="C59" s="206">
        <f>((((A59*2)+(B59*2))*MATERIALES!$C$57)+(((A59*2)+(B59*2))*MATERIALES!$C$76)+(((A59*2)+(B59*2))*MATERIALES!$C$73))*MATERIALES!$F$2</f>
        <v>4077.9648000000002</v>
      </c>
      <c r="D59" s="206">
        <f>(8*MATERIALES!$C$189)+(1*MATERIALES!$C$199)+(1*MATERIALES!$C$203)+(((A59*2)+(B59*2))*MATERIALES!$C$209)+(4*MATERIALES!$C$148)+(((A59*5)*2)*MATERIALES!$C$147)+(((A59*2)+(B59*2))*MATERIALES!$C$210)+((((A59*2)+(B59*2))/0.1)*MATERIALES!$C$192)+(((A59*2)+(B59*2))*MATERIALES!$C$165)+(2*MATERIALES!$C$187)+(0.5*MATERIALES!$C$167)</f>
        <v>5875.4945599999992</v>
      </c>
      <c r="E59" s="206">
        <f>(0.5*MATERIALES!$D$254)</f>
        <v>557</v>
      </c>
      <c r="F59" s="207">
        <f>(A59*B59)*MATERIALES!$D$83</f>
        <v>390</v>
      </c>
      <c r="G59" s="207">
        <f>(((A59*B59)*2)*MATERIALES!$D$83)+(4*MATERIALES!$C$229)+(((A59*2)+(B59*2))*MATERIALES!$C$230)+(((A59*2)+(B59*2))*MATERIALES!$C$231)+((((A59*2)+(B59*2))/15)*MATERIALES!$C$232)+((((A59*2)+(B59*2))/15)*(MATERIALES!$C$233*0.15))</f>
        <v>1544.74944</v>
      </c>
      <c r="H59" s="207">
        <f>(A59*B59)*MATERIALES!$D$89</f>
        <v>1074</v>
      </c>
      <c r="I59" s="208">
        <f t="shared" si="24"/>
        <v>14443.597167999998</v>
      </c>
      <c r="J59" s="208">
        <f t="shared" si="25"/>
        <v>16753.096047999999</v>
      </c>
      <c r="K59" s="209">
        <f t="shared" si="26"/>
        <v>15274.597167999998</v>
      </c>
      <c r="L59" s="927"/>
    </row>
    <row r="60" spans="1:13">
      <c r="A60" s="204">
        <v>1</v>
      </c>
      <c r="B60" s="205">
        <v>0.8</v>
      </c>
      <c r="C60" s="206">
        <f>((((A60*2)+(B60*2))*MATERIALES!$C$57)+(((A60*2)+(B60*2))*MATERIALES!$C$76)+(((A60*2)+(B60*2))*MATERIALES!$C$73))*MATERIALES!$F$2</f>
        <v>4587.7104000000008</v>
      </c>
      <c r="D60" s="206">
        <f>(8*MATERIALES!$C$189)+(1*MATERIALES!$C$199)+(1*MATERIALES!$C$203)+(((A60*2)+(B60*2))*MATERIALES!$C$209)+(4*MATERIALES!$C$148)+(((A60*5)*2)*MATERIALES!$C$147)+(((A60*2)+(B60*2))*MATERIALES!$C$210)+((((A60*2)+(B60*2))/0.1)*MATERIALES!$C$192)+(((A60*2)+(B60*2))*MATERIALES!$C$165)+(2*MATERIALES!$C$187)+(0.5*MATERIALES!$C$167)</f>
        <v>5916.3748799999985</v>
      </c>
      <c r="E60" s="206">
        <f>(0.5*MATERIALES!$D$254)</f>
        <v>557</v>
      </c>
      <c r="F60" s="207">
        <f>(A60*B60)*MATERIALES!$D$83</f>
        <v>520</v>
      </c>
      <c r="G60" s="207">
        <f>(((A60*B60)*2)*MATERIALES!$D$83)+(4*MATERIALES!$C$229)+(((A60*2)+(B60*2))*MATERIALES!$C$230)+(((A60*2)+(B60*2))*MATERIALES!$C$231)+((((A60*2)+(B60*2))/15)*MATERIALES!$C$232)+((((A60*2)+(B60*2))/15)*(MATERIALES!$C$233*0.15))</f>
        <v>1897.6131199999998</v>
      </c>
      <c r="H60" s="207">
        <f>(A60*B60)*MATERIALES!$D$89</f>
        <v>1432</v>
      </c>
      <c r="I60" s="208">
        <f t="shared" si="24"/>
        <v>15419.410863999999</v>
      </c>
      <c r="J60" s="208">
        <f t="shared" si="25"/>
        <v>18174.637103999998</v>
      </c>
      <c r="K60" s="209">
        <f t="shared" si="26"/>
        <v>16527.410863999998</v>
      </c>
      <c r="L60" s="927"/>
    </row>
    <row r="61" spans="1:13">
      <c r="A61" s="204">
        <v>1</v>
      </c>
      <c r="B61" s="205">
        <v>1</v>
      </c>
      <c r="C61" s="206">
        <f>((((A61*2)+(B61*2))*MATERIALES!$C$57)+(((A61*2)+(B61*2))*MATERIALES!$C$76)+(((A61*2)+(B61*2))*MATERIALES!$C$73))*MATERIALES!$F$2</f>
        <v>5097.4560000000001</v>
      </c>
      <c r="D61" s="206">
        <f>(8*MATERIALES!$C$189)+(1*MATERIALES!$C$199)+(1*MATERIALES!$C$203)+(((A61*2)+(B61*2))*MATERIALES!$C$209)+(4*MATERIALES!$C$148)+(((A61*5)*2)*MATERIALES!$C$147)+(((A61*2)+(B61*2))*MATERIALES!$C$210)+((((A61*2)+(B61*2))/0.1)*MATERIALES!$C$192)+(((A61*2)+(B61*2))*MATERIALES!$C$165)+(2*MATERIALES!$C$187)+(0.5*MATERIALES!$C$167)</f>
        <v>5957.2551999999987</v>
      </c>
      <c r="E61" s="206">
        <f>(0.5*MATERIALES!$D$254)</f>
        <v>557</v>
      </c>
      <c r="F61" s="207">
        <f>(A61*B61)*MATERIALES!$D$83</f>
        <v>650</v>
      </c>
      <c r="G61" s="207">
        <f>(((A61*B61)*2)*MATERIALES!$D$83)+(4*MATERIALES!$C$229)+(((A61*2)+(B61*2))*MATERIALES!$C$230)+(((A61*2)+(B61*2))*MATERIALES!$C$231)+((((A61*2)+(B61*2))/15)*MATERIALES!$C$232)+((((A61*2)+(B61*2))/15)*(MATERIALES!$C$233*0.15))</f>
        <v>2250.4767999999999</v>
      </c>
      <c r="H61" s="207">
        <f>(A61*B61)*MATERIALES!$D$89</f>
        <v>1790</v>
      </c>
      <c r="I61" s="208">
        <f t="shared" si="24"/>
        <v>16395.224559999995</v>
      </c>
      <c r="J61" s="208">
        <f t="shared" si="25"/>
        <v>19596.178159999996</v>
      </c>
      <c r="K61" s="209">
        <f t="shared" si="26"/>
        <v>17780.224559999995</v>
      </c>
      <c r="L61" s="927"/>
    </row>
    <row r="62" spans="1:13">
      <c r="A62" s="204">
        <v>1</v>
      </c>
      <c r="B62" s="205">
        <v>1.1000000000000001</v>
      </c>
      <c r="C62" s="206">
        <f>((((A62*2)+(B62*2))*MATERIALES!$C$57)+(((A62*2)+(B62*2))*MATERIALES!$C$76)+(((A62*2)+(B62*2))*MATERIALES!$C$73))*MATERIALES!$F$2</f>
        <v>5352.3288000000011</v>
      </c>
      <c r="D62" s="206">
        <f>(8*MATERIALES!$C$189)+(1*MATERIALES!$C$199)+(1*MATERIALES!$C$203)+(((A62*2)+(B62*2))*MATERIALES!$C$209)+(4*MATERIALES!$C$148)+(((A62*5)*2)*MATERIALES!$C$147)+(((A62*2)+(B62*2))*MATERIALES!$C$210)+((((A62*2)+(B62*2))/0.1)*MATERIALES!$C$192)+(((A62*2)+(B62*2))*MATERIALES!$C$165)+(2*MATERIALES!$C$187)+(0.5*MATERIALES!$C$167)</f>
        <v>5977.6953599999997</v>
      </c>
      <c r="E62" s="206">
        <f>(0.5*MATERIALES!$D$254)</f>
        <v>557</v>
      </c>
      <c r="F62" s="207">
        <f>(A62*B62)*MATERIALES!$D$83</f>
        <v>715.00000000000011</v>
      </c>
      <c r="G62" s="207">
        <f>(((A62*B62)*2)*MATERIALES!$D$83)+(4*MATERIALES!$C$229)+(((A62*2)+(B62*2))*MATERIALES!$C$230)+(((A62*2)+(B62*2))*MATERIALES!$C$231)+((((A62*2)+(B62*2))/15)*MATERIALES!$C$232)+((((A62*2)+(B62*2))/15)*(MATERIALES!$C$233*0.15))</f>
        <v>2426.9086400000001</v>
      </c>
      <c r="H62" s="207">
        <f>(A62*B62)*MATERIALES!$D$89</f>
        <v>1969.0000000000002</v>
      </c>
      <c r="I62" s="208">
        <f t="shared" si="24"/>
        <v>16883.131408000001</v>
      </c>
      <c r="J62" s="208">
        <f t="shared" si="25"/>
        <v>20306.948688</v>
      </c>
      <c r="K62" s="209">
        <f t="shared" si="26"/>
        <v>18406.631408000001</v>
      </c>
      <c r="L62" s="927"/>
    </row>
    <row r="63" spans="1:13">
      <c r="A63" s="204">
        <v>1</v>
      </c>
      <c r="B63" s="205">
        <v>1.2</v>
      </c>
      <c r="C63" s="206">
        <f>((((A63*2)+(B63*2))*MATERIALES!$C$57)+(((A63*2)+(B63*2))*MATERIALES!$C$76)+(((A63*2)+(B63*2))*MATERIALES!$C$73))*MATERIALES!$F$2</f>
        <v>5607.2016000000012</v>
      </c>
      <c r="D63" s="206">
        <f>(8*MATERIALES!$C$189)+(1*MATERIALES!$C$199)+(1*MATERIALES!$C$203)+(((A63*2)+(B63*2))*MATERIALES!$C$209)+(4*MATERIALES!$C$148)+(((A63*5)*2)*MATERIALES!$C$147)+(((A63*2)+(B63*2))*MATERIALES!$C$210)+((((A63*2)+(B63*2))/0.1)*MATERIALES!$C$192)+(((A63*2)+(B63*2))*MATERIALES!$C$165)+(2*MATERIALES!$C$187)+(0.5*MATERIALES!$C$167)</f>
        <v>5998.1355199999989</v>
      </c>
      <c r="E63" s="206">
        <f>(0.5*MATERIALES!$D$254)</f>
        <v>557</v>
      </c>
      <c r="F63" s="207">
        <f>(A63*B63)*MATERIALES!$D$83</f>
        <v>780</v>
      </c>
      <c r="G63" s="207">
        <f>(((A63*B63)*2)*MATERIALES!$D$83)+(4*MATERIALES!$C$229)+(((A63*2)+(B63*2))*MATERIALES!$C$230)+(((A63*2)+(B63*2))*MATERIALES!$C$231)+((((A63*2)+(B63*2))/15)*MATERIALES!$C$232)+((((A63*2)+(B63*2))/15)*(MATERIALES!$C$233*0.15))</f>
        <v>2603.3404799999998</v>
      </c>
      <c r="H63" s="207">
        <f>(A63*B63)*MATERIALES!$D$89</f>
        <v>2148</v>
      </c>
      <c r="I63" s="208">
        <f t="shared" si="24"/>
        <v>17371.038256</v>
      </c>
      <c r="J63" s="208">
        <f t="shared" si="25"/>
        <v>21017.719215999998</v>
      </c>
      <c r="K63" s="209">
        <f t="shared" si="26"/>
        <v>19033.038256</v>
      </c>
      <c r="L63" s="927"/>
    </row>
    <row r="64" spans="1:13">
      <c r="A64" s="204">
        <v>1</v>
      </c>
      <c r="B64" s="205">
        <v>1.5</v>
      </c>
      <c r="C64" s="206">
        <f>((((A64*2)+(B64*2))*MATERIALES!$C$57)+(((A64*2)+(B64*2))*MATERIALES!$C$76)+(((A64*2)+(B64*2))*MATERIALES!$C$73))*MATERIALES!$F$2</f>
        <v>6371.8200000000015</v>
      </c>
      <c r="D64" s="206">
        <f>(8*MATERIALES!$C$189)+(1*MATERIALES!$C$199)+(1*MATERIALES!$C$203)+(((A64*2)+(B64*2))*MATERIALES!$C$209)+(4*MATERIALES!$C$148)+(((A64*5)*2)*MATERIALES!$C$147)+(((A64*2)+(B64*2))*MATERIALES!$C$210)+((((A64*2)+(B64*2))/0.1)*MATERIALES!$C$192)+(((A64*2)+(B64*2))*MATERIALES!$C$165)+(2*MATERIALES!$C$187)+(0.5*MATERIALES!$C$167)</f>
        <v>6059.4559999999992</v>
      </c>
      <c r="E64" s="206">
        <f>(0.5*MATERIALES!$D$254)</f>
        <v>557</v>
      </c>
      <c r="F64" s="207">
        <f>(A64*B64)*MATERIALES!$D$83</f>
        <v>975</v>
      </c>
      <c r="G64" s="207">
        <f>(((A64*B64)*2)*MATERIALES!$D$83)+(4*MATERIALES!$C$229)+(((A64*2)+(B64*2))*MATERIALES!$C$230)+(((A64*2)+(B64*2))*MATERIALES!$C$231)+((((A64*2)+(B64*2))/15)*MATERIALES!$C$232)+((((A64*2)+(B64*2))/15)*(MATERIALES!$C$233*0.15))</f>
        <v>3132.636</v>
      </c>
      <c r="H64" s="207">
        <f>(A64*B64)*MATERIALES!$D$89</f>
        <v>2685</v>
      </c>
      <c r="I64" s="208">
        <f t="shared" si="24"/>
        <v>18834.758800000003</v>
      </c>
      <c r="J64" s="208">
        <f t="shared" si="25"/>
        <v>23150.030800000004</v>
      </c>
      <c r="K64" s="209">
        <f t="shared" si="26"/>
        <v>20912.258800000003</v>
      </c>
      <c r="L64" s="927"/>
    </row>
    <row r="65" spans="1:12">
      <c r="A65" s="204">
        <v>1.2</v>
      </c>
      <c r="B65" s="205">
        <v>0.4</v>
      </c>
      <c r="C65" s="206">
        <f>((((A65*2)+(B65*2))*MATERIALES!$C$57)+(((A65*2)+(B65*2))*MATERIALES!$C$76)+(((A65*2)+(B65*2))*MATERIALES!$C$73))*MATERIALES!$F$2</f>
        <v>4077.9648000000002</v>
      </c>
      <c r="D65" s="206">
        <f>(8*MATERIALES!$C$189)+(1*MATERIALES!$C$199)+(1*MATERIALES!$C$203)+(((A65*2)+(B65*2))*MATERIALES!$C$209)+(4*MATERIALES!$C$148)+(((A65*5)*2)*MATERIALES!$C$147)+(((A65*2)+(B65*2))*MATERIALES!$C$210)+((((A65*2)+(B65*2))/0.1)*MATERIALES!$C$192)+(((A65*2)+(B65*2))*MATERIALES!$C$165)+(2*MATERIALES!$C$187)+(0.5*MATERIALES!$C$167)</f>
        <v>5875.4945599999992</v>
      </c>
      <c r="E65" s="206">
        <f>(0.5*MATERIALES!$D$254)</f>
        <v>557</v>
      </c>
      <c r="F65" s="207">
        <f>(A65*B65)*MATERIALES!$D$83</f>
        <v>312</v>
      </c>
      <c r="G65" s="207">
        <f>(((A65*B65)*2)*MATERIALES!$D$83)+(4*MATERIALES!$C$229)+(((A65*2)+(B65*2))*MATERIALES!$C$230)+(((A65*2)+(B65*2))*MATERIALES!$C$231)+((((A65*2)+(B65*2))/15)*MATERIALES!$C$232)+((((A65*2)+(B65*2))/15)*(MATERIALES!$C$233*0.15))</f>
        <v>1388.74944</v>
      </c>
      <c r="H65" s="207">
        <f>(A65*B65)*MATERIALES!$D$89</f>
        <v>859.19999999999993</v>
      </c>
      <c r="I65" s="208">
        <f t="shared" si="24"/>
        <v>14287.597167999998</v>
      </c>
      <c r="J65" s="208">
        <f t="shared" si="25"/>
        <v>16441.096047999999</v>
      </c>
      <c r="K65" s="209">
        <f t="shared" si="26"/>
        <v>14952.397167999998</v>
      </c>
      <c r="L65" s="927"/>
    </row>
    <row r="66" spans="1:12">
      <c r="A66" s="204">
        <v>1.2</v>
      </c>
      <c r="B66" s="205">
        <v>0.6</v>
      </c>
      <c r="C66" s="206">
        <f>((((A66*2)+(B66*2))*MATERIALES!$C$57)+(((A66*2)+(B66*2))*MATERIALES!$C$76)+(((A66*2)+(B66*2))*MATERIALES!$C$73))*MATERIALES!$F$2</f>
        <v>4587.7103999999999</v>
      </c>
      <c r="D66" s="206">
        <f>(8*MATERIALES!$C$189)+(1*MATERIALES!$C$199)+(1*MATERIALES!$C$203)+(((A66*2)+(B66*2))*MATERIALES!$C$209)+(4*MATERIALES!$C$148)+(((A66*5)*2)*MATERIALES!$C$147)+(((A66*2)+(B66*2))*MATERIALES!$C$210)+((((A66*2)+(B66*2))/0.1)*MATERIALES!$C$192)+(((A66*2)+(B66*2))*MATERIALES!$C$165)+(2*MATERIALES!$C$187)+(0.5*MATERIALES!$C$167)</f>
        <v>5916.3748799999985</v>
      </c>
      <c r="E66" s="206">
        <f>(0.5*MATERIALES!$D$254)</f>
        <v>557</v>
      </c>
      <c r="F66" s="207">
        <f>(A66*B66)*MATERIALES!$D$83</f>
        <v>468</v>
      </c>
      <c r="G66" s="207">
        <f>(((A66*B66)*2)*MATERIALES!$D$83)+(4*MATERIALES!$C$229)+(((A66*2)+(B66*2))*MATERIALES!$C$230)+(((A66*2)+(B66*2))*MATERIALES!$C$231)+((((A66*2)+(B66*2))/15)*MATERIALES!$C$232)+((((A66*2)+(B66*2))/15)*(MATERIALES!$C$233*0.15))</f>
        <v>1793.6131199999998</v>
      </c>
      <c r="H66" s="207">
        <f>(A66*B66)*MATERIALES!$D$89</f>
        <v>1288.8</v>
      </c>
      <c r="I66" s="208">
        <f t="shared" si="24"/>
        <v>15315.410863999999</v>
      </c>
      <c r="J66" s="208">
        <f t="shared" si="25"/>
        <v>17966.637103999998</v>
      </c>
      <c r="K66" s="209">
        <f t="shared" si="26"/>
        <v>16312.610863999998</v>
      </c>
      <c r="L66" s="927"/>
    </row>
    <row r="67" spans="1:12">
      <c r="A67" s="204">
        <v>1.2</v>
      </c>
      <c r="B67" s="205">
        <v>0.8</v>
      </c>
      <c r="C67" s="206">
        <f>((((A67*2)+(B67*2))*MATERIALES!$C$57)+(((A67*2)+(B67*2))*MATERIALES!$C$76)+(((A67*2)+(B67*2))*MATERIALES!$C$73))*MATERIALES!$F$2</f>
        <v>5097.4560000000001</v>
      </c>
      <c r="D67" s="206">
        <f>(8*MATERIALES!$C$189)+(1*MATERIALES!$C$199)+(1*MATERIALES!$C$203)+(((A67*2)+(B67*2))*MATERIALES!$C$209)+(4*MATERIALES!$C$148)+(((A67*5)*2)*MATERIALES!$C$147)+(((A67*2)+(B67*2))*MATERIALES!$C$210)+((((A67*2)+(B67*2))/0.1)*MATERIALES!$C$192)+(((A67*2)+(B67*2))*MATERIALES!$C$165)+(2*MATERIALES!$C$187)+(0.5*MATERIALES!$C$167)</f>
        <v>5957.2551999999987</v>
      </c>
      <c r="E67" s="206">
        <f>(0.5*MATERIALES!$D$254)</f>
        <v>557</v>
      </c>
      <c r="F67" s="207">
        <f>(A67*B67)*MATERIALES!$D$83</f>
        <v>624</v>
      </c>
      <c r="G67" s="207">
        <f>(((A67*B67)*2)*MATERIALES!$D$83)+(4*MATERIALES!$C$229)+(((A67*2)+(B67*2))*MATERIALES!$C$230)+(((A67*2)+(B67*2))*MATERIALES!$C$231)+((((A67*2)+(B67*2))/15)*MATERIALES!$C$232)+((((A67*2)+(B67*2))/15)*(MATERIALES!$C$233*0.15))</f>
        <v>2198.4767999999999</v>
      </c>
      <c r="H67" s="207">
        <f>(A67*B67)*MATERIALES!$D$89</f>
        <v>1718.3999999999999</v>
      </c>
      <c r="I67" s="208">
        <f t="shared" si="24"/>
        <v>16343.224559999997</v>
      </c>
      <c r="J67" s="208">
        <f t="shared" si="25"/>
        <v>19492.178159999996</v>
      </c>
      <c r="K67" s="209">
        <f t="shared" si="26"/>
        <v>17672.824559999997</v>
      </c>
      <c r="L67" s="927"/>
    </row>
    <row r="68" spans="1:12">
      <c r="A68" s="204">
        <v>1.2</v>
      </c>
      <c r="B68" s="205">
        <v>1</v>
      </c>
      <c r="C68" s="206">
        <f>((((A68*2)+(B68*2))*MATERIALES!$C$57)+(((A68*2)+(B68*2))*MATERIALES!$C$76)+(((A68*2)+(B68*2))*MATERIALES!$C$73))*MATERIALES!$F$2</f>
        <v>5607.2016000000012</v>
      </c>
      <c r="D68" s="206">
        <f>(8*MATERIALES!$C$189)+(1*MATERIALES!$C$199)+(1*MATERIALES!$C$203)+(((A68*2)+(B68*2))*MATERIALES!$C$209)+(4*MATERIALES!$C$148)+(((A68*5)*2)*MATERIALES!$C$147)+(((A68*2)+(B68*2))*MATERIALES!$C$210)+((((A68*2)+(B68*2))/0.1)*MATERIALES!$C$192)+(((A68*2)+(B68*2))*MATERIALES!$C$165)+(2*MATERIALES!$C$187)+(0.5*MATERIALES!$C$167)</f>
        <v>5998.1355199999989</v>
      </c>
      <c r="E68" s="206">
        <f>(0.5*MATERIALES!$D$254)</f>
        <v>557</v>
      </c>
      <c r="F68" s="207">
        <f>(A68*B68)*MATERIALES!$D$83</f>
        <v>780</v>
      </c>
      <c r="G68" s="207">
        <f>(((A68*B68)*2)*MATERIALES!$D$83)+(4*MATERIALES!$C$229)+(((A68*2)+(B68*2))*MATERIALES!$C$230)+(((A68*2)+(B68*2))*MATERIALES!$C$231)+((((A68*2)+(B68*2))/15)*MATERIALES!$C$232)+((((A68*2)+(B68*2))/15)*(MATERIALES!$C$233*0.15))</f>
        <v>2603.3404799999998</v>
      </c>
      <c r="H68" s="207">
        <f>(A68*B68)*MATERIALES!$D$89</f>
        <v>2148</v>
      </c>
      <c r="I68" s="208">
        <f t="shared" si="24"/>
        <v>17371.038256</v>
      </c>
      <c r="J68" s="208">
        <f t="shared" si="25"/>
        <v>21017.719215999998</v>
      </c>
      <c r="K68" s="209">
        <f t="shared" si="26"/>
        <v>19033.038256</v>
      </c>
      <c r="L68" s="927"/>
    </row>
    <row r="69" spans="1:12">
      <c r="A69" s="204">
        <v>1.2</v>
      </c>
      <c r="B69" s="205">
        <v>1.2</v>
      </c>
      <c r="C69" s="206">
        <f>((((A69*2)+(B69*2))*MATERIALES!$C$57)+(((A69*2)+(B69*2))*MATERIALES!$C$76)+(((A69*2)+(B69*2))*MATERIALES!$C$73))*MATERIALES!$F$2</f>
        <v>6116.9472000000005</v>
      </c>
      <c r="D69" s="206">
        <f>(8*MATERIALES!$C$189)+(1*MATERIALES!$C$199)+(1*MATERIALES!$C$203)+(((A69*2)+(B69*2))*MATERIALES!$C$209)+(4*MATERIALES!$C$148)+(((A69*5)*2)*MATERIALES!$C$147)+(((A69*2)+(B69*2))*MATERIALES!$C$210)+((((A69*2)+(B69*2))/0.1)*MATERIALES!$C$192)+(((A69*2)+(B69*2))*MATERIALES!$C$165)+(2*MATERIALES!$C$187)+(0.5*MATERIALES!$C$167)</f>
        <v>6039.01584</v>
      </c>
      <c r="E69" s="206">
        <f>(0.5*MATERIALES!$D$254)</f>
        <v>557</v>
      </c>
      <c r="F69" s="207">
        <f>(A69*B69)*MATERIALES!$D$83</f>
        <v>936</v>
      </c>
      <c r="G69" s="207">
        <f>(((A69*B69)*2)*MATERIALES!$D$83)+(4*MATERIALES!$C$229)+(((A69*2)+(B69*2))*MATERIALES!$C$230)+(((A69*2)+(B69*2))*MATERIALES!$C$231)+((((A69*2)+(B69*2))/15)*MATERIALES!$C$232)+((((A69*2)+(B69*2))/15)*(MATERIALES!$C$233*0.15))</f>
        <v>3008.2041600000002</v>
      </c>
      <c r="H69" s="207">
        <f>(A69*B69)*MATERIALES!$D$89</f>
        <v>2577.6</v>
      </c>
      <c r="I69" s="208">
        <f t="shared" si="24"/>
        <v>18398.851952000001</v>
      </c>
      <c r="J69" s="208">
        <f t="shared" si="25"/>
        <v>22543.260272</v>
      </c>
      <c r="K69" s="209">
        <f t="shared" si="26"/>
        <v>20393.251951999999</v>
      </c>
      <c r="L69" s="927"/>
    </row>
    <row r="70" spans="1:12">
      <c r="A70" s="204">
        <v>1.2</v>
      </c>
      <c r="B70" s="205">
        <v>1.5</v>
      </c>
      <c r="C70" s="206">
        <f>((((A70*2)+(B70*2))*MATERIALES!$C$57)+(((A70*2)+(B70*2))*MATERIALES!$C$76)+(((A70*2)+(B70*2))*MATERIALES!$C$73))*MATERIALES!$F$2</f>
        <v>6881.5656000000017</v>
      </c>
      <c r="D70" s="206">
        <f>(8*MATERIALES!$C$189)+(1*MATERIALES!$C$199)+(1*MATERIALES!$C$203)+(((A70*2)+(B70*2))*MATERIALES!$C$209)+(4*MATERIALES!$C$148)+(((A70*5)*2)*MATERIALES!$C$147)+(((A70*2)+(B70*2))*MATERIALES!$C$210)+((((A70*2)+(B70*2))/0.1)*MATERIALES!$C$192)+(((A70*2)+(B70*2))*MATERIALES!$C$165)+(2*MATERIALES!$C$187)+(0.5*MATERIALES!$C$167)</f>
        <v>6100.3363199999994</v>
      </c>
      <c r="E70" s="206">
        <f>(0.5*MATERIALES!$D$254)</f>
        <v>557</v>
      </c>
      <c r="F70" s="207">
        <f>(A70*B70)*MATERIALES!$D$83</f>
        <v>1169.9999999999998</v>
      </c>
      <c r="G70" s="207">
        <f>(((A70*B70)*2)*MATERIALES!$D$83)+(4*MATERIALES!$C$229)+(((A70*2)+(B70*2))*MATERIALES!$C$230)+(((A70*2)+(B70*2))*MATERIALES!$C$231)+((((A70*2)+(B70*2))/15)*MATERIALES!$C$232)+((((A70*2)+(B70*2))/15)*(MATERIALES!$C$233*0.15))</f>
        <v>3615.4996799999999</v>
      </c>
      <c r="H70" s="207">
        <f>(A70*B70)*MATERIALES!$D$89</f>
        <v>3221.9999999999995</v>
      </c>
      <c r="I70" s="208">
        <f t="shared" si="24"/>
        <v>19940.572496000001</v>
      </c>
      <c r="J70" s="208">
        <f t="shared" si="25"/>
        <v>24831.571856000002</v>
      </c>
      <c r="K70" s="209">
        <f t="shared" si="26"/>
        <v>22433.572496000001</v>
      </c>
      <c r="L70" s="927"/>
    </row>
    <row r="71" spans="1:12">
      <c r="A71" s="204">
        <v>1.5</v>
      </c>
      <c r="B71" s="205">
        <v>0.4</v>
      </c>
      <c r="C71" s="206">
        <f>((((A71*2)+(B71*2))*MATERIALES!$C$57)+(((A71*2)+(B71*2))*MATERIALES!$C$76)+(((A71*2)+(B71*2))*MATERIALES!$C$73))*MATERIALES!$F$2</f>
        <v>4842.5832</v>
      </c>
      <c r="D71" s="206">
        <f>(8*MATERIALES!$C$189)+(1*MATERIALES!$C$199)+(1*MATERIALES!$C$203)+(((A71*2)+(B71*2))*MATERIALES!$C$209)+(4*MATERIALES!$C$148)+(((A71*5)*2)*MATERIALES!$C$147)+(((A71*2)+(B71*2))*MATERIALES!$C$210)+((((A71*2)+(B71*2))/0.1)*MATERIALES!$C$192)+(((A71*2)+(B71*2))*MATERIALES!$C$165)+(2*MATERIALES!$C$187)+(0.5*MATERIALES!$C$167)</f>
        <v>5936.8150400000004</v>
      </c>
      <c r="E71" s="206">
        <f>(0.5*MATERIALES!$D$254)</f>
        <v>557</v>
      </c>
      <c r="F71" s="207">
        <f>(A71*B71)*MATERIALES!$D$83</f>
        <v>390.00000000000006</v>
      </c>
      <c r="G71" s="207">
        <f>(((A71*B71)*2)*MATERIALES!$D$83)+(4*MATERIALES!$C$229)+(((A71*2)+(B71*2))*MATERIALES!$C$230)+(((A71*2)+(B71*2))*MATERIALES!$C$231)+((((A71*2)+(B71*2))/15)*MATERIALES!$C$232)+((((A71*2)+(B71*2))/15)*(MATERIALES!$C$233*0.15))</f>
        <v>1684.0449600000004</v>
      </c>
      <c r="H71" s="207">
        <f>(A71*B71)*MATERIALES!$D$89</f>
        <v>1074.0000000000002</v>
      </c>
      <c r="I71" s="208">
        <f t="shared" si="24"/>
        <v>15517.317712000002</v>
      </c>
      <c r="J71" s="208">
        <f t="shared" si="25"/>
        <v>18105.407632000002</v>
      </c>
      <c r="K71" s="209">
        <f t="shared" si="26"/>
        <v>16348.317712000002</v>
      </c>
      <c r="L71" s="927"/>
    </row>
    <row r="72" spans="1:12">
      <c r="A72" s="204">
        <v>1.5</v>
      </c>
      <c r="B72" s="205">
        <v>0.6</v>
      </c>
      <c r="C72" s="206">
        <f>((((A72*2)+(B72*2))*MATERIALES!$C$57)+(((A72*2)+(B72*2))*MATERIALES!$C$76)+(((A72*2)+(B72*2))*MATERIALES!$C$73))*MATERIALES!$F$2</f>
        <v>5352.3288000000011</v>
      </c>
      <c r="D72" s="206">
        <f>(8*MATERIALES!$C$189)+(1*MATERIALES!$C$199)+(1*MATERIALES!$C$203)+(((A72*2)+(B72*2))*MATERIALES!$C$209)+(4*MATERIALES!$C$148)+(((A72*5)*2)*MATERIALES!$C$147)+(((A72*2)+(B72*2))*MATERIALES!$C$210)+((((A72*2)+(B72*2))/0.1)*MATERIALES!$C$192)+(((A72*2)+(B72*2))*MATERIALES!$C$165)+(2*MATERIALES!$C$187)+(0.5*MATERIALES!$C$167)</f>
        <v>5977.6953599999997</v>
      </c>
      <c r="E72" s="206">
        <f>(0.5*MATERIALES!$D$254)</f>
        <v>557</v>
      </c>
      <c r="F72" s="207">
        <f>(A72*B72)*MATERIALES!$D$83</f>
        <v>584.99999999999989</v>
      </c>
      <c r="G72" s="207">
        <f>(((A72*B72)*2)*MATERIALES!$D$83)+(4*MATERIALES!$C$229)+(((A72*2)+(B72*2))*MATERIALES!$C$230)+(((A72*2)+(B72*2))*MATERIALES!$C$231)+((((A72*2)+(B72*2))/15)*MATERIALES!$C$232)+((((A72*2)+(B72*2))/15)*(MATERIALES!$C$233*0.15))</f>
        <v>2166.9086399999997</v>
      </c>
      <c r="H72" s="207">
        <f>(A72*B72)*MATERIALES!$D$89</f>
        <v>1610.9999999999998</v>
      </c>
      <c r="I72" s="208">
        <f t="shared" si="24"/>
        <v>16623.131408000001</v>
      </c>
      <c r="J72" s="208">
        <f t="shared" si="25"/>
        <v>19786.948688</v>
      </c>
      <c r="K72" s="209">
        <f t="shared" si="26"/>
        <v>17869.631408000001</v>
      </c>
      <c r="L72" s="927"/>
    </row>
    <row r="73" spans="1:12">
      <c r="A73" s="204">
        <v>1.5</v>
      </c>
      <c r="B73" s="205">
        <v>0.8</v>
      </c>
      <c r="C73" s="206">
        <f>((((A73*2)+(B73*2))*MATERIALES!$C$57)+(((A73*2)+(B73*2))*MATERIALES!$C$76)+(((A73*2)+(B73*2))*MATERIALES!$C$73))*MATERIALES!$F$2</f>
        <v>5862.0744000000013</v>
      </c>
      <c r="D73" s="206">
        <f>(8*MATERIALES!$C$189)+(1*MATERIALES!$C$199)+(1*MATERIALES!$C$203)+(((A73*2)+(B73*2))*MATERIALES!$C$209)+(4*MATERIALES!$C$148)+(((A73*5)*2)*MATERIALES!$C$147)+(((A73*2)+(B73*2))*MATERIALES!$C$210)+((((A73*2)+(B73*2))/0.1)*MATERIALES!$C$192)+(((A73*2)+(B73*2))*MATERIALES!$C$165)+(2*MATERIALES!$C$187)+(0.5*MATERIALES!$C$167)</f>
        <v>6018.575679999999</v>
      </c>
      <c r="E73" s="206">
        <f>(0.5*MATERIALES!$D$254)</f>
        <v>557</v>
      </c>
      <c r="F73" s="207">
        <f>(A73*B73)*MATERIALES!$D$83</f>
        <v>780.00000000000011</v>
      </c>
      <c r="G73" s="207">
        <f>(((A73*B73)*2)*MATERIALES!$D$83)+(4*MATERIALES!$C$229)+(((A73*2)+(B73*2))*MATERIALES!$C$230)+(((A73*2)+(B73*2))*MATERIALES!$C$231)+((((A73*2)+(B73*2))/15)*MATERIALES!$C$232)+((((A73*2)+(B73*2))/15)*(MATERIALES!$C$233*0.15))</f>
        <v>2649.77232</v>
      </c>
      <c r="H73" s="207">
        <f>(A73*B73)*MATERIALES!$D$89</f>
        <v>2148.0000000000005</v>
      </c>
      <c r="I73" s="208">
        <f t="shared" si="24"/>
        <v>17728.945104000002</v>
      </c>
      <c r="J73" s="208">
        <f t="shared" si="25"/>
        <v>21468.489743999999</v>
      </c>
      <c r="K73" s="209">
        <f t="shared" si="26"/>
        <v>19390.945104000002</v>
      </c>
      <c r="L73" s="927"/>
    </row>
    <row r="74" spans="1:12">
      <c r="A74" s="204">
        <v>1.5</v>
      </c>
      <c r="B74" s="205">
        <v>1</v>
      </c>
      <c r="C74" s="206">
        <f>((((A74*2)+(B74*2))*MATERIALES!$C$57)+(((A74*2)+(B74*2))*MATERIALES!$C$76)+(((A74*2)+(B74*2))*MATERIALES!$C$73))*MATERIALES!$F$2</f>
        <v>6371.8200000000015</v>
      </c>
      <c r="D74" s="206">
        <f>(8*MATERIALES!$C$189)+(1*MATERIALES!$C$199)+(1*MATERIALES!$C$203)+(((A74*2)+(B74*2))*MATERIALES!$C$209)+(4*MATERIALES!$C$148)+(((A74*5)*2)*MATERIALES!$C$147)+(((A74*2)+(B74*2))*MATERIALES!$C$210)+((((A74*2)+(B74*2))/0.1)*MATERIALES!$C$192)+(((A74*2)+(B74*2))*MATERIALES!$C$165)+(2*MATERIALES!$C$187)+(0.5*MATERIALES!$C$167)</f>
        <v>6059.4559999999992</v>
      </c>
      <c r="E74" s="206">
        <f>(0.5*MATERIALES!$D$254)</f>
        <v>557</v>
      </c>
      <c r="F74" s="207">
        <f>(A74*B74)*MATERIALES!$D$83</f>
        <v>975</v>
      </c>
      <c r="G74" s="207">
        <f>(((A74*B74)*2)*MATERIALES!$D$83)+(4*MATERIALES!$C$229)+(((A74*2)+(B74*2))*MATERIALES!$C$230)+(((A74*2)+(B74*2))*MATERIALES!$C$231)+((((A74*2)+(B74*2))/15)*MATERIALES!$C$232)+((((A74*2)+(B74*2))/15)*(MATERIALES!$C$233*0.15))</f>
        <v>3132.636</v>
      </c>
      <c r="H74" s="207">
        <f>(A74*B74)*MATERIALES!$D$89</f>
        <v>2685</v>
      </c>
      <c r="I74" s="208">
        <f t="shared" si="24"/>
        <v>18834.758800000003</v>
      </c>
      <c r="J74" s="208">
        <f t="shared" si="25"/>
        <v>23150.030800000004</v>
      </c>
      <c r="K74" s="209">
        <f t="shared" si="26"/>
        <v>20912.258800000003</v>
      </c>
      <c r="L74" s="927"/>
    </row>
    <row r="75" spans="1:12">
      <c r="A75" s="204">
        <v>1.5</v>
      </c>
      <c r="B75" s="205">
        <v>1.2</v>
      </c>
      <c r="C75" s="206">
        <f>((((A75*2)+(B75*2))*MATERIALES!$C$57)+(((A75*2)+(B75*2))*MATERIALES!$C$76)+(((A75*2)+(B75*2))*MATERIALES!$C$73))*MATERIALES!$F$2</f>
        <v>6881.5656000000017</v>
      </c>
      <c r="D75" s="206">
        <f>(8*MATERIALES!$C$189)+(1*MATERIALES!$C$199)+(1*MATERIALES!$C$203)+(((A75*2)+(B75*2))*MATERIALES!$C$209)+(4*MATERIALES!$C$148)+(((A75*5)*2)*MATERIALES!$C$147)+(((A75*2)+(B75*2))*MATERIALES!$C$210)+((((A75*2)+(B75*2))/0.1)*MATERIALES!$C$192)+(((A75*2)+(B75*2))*MATERIALES!$C$165)+(2*MATERIALES!$C$187)+(0.5*MATERIALES!$C$167)</f>
        <v>6100.3363199999994</v>
      </c>
      <c r="E75" s="206">
        <f>(0.5*MATERIALES!$D$254)</f>
        <v>557</v>
      </c>
      <c r="F75" s="207">
        <f>(A75*B75)*MATERIALES!$D$83</f>
        <v>1169.9999999999998</v>
      </c>
      <c r="G75" s="207">
        <f>(((A75*B75)*2)*MATERIALES!$D$83)+(4*MATERIALES!$C$229)+(((A75*2)+(B75*2))*MATERIALES!$C$230)+(((A75*2)+(B75*2))*MATERIALES!$C$231)+((((A75*2)+(B75*2))/15)*MATERIALES!$C$232)+((((A75*2)+(B75*2))/15)*(MATERIALES!$C$233*0.15))</f>
        <v>3615.4996799999999</v>
      </c>
      <c r="H75" s="207">
        <f>(A75*B75)*MATERIALES!$D$89</f>
        <v>3221.9999999999995</v>
      </c>
      <c r="I75" s="208">
        <f t="shared" si="24"/>
        <v>19940.572496000001</v>
      </c>
      <c r="J75" s="208">
        <f t="shared" si="25"/>
        <v>24831.571856000002</v>
      </c>
      <c r="K75" s="209">
        <f t="shared" si="26"/>
        <v>22433.572496000001</v>
      </c>
      <c r="L75" s="927"/>
    </row>
    <row r="76" spans="1:12">
      <c r="A76" s="204">
        <v>1.5</v>
      </c>
      <c r="B76" s="205">
        <v>1.5</v>
      </c>
      <c r="C76" s="206">
        <f>((((A76*2)+(B76*2))*MATERIALES!$C$57)+(((A76*2)+(B76*2))*MATERIALES!$C$76)+(((A76*2)+(B76*2))*MATERIALES!$C$73))*MATERIALES!$F$2</f>
        <v>7646.184000000002</v>
      </c>
      <c r="D76" s="206">
        <f>(8*MATERIALES!$C$189)+(1*MATERIALES!$C$199)+(1*MATERIALES!$C$203)+(((A76*2)+(B76*2))*MATERIALES!$C$209)+(4*MATERIALES!$C$148)+(((A76*5)*2)*MATERIALES!$C$147)+(((A76*2)+(B76*2))*MATERIALES!$C$210)+((((A76*2)+(B76*2))/0.1)*MATERIALES!$C$192)+(((A76*2)+(B76*2))*MATERIALES!$C$165)+(2*MATERIALES!$C$187)+(0.5*MATERIALES!$C$167)</f>
        <v>6161.6567999999988</v>
      </c>
      <c r="E76" s="206">
        <f>(0.5*MATERIALES!$D$254)</f>
        <v>557</v>
      </c>
      <c r="F76" s="207">
        <f>(A76*B76)*MATERIALES!$D$83</f>
        <v>1462.5</v>
      </c>
      <c r="G76" s="207">
        <f>(((A76*B76)*2)*MATERIALES!$D$83)+(4*MATERIALES!$C$229)+(((A76*2)+(B76*2))*MATERIALES!$C$230)+(((A76*2)+(B76*2))*MATERIALES!$C$231)+((((A76*2)+(B76*2))/15)*MATERIALES!$C$232)+((((A76*2)+(B76*2))/15)*(MATERIALES!$C$233*0.15))</f>
        <v>4339.7952000000005</v>
      </c>
      <c r="H76" s="207">
        <f>(A76*B76)*MATERIALES!$D$89</f>
        <v>4027.5</v>
      </c>
      <c r="I76" s="208">
        <f t="shared" si="24"/>
        <v>21599.293040000004</v>
      </c>
      <c r="J76" s="208">
        <f t="shared" si="25"/>
        <v>27353.883440000005</v>
      </c>
      <c r="K76" s="209">
        <f t="shared" si="26"/>
        <v>24715.543040000004</v>
      </c>
      <c r="L76" s="927"/>
    </row>
    <row r="77" spans="1:12">
      <c r="A77" s="204">
        <v>1.5</v>
      </c>
      <c r="B77" s="205">
        <v>1.8</v>
      </c>
      <c r="C77" s="206">
        <f>((((A77*2)+(B77*2))*MATERIALES!$C$57)+(((A77*2)+(B77*2))*MATERIALES!$C$76)+(((A77*2)+(B77*2))*MATERIALES!$C$73))*MATERIALES!$F$2</f>
        <v>8410.8024000000005</v>
      </c>
      <c r="D77" s="206">
        <f>(8*MATERIALES!$C$189)+(1*MATERIALES!$C$199)+(1*MATERIALES!$C$203)+(((A77*2)+(B77*2))*MATERIALES!$C$209)+(4*MATERIALES!$C$148)+(((A77*5)*2)*MATERIALES!$C$147)+(((A77*2)+(B77*2))*MATERIALES!$C$210)+((((A77*2)+(B77*2))/0.1)*MATERIALES!$C$192)+(((A77*2)+(B77*2))*MATERIALES!$C$165)+(2*MATERIALES!$C$187)+(0.5*MATERIALES!$C$167)</f>
        <v>6222.9772800000001</v>
      </c>
      <c r="E77" s="206">
        <f>(0.5*MATERIALES!$D$254)</f>
        <v>557</v>
      </c>
      <c r="F77" s="207">
        <f>(A77*B77)*MATERIALES!$D$83</f>
        <v>1755.0000000000002</v>
      </c>
      <c r="G77" s="207">
        <f>(((A77*B77)*2)*MATERIALES!$D$83)+(4*MATERIALES!$C$229)+(((A77*2)+(B77*2))*MATERIALES!$C$230)+(((A77*2)+(B77*2))*MATERIALES!$C$231)+((((A77*2)+(B77*2))/15)*MATERIALES!$C$232)+((((A77*2)+(B77*2))/15)*(MATERIALES!$C$233*0.15))</f>
        <v>5064.0907200000001</v>
      </c>
      <c r="H77" s="207">
        <f>(A77*B77)*MATERIALES!$D$89</f>
        <v>4833</v>
      </c>
      <c r="I77" s="208">
        <f t="shared" si="24"/>
        <v>23258.013584</v>
      </c>
      <c r="J77" s="208">
        <f t="shared" si="25"/>
        <v>29876.195024000001</v>
      </c>
      <c r="K77" s="209">
        <f t="shared" si="26"/>
        <v>26997.513584</v>
      </c>
      <c r="L77" s="927"/>
    </row>
    <row r="78" spans="1:12">
      <c r="A78" s="204">
        <v>1.8</v>
      </c>
      <c r="B78" s="205">
        <v>0.4</v>
      </c>
      <c r="C78" s="206">
        <f>((((A78*2)+(B78*2))*MATERIALES!$C$57)+(((A78*2)+(B78*2))*MATERIALES!$C$76)+(((A78*2)+(B78*2))*MATERIALES!$C$73))*MATERIALES!$F$2</f>
        <v>5607.2016000000012</v>
      </c>
      <c r="D78" s="206">
        <f>(8*MATERIALES!$C$189)+(1*MATERIALES!$C$199)+(1*MATERIALES!$C$203)+(((A78*2)+(B78*2))*MATERIALES!$C$209)+(4*MATERIALES!$C$148)+(((A78*5)*2)*MATERIALES!$C$147)+(((A78*2)+(B78*2))*MATERIALES!$C$210)+((((A78*2)+(B78*2))/0.1)*MATERIALES!$C$192)+(((A78*2)+(B78*2))*MATERIALES!$C$165)+(2*MATERIALES!$C$187)+(0.5*MATERIALES!$C$167)</f>
        <v>5998.1355199999989</v>
      </c>
      <c r="E78" s="206">
        <f>(0.5*MATERIALES!$D$254)</f>
        <v>557</v>
      </c>
      <c r="F78" s="207">
        <f>(A78*B78)*MATERIALES!$D$83</f>
        <v>468.00000000000006</v>
      </c>
      <c r="G78" s="207">
        <f>(((A78*B78)*2)*MATERIALES!$D$83)+(4*MATERIALES!$C$229)+(((A78*2)+(B78*2))*MATERIALES!$C$230)+(((A78*2)+(B78*2))*MATERIALES!$C$231)+((((A78*2)+(B78*2))/15)*MATERIALES!$C$232)+((((A78*2)+(B78*2))/15)*(MATERIALES!$C$233*0.15))</f>
        <v>1979.3404800000005</v>
      </c>
      <c r="H78" s="207">
        <f>(A78*B78)*MATERIALES!$D$89</f>
        <v>1288.8000000000002</v>
      </c>
      <c r="I78" s="208">
        <f t="shared" si="24"/>
        <v>16747.038256</v>
      </c>
      <c r="J78" s="208">
        <f t="shared" si="25"/>
        <v>19769.719216000001</v>
      </c>
      <c r="K78" s="209">
        <f t="shared" si="26"/>
        <v>17744.238256000001</v>
      </c>
      <c r="L78" s="927"/>
    </row>
    <row r="79" spans="1:12">
      <c r="A79" s="204">
        <v>1.8</v>
      </c>
      <c r="B79" s="205">
        <v>0.6</v>
      </c>
      <c r="C79" s="206">
        <f>((((A79*2)+(B79*2))*MATERIALES!$C$57)+(((A79*2)+(B79*2))*MATERIALES!$C$76)+(((A79*2)+(B79*2))*MATERIALES!$C$73))*MATERIALES!$F$2</f>
        <v>6116.9472000000005</v>
      </c>
      <c r="D79" s="206">
        <f>(8*MATERIALES!$C$189)+(1*MATERIALES!$C$199)+(1*MATERIALES!$C$203)+(((A79*2)+(B79*2))*MATERIALES!$C$209)+(4*MATERIALES!$C$148)+(((A79*5)*2)*MATERIALES!$C$147)+(((A79*2)+(B79*2))*MATERIALES!$C$210)+((((A79*2)+(B79*2))/0.1)*MATERIALES!$C$192)+(((A79*2)+(B79*2))*MATERIALES!$C$165)+(2*MATERIALES!$C$187)+(0.5*MATERIALES!$C$167)</f>
        <v>6039.01584</v>
      </c>
      <c r="E79" s="206">
        <f>(0.5*MATERIALES!$D$254)</f>
        <v>557</v>
      </c>
      <c r="F79" s="207">
        <f>(A79*B79)*MATERIALES!$D$83</f>
        <v>702</v>
      </c>
      <c r="G79" s="207">
        <f>(((A79*B79)*2)*MATERIALES!$D$83)+(4*MATERIALES!$C$229)+(((A79*2)+(B79*2))*MATERIALES!$C$230)+(((A79*2)+(B79*2))*MATERIALES!$C$231)+((((A79*2)+(B79*2))/15)*MATERIALES!$C$232)+((((A79*2)+(B79*2))/15)*(MATERIALES!$C$233*0.15))</f>
        <v>2540.2041600000002</v>
      </c>
      <c r="H79" s="207">
        <f>(A79*B79)*MATERIALES!$D$89</f>
        <v>1933.2</v>
      </c>
      <c r="I79" s="208">
        <f t="shared" si="24"/>
        <v>17930.851952000001</v>
      </c>
      <c r="J79" s="208">
        <f t="shared" si="25"/>
        <v>21607.260272</v>
      </c>
      <c r="K79" s="209">
        <f t="shared" si="26"/>
        <v>19426.651952</v>
      </c>
      <c r="L79" s="927"/>
    </row>
    <row r="80" spans="1:12">
      <c r="A80" s="204">
        <v>1.8</v>
      </c>
      <c r="B80" s="205">
        <v>0.8</v>
      </c>
      <c r="C80" s="206">
        <f>((((A80*2)+(B80*2))*MATERIALES!$C$57)+(((A80*2)+(B80*2))*MATERIALES!$C$76)+(((A80*2)+(B80*2))*MATERIALES!$C$73))*MATERIALES!$F$2</f>
        <v>6626.6928000000007</v>
      </c>
      <c r="D80" s="206">
        <f>(8*MATERIALES!$C$189)+(1*MATERIALES!$C$199)+(1*MATERIALES!$C$203)+(((A80*2)+(B80*2))*MATERIALES!$C$209)+(4*MATERIALES!$C$148)+(((A80*5)*2)*MATERIALES!$C$147)+(((A80*2)+(B80*2))*MATERIALES!$C$210)+((((A80*2)+(B80*2))/0.1)*MATERIALES!$C$192)+(((A80*2)+(B80*2))*MATERIALES!$C$165)+(2*MATERIALES!$C$187)+(0.5*MATERIALES!$C$167)</f>
        <v>6079.8961599999993</v>
      </c>
      <c r="E80" s="206">
        <f>(0.5*MATERIALES!$D$254)</f>
        <v>557</v>
      </c>
      <c r="F80" s="207">
        <f>(A80*B80)*MATERIALES!$D$83</f>
        <v>936.00000000000011</v>
      </c>
      <c r="G80" s="207">
        <f>(((A80*B80)*2)*MATERIALES!$D$83)+(4*MATERIALES!$C$229)+(((A80*2)+(B80*2))*MATERIALES!$C$230)+(((A80*2)+(B80*2))*MATERIALES!$C$231)+((((A80*2)+(B80*2))/15)*MATERIALES!$C$232)+((((A80*2)+(B80*2))/15)*(MATERIALES!$C$233*0.15))</f>
        <v>3101.0678400000002</v>
      </c>
      <c r="H80" s="207">
        <f>(A80*B80)*MATERIALES!$D$89</f>
        <v>2577.6000000000004</v>
      </c>
      <c r="I80" s="208">
        <f t="shared" si="24"/>
        <v>19114.665648000002</v>
      </c>
      <c r="J80" s="208">
        <f t="shared" si="25"/>
        <v>23444.801328000001</v>
      </c>
      <c r="K80" s="209">
        <f t="shared" si="26"/>
        <v>21109.065648000003</v>
      </c>
      <c r="L80" s="927"/>
    </row>
    <row r="81" spans="1:12">
      <c r="A81" s="204">
        <v>1.8</v>
      </c>
      <c r="B81" s="205">
        <v>1</v>
      </c>
      <c r="C81" s="206">
        <f>((((A81*2)+(B81*2))*MATERIALES!$C$57)+(((A81*2)+(B81*2))*MATERIALES!$C$76)+(((A81*2)+(B81*2))*MATERIALES!$C$73))*MATERIALES!$F$2</f>
        <v>7136.4384</v>
      </c>
      <c r="D81" s="206">
        <f>(8*MATERIALES!$C$189)+(1*MATERIALES!$C$199)+(1*MATERIALES!$C$203)+(((A81*2)+(B81*2))*MATERIALES!$C$209)+(4*MATERIALES!$C$148)+(((A81*5)*2)*MATERIALES!$C$147)+(((A81*2)+(B81*2))*MATERIALES!$C$210)+((((A81*2)+(B81*2))/0.1)*MATERIALES!$C$192)+(((A81*2)+(B81*2))*MATERIALES!$C$165)+(2*MATERIALES!$C$187)+(0.5*MATERIALES!$C$167)</f>
        <v>6120.7764799999995</v>
      </c>
      <c r="E81" s="206">
        <f>(0.5*MATERIALES!$D$254)</f>
        <v>557</v>
      </c>
      <c r="F81" s="207">
        <f>(A81*B81)*MATERIALES!$D$83</f>
        <v>1170</v>
      </c>
      <c r="G81" s="207">
        <f>(((A81*B81)*2)*MATERIALES!$D$83)+(4*MATERIALES!$C$229)+(((A81*2)+(B81*2))*MATERIALES!$C$230)+(((A81*2)+(B81*2))*MATERIALES!$C$231)+((((A81*2)+(B81*2))/15)*MATERIALES!$C$232)+((((A81*2)+(B81*2))/15)*(MATERIALES!$C$233*0.15))</f>
        <v>3661.9315200000001</v>
      </c>
      <c r="H81" s="207">
        <f>(A81*B81)*MATERIALES!$D$89</f>
        <v>3222</v>
      </c>
      <c r="I81" s="208">
        <f t="shared" si="24"/>
        <v>20298.479343999999</v>
      </c>
      <c r="J81" s="208">
        <f t="shared" si="25"/>
        <v>25282.342384</v>
      </c>
      <c r="K81" s="209">
        <f t="shared" si="26"/>
        <v>22791.479343999999</v>
      </c>
      <c r="L81" s="927"/>
    </row>
    <row r="82" spans="1:12">
      <c r="A82" s="204">
        <v>1.8</v>
      </c>
      <c r="B82" s="205">
        <v>1.2</v>
      </c>
      <c r="C82" s="206">
        <f>((((A82*2)+(B82*2))*MATERIALES!$C$57)+(((A82*2)+(B82*2))*MATERIALES!$C$76)+(((A82*2)+(B82*2))*MATERIALES!$C$73))*MATERIALES!$F$2</f>
        <v>7646.184000000002</v>
      </c>
      <c r="D82" s="206">
        <f>(8*MATERIALES!$C$189)+(1*MATERIALES!$C$199)+(1*MATERIALES!$C$203)+(((A82*2)+(B82*2))*MATERIALES!$C$209)+(4*MATERIALES!$C$148)+(((A82*5)*2)*MATERIALES!$C$147)+(((A82*2)+(B82*2))*MATERIALES!$C$210)+((((A82*2)+(B82*2))/0.1)*MATERIALES!$C$192)+(((A82*2)+(B82*2))*MATERIALES!$C$165)+(2*MATERIALES!$C$187)+(0.5*MATERIALES!$C$167)</f>
        <v>6161.6567999999988</v>
      </c>
      <c r="E82" s="206">
        <f>(0.5*MATERIALES!$D$254)</f>
        <v>557</v>
      </c>
      <c r="F82" s="207">
        <f>(A82*B82)*MATERIALES!$D$83</f>
        <v>1404</v>
      </c>
      <c r="G82" s="207">
        <f>(((A82*B82)*2)*MATERIALES!$D$83)+(4*MATERIALES!$C$229)+(((A82*2)+(B82*2))*MATERIALES!$C$230)+(((A82*2)+(B82*2))*MATERIALES!$C$231)+((((A82*2)+(B82*2))/15)*MATERIALES!$C$232)+((((A82*2)+(B82*2))/15)*(MATERIALES!$C$233*0.15))</f>
        <v>4222.7952000000005</v>
      </c>
      <c r="H82" s="207">
        <f>(A82*B82)*MATERIALES!$D$89</f>
        <v>3866.4</v>
      </c>
      <c r="I82" s="208">
        <f t="shared" si="24"/>
        <v>21482.293040000004</v>
      </c>
      <c r="J82" s="208">
        <f t="shared" si="25"/>
        <v>27119.883440000005</v>
      </c>
      <c r="K82" s="209">
        <f t="shared" si="26"/>
        <v>24473.893040000003</v>
      </c>
      <c r="L82" s="927"/>
    </row>
    <row r="83" spans="1:12">
      <c r="A83" s="204">
        <v>1.8</v>
      </c>
      <c r="B83" s="205">
        <v>1.5</v>
      </c>
      <c r="C83" s="206">
        <f>((((A83*2)+(B83*2))*MATERIALES!$C$57)+(((A83*2)+(B83*2))*MATERIALES!$C$76)+(((A83*2)+(B83*2))*MATERIALES!$C$73))*MATERIALES!$F$2</f>
        <v>8410.8024000000005</v>
      </c>
      <c r="D83" s="206">
        <f>(8*MATERIALES!$C$189)+(1*MATERIALES!$C$199)+(1*MATERIALES!$C$203)+(((A83*2)+(B83*2))*MATERIALES!$C$209)+(4*MATERIALES!$C$148)+(((A83*5)*2)*MATERIALES!$C$147)+(((A83*2)+(B83*2))*MATERIALES!$C$210)+((((A83*2)+(B83*2))/0.1)*MATERIALES!$C$192)+(((A83*2)+(B83*2))*MATERIALES!$C$165)+(2*MATERIALES!$C$187)+(0.5*MATERIALES!$C$167)</f>
        <v>6222.9772800000001</v>
      </c>
      <c r="E83" s="206">
        <f>(0.5*MATERIALES!$D$254)</f>
        <v>557</v>
      </c>
      <c r="F83" s="207">
        <f>(A83*B83)*MATERIALES!$D$83</f>
        <v>1755.0000000000002</v>
      </c>
      <c r="G83" s="207">
        <f>(((A83*B83)*2)*MATERIALES!$D$83)+(4*MATERIALES!$C$229)+(((A83*2)+(B83*2))*MATERIALES!$C$230)+(((A83*2)+(B83*2))*MATERIALES!$C$231)+((((A83*2)+(B83*2))/15)*MATERIALES!$C$232)+((((A83*2)+(B83*2))/15)*(MATERIALES!$C$233*0.15))</f>
        <v>5064.0907200000001</v>
      </c>
      <c r="H83" s="207">
        <f>(A83*B83)*MATERIALES!$D$89</f>
        <v>4833</v>
      </c>
      <c r="I83" s="208">
        <f t="shared" si="24"/>
        <v>23258.013584</v>
      </c>
      <c r="J83" s="208">
        <f t="shared" si="25"/>
        <v>29876.195024000001</v>
      </c>
      <c r="K83" s="209">
        <f t="shared" si="26"/>
        <v>26997.513584</v>
      </c>
      <c r="L83" s="927"/>
    </row>
    <row r="84" spans="1:12">
      <c r="A84" s="204">
        <v>1.8</v>
      </c>
      <c r="B84" s="205">
        <v>1.8</v>
      </c>
      <c r="C84" s="206">
        <f>((((A84*2)+(B84*2))*MATERIALES!$C$57)+(((A84*2)+(B84*2))*MATERIALES!$C$76)+(((A84*2)+(B84*2))*MATERIALES!$C$73))*MATERIALES!$F$2</f>
        <v>9175.4208000000017</v>
      </c>
      <c r="D84" s="206">
        <f>(8*MATERIALES!$C$189)+(1*MATERIALES!$C$199)+(1*MATERIALES!$C$203)+(((A84*2)+(B84*2))*MATERIALES!$C$209)+(4*MATERIALES!$C$148)+(((A84*5)*2)*MATERIALES!$C$147)+(((A84*2)+(B84*2))*MATERIALES!$C$210)+((((A84*2)+(B84*2))/0.1)*MATERIALES!$C$192)+(((A84*2)+(B84*2))*MATERIALES!$C$165)+(2*MATERIALES!$C$187)+(0.5*MATERIALES!$C$167)</f>
        <v>6284.2977599999995</v>
      </c>
      <c r="E84" s="206">
        <f>(0.5*MATERIALES!$D$254)</f>
        <v>557</v>
      </c>
      <c r="F84" s="207">
        <f>(A84*B84)*MATERIALES!$D$83</f>
        <v>2106</v>
      </c>
      <c r="G84" s="207">
        <f>(((A84*B84)*2)*MATERIALES!$D$83)+(4*MATERIALES!$C$229)+(((A84*2)+(B84*2))*MATERIALES!$C$230)+(((A84*2)+(B84*2))*MATERIALES!$C$231)+((((A84*2)+(B84*2))/15)*MATERIALES!$C$232)+((((A84*2)+(B84*2))/15)*(MATERIALES!$C$233*0.15))</f>
        <v>5905.3862400000007</v>
      </c>
      <c r="H84" s="207">
        <f>(A84*B84)*MATERIALES!$D$89</f>
        <v>5799.6</v>
      </c>
      <c r="I84" s="208">
        <f t="shared" ref="I84:I105" si="27">((C84+D84+E84)*1.3)+(F84*2)</f>
        <v>25033.734128000004</v>
      </c>
      <c r="J84" s="208">
        <f t="shared" ref="J84:J105" si="28">((C84+D84+E84)*1.3)+(G84*2)</f>
        <v>32632.506608000003</v>
      </c>
      <c r="K84" s="209">
        <f t="shared" ref="K84:K105" si="29">((C84+D84+E84)*1.3)+(H84*1.5)</f>
        <v>29521.134128000005</v>
      </c>
      <c r="L84" s="927"/>
    </row>
    <row r="85" spans="1:12">
      <c r="A85" s="204">
        <v>2</v>
      </c>
      <c r="B85" s="205">
        <v>0.4</v>
      </c>
      <c r="C85" s="206">
        <f>((((A85*2)+(B85*2))*MATERIALES!$C$57)+(((A85*2)+(B85*2))*MATERIALES!$C$76)+(((A85*2)+(B85*2))*MATERIALES!$C$73))*MATERIALES!$F$2</f>
        <v>6116.9472000000005</v>
      </c>
      <c r="D85" s="206">
        <f>(8*MATERIALES!$C$189)+(1*MATERIALES!$C$199)+(1*MATERIALES!$C$203)+(((A85*2)+(B85*2))*MATERIALES!$C$209)+(4*MATERIALES!$C$148)+(((A85*5)*2)*MATERIALES!$C$147)+(((A85*2)+(B85*2))*MATERIALES!$C$210)+((((A85*2)+(B85*2))/0.1)*MATERIALES!$C$192)+(((A85*2)+(B85*2))*MATERIALES!$C$165)+(2*MATERIALES!$C$187)+(0.5*MATERIALES!$C$167)</f>
        <v>6039.01584</v>
      </c>
      <c r="E85" s="206">
        <f>(0.5*MATERIALES!$D$254)</f>
        <v>557</v>
      </c>
      <c r="F85" s="207">
        <f>(A85*B85)*MATERIALES!$D$83</f>
        <v>520</v>
      </c>
      <c r="G85" s="207">
        <f>(((A85*B85)*2)*MATERIALES!$D$83)+(4*MATERIALES!$C$229)+(((A85*2)+(B85*2))*MATERIALES!$C$230)+(((A85*2)+(B85*2))*MATERIALES!$C$231)+((((A85*2)+(B85*2))/15)*MATERIALES!$C$232)+((((A85*2)+(B85*2))/15)*(MATERIALES!$C$233*0.15))</f>
        <v>2176.2041599999998</v>
      </c>
      <c r="H85" s="207">
        <f>(A85*B85)*MATERIALES!$D$89</f>
        <v>1432</v>
      </c>
      <c r="I85" s="208">
        <f t="shared" si="27"/>
        <v>17566.851952000001</v>
      </c>
      <c r="J85" s="208">
        <f t="shared" si="28"/>
        <v>20879.260272</v>
      </c>
      <c r="K85" s="209">
        <f t="shared" si="29"/>
        <v>18674.851952000001</v>
      </c>
      <c r="L85" s="927"/>
    </row>
    <row r="86" spans="1:12">
      <c r="A86" s="204">
        <v>2</v>
      </c>
      <c r="B86" s="205">
        <v>0.6</v>
      </c>
      <c r="C86" s="206">
        <f>((((A86*2)+(B86*2))*MATERIALES!$C$57)+(((A86*2)+(B86*2))*MATERIALES!$C$76)+(((A86*2)+(B86*2))*MATERIALES!$C$73))*MATERIALES!$F$2</f>
        <v>6626.6928000000007</v>
      </c>
      <c r="D86" s="206">
        <f>(8*MATERIALES!$C$189)+(1*MATERIALES!$C$199)+(1*MATERIALES!$C$203)+(((A86*2)+(B86*2))*MATERIALES!$C$209)+(4*MATERIALES!$C$148)+(((A86*5)*2)*MATERIALES!$C$147)+(((A86*2)+(B86*2))*MATERIALES!$C$210)+((((A86*2)+(B86*2))/0.1)*MATERIALES!$C$192)+(((A86*2)+(B86*2))*MATERIALES!$C$165)+(2*MATERIALES!$C$187)+(0.5*MATERIALES!$C$167)</f>
        <v>6079.8961599999993</v>
      </c>
      <c r="E86" s="206">
        <f>(0.5*MATERIALES!$D$254)</f>
        <v>557</v>
      </c>
      <c r="F86" s="207">
        <f>(A86*B86)*MATERIALES!$D$83</f>
        <v>780</v>
      </c>
      <c r="G86" s="207">
        <f>(((A86*B86)*2)*MATERIALES!$D$83)+(4*MATERIALES!$C$229)+(((A86*2)+(B86*2))*MATERIALES!$C$230)+(((A86*2)+(B86*2))*MATERIALES!$C$231)+((((A86*2)+(B86*2))/15)*MATERIALES!$C$232)+((((A86*2)+(B86*2))/15)*(MATERIALES!$C$233*0.15))</f>
        <v>2789.0678399999997</v>
      </c>
      <c r="H86" s="207">
        <f>(A86*B86)*MATERIALES!$D$89</f>
        <v>2148</v>
      </c>
      <c r="I86" s="208">
        <f t="shared" si="27"/>
        <v>18802.665648000002</v>
      </c>
      <c r="J86" s="208">
        <f t="shared" si="28"/>
        <v>22820.801328000001</v>
      </c>
      <c r="K86" s="209">
        <f t="shared" si="29"/>
        <v>20464.665648000002</v>
      </c>
      <c r="L86" s="927"/>
    </row>
    <row r="87" spans="1:12">
      <c r="A87" s="204">
        <v>2</v>
      </c>
      <c r="B87" s="205">
        <v>0.8</v>
      </c>
      <c r="C87" s="206">
        <f>((((A87*2)+(B87*2))*MATERIALES!$C$57)+(((A87*2)+(B87*2))*MATERIALES!$C$76)+(((A87*2)+(B87*2))*MATERIALES!$C$73))*MATERIALES!$F$2</f>
        <v>7136.4384</v>
      </c>
      <c r="D87" s="206">
        <f>(8*MATERIALES!$C$189)+(1*MATERIALES!$C$199)+(1*MATERIALES!$C$203)+(((A87*2)+(B87*2))*MATERIALES!$C$209)+(4*MATERIALES!$C$148)+(((A87*5)*2)*MATERIALES!$C$147)+(((A87*2)+(B87*2))*MATERIALES!$C$210)+((((A87*2)+(B87*2))/0.1)*MATERIALES!$C$192)+(((A87*2)+(B87*2))*MATERIALES!$C$165)+(2*MATERIALES!$C$187)+(0.5*MATERIALES!$C$167)</f>
        <v>6120.7764799999995</v>
      </c>
      <c r="E87" s="206">
        <f>(0.5*MATERIALES!$D$254)</f>
        <v>557</v>
      </c>
      <c r="F87" s="207">
        <f>(A87*B87)*MATERIALES!$D$83</f>
        <v>1040</v>
      </c>
      <c r="G87" s="207">
        <f>(((A87*B87)*2)*MATERIALES!$D$83)+(4*MATERIALES!$C$229)+(((A87*2)+(B87*2))*MATERIALES!$C$230)+(((A87*2)+(B87*2))*MATERIALES!$C$231)+((((A87*2)+(B87*2))/15)*MATERIALES!$C$232)+((((A87*2)+(B87*2))/15)*(MATERIALES!$C$233*0.15))</f>
        <v>3401.9315200000001</v>
      </c>
      <c r="H87" s="207">
        <f>(A87*B87)*MATERIALES!$D$89</f>
        <v>2864</v>
      </c>
      <c r="I87" s="208">
        <f t="shared" si="27"/>
        <v>20038.479343999999</v>
      </c>
      <c r="J87" s="208">
        <f t="shared" si="28"/>
        <v>24762.342384</v>
      </c>
      <c r="K87" s="209">
        <f t="shared" si="29"/>
        <v>22254.479343999999</v>
      </c>
      <c r="L87" s="927"/>
    </row>
    <row r="88" spans="1:12">
      <c r="A88" s="204">
        <v>2</v>
      </c>
      <c r="B88" s="205">
        <v>1</v>
      </c>
      <c r="C88" s="206">
        <f>((((A88*2)+(B88*2))*MATERIALES!$C$57)+(((A88*2)+(B88*2))*MATERIALES!$C$76)+(((A88*2)+(B88*2))*MATERIALES!$C$73))*MATERIALES!$F$2</f>
        <v>7646.184000000002</v>
      </c>
      <c r="D88" s="206">
        <f>(8*MATERIALES!$C$189)+(1*MATERIALES!$C$199)+(1*MATERIALES!$C$203)+(((A88*2)+(B88*2))*MATERIALES!$C$209)+(4*MATERIALES!$C$148)+(((A88*5)*2)*MATERIALES!$C$147)+(((A88*2)+(B88*2))*MATERIALES!$C$210)+((((A88*2)+(B88*2))/0.1)*MATERIALES!$C$192)+(((A88*2)+(B88*2))*MATERIALES!$C$165)+(2*MATERIALES!$C$187)+(0.5*MATERIALES!$C$167)</f>
        <v>6161.6567999999988</v>
      </c>
      <c r="E88" s="206">
        <f>(0.5*MATERIALES!$D$254)</f>
        <v>557</v>
      </c>
      <c r="F88" s="207">
        <f>(A88*B88)*MATERIALES!$D$83</f>
        <v>1300</v>
      </c>
      <c r="G88" s="207">
        <f>(((A88*B88)*2)*MATERIALES!$D$83)+(4*MATERIALES!$C$229)+(((A88*2)+(B88*2))*MATERIALES!$C$230)+(((A88*2)+(B88*2))*MATERIALES!$C$231)+((((A88*2)+(B88*2))/15)*MATERIALES!$C$232)+((((A88*2)+(B88*2))/15)*(MATERIALES!$C$233*0.15))</f>
        <v>4014.7952000000005</v>
      </c>
      <c r="H88" s="207">
        <f>(A88*B88)*MATERIALES!$D$89</f>
        <v>3580</v>
      </c>
      <c r="I88" s="208">
        <f t="shared" si="27"/>
        <v>21274.293040000004</v>
      </c>
      <c r="J88" s="208">
        <f t="shared" si="28"/>
        <v>26703.883440000005</v>
      </c>
      <c r="K88" s="209">
        <f t="shared" si="29"/>
        <v>24044.293040000004</v>
      </c>
      <c r="L88" s="927"/>
    </row>
    <row r="89" spans="1:12">
      <c r="A89" s="204">
        <v>2</v>
      </c>
      <c r="B89" s="205">
        <v>1.2</v>
      </c>
      <c r="C89" s="206">
        <f>((((A89*2)+(B89*2))*MATERIALES!$C$57)+(((A89*2)+(B89*2))*MATERIALES!$C$76)+(((A89*2)+(B89*2))*MATERIALES!$C$73))*MATERIALES!$F$2</f>
        <v>8155.9296000000004</v>
      </c>
      <c r="D89" s="206">
        <f>(8*MATERIALES!$C$189)+(1*MATERIALES!$C$199)+(1*MATERIALES!$C$203)+(((A89*2)+(B89*2))*MATERIALES!$C$209)+(4*MATERIALES!$C$148)+(((A89*5)*2)*MATERIALES!$C$147)+(((A89*2)+(B89*2))*MATERIALES!$C$210)+((((A89*2)+(B89*2))/0.1)*MATERIALES!$C$192)+(((A89*2)+(B89*2))*MATERIALES!$C$165)+(2*MATERIALES!$C$187)+(0.5*MATERIALES!$C$167)</f>
        <v>6202.537119999999</v>
      </c>
      <c r="E89" s="206">
        <f>(0.5*MATERIALES!$D$254)</f>
        <v>557</v>
      </c>
      <c r="F89" s="207">
        <f>(A89*B89)*MATERIALES!$D$83</f>
        <v>1560</v>
      </c>
      <c r="G89" s="207">
        <f>(((A89*B89)*2)*MATERIALES!$D$83)+(4*MATERIALES!$C$229)+(((A89*2)+(B89*2))*MATERIALES!$C$230)+(((A89*2)+(B89*2))*MATERIALES!$C$231)+((((A89*2)+(B89*2))/15)*MATERIALES!$C$232)+((((A89*2)+(B89*2))/15)*(MATERIALES!$C$233*0.15))</f>
        <v>4627.65888</v>
      </c>
      <c r="H89" s="207">
        <f>(A89*B89)*MATERIALES!$D$89</f>
        <v>4296</v>
      </c>
      <c r="I89" s="208">
        <f t="shared" si="27"/>
        <v>22510.106736000002</v>
      </c>
      <c r="J89" s="208">
        <f t="shared" si="28"/>
        <v>28645.424496</v>
      </c>
      <c r="K89" s="209">
        <f t="shared" si="29"/>
        <v>25834.106736000002</v>
      </c>
      <c r="L89" s="927"/>
    </row>
    <row r="90" spans="1:12">
      <c r="A90" s="204">
        <v>2</v>
      </c>
      <c r="B90" s="205">
        <v>1.5</v>
      </c>
      <c r="C90" s="206">
        <f>((((A90*2)+(B90*2))*MATERIALES!$C$57)+(((A90*2)+(B90*2))*MATERIALES!$C$76)+(((A90*2)+(B90*2))*MATERIALES!$C$73))*MATERIALES!$F$2</f>
        <v>8920.5480000000025</v>
      </c>
      <c r="D90" s="206">
        <f>(8*MATERIALES!$C$189)+(1*MATERIALES!$C$199)+(1*MATERIALES!$C$203)+(((A90*2)+(B90*2))*MATERIALES!$C$209)+(4*MATERIALES!$C$148)+(((A90*5)*2)*MATERIALES!$C$147)+(((A90*2)+(B90*2))*MATERIALES!$C$210)+((((A90*2)+(B90*2))/0.1)*MATERIALES!$C$192)+(((A90*2)+(B90*2))*MATERIALES!$C$165)+(2*MATERIALES!$C$187)+(0.5*MATERIALES!$C$167)</f>
        <v>6263.8575999999994</v>
      </c>
      <c r="E90" s="206">
        <f>(0.5*MATERIALES!$D$254)</f>
        <v>557</v>
      </c>
      <c r="F90" s="207">
        <f>(A90*B90)*MATERIALES!$D$83</f>
        <v>1950</v>
      </c>
      <c r="G90" s="207">
        <f>(((A90*B90)*2)*MATERIALES!$D$83)+(4*MATERIALES!$C$229)+(((A90*2)+(B90*2))*MATERIALES!$C$230)+(((A90*2)+(B90*2))*MATERIALES!$C$231)+((((A90*2)+(B90*2))/15)*MATERIALES!$C$232)+((((A90*2)+(B90*2))/15)*(MATERIALES!$C$233*0.15))</f>
        <v>5546.9543999999996</v>
      </c>
      <c r="H90" s="207">
        <f>(A90*B90)*MATERIALES!$D$89</f>
        <v>5370</v>
      </c>
      <c r="I90" s="208">
        <f t="shared" si="27"/>
        <v>24363.827280000001</v>
      </c>
      <c r="J90" s="208">
        <f t="shared" si="28"/>
        <v>31557.736080000002</v>
      </c>
      <c r="K90" s="209">
        <f t="shared" si="29"/>
        <v>28518.827280000001</v>
      </c>
      <c r="L90" s="927"/>
    </row>
    <row r="91" spans="1:12">
      <c r="A91" s="204">
        <v>2</v>
      </c>
      <c r="B91" s="205">
        <v>1.8</v>
      </c>
      <c r="C91" s="206">
        <f>((((A91*2)+(B91*2))*MATERIALES!$C$57)+(((A91*2)+(B91*2))*MATERIALES!$C$76)+(((A91*2)+(B91*2))*MATERIALES!$C$73))*MATERIALES!$F$2</f>
        <v>9685.1664000000001</v>
      </c>
      <c r="D91" s="206">
        <f>(8*MATERIALES!$C$189)+(1*MATERIALES!$C$199)+(1*MATERIALES!$C$203)+(((A91*2)+(B91*2))*MATERIALES!$C$209)+(4*MATERIALES!$C$148)+(((A91*5)*2)*MATERIALES!$C$147)+(((A91*2)+(B91*2))*MATERIALES!$C$210)+((((A91*2)+(B91*2))/0.1)*MATERIALES!$C$192)+(((A91*2)+(B91*2))*MATERIALES!$C$165)+(2*MATERIALES!$C$187)+(0.5*MATERIALES!$C$167)</f>
        <v>6325.1780799999997</v>
      </c>
      <c r="E91" s="206">
        <f>(0.5*MATERIALES!$D$254)</f>
        <v>557</v>
      </c>
      <c r="F91" s="207">
        <f>(A91*B91)*MATERIALES!$D$83</f>
        <v>2340</v>
      </c>
      <c r="G91" s="207">
        <f>(((A91*B91)*2)*MATERIALES!$D$83)+(4*MATERIALES!$C$229)+(((A91*2)+(B91*2))*MATERIALES!$C$230)+(((A91*2)+(B91*2))*MATERIALES!$C$231)+((((A91*2)+(B91*2))/15)*MATERIALES!$C$232)+((((A91*2)+(B91*2))/15)*(MATERIALES!$C$233*0.15))</f>
        <v>6466.2499200000002</v>
      </c>
      <c r="H91" s="207">
        <f>(A91*B91)*MATERIALES!$D$89</f>
        <v>6444</v>
      </c>
      <c r="I91" s="208">
        <f t="shared" si="27"/>
        <v>26217.547824000001</v>
      </c>
      <c r="J91" s="208">
        <f t="shared" si="28"/>
        <v>34470.047663999998</v>
      </c>
      <c r="K91" s="209">
        <f t="shared" si="29"/>
        <v>31203.547824000001</v>
      </c>
      <c r="L91" s="927"/>
    </row>
    <row r="92" spans="1:12">
      <c r="A92" s="204">
        <v>2.2000000000000002</v>
      </c>
      <c r="B92" s="205">
        <v>0.4</v>
      </c>
      <c r="C92" s="206">
        <f>((((A92*2)+(B92*2))*MATERIALES!$C$57)+(((A92*2)+(B92*2))*MATERIALES!$C$76)+(((A92*2)+(B92*2))*MATERIALES!$C$73))*MATERIALES!$F$2</f>
        <v>6626.6928000000007</v>
      </c>
      <c r="D92" s="206">
        <f>(8*MATERIALES!$C$189)+(1*MATERIALES!$C$199)+(1*MATERIALES!$C$203)+(((A92*2)+(B92*2))*MATERIALES!$C$209)+(4*MATERIALES!$C$148)+(((A92*5)*2)*MATERIALES!$C$147)+(((A92*2)+(B92*2))*MATERIALES!$C$210)+((((A92*2)+(B92*2))/0.1)*MATERIALES!$C$192)+(((A92*2)+(B92*2))*MATERIALES!$C$165)+(2*MATERIALES!$C$187)+(0.5*MATERIALES!$C$167)</f>
        <v>6079.8961599999993</v>
      </c>
      <c r="E92" s="206">
        <f>(0.5*MATERIALES!$D$254)</f>
        <v>557</v>
      </c>
      <c r="F92" s="207">
        <f>(A92*B92)*MATERIALES!$D$83</f>
        <v>572.00000000000011</v>
      </c>
      <c r="G92" s="207">
        <f>(((A92*B92)*2)*MATERIALES!$D$83)+(4*MATERIALES!$C$229)+(((A92*2)+(B92*2))*MATERIALES!$C$230)+(((A92*2)+(B92*2))*MATERIALES!$C$231)+((((A92*2)+(B92*2))/15)*MATERIALES!$C$232)+((((A92*2)+(B92*2))/15)*(MATERIALES!$C$233*0.15))</f>
        <v>2373.0678400000002</v>
      </c>
      <c r="H92" s="207">
        <f>(A92*B92)*MATERIALES!$D$89</f>
        <v>1575.2000000000003</v>
      </c>
      <c r="I92" s="208">
        <f t="shared" si="27"/>
        <v>18386.665648000002</v>
      </c>
      <c r="J92" s="208">
        <f t="shared" si="28"/>
        <v>21988.801328000001</v>
      </c>
      <c r="K92" s="209">
        <f t="shared" si="29"/>
        <v>19605.465648000001</v>
      </c>
      <c r="L92" s="927"/>
    </row>
    <row r="93" spans="1:12">
      <c r="A93" s="204">
        <v>2.2000000000000002</v>
      </c>
      <c r="B93" s="205">
        <v>0.6</v>
      </c>
      <c r="C93" s="206">
        <f>((((A93*2)+(B93*2))*MATERIALES!$C$57)+(((A93*2)+(B93*2))*MATERIALES!$C$76)+(((A93*2)+(B93*2))*MATERIALES!$C$73))*MATERIALES!$F$2</f>
        <v>7136.4384000000027</v>
      </c>
      <c r="D93" s="206">
        <f>(8*MATERIALES!$C$189)+(1*MATERIALES!$C$199)+(1*MATERIALES!$C$203)+(((A93*2)+(B93*2))*MATERIALES!$C$209)+(4*MATERIALES!$C$148)+(((A93*5)*2)*MATERIALES!$C$147)+(((A93*2)+(B93*2))*MATERIALES!$C$210)+((((A93*2)+(B93*2))/0.1)*MATERIALES!$C$192)+(((A93*2)+(B93*2))*MATERIALES!$C$165)+(2*MATERIALES!$C$187)+(0.5*MATERIALES!$C$167)</f>
        <v>6120.7764799999995</v>
      </c>
      <c r="E93" s="206">
        <f>(0.5*MATERIALES!$D$254)</f>
        <v>557</v>
      </c>
      <c r="F93" s="207">
        <f>(A93*B93)*MATERIALES!$D$83</f>
        <v>858</v>
      </c>
      <c r="G93" s="207">
        <f>(((A93*B93)*2)*MATERIALES!$D$83)+(4*MATERIALES!$C$229)+(((A93*2)+(B93*2))*MATERIALES!$C$230)+(((A93*2)+(B93*2))*MATERIALES!$C$231)+((((A93*2)+(B93*2))/15)*MATERIALES!$C$232)+((((A93*2)+(B93*2))/15)*(MATERIALES!$C$233*0.15))</f>
        <v>3037.9315200000001</v>
      </c>
      <c r="H93" s="207">
        <f>(A93*B93)*MATERIALES!$D$89</f>
        <v>2362.8000000000002</v>
      </c>
      <c r="I93" s="208">
        <f t="shared" si="27"/>
        <v>19674.479344000003</v>
      </c>
      <c r="J93" s="208">
        <f t="shared" si="28"/>
        <v>24034.342384000003</v>
      </c>
      <c r="K93" s="209">
        <f t="shared" si="29"/>
        <v>21502.679344000004</v>
      </c>
      <c r="L93" s="927"/>
    </row>
    <row r="94" spans="1:12">
      <c r="A94" s="204">
        <v>2.2000000000000002</v>
      </c>
      <c r="B94" s="205">
        <v>0.8</v>
      </c>
      <c r="C94" s="206">
        <f>((((A94*2)+(B94*2))*MATERIALES!$C$57)+(((A94*2)+(B94*2))*MATERIALES!$C$76)+(((A94*2)+(B94*2))*MATERIALES!$C$73))*MATERIALES!$F$2</f>
        <v>7646.184000000002</v>
      </c>
      <c r="D94" s="206">
        <f>(8*MATERIALES!$C$189)+(1*MATERIALES!$C$199)+(1*MATERIALES!$C$203)+(((A94*2)+(B94*2))*MATERIALES!$C$209)+(4*MATERIALES!$C$148)+(((A94*5)*2)*MATERIALES!$C$147)+(((A94*2)+(B94*2))*MATERIALES!$C$210)+((((A94*2)+(B94*2))/0.1)*MATERIALES!$C$192)+(((A94*2)+(B94*2))*MATERIALES!$C$165)+(2*MATERIALES!$C$187)+(0.5*MATERIALES!$C$167)</f>
        <v>6161.6567999999988</v>
      </c>
      <c r="E94" s="206">
        <f>(0.5*MATERIALES!$D$254)</f>
        <v>557</v>
      </c>
      <c r="F94" s="207">
        <f>(A94*B94)*MATERIALES!$D$83</f>
        <v>1144.0000000000002</v>
      </c>
      <c r="G94" s="207">
        <f>(((A94*B94)*2)*MATERIALES!$D$83)+(4*MATERIALES!$C$229)+(((A94*2)+(B94*2))*MATERIALES!$C$230)+(((A94*2)+(B94*2))*MATERIALES!$C$231)+((((A94*2)+(B94*2))/15)*MATERIALES!$C$232)+((((A94*2)+(B94*2))/15)*(MATERIALES!$C$233*0.15))</f>
        <v>3702.7952000000005</v>
      </c>
      <c r="H94" s="207">
        <f>(A94*B94)*MATERIALES!$D$89</f>
        <v>3150.4000000000005</v>
      </c>
      <c r="I94" s="208">
        <f t="shared" si="27"/>
        <v>20962.293040000004</v>
      </c>
      <c r="J94" s="208">
        <f t="shared" si="28"/>
        <v>26079.883440000005</v>
      </c>
      <c r="K94" s="209">
        <f t="shared" si="29"/>
        <v>23399.893040000003</v>
      </c>
      <c r="L94" s="927"/>
    </row>
    <row r="95" spans="1:12">
      <c r="A95" s="204">
        <v>2.2000000000000002</v>
      </c>
      <c r="B95" s="205">
        <v>1</v>
      </c>
      <c r="C95" s="206">
        <f>((((A95*2)+(B95*2))*MATERIALES!$C$57)+(((A95*2)+(B95*2))*MATERIALES!$C$76)+(((A95*2)+(B95*2))*MATERIALES!$C$73))*MATERIALES!$F$2</f>
        <v>8155.9296000000004</v>
      </c>
      <c r="D95" s="206">
        <f>(8*MATERIALES!$C$189)+(1*MATERIALES!$C$199)+(1*MATERIALES!$C$203)+(((A95*2)+(B95*2))*MATERIALES!$C$209)+(4*MATERIALES!$C$148)+(((A95*5)*2)*MATERIALES!$C$147)+(((A95*2)+(B95*2))*MATERIALES!$C$210)+((((A95*2)+(B95*2))/0.1)*MATERIALES!$C$192)+(((A95*2)+(B95*2))*MATERIALES!$C$165)+(2*MATERIALES!$C$187)+(0.5*MATERIALES!$C$167)</f>
        <v>6202.537119999999</v>
      </c>
      <c r="E95" s="206">
        <f>(0.5*MATERIALES!$D$254)</f>
        <v>557</v>
      </c>
      <c r="F95" s="207">
        <f>(A95*B95)*MATERIALES!$D$83</f>
        <v>1430.0000000000002</v>
      </c>
      <c r="G95" s="207">
        <f>(((A95*B95)*2)*MATERIALES!$D$83)+(4*MATERIALES!$C$229)+(((A95*2)+(B95*2))*MATERIALES!$C$230)+(((A95*2)+(B95*2))*MATERIALES!$C$231)+((((A95*2)+(B95*2))/15)*MATERIALES!$C$232)+((((A95*2)+(B95*2))/15)*(MATERIALES!$C$233*0.15))</f>
        <v>4367.6588800000009</v>
      </c>
      <c r="H95" s="207">
        <f>(A95*B95)*MATERIALES!$D$89</f>
        <v>3938.0000000000005</v>
      </c>
      <c r="I95" s="208">
        <f t="shared" si="27"/>
        <v>22250.106736000002</v>
      </c>
      <c r="J95" s="208">
        <f t="shared" si="28"/>
        <v>28125.424496000003</v>
      </c>
      <c r="K95" s="209">
        <f t="shared" si="29"/>
        <v>25297.106736000002</v>
      </c>
      <c r="L95" s="927"/>
    </row>
    <row r="96" spans="1:12">
      <c r="A96" s="204">
        <v>2.2000000000000002</v>
      </c>
      <c r="B96" s="205">
        <v>1.2</v>
      </c>
      <c r="C96" s="206">
        <f>((((A96*2)+(B96*2))*MATERIALES!$C$57)+(((A96*2)+(B96*2))*MATERIALES!$C$76)+(((A96*2)+(B96*2))*MATERIALES!$C$73))*MATERIALES!$F$2</f>
        <v>8665.6752000000015</v>
      </c>
      <c r="D96" s="206">
        <f>(8*MATERIALES!$C$189)+(1*MATERIALES!$C$199)+(1*MATERIALES!$C$203)+(((A96*2)+(B96*2))*MATERIALES!$C$209)+(4*MATERIALES!$C$148)+(((A96*5)*2)*MATERIALES!$C$147)+(((A96*2)+(B96*2))*MATERIALES!$C$210)+((((A96*2)+(B96*2))/0.1)*MATERIALES!$C$192)+(((A96*2)+(B96*2))*MATERIALES!$C$165)+(2*MATERIALES!$C$187)+(0.5*MATERIALES!$C$167)</f>
        <v>6243.4174399999993</v>
      </c>
      <c r="E96" s="206">
        <f>(0.5*MATERIALES!$D$254)</f>
        <v>557</v>
      </c>
      <c r="F96" s="207">
        <f>(A96*B96)*MATERIALES!$D$83</f>
        <v>1716</v>
      </c>
      <c r="G96" s="207">
        <f>(((A96*B96)*2)*MATERIALES!$D$83)+(4*MATERIALES!$C$229)+(((A96*2)+(B96*2))*MATERIALES!$C$230)+(((A96*2)+(B96*2))*MATERIALES!$C$231)+((((A96*2)+(B96*2))/15)*MATERIALES!$C$232)+((((A96*2)+(B96*2))/15)*(MATERIALES!$C$233*0.15))</f>
        <v>5032.5225600000003</v>
      </c>
      <c r="H96" s="207">
        <f>(A96*B96)*MATERIALES!$D$89</f>
        <v>4725.6000000000004</v>
      </c>
      <c r="I96" s="208">
        <f t="shared" si="27"/>
        <v>23537.920432000003</v>
      </c>
      <c r="J96" s="208">
        <f t="shared" si="28"/>
        <v>30170.965552000001</v>
      </c>
      <c r="K96" s="209">
        <f t="shared" si="29"/>
        <v>27194.320432000004</v>
      </c>
      <c r="L96" s="927"/>
    </row>
    <row r="97" spans="1:13">
      <c r="A97" s="204">
        <v>2.2000000000000002</v>
      </c>
      <c r="B97" s="205">
        <v>1.5</v>
      </c>
      <c r="C97" s="206">
        <f>((((A97*2)+(B97*2))*MATERIALES!$C$57)+(((A97*2)+(B97*2))*MATERIALES!$C$76)+(((A97*2)+(B97*2))*MATERIALES!$C$73))*MATERIALES!$F$2</f>
        <v>9430.2936000000009</v>
      </c>
      <c r="D97" s="206">
        <f>(8*MATERIALES!$C$189)+(1*MATERIALES!$C$199)+(1*MATERIALES!$C$203)+(((A97*2)+(B97*2))*MATERIALES!$C$209)+(4*MATERIALES!$C$148)+(((A97*5)*2)*MATERIALES!$C$147)+(((A97*2)+(B97*2))*MATERIALES!$C$210)+((((A97*2)+(B97*2))/0.1)*MATERIALES!$C$192)+(((A97*2)+(B97*2))*MATERIALES!$C$165)+(2*MATERIALES!$C$187)+(0.5*MATERIALES!$C$167)</f>
        <v>6304.7379199999996</v>
      </c>
      <c r="E97" s="206">
        <f>(0.5*MATERIALES!$D$254)</f>
        <v>557</v>
      </c>
      <c r="F97" s="207">
        <f>(A97*B97)*MATERIALES!$D$83</f>
        <v>2145</v>
      </c>
      <c r="G97" s="207">
        <f>(((A97*B97)*2)*MATERIALES!$D$83)+(4*MATERIALES!$C$229)+(((A97*2)+(B97*2))*MATERIALES!$C$230)+(((A97*2)+(B97*2))*MATERIALES!$C$231)+((((A97*2)+(B97*2))/15)*MATERIALES!$C$232)+((((A97*2)+(B97*2))/15)*(MATERIALES!$C$233*0.15))</f>
        <v>6029.81808</v>
      </c>
      <c r="H97" s="207">
        <f>(A97*B97)*MATERIALES!$D$89</f>
        <v>5907.0000000000009</v>
      </c>
      <c r="I97" s="208">
        <f t="shared" si="27"/>
        <v>25469.640976000002</v>
      </c>
      <c r="J97" s="208">
        <f t="shared" si="28"/>
        <v>33239.277136000004</v>
      </c>
      <c r="K97" s="209">
        <f t="shared" si="29"/>
        <v>30040.140976000002</v>
      </c>
      <c r="L97" s="927"/>
    </row>
    <row r="98" spans="1:13">
      <c r="A98" s="204">
        <v>2.2000000000000002</v>
      </c>
      <c r="B98" s="205">
        <v>1.8</v>
      </c>
      <c r="C98" s="206">
        <f>((((A98*2)+(B98*2))*MATERIALES!$C$57)+(((A98*2)+(B98*2))*MATERIALES!$C$76)+(((A98*2)+(B98*2))*MATERIALES!$C$73))*MATERIALES!$F$2</f>
        <v>10194.912</v>
      </c>
      <c r="D98" s="206">
        <f>(8*MATERIALES!$C$189)+(1*MATERIALES!$C$199)+(1*MATERIALES!$C$203)+(((A98*2)+(B98*2))*MATERIALES!$C$209)+(4*MATERIALES!$C$148)+(((A98*5)*2)*MATERIALES!$C$147)+(((A98*2)+(B98*2))*MATERIALES!$C$210)+((((A98*2)+(B98*2))/0.1)*MATERIALES!$C$192)+(((A98*2)+(B98*2))*MATERIALES!$C$165)+(2*MATERIALES!$C$187)+(0.5*MATERIALES!$C$167)</f>
        <v>6366.0583999999999</v>
      </c>
      <c r="E98" s="206">
        <f>(0.5*MATERIALES!$D$254)</f>
        <v>557</v>
      </c>
      <c r="F98" s="207">
        <f>(A98*B98)*MATERIALES!$D$83</f>
        <v>2574.0000000000005</v>
      </c>
      <c r="G98" s="207">
        <f>(((A98*B98)*2)*MATERIALES!$D$83)+(4*MATERIALES!$C$229)+(((A98*2)+(B98*2))*MATERIALES!$C$230)+(((A98*2)+(B98*2))*MATERIALES!$C$231)+((((A98*2)+(B98*2))/15)*MATERIALES!$C$232)+((((A98*2)+(B98*2))/15)*(MATERIALES!$C$233*0.15))</f>
        <v>7027.1136000000015</v>
      </c>
      <c r="H98" s="207">
        <f>(A98*B98)*MATERIALES!$D$89</f>
        <v>7088.4000000000005</v>
      </c>
      <c r="I98" s="208">
        <f t="shared" si="27"/>
        <v>27401.361519999999</v>
      </c>
      <c r="J98" s="208">
        <f t="shared" si="28"/>
        <v>36307.58872</v>
      </c>
      <c r="K98" s="209">
        <f t="shared" si="29"/>
        <v>32885.961519999997</v>
      </c>
      <c r="L98" s="927"/>
    </row>
    <row r="99" spans="1:13">
      <c r="A99" s="204">
        <v>2.4</v>
      </c>
      <c r="B99" s="205">
        <v>0.4</v>
      </c>
      <c r="C99" s="206">
        <f>((((A99*2)+(B99*2))*MATERIALES!$C$57)+(((A99*2)+(B99*2))*MATERIALES!$C$76)+(((A99*2)+(B99*2))*MATERIALES!$C$73))*MATERIALES!$F$2</f>
        <v>7136.4384</v>
      </c>
      <c r="D99" s="206">
        <f>(8*MATERIALES!$C$189)+(1*MATERIALES!$C$199)+(1*MATERIALES!$C$203)+(((A99*2)+(B99*2))*MATERIALES!$C$209)+(4*MATERIALES!$C$148)+(((A99*5)*2)*MATERIALES!$C$147)+(((A99*2)+(B99*2))*MATERIALES!$C$210)+((((A99*2)+(B99*2))/0.1)*MATERIALES!$C$192)+(((A99*2)+(B99*2))*MATERIALES!$C$165)+(2*MATERIALES!$C$187)+(0.5*MATERIALES!$C$167)</f>
        <v>6120.7764799999995</v>
      </c>
      <c r="E99" s="206">
        <f>(0.5*MATERIALES!$D$254)</f>
        <v>557</v>
      </c>
      <c r="F99" s="207">
        <f>(A99*B99)*MATERIALES!$D$83</f>
        <v>624</v>
      </c>
      <c r="G99" s="207">
        <f>(((A99*B99)*2)*MATERIALES!$D$83)+(4*MATERIALES!$C$229)+(((A99*2)+(B99*2))*MATERIALES!$C$230)+(((A99*2)+(B99*2))*MATERIALES!$C$231)+((((A99*2)+(B99*2))/15)*MATERIALES!$C$232)+((((A99*2)+(B99*2))/15)*(MATERIALES!$C$233*0.15))</f>
        <v>2569.9315200000001</v>
      </c>
      <c r="H99" s="207">
        <f>(A99*B99)*MATERIALES!$D$89</f>
        <v>1718.3999999999999</v>
      </c>
      <c r="I99" s="208">
        <f t="shared" si="27"/>
        <v>19206.479343999999</v>
      </c>
      <c r="J99" s="208">
        <f t="shared" si="28"/>
        <v>23098.342384</v>
      </c>
      <c r="K99" s="209">
        <f t="shared" si="29"/>
        <v>20536.079343999998</v>
      </c>
      <c r="L99" s="927"/>
    </row>
    <row r="100" spans="1:13">
      <c r="A100" s="204">
        <v>2.4</v>
      </c>
      <c r="B100" s="205">
        <v>0.6</v>
      </c>
      <c r="C100" s="206">
        <f>((((A100*2)+(B100*2))*MATERIALES!$C$57)+(((A100*2)+(B100*2))*MATERIALES!$C$76)+(((A100*2)+(B100*2))*MATERIALES!$C$73))*MATERIALES!$F$2</f>
        <v>7646.184000000002</v>
      </c>
      <c r="D100" s="206">
        <f>(8*MATERIALES!$C$189)+(1*MATERIALES!$C$199)+(1*MATERIALES!$C$203)+(((A100*2)+(B100*2))*MATERIALES!$C$209)+(4*MATERIALES!$C$148)+(((A100*5)*2)*MATERIALES!$C$147)+(((A100*2)+(B100*2))*MATERIALES!$C$210)+((((A100*2)+(B100*2))/0.1)*MATERIALES!$C$192)+(((A100*2)+(B100*2))*MATERIALES!$C$165)+(2*MATERIALES!$C$187)+(0.5*MATERIALES!$C$167)</f>
        <v>6161.6567999999988</v>
      </c>
      <c r="E100" s="206">
        <f>(0.5*MATERIALES!$D$254)</f>
        <v>557</v>
      </c>
      <c r="F100" s="207">
        <f>(A100*B100)*MATERIALES!$D$83</f>
        <v>936</v>
      </c>
      <c r="G100" s="207">
        <f>(((A100*B100)*2)*MATERIALES!$D$83)+(4*MATERIALES!$C$229)+(((A100*2)+(B100*2))*MATERIALES!$C$230)+(((A100*2)+(B100*2))*MATERIALES!$C$231)+((((A100*2)+(B100*2))/15)*MATERIALES!$C$232)+((((A100*2)+(B100*2))/15)*(MATERIALES!$C$233*0.15))</f>
        <v>3286.7951999999996</v>
      </c>
      <c r="H100" s="207">
        <f>(A100*B100)*MATERIALES!$D$89</f>
        <v>2577.6</v>
      </c>
      <c r="I100" s="208">
        <f t="shared" si="27"/>
        <v>20546.293040000004</v>
      </c>
      <c r="J100" s="208">
        <f t="shared" si="28"/>
        <v>25247.883440000005</v>
      </c>
      <c r="K100" s="209">
        <f t="shared" si="29"/>
        <v>22540.693040000006</v>
      </c>
      <c r="L100" s="927"/>
    </row>
    <row r="101" spans="1:13">
      <c r="A101" s="204">
        <v>2.4</v>
      </c>
      <c r="B101" s="205">
        <v>0.8</v>
      </c>
      <c r="C101" s="206">
        <f>((((A101*2)+(B101*2))*MATERIALES!$C$57)+(((A101*2)+(B101*2))*MATERIALES!$C$76)+(((A101*2)+(B101*2))*MATERIALES!$C$73))*MATERIALES!$F$2</f>
        <v>8155.9296000000004</v>
      </c>
      <c r="D101" s="206">
        <f>(8*MATERIALES!$C$189)+(1*MATERIALES!$C$199)+(1*MATERIALES!$C$203)+(((A101*2)+(B101*2))*MATERIALES!$C$209)+(4*MATERIALES!$C$148)+(((A101*5)*2)*MATERIALES!$C$147)+(((A101*2)+(B101*2))*MATERIALES!$C$210)+((((A101*2)+(B101*2))/0.1)*MATERIALES!$C$192)+(((A101*2)+(B101*2))*MATERIALES!$C$165)+(2*MATERIALES!$C$187)+(0.5*MATERIALES!$C$167)</f>
        <v>6202.537119999999</v>
      </c>
      <c r="E101" s="206">
        <f>(0.5*MATERIALES!$D$254)</f>
        <v>557</v>
      </c>
      <c r="F101" s="207">
        <f>(A101*B101)*MATERIALES!$D$83</f>
        <v>1248</v>
      </c>
      <c r="G101" s="207">
        <f>(((A101*B101)*2)*MATERIALES!$D$83)+(4*MATERIALES!$C$229)+(((A101*2)+(B101*2))*MATERIALES!$C$230)+(((A101*2)+(B101*2))*MATERIALES!$C$231)+((((A101*2)+(B101*2))/15)*MATERIALES!$C$232)+((((A101*2)+(B101*2))/15)*(MATERIALES!$C$233*0.15))</f>
        <v>4003.6588800000004</v>
      </c>
      <c r="H101" s="207">
        <f>(A101*B101)*MATERIALES!$D$89</f>
        <v>3436.7999999999997</v>
      </c>
      <c r="I101" s="208">
        <f t="shared" si="27"/>
        <v>21886.106736000002</v>
      </c>
      <c r="J101" s="208">
        <f t="shared" si="28"/>
        <v>27397.424496000003</v>
      </c>
      <c r="K101" s="209">
        <f t="shared" si="29"/>
        <v>24545.306736000002</v>
      </c>
      <c r="L101" s="927"/>
    </row>
    <row r="102" spans="1:13">
      <c r="A102" s="204">
        <v>2.4</v>
      </c>
      <c r="B102" s="205">
        <v>1</v>
      </c>
      <c r="C102" s="206">
        <f>((((A102*2)+(B102*2))*MATERIALES!$C$57)+(((A102*2)+(B102*2))*MATERIALES!$C$76)+(((A102*2)+(B102*2))*MATERIALES!$C$73))*MATERIALES!$F$2</f>
        <v>8665.6751999999997</v>
      </c>
      <c r="D102" s="206">
        <f>(8*MATERIALES!$C$189)+(1*MATERIALES!$C$199)+(1*MATERIALES!$C$203)+(((A102*2)+(B102*2))*MATERIALES!$C$209)+(4*MATERIALES!$C$148)+(((A102*5)*2)*MATERIALES!$C$147)+(((A102*2)+(B102*2))*MATERIALES!$C$210)+((((A102*2)+(B102*2))/0.1)*MATERIALES!$C$192)+(((A102*2)+(B102*2))*MATERIALES!$C$165)+(2*MATERIALES!$C$187)+(0.5*MATERIALES!$C$167)</f>
        <v>6243.4174399999993</v>
      </c>
      <c r="E102" s="206">
        <f>(0.5*MATERIALES!$D$254)</f>
        <v>557</v>
      </c>
      <c r="F102" s="207">
        <f>(A102*B102)*MATERIALES!$D$83</f>
        <v>1560</v>
      </c>
      <c r="G102" s="207">
        <f>(((A102*B102)*2)*MATERIALES!$D$83)+(4*MATERIALES!$C$229)+(((A102*2)+(B102*2))*MATERIALES!$C$230)+(((A102*2)+(B102*2))*MATERIALES!$C$231)+((((A102*2)+(B102*2))/15)*MATERIALES!$C$232)+((((A102*2)+(B102*2))/15)*(MATERIALES!$C$233*0.15))</f>
        <v>4720.5225600000003</v>
      </c>
      <c r="H102" s="207">
        <f>(A102*B102)*MATERIALES!$D$89</f>
        <v>4296</v>
      </c>
      <c r="I102" s="208">
        <f t="shared" si="27"/>
        <v>23225.920431999999</v>
      </c>
      <c r="J102" s="208">
        <f t="shared" si="28"/>
        <v>29546.965552000001</v>
      </c>
      <c r="K102" s="209">
        <f t="shared" si="29"/>
        <v>26549.920431999999</v>
      </c>
      <c r="L102" s="927"/>
    </row>
    <row r="103" spans="1:13">
      <c r="A103" s="204">
        <v>2.4</v>
      </c>
      <c r="B103" s="205">
        <v>1.2</v>
      </c>
      <c r="C103" s="206">
        <f>((((A103*2)+(B103*2))*MATERIALES!$C$57)+(((A103*2)+(B103*2))*MATERIALES!$C$76)+(((A103*2)+(B103*2))*MATERIALES!$C$73))*MATERIALES!$F$2</f>
        <v>9175.4207999999999</v>
      </c>
      <c r="D103" s="206">
        <f>(8*MATERIALES!$C$189)+(1*MATERIALES!$C$199)+(1*MATERIALES!$C$203)+(((A103*2)+(B103*2))*MATERIALES!$C$209)+(4*MATERIALES!$C$148)+(((A103*5)*2)*MATERIALES!$C$147)+(((A103*2)+(B103*2))*MATERIALES!$C$210)+((((A103*2)+(B103*2))/0.1)*MATERIALES!$C$192)+(((A103*2)+(B103*2))*MATERIALES!$C$165)+(2*MATERIALES!$C$187)+(0.5*MATERIALES!$C$167)</f>
        <v>6284.2977599999986</v>
      </c>
      <c r="E103" s="206">
        <f>(0.5*MATERIALES!$D$254)</f>
        <v>557</v>
      </c>
      <c r="F103" s="207">
        <f>(A103*B103)*MATERIALES!$D$83</f>
        <v>1872</v>
      </c>
      <c r="G103" s="207">
        <f>(((A103*B103)*2)*MATERIALES!$D$83)+(4*MATERIALES!$C$229)+(((A103*2)+(B103*2))*MATERIALES!$C$230)+(((A103*2)+(B103*2))*MATERIALES!$C$231)+((((A103*2)+(B103*2))/15)*MATERIALES!$C$232)+((((A103*2)+(B103*2))/15)*(MATERIALES!$C$233*0.15))</f>
        <v>5437.3862399999998</v>
      </c>
      <c r="H103" s="207">
        <f>(A103*B103)*MATERIALES!$D$89</f>
        <v>5155.2</v>
      </c>
      <c r="I103" s="208">
        <f t="shared" si="27"/>
        <v>24565.734127999996</v>
      </c>
      <c r="J103" s="208">
        <f t="shared" si="28"/>
        <v>31696.506607999996</v>
      </c>
      <c r="K103" s="209">
        <f t="shared" si="29"/>
        <v>28554.534127999996</v>
      </c>
      <c r="L103" s="927"/>
    </row>
    <row r="104" spans="1:13">
      <c r="A104" s="204">
        <v>2.4</v>
      </c>
      <c r="B104" s="205">
        <v>1.5</v>
      </c>
      <c r="C104" s="206">
        <f>((((A104*2)+(B104*2))*MATERIALES!$C$57)+(((A104*2)+(B104*2))*MATERIALES!$C$76)+(((A104*2)+(B104*2))*MATERIALES!$C$73))*MATERIALES!$F$2</f>
        <v>9940.0392000000011</v>
      </c>
      <c r="D104" s="206">
        <f>(8*MATERIALES!$C$189)+(1*MATERIALES!$C$199)+(1*MATERIALES!$C$203)+(((A104*2)+(B104*2))*MATERIALES!$C$209)+(4*MATERIALES!$C$148)+(((A104*5)*2)*MATERIALES!$C$147)+(((A104*2)+(B104*2))*MATERIALES!$C$210)+((((A104*2)+(B104*2))/0.1)*MATERIALES!$C$192)+(((A104*2)+(B104*2))*MATERIALES!$C$165)+(2*MATERIALES!$C$187)+(0.5*MATERIALES!$C$167)</f>
        <v>6345.6182399999998</v>
      </c>
      <c r="E104" s="206">
        <f>(0.5*MATERIALES!$D$254)</f>
        <v>557</v>
      </c>
      <c r="F104" s="207">
        <f>(A104*B104)*MATERIALES!$D$83</f>
        <v>2339.9999999999995</v>
      </c>
      <c r="G104" s="207">
        <f>(((A104*B104)*2)*MATERIALES!$D$83)+(4*MATERIALES!$C$229)+(((A104*2)+(B104*2))*MATERIALES!$C$230)+(((A104*2)+(B104*2))*MATERIALES!$C$231)+((((A104*2)+(B104*2))/15)*MATERIALES!$C$232)+((((A104*2)+(B104*2))/15)*(MATERIALES!$C$233*0.15))</f>
        <v>6512.6817599999995</v>
      </c>
      <c r="H104" s="207">
        <f>(A104*B104)*MATERIALES!$D$89</f>
        <v>6443.9999999999991</v>
      </c>
      <c r="I104" s="208">
        <f t="shared" si="27"/>
        <v>26575.454672000003</v>
      </c>
      <c r="J104" s="208">
        <f t="shared" si="28"/>
        <v>34920.818192000006</v>
      </c>
      <c r="K104" s="209">
        <f t="shared" si="29"/>
        <v>31561.454672</v>
      </c>
      <c r="L104" s="927"/>
    </row>
    <row r="105" spans="1:13" ht="15.75" thickBot="1">
      <c r="A105" s="210">
        <v>2.4</v>
      </c>
      <c r="B105" s="211">
        <v>1.8</v>
      </c>
      <c r="C105" s="212">
        <f>((((A105*2)+(B105*2))*MATERIALES!$C$57)+(((A105*2)+(B105*2))*MATERIALES!$C$76)+(((A105*2)+(B105*2))*MATERIALES!$C$73))*MATERIALES!$F$2</f>
        <v>10704.657600000002</v>
      </c>
      <c r="D105" s="212">
        <f>(8*MATERIALES!$C$189)+(1*MATERIALES!$C$199)+(1*MATERIALES!$C$203)+(((A105*2)+(B105*2))*MATERIALES!$C$209)+(4*MATERIALES!$C$148)+(((A105*5)*2)*MATERIALES!$C$147)+(((A105*2)+(B105*2))*MATERIALES!$C$210)+((((A105*2)+(B105*2))/0.1)*MATERIALES!$C$192)+(((A105*2)+(B105*2))*MATERIALES!$C$165)+(2*MATERIALES!$C$187)+(0.5*MATERIALES!$C$167)</f>
        <v>6406.9387199999992</v>
      </c>
      <c r="E105" s="212">
        <f>(0.5*MATERIALES!$D$254)</f>
        <v>557</v>
      </c>
      <c r="F105" s="213">
        <f>(A105*B105)*MATERIALES!$D$83</f>
        <v>2808</v>
      </c>
      <c r="G105" s="213">
        <f>(((A105*B105)*2)*MATERIALES!$D$83)+(4*MATERIALES!$C$229)+(((A105*2)+(B105*2))*MATERIALES!$C$230)+(((A105*2)+(B105*2))*MATERIALES!$C$231)+((((A105*2)+(B105*2))/15)*MATERIALES!$C$232)+((((A105*2)+(B105*2))/15)*(MATERIALES!$C$233*0.15))</f>
        <v>7587.9772800000001</v>
      </c>
      <c r="H105" s="213">
        <f>(A105*B105)*MATERIALES!$D$89</f>
        <v>7732.8</v>
      </c>
      <c r="I105" s="214">
        <f t="shared" si="27"/>
        <v>28585.175216000003</v>
      </c>
      <c r="J105" s="214">
        <f t="shared" si="28"/>
        <v>38145.129776000002</v>
      </c>
      <c r="K105" s="215">
        <f t="shared" si="29"/>
        <v>34568.375216</v>
      </c>
      <c r="L105" s="928"/>
    </row>
    <row r="107" spans="1:13" ht="15.75" thickBot="1"/>
    <row r="108" spans="1:13" ht="15.75" thickBot="1">
      <c r="C108" s="895">
        <v>0.3</v>
      </c>
      <c r="D108" s="897"/>
      <c r="E108" s="896"/>
      <c r="F108" s="895">
        <v>1</v>
      </c>
      <c r="G108" s="897"/>
      <c r="H108" s="141">
        <v>0.5</v>
      </c>
      <c r="K108" s="62" t="s">
        <v>163</v>
      </c>
    </row>
    <row r="109" spans="1:13" ht="15.75" thickBot="1">
      <c r="A109" s="792" t="s">
        <v>380</v>
      </c>
      <c r="B109" s="793"/>
      <c r="C109" s="793"/>
      <c r="D109" s="793"/>
      <c r="E109" s="793"/>
      <c r="F109" s="793"/>
      <c r="G109" s="793"/>
      <c r="H109" s="793"/>
      <c r="I109" s="793"/>
      <c r="J109" s="793"/>
      <c r="K109" s="794"/>
    </row>
    <row r="110" spans="1:13" ht="15.75" thickBot="1">
      <c r="A110" s="116" t="s">
        <v>116</v>
      </c>
      <c r="B110" s="116" t="s">
        <v>117</v>
      </c>
      <c r="C110" s="116" t="s">
        <v>162</v>
      </c>
      <c r="D110" s="116" t="s">
        <v>376</v>
      </c>
      <c r="E110" s="116" t="s">
        <v>120</v>
      </c>
      <c r="F110" s="225" t="s">
        <v>520</v>
      </c>
      <c r="G110" s="134" t="s">
        <v>260</v>
      </c>
      <c r="H110" s="136" t="s">
        <v>259</v>
      </c>
      <c r="I110" s="225" t="s">
        <v>521</v>
      </c>
      <c r="J110" s="136" t="s">
        <v>262</v>
      </c>
      <c r="K110" s="116" t="s">
        <v>263</v>
      </c>
      <c r="L110" s="197"/>
      <c r="M110" s="4"/>
    </row>
    <row r="111" spans="1:13" ht="15.75" thickBot="1">
      <c r="A111" s="795"/>
      <c r="B111" s="796"/>
      <c r="C111" s="796"/>
      <c r="D111" s="796"/>
      <c r="E111" s="796"/>
      <c r="F111" s="796"/>
      <c r="G111" s="796"/>
      <c r="H111" s="796"/>
      <c r="I111" s="796"/>
      <c r="J111" s="796"/>
      <c r="K111" s="797"/>
      <c r="L111" s="142"/>
    </row>
    <row r="112" spans="1:13">
      <c r="A112" s="158">
        <v>0.6</v>
      </c>
      <c r="B112" s="159">
        <v>0.4</v>
      </c>
      <c r="C112" s="74">
        <f>((((A112*2)+(B112*2))*MATERIALES!$C$57)+(((A112*2)+(B112*2))*MATERIALES!$C$76)+(((A112*2)+(B112*2))*MATERIALES!$C$73))*(MATERIALES!$F$2*MATERIALES!$J$15)</f>
        <v>0</v>
      </c>
      <c r="D112" s="74">
        <f>(8*MATERIALES!$C$189)+(1*MATERIALES!$C$197)+(2*MATERIALES!$C$206)+(((A112*2)+(B112*2))*MATERIALES!$C$209)+(4*MATERIALES!$C$148)+(((A112*5)*2)*MATERIALES!$C$147)+(((A112*2)+(B112*2))*MATERIALES!$C$210)+((((A112*2)+(B112*2))/0.1)*MATERIALES!$C$192)+(((A112*2)+(B112*2))*MATERIALES!$C$165)+(2*MATERIALES!$C$187)+(0.5*MATERIALES!$C$167)</f>
        <v>3787.2536</v>
      </c>
      <c r="E112" s="74"/>
      <c r="F112" s="111">
        <f>(A112*B112)*MATERIALES!$D$82</f>
        <v>127.19999999999999</v>
      </c>
      <c r="G112" s="111">
        <f>(((A112*B112)*2)*MATERIALES!$D$83)+(4*MATERIALES!$C$229)+(((A112*2)+(B112*2))*MATERIALES!$C$230)+(((A112*2)+(B112*2))*MATERIALES!$C$231)+((((A6*2)+(B6*2))/15)*MATERIALES!$C$232)+((((A6*2)+(B6*2))/15)*(MATERIALES!$C$233*0.15))</f>
        <v>798.15840000000003</v>
      </c>
      <c r="H112" s="111">
        <f>(A112*B112)*MATERIALES!$D$89</f>
        <v>429.59999999999997</v>
      </c>
      <c r="I112" s="175">
        <f t="shared" ref="I112:I144" si="30">((C112+D112+E112)*1.3)+(F112*2)</f>
        <v>5177.8296799999998</v>
      </c>
      <c r="J112" s="175">
        <f t="shared" ref="J112:J144" si="31">((C112+D112+E112)*1.3)+(G112*2)</f>
        <v>6519.7464799999998</v>
      </c>
      <c r="K112" s="160">
        <f t="shared" ref="K112:K144" si="32">((C112+D112+E112)*1.3)+(H112*1.5)</f>
        <v>5567.8296799999998</v>
      </c>
      <c r="L112" s="920" t="s">
        <v>189</v>
      </c>
    </row>
    <row r="113" spans="1:12">
      <c r="A113" s="161">
        <v>0.6</v>
      </c>
      <c r="B113" s="162">
        <v>0.6</v>
      </c>
      <c r="C113" s="75">
        <f>((((A113*2)+(B113*2))*MATERIALES!$C$57)+(((A113*2)+(B113*2))*MATERIALES!$C$76)+(((A113*2)+(B113*2))*MATERIALES!$C$73))*(MATERIALES!$F$2*MATERIALES!$J$15)</f>
        <v>0</v>
      </c>
      <c r="D113" s="75">
        <f>(8*MATERIALES!$C$189)+(1*MATERIALES!$C$197)+(2*MATERIALES!$C$206)+(((A113*2)+(B113*2))*MATERIALES!$C$209)+(4*MATERIALES!$C$148)+(((A113*5)*2)*MATERIALES!$C$147)+(((A113*2)+(B113*2))*MATERIALES!$C$210)+((((A113*2)+(B113*2))/0.1)*MATERIALES!$C$192)+(((A113*2)+(B113*2))*MATERIALES!$C$165)+(2*MATERIALES!$C$187)+(0.5*MATERIALES!$C$167)</f>
        <v>3828.1339200000007</v>
      </c>
      <c r="E113" s="75"/>
      <c r="F113" s="112">
        <f>(A113*B113)*MATERIALES!$D$82</f>
        <v>190.79999999999998</v>
      </c>
      <c r="G113" s="112">
        <f>(((A113*B113)*2)*MATERIALES!$D$83)+(4*MATERIALES!$C$229)+(((A113*2)+(B113*2))*MATERIALES!$C$230)+(((A113*2)+(B113*2))*MATERIALES!$C$231)+((((A7*2)+(B7*2))/15)*MATERIALES!$C$232)+((((A7*2)+(B7*2))/15)*(MATERIALES!$C$233*0.15))</f>
        <v>1047.02208</v>
      </c>
      <c r="H113" s="112">
        <f>(A113*B113)*MATERIALES!$D$89</f>
        <v>644.4</v>
      </c>
      <c r="I113" s="167">
        <f t="shared" si="30"/>
        <v>5358.1740960000016</v>
      </c>
      <c r="J113" s="167">
        <f t="shared" si="31"/>
        <v>7070.6182560000016</v>
      </c>
      <c r="K113" s="163">
        <f t="shared" si="32"/>
        <v>5943.1740960000006</v>
      </c>
      <c r="L113" s="921"/>
    </row>
    <row r="114" spans="1:12">
      <c r="A114" s="161">
        <v>0.6</v>
      </c>
      <c r="B114" s="162">
        <v>0.8</v>
      </c>
      <c r="C114" s="75">
        <f>((((A114*2)+(B114*2))*MATERIALES!$C$57)+(((A114*2)+(B114*2))*MATERIALES!$C$76)+(((A114*2)+(B114*2))*MATERIALES!$C$73))*(MATERIALES!$F$2*MATERIALES!$J$15)</f>
        <v>0</v>
      </c>
      <c r="D114" s="75">
        <f>(8*MATERIALES!$C$189)+(1*MATERIALES!$C$197)+(2*MATERIALES!$C$206)+(((A114*2)+(B114*2))*MATERIALES!$C$209)+(4*MATERIALES!$C$148)+(((A114*5)*2)*MATERIALES!$C$147)+(((A114*2)+(B114*2))*MATERIALES!$C$210)+((((A114*2)+(B114*2))/0.1)*MATERIALES!$C$192)+(((A114*2)+(B114*2))*MATERIALES!$C$165)+(2*MATERIALES!$C$187)+(0.5*MATERIALES!$C$167)</f>
        <v>3869.0142400000004</v>
      </c>
      <c r="E114" s="75"/>
      <c r="F114" s="112">
        <f>(A114*B114)*MATERIALES!$D$82</f>
        <v>254.39999999999998</v>
      </c>
      <c r="G114" s="112">
        <f>(((A114*B114)*2)*MATERIALES!$D$83)+(4*MATERIALES!$C$229)+(((A114*2)+(B114*2))*MATERIALES!$C$230)+(((A114*2)+(B114*2))*MATERIALES!$C$231)+((((A8*2)+(B8*2))/15)*MATERIALES!$C$232)+((((A8*2)+(B8*2))/15)*(MATERIALES!$C$233*0.15))</f>
        <v>1272.9100800000001</v>
      </c>
      <c r="H114" s="112">
        <f>(A114*B114)*MATERIALES!$D$89</f>
        <v>859.19999999999993</v>
      </c>
      <c r="I114" s="167">
        <f t="shared" si="30"/>
        <v>5538.5185120000006</v>
      </c>
      <c r="J114" s="167">
        <f t="shared" si="31"/>
        <v>7575.5386720000006</v>
      </c>
      <c r="K114" s="163">
        <f t="shared" si="32"/>
        <v>6318.5185120000006</v>
      </c>
      <c r="L114" s="921"/>
    </row>
    <row r="115" spans="1:12">
      <c r="A115" s="161">
        <v>0.8</v>
      </c>
      <c r="B115" s="162">
        <v>0.4</v>
      </c>
      <c r="C115" s="75">
        <f>((((A115*2)+(B115*2))*MATERIALES!$C$57)+(((A115*2)+(B115*2))*MATERIALES!$C$76)+(((A115*2)+(B115*2))*MATERIALES!$C$73))*(MATERIALES!$F$2*MATERIALES!$J$15)</f>
        <v>0</v>
      </c>
      <c r="D115" s="75">
        <f>(8*MATERIALES!$C$189)+(1*MATERIALES!$C$197)+(2*MATERIALES!$C$206)+(((A115*2)+(B115*2))*MATERIALES!$C$209)+(4*MATERIALES!$C$148)+(((A115*5)*2)*MATERIALES!$C$147)+(((A115*2)+(B115*2))*MATERIALES!$C$210)+((((A115*2)+(B115*2))/0.1)*MATERIALES!$C$192)+(((A115*2)+(B115*2))*MATERIALES!$C$165)+(2*MATERIALES!$C$187)+(0.5*MATERIALES!$C$167)</f>
        <v>3828.1339200000007</v>
      </c>
      <c r="E115" s="75"/>
      <c r="F115" s="112">
        <f>(A115*B115)*MATERIALES!$D$82</f>
        <v>169.60000000000002</v>
      </c>
      <c r="G115" s="112">
        <f>(((A115*B115)*2)*MATERIALES!$D$83)+(4*MATERIALES!$C$229)+(((A115*2)+(B115*2))*MATERIALES!$C$230)+(((A115*2)+(B115*2))*MATERIALES!$C$231)+((((A9*2)+(B9*2))/15)*MATERIALES!$C$232)+((((A9*2)+(B9*2))/15)*(MATERIALES!$C$233*0.15))</f>
        <v>995.02208000000007</v>
      </c>
      <c r="H115" s="112">
        <f>(A115*B115)*MATERIALES!$D$89</f>
        <v>572.80000000000007</v>
      </c>
      <c r="I115" s="167">
        <f t="shared" si="30"/>
        <v>5315.774096000001</v>
      </c>
      <c r="J115" s="167">
        <f t="shared" si="31"/>
        <v>6966.6182560000016</v>
      </c>
      <c r="K115" s="163">
        <f t="shared" si="32"/>
        <v>5835.774096000001</v>
      </c>
      <c r="L115" s="921"/>
    </row>
    <row r="116" spans="1:12">
      <c r="A116" s="161">
        <v>0.8</v>
      </c>
      <c r="B116" s="162">
        <v>0.6</v>
      </c>
      <c r="C116" s="75">
        <f>((((A116*2)+(B116*2))*MATERIALES!$C$57)+(((A116*2)+(B116*2))*MATERIALES!$C$76)+(((A116*2)+(B116*2))*MATERIALES!$C$73))*(MATERIALES!$F$2*MATERIALES!$J$15)</f>
        <v>0</v>
      </c>
      <c r="D116" s="75">
        <f>(8*MATERIALES!$C$189)+(1*MATERIALES!$C$197)+(2*MATERIALES!$C$206)+(((A116*2)+(B116*2))*MATERIALES!$C$209)+(4*MATERIALES!$C$148)+(((A116*5)*2)*MATERIALES!$C$147)+(((A116*2)+(B116*2))*MATERIALES!$C$210)+((((A116*2)+(B116*2))/0.1)*MATERIALES!$C$192)+(((A116*2)+(B116*2))*MATERIALES!$C$165)+(2*MATERIALES!$C$187)+(0.5*MATERIALES!$C$167)</f>
        <v>3869.0142400000004</v>
      </c>
      <c r="E116" s="75"/>
      <c r="F116" s="112">
        <f>(A116*B116)*MATERIALES!$D$82</f>
        <v>254.39999999999998</v>
      </c>
      <c r="G116" s="112">
        <f>(((A116*B116)*2)*MATERIALES!$D$83)+(4*MATERIALES!$C$229)+(((A116*2)+(B116*2))*MATERIALES!$C$230)+(((A116*2)+(B116*2))*MATERIALES!$C$231)+((((A10*2)+(B10*2))/15)*MATERIALES!$C$232)+((((A10*2)+(B10*2))/15)*(MATERIALES!$C$233*0.15))</f>
        <v>1284.3979199999999</v>
      </c>
      <c r="H116" s="112">
        <f>(A116*B116)*MATERIALES!$D$89</f>
        <v>859.19999999999993</v>
      </c>
      <c r="I116" s="167">
        <f t="shared" si="30"/>
        <v>5538.5185120000006</v>
      </c>
      <c r="J116" s="167">
        <f t="shared" si="31"/>
        <v>7598.5143520000001</v>
      </c>
      <c r="K116" s="163">
        <f t="shared" si="32"/>
        <v>6318.5185120000006</v>
      </c>
      <c r="L116" s="921"/>
    </row>
    <row r="117" spans="1:12">
      <c r="A117" s="161">
        <v>0.8</v>
      </c>
      <c r="B117" s="162">
        <v>0.8</v>
      </c>
      <c r="C117" s="75">
        <f>((((A117*2)+(B117*2))*MATERIALES!$C$57)+(((A117*2)+(B117*2))*MATERIALES!$C$76)+(((A117*2)+(B117*2))*MATERIALES!$C$73))*(MATERIALES!$F$2*MATERIALES!$J$15)</f>
        <v>0</v>
      </c>
      <c r="D117" s="75">
        <f>(8*MATERIALES!$C$189)+(1*MATERIALES!$C$197)+(2*MATERIALES!$C$206)+(((A117*2)+(B117*2))*MATERIALES!$C$209)+(4*MATERIALES!$C$148)+(((A117*5)*2)*MATERIALES!$C$147)+(((A117*2)+(B117*2))*MATERIALES!$C$210)+((((A117*2)+(B117*2))/0.1)*MATERIALES!$C$192)+(((A117*2)+(B117*2))*MATERIALES!$C$165)+(2*MATERIALES!$C$187)+(0.5*MATERIALES!$C$167)</f>
        <v>3909.8945600000002</v>
      </c>
      <c r="E117" s="75"/>
      <c r="F117" s="112">
        <f>(A117*B117)*MATERIALES!$D$82</f>
        <v>339.20000000000005</v>
      </c>
      <c r="G117" s="112">
        <f>(((A117*B117)*2)*MATERIALES!$D$83)+(4*MATERIALES!$C$229)+(((A117*2)+(B117*2))*MATERIALES!$C$230)+(((A117*2)+(B117*2))*MATERIALES!$C$231)+((((A11*2)+(B11*2))/15)*MATERIALES!$C$232)+((((A11*2)+(B11*2))/15)*(MATERIALES!$C$233*0.15))</f>
        <v>1573.7737600000003</v>
      </c>
      <c r="H117" s="112">
        <f>(A117*B117)*MATERIALES!$D$89</f>
        <v>1145.6000000000001</v>
      </c>
      <c r="I117" s="167">
        <f t="shared" si="30"/>
        <v>5761.2629280000001</v>
      </c>
      <c r="J117" s="167">
        <f t="shared" si="31"/>
        <v>8230.4104480000005</v>
      </c>
      <c r="K117" s="163">
        <f t="shared" si="32"/>
        <v>6801.2629280000001</v>
      </c>
      <c r="L117" s="921"/>
    </row>
    <row r="118" spans="1:12">
      <c r="A118" s="161">
        <v>1</v>
      </c>
      <c r="B118" s="162">
        <v>0.4</v>
      </c>
      <c r="C118" s="75">
        <f>((((A118*2)+(B118*2))*MATERIALES!$C$57)+(((A118*2)+(B118*2))*MATERIALES!$C$76)+(((A118*2)+(B118*2))*MATERIALES!$C$73))*(MATERIALES!$F$2*MATERIALES!$J$15)</f>
        <v>0</v>
      </c>
      <c r="D118" s="75">
        <f>(8*MATERIALES!$C$189)+(1*MATERIALES!$C$197)+(2*MATERIALES!$C$206)+(((A118*2)+(B118*2))*MATERIALES!$C$209)+(4*MATERIALES!$C$148)+(((A118*5)*2)*MATERIALES!$C$147)+(((A118*2)+(B118*2))*MATERIALES!$C$210)+((((A118*2)+(B118*2))/0.1)*MATERIALES!$C$192)+(((A118*2)+(B118*2))*MATERIALES!$C$165)+(2*MATERIALES!$C$187)+(0.5*MATERIALES!$C$167)</f>
        <v>3869.0142400000004</v>
      </c>
      <c r="E118" s="75"/>
      <c r="F118" s="112">
        <f>(A118*B118)*MATERIALES!$D$82</f>
        <v>212</v>
      </c>
      <c r="G118" s="112">
        <f>(((A118*B118)*2)*MATERIALES!$D$83)+(4*MATERIALES!$C$229)+(((A118*2)+(B118*2))*MATERIALES!$C$230)+(((A118*2)+(B118*2))*MATERIALES!$C$231)+((((A12*2)+(B12*2))/15)*MATERIALES!$C$232)+((((A12*2)+(B12*2))/15)*(MATERIALES!$C$233*0.15))</f>
        <v>1191.8857600000001</v>
      </c>
      <c r="H118" s="112">
        <f>(A118*B118)*MATERIALES!$D$89</f>
        <v>716</v>
      </c>
      <c r="I118" s="167">
        <f t="shared" si="30"/>
        <v>5453.7185120000004</v>
      </c>
      <c r="J118" s="167">
        <f t="shared" si="31"/>
        <v>7413.4900320000006</v>
      </c>
      <c r="K118" s="163">
        <f t="shared" si="32"/>
        <v>6103.7185120000004</v>
      </c>
      <c r="L118" s="921"/>
    </row>
    <row r="119" spans="1:12">
      <c r="A119" s="161">
        <v>1</v>
      </c>
      <c r="B119" s="162">
        <v>0.6</v>
      </c>
      <c r="C119" s="75">
        <f>((((A119*2)+(B119*2))*MATERIALES!$C$57)+(((A119*2)+(B119*2))*MATERIALES!$C$76)+(((A119*2)+(B119*2))*MATERIALES!$C$73))*(MATERIALES!$F$2*MATERIALES!$J$15)</f>
        <v>0</v>
      </c>
      <c r="D119" s="75">
        <f>(8*MATERIALES!$C$189)+(1*MATERIALES!$C$197)+(2*MATERIALES!$C$206)+(((A119*2)+(B119*2))*MATERIALES!$C$209)+(4*MATERIALES!$C$148)+(((A119*5)*2)*MATERIALES!$C$147)+(((A119*2)+(B119*2))*MATERIALES!$C$210)+((((A119*2)+(B119*2))/0.1)*MATERIALES!$C$192)+(((A119*2)+(B119*2))*MATERIALES!$C$165)+(2*MATERIALES!$C$187)+(0.5*MATERIALES!$C$167)</f>
        <v>3909.8945600000002</v>
      </c>
      <c r="E119" s="75"/>
      <c r="F119" s="112">
        <f>(A119*B119)*MATERIALES!$D$82</f>
        <v>318</v>
      </c>
      <c r="G119" s="112">
        <f>(((A119*B119)*2)*MATERIALES!$D$83)+(4*MATERIALES!$C$229)+(((A119*2)+(B119*2))*MATERIALES!$C$230)+(((A119*2)+(B119*2))*MATERIALES!$C$231)+((((A13*2)+(B13*2))/15)*MATERIALES!$C$232)+((((A13*2)+(B13*2))/15)*(MATERIALES!$C$233*0.15))</f>
        <v>1498.79808</v>
      </c>
      <c r="H119" s="112">
        <f>(A119*B119)*MATERIALES!$D$89</f>
        <v>1074</v>
      </c>
      <c r="I119" s="167">
        <f t="shared" si="30"/>
        <v>5718.8629280000005</v>
      </c>
      <c r="J119" s="167">
        <f t="shared" si="31"/>
        <v>8080.4590880000005</v>
      </c>
      <c r="K119" s="163">
        <f t="shared" si="32"/>
        <v>6693.8629280000005</v>
      </c>
      <c r="L119" s="921"/>
    </row>
    <row r="120" spans="1:12" ht="15.75" thickBot="1">
      <c r="A120" s="161">
        <v>0.4</v>
      </c>
      <c r="B120" s="162">
        <v>0.8</v>
      </c>
      <c r="C120" s="75">
        <f>((((A120*2)+(B120*2))*MATERIALES!$C$57)+(((A120*2)+(B120*2))*MATERIALES!$C$76)+(((A120*2)+(B120*2))*MATERIALES!$C$73))*(MATERIALES!$F$2*MATERIALES!$J$15)</f>
        <v>0</v>
      </c>
      <c r="D120" s="75">
        <f>(8*MATERIALES!$C$189)+(1*MATERIALES!$C$197)+(2*MATERIALES!$C$206)+(((A120*2)+(B120*2))*MATERIALES!$C$209)+(4*MATERIALES!$C$148)+(((A120*5)*2)*MATERIALES!$C$147)+(((A120*2)+(B120*2))*MATERIALES!$C$210)+((((A120*2)+(B120*2))/0.1)*MATERIALES!$C$192)+(((A120*2)+(B120*2))*MATERIALES!$C$165)+(2*MATERIALES!$C$187)+(0.5*MATERIALES!$C$167)</f>
        <v>3828.1339200000007</v>
      </c>
      <c r="E120" s="75"/>
      <c r="F120" s="112">
        <f>(A120*B120)*MATERIALES!$D$82</f>
        <v>169.60000000000002</v>
      </c>
      <c r="G120" s="112">
        <f>(((A120*B120)*2)*MATERIALES!$D$83)+(4*MATERIALES!$C$229)+(((A120*2)+(B120*2))*MATERIALES!$C$230)+(((A120*2)+(B120*2))*MATERIALES!$C$231)+((((A14*2)+(B14*2))/15)*MATERIALES!$C$232)+((((A14*2)+(B14*2))/15)*(MATERIALES!$C$233*0.15))</f>
        <v>1017.99776</v>
      </c>
      <c r="H120" s="112">
        <f>(A120*B120)*MATERIALES!$D$89</f>
        <v>572.80000000000007</v>
      </c>
      <c r="I120" s="167">
        <f t="shared" si="30"/>
        <v>5315.774096000001</v>
      </c>
      <c r="J120" s="167">
        <f t="shared" si="31"/>
        <v>7012.5696160000007</v>
      </c>
      <c r="K120" s="163">
        <f t="shared" si="32"/>
        <v>5835.774096000001</v>
      </c>
      <c r="L120" s="922"/>
    </row>
    <row r="121" spans="1:12">
      <c r="A121" s="176">
        <v>0.4</v>
      </c>
      <c r="B121" s="177">
        <v>1</v>
      </c>
      <c r="C121" s="178">
        <f>((((A121*2)+(B121*2))*MATERIALES!$C$57)+(((A121*2)+(B121*2))*MATERIALES!$C$76)+(((A121*2)+(B121*2))*MATERIALES!$C$73))*(MATERIALES!$F$2*MATERIALES!$J$15)</f>
        <v>0</v>
      </c>
      <c r="D121" s="178">
        <f>(8*MATERIALES!$C$189)+(1*MATERIALES!$C$198)+(2*MATERIALES!$C$206)+(((A121*2)+(B121*2))*MATERIALES!$C$209)+(4*MATERIALES!$C$148)+(((A121*5)*2)*MATERIALES!$C$147)+(((A121*2)+(B121*2))*MATERIALES!$C$210)+((((A121*2)+(B121*2))/0.1)*MATERIALES!$C$192)+(((A121*2)+(B121*2))*MATERIALES!$C$165)+(2*MATERIALES!$C$187)+(0.5*MATERIALES!$C$167)</f>
        <v>3869.0142400000004</v>
      </c>
      <c r="E121" s="178"/>
      <c r="F121" s="179">
        <f>(A121*B121)*MATERIALES!$D$82</f>
        <v>212</v>
      </c>
      <c r="G121" s="179">
        <f>(((A121*B121)*2)*MATERIALES!$D$83)+(4*MATERIALES!$C$229)+(((A121*2)+(B121*2))*MATERIALES!$C$230)+(((A121*2)+(B121*2))*MATERIALES!$C$231)+((((A121*2)+(B121*2))/15)*MATERIALES!$C$232)+((((A121*2)+(B121*2))/15)*(MATERIALES!$C$233*0.15))</f>
        <v>1191.8857600000001</v>
      </c>
      <c r="H121" s="179">
        <f>(A121*B121)*MATERIALES!$D$89</f>
        <v>716</v>
      </c>
      <c r="I121" s="180">
        <f t="shared" si="30"/>
        <v>5453.7185120000004</v>
      </c>
      <c r="J121" s="180">
        <f t="shared" si="31"/>
        <v>7413.4900320000006</v>
      </c>
      <c r="K121" s="181">
        <f t="shared" si="32"/>
        <v>6103.7185120000004</v>
      </c>
      <c r="L121" s="923" t="s">
        <v>191</v>
      </c>
    </row>
    <row r="122" spans="1:12">
      <c r="A122" s="176">
        <v>0.4</v>
      </c>
      <c r="B122" s="177">
        <v>1.1000000000000001</v>
      </c>
      <c r="C122" s="178">
        <f>((((A122*2)+(B122*2))*MATERIALES!$C$57)+(((A122*2)+(B122*2))*MATERIALES!$C$76)+(((A122*2)+(B122*2))*MATERIALES!$C$73))*(MATERIALES!$F$2*MATERIALES!$J$15)</f>
        <v>0</v>
      </c>
      <c r="D122" s="178">
        <f>(8*MATERIALES!$C$189)+(1*MATERIALES!$C$198)+(2*MATERIALES!$C$206)+(((A122*2)+(B122*2))*MATERIALES!$C$209)+(4*MATERIALES!$C$148)+(((A122*5)*2)*MATERIALES!$C$147)+(((A122*2)+(B122*2))*MATERIALES!$C$210)+((((A122*2)+(B122*2))/0.1)*MATERIALES!$C$192)+(((A122*2)+(B122*2))*MATERIALES!$C$165)+(2*MATERIALES!$C$187)+(0.5*MATERIALES!$C$167)</f>
        <v>3889.4544000000001</v>
      </c>
      <c r="E122" s="178"/>
      <c r="F122" s="179">
        <f>(A122*B122)*MATERIALES!$D$82</f>
        <v>233.20000000000002</v>
      </c>
      <c r="G122" s="179">
        <f>(((A122*B122)*2)*MATERIALES!$D$83)+(4*MATERIALES!$C$229)+(((A122*2)+(B122*2))*MATERIALES!$C$230)+(((A122*2)+(B122*2))*MATERIALES!$C$231)+((((A122*2)+(B122*2))/15)*MATERIALES!$C$232)+((((A122*2)+(B122*2))/15)*(MATERIALES!$C$233*0.15))</f>
        <v>1290.3176000000003</v>
      </c>
      <c r="H122" s="179">
        <f>(A122*B122)*MATERIALES!$D$89</f>
        <v>787.60000000000014</v>
      </c>
      <c r="I122" s="180">
        <f t="shared" si="30"/>
        <v>5522.6907199999996</v>
      </c>
      <c r="J122" s="180">
        <f t="shared" si="31"/>
        <v>7636.9259200000006</v>
      </c>
      <c r="K122" s="181">
        <f t="shared" si="32"/>
        <v>6237.6907200000005</v>
      </c>
      <c r="L122" s="924"/>
    </row>
    <row r="123" spans="1:12">
      <c r="A123" s="176">
        <v>0.4</v>
      </c>
      <c r="B123" s="177">
        <v>1.2</v>
      </c>
      <c r="C123" s="178">
        <f>((((A123*2)+(B123*2))*MATERIALES!$C$57)+(((A123*2)+(B123*2))*MATERIALES!$C$76)+(((A123*2)+(B123*2))*MATERIALES!$C$73))*(MATERIALES!$F$2*MATERIALES!$J$15)</f>
        <v>0</v>
      </c>
      <c r="D123" s="178">
        <f>(8*MATERIALES!$C$189)+(1*MATERIALES!$C$198)+(2*MATERIALES!$C$206)+(((A123*2)+(B123*2))*MATERIALES!$C$209)+(4*MATERIALES!$C$148)+(((A123*5)*2)*MATERIALES!$C$147)+(((A123*2)+(B123*2))*MATERIALES!$C$210)+((((A123*2)+(B123*2))/0.1)*MATERIALES!$C$192)+(((A123*2)+(B123*2))*MATERIALES!$C$165)+(2*MATERIALES!$C$187)+(0.5*MATERIALES!$C$167)</f>
        <v>3909.8945600000002</v>
      </c>
      <c r="E123" s="178"/>
      <c r="F123" s="179">
        <f>(A123*B123)*MATERIALES!$D$82</f>
        <v>254.39999999999998</v>
      </c>
      <c r="G123" s="179">
        <f>(((A123*B123)*2)*MATERIALES!$D$83)+(4*MATERIALES!$C$229)+(((A123*2)+(B123*2))*MATERIALES!$C$230)+(((A123*2)+(B123*2))*MATERIALES!$C$231)+((((A123*2)+(B123*2))/15)*MATERIALES!$C$232)+((((A123*2)+(B123*2))/15)*(MATERIALES!$C$233*0.15))</f>
        <v>1388.74944</v>
      </c>
      <c r="H123" s="179">
        <f>(A123*B123)*MATERIALES!$D$89</f>
        <v>859.19999999999993</v>
      </c>
      <c r="I123" s="180">
        <f t="shared" si="30"/>
        <v>5591.6629280000006</v>
      </c>
      <c r="J123" s="180">
        <f t="shared" si="31"/>
        <v>7860.3618080000006</v>
      </c>
      <c r="K123" s="181">
        <f t="shared" si="32"/>
        <v>6371.6629280000006</v>
      </c>
      <c r="L123" s="924"/>
    </row>
    <row r="124" spans="1:12" ht="15.75" thickBot="1">
      <c r="A124" s="176">
        <v>0.4</v>
      </c>
      <c r="B124" s="177">
        <v>1.5</v>
      </c>
      <c r="C124" s="178">
        <f>((((A124*2)+(B124*2))*MATERIALES!$C$57)+(((A124*2)+(B124*2))*MATERIALES!$C$76)+(((A124*2)+(B124*2))*MATERIALES!$C$73))*(MATERIALES!$F$2*MATERIALES!$J$15)</f>
        <v>0</v>
      </c>
      <c r="D124" s="178">
        <f>(8*MATERIALES!$C$189)+(1*MATERIALES!$C$198)+(2*MATERIALES!$C$206)+(((A124*2)+(B124*2))*MATERIALES!$C$209)+(4*MATERIALES!$C$148)+(((A124*5)*2)*MATERIALES!$C$147)+(((A124*2)+(B124*2))*MATERIALES!$C$210)+((((A124*2)+(B124*2))/0.1)*MATERIALES!$C$192)+(((A124*2)+(B124*2))*MATERIALES!$C$165)+(2*MATERIALES!$C$187)+(0.5*MATERIALES!$C$167)</f>
        <v>3971.2150400000005</v>
      </c>
      <c r="E124" s="178"/>
      <c r="F124" s="179">
        <f>(A124*B124)*MATERIALES!$D$82</f>
        <v>318.00000000000006</v>
      </c>
      <c r="G124" s="179">
        <f>(((A124*B124)*2)*MATERIALES!$D$83)+(4*MATERIALES!$C$229)+(((A124*2)+(B124*2))*MATERIALES!$C$230)+(((A124*2)+(B124*2))*MATERIALES!$C$231)+((((A124*2)+(B124*2))/15)*MATERIALES!$C$232)+((((A124*2)+(B124*2))/15)*(MATERIALES!$C$233*0.15))</f>
        <v>1684.0449600000004</v>
      </c>
      <c r="H124" s="179">
        <f>(A124*B124)*MATERIALES!$D$89</f>
        <v>1074.0000000000002</v>
      </c>
      <c r="I124" s="180">
        <f t="shared" si="30"/>
        <v>5798.5795520000011</v>
      </c>
      <c r="J124" s="180">
        <f t="shared" si="31"/>
        <v>8530.6694720000014</v>
      </c>
      <c r="K124" s="181">
        <f t="shared" si="32"/>
        <v>6773.5795520000011</v>
      </c>
      <c r="L124" s="925"/>
    </row>
    <row r="125" spans="1:12">
      <c r="A125" s="161">
        <v>3</v>
      </c>
      <c r="B125" s="162">
        <v>3</v>
      </c>
      <c r="C125" s="75">
        <f>((((A125*2)+(B125*2))*MATERIALES!$C$57)+(((A125*2)+(B125*2))*MATERIALES!$C$76)+(((A125*2)+(B125*2))*MATERIALES!$C$73))*(MATERIALES!$F$2*MATERIALES!$J$15)</f>
        <v>0</v>
      </c>
      <c r="D125" s="75">
        <f>(8*MATERIALES!$C$189)+(1*MATERIALES!$C$197)+(2*MATERIALES!$C$206)+(((A125*2)+(B125*2))*MATERIALES!$C$209)+(4*MATERIALES!$C$148)+(((A125*5)*2)*MATERIALES!$C$147)+(((A125*2)+(B125*2))*MATERIALES!$C$210)+((((A125*2)+(B125*2))/0.1)*MATERIALES!$C$192)+(((A125*2)+(B125*2))*MATERIALES!$C$165)+(2*MATERIALES!$C$187)+(0.5*MATERIALES!$C$167)</f>
        <v>4809.2615999999998</v>
      </c>
      <c r="E125" s="75"/>
      <c r="F125" s="112">
        <f>(A125*B125)*MATERIALES!$D$82</f>
        <v>4770</v>
      </c>
      <c r="G125" s="112">
        <f>(((A125*B125)*2)*MATERIALES!$D$83)+(4*MATERIALES!$C$229)+(((A125*2)+(B125*2))*MATERIALES!$C$230)+(((A125*2)+(B125*2))*MATERIALES!$C$231)+((((A125*2)+(B125*2))/15)*MATERIALES!$C$232)+((((A125*2)+(B125*2))/15)*(MATERIALES!$C$233*0.15))</f>
        <v>14507.750400000001</v>
      </c>
      <c r="H125" s="112">
        <f>(A125*B125)*MATERIALES!$D$89</f>
        <v>16110</v>
      </c>
      <c r="I125" s="167">
        <f t="shared" si="30"/>
        <v>15792.040079999999</v>
      </c>
      <c r="J125" s="167">
        <f t="shared" si="31"/>
        <v>35267.54088</v>
      </c>
      <c r="K125" s="163">
        <f t="shared" si="32"/>
        <v>30417.040079999999</v>
      </c>
      <c r="L125" s="920" t="s">
        <v>189</v>
      </c>
    </row>
    <row r="126" spans="1:12">
      <c r="A126" s="161">
        <v>3</v>
      </c>
      <c r="B126" s="162">
        <v>3</v>
      </c>
      <c r="C126" s="75">
        <f>((((A126*2)+(B126*2))*MATERIALES!$C$57)+(((A126*2)+(B126*2))*MATERIALES!$C$76)+(((A126*2)+(B126*2))*MATERIALES!$C$73))*(MATERIALES!$F$2*MATERIALES!$J$15)</f>
        <v>0</v>
      </c>
      <c r="D126" s="75">
        <f>(8*MATERIALES!$C$189)+(1*MATERIALES!$C$197)+(2*MATERIALES!$C$206)+(((A126*2)+(B126*2))*MATERIALES!$C$209)+(4*MATERIALES!$C$148)+(((A126*5)*2)*MATERIALES!$C$147)+(((A126*2)+(B126*2))*MATERIALES!$C$210)+((((A126*2)+(B126*2))/0.1)*MATERIALES!$C$192)+(((A126*2)+(B126*2))*MATERIALES!$C$165)+(2*MATERIALES!$C$187)+(0.5*MATERIALES!$C$167)</f>
        <v>4809.2615999999998</v>
      </c>
      <c r="E126" s="75"/>
      <c r="F126" s="112">
        <f>(A126*B126)*MATERIALES!$D$82</f>
        <v>4770</v>
      </c>
      <c r="G126" s="112">
        <f>(((A126*B126)*2)*MATERIALES!$D$83)+(4*MATERIALES!$C$229)+(((A126*2)+(B126*2))*MATERIALES!$C$230)+(((A126*2)+(B126*2))*MATERIALES!$C$231)+((((A126*2)+(B126*2))/15)*MATERIALES!$C$232)+((((A126*2)+(B126*2))/15)*(MATERIALES!$C$233*0.15))</f>
        <v>14507.750400000001</v>
      </c>
      <c r="H126" s="112">
        <f>(A126*B126)*MATERIALES!$D$89</f>
        <v>16110</v>
      </c>
      <c r="I126" s="167">
        <f t="shared" si="30"/>
        <v>15792.040079999999</v>
      </c>
      <c r="J126" s="167">
        <f t="shared" si="31"/>
        <v>35267.54088</v>
      </c>
      <c r="K126" s="163">
        <f t="shared" si="32"/>
        <v>30417.040079999999</v>
      </c>
      <c r="L126" s="921"/>
    </row>
    <row r="127" spans="1:12" ht="15.75" thickBot="1">
      <c r="A127" s="161">
        <v>0.5</v>
      </c>
      <c r="B127" s="162">
        <v>0.8</v>
      </c>
      <c r="C127" s="75">
        <f>((((A127*2)+(B127*2))*MATERIALES!$C$57)+(((A127*2)+(B127*2))*MATERIALES!$C$76)+(((A127*2)+(B127*2))*MATERIALES!$C$73))*(MATERIALES!$F$2*MATERIALES!$J$15)</f>
        <v>0</v>
      </c>
      <c r="D127" s="75">
        <f>(8*MATERIALES!$C$189)+(1*MATERIALES!$C$197)+(2*MATERIALES!$C$206)+(((A127*2)+(B127*2))*MATERIALES!$C$209)+(4*MATERIALES!$C$148)+(((A127*5)*2)*MATERIALES!$C$147)+(((A127*2)+(B127*2))*MATERIALES!$C$210)+((((A127*2)+(B127*2))/0.1)*MATERIALES!$C$192)+(((A127*2)+(B127*2))*MATERIALES!$C$165)+(2*MATERIALES!$C$187)+(0.5*MATERIALES!$C$167)</f>
        <v>3848.5740800000003</v>
      </c>
      <c r="E127" s="75"/>
      <c r="F127" s="112">
        <f>(A127*B127)*MATERIALES!$D$82</f>
        <v>212</v>
      </c>
      <c r="G127" s="112">
        <f>(((A127*B127)*2)*MATERIALES!$D$83)+(4*MATERIALES!$C$229)+(((A127*2)+(B127*2))*MATERIALES!$C$230)+(((A127*2)+(B127*2))*MATERIALES!$C$231)+((((A127*2)+(B127*2))/15)*MATERIALES!$C$232)+((((A127*2)+(B127*2))/15)*(MATERIALES!$C$233*0.15))</f>
        <v>1145.4539199999999</v>
      </c>
      <c r="H127" s="112">
        <f>(A127*B127)*MATERIALES!$D$89</f>
        <v>716</v>
      </c>
      <c r="I127" s="167">
        <f t="shared" si="30"/>
        <v>5427.1463040000008</v>
      </c>
      <c r="J127" s="167">
        <f t="shared" si="31"/>
        <v>7294.0541440000006</v>
      </c>
      <c r="K127" s="163">
        <f t="shared" si="32"/>
        <v>6077.1463040000008</v>
      </c>
      <c r="L127" s="922"/>
    </row>
    <row r="128" spans="1:12">
      <c r="A128" s="176">
        <v>0.5</v>
      </c>
      <c r="B128" s="177">
        <v>1</v>
      </c>
      <c r="C128" s="178">
        <f>((((A128*2)+(B128*2))*MATERIALES!$C$57)+(((A128*2)+(B128*2))*MATERIALES!$C$76)+(((A128*2)+(B128*2))*MATERIALES!$C$73))*(MATERIALES!$F$2*MATERIALES!$J$15)</f>
        <v>0</v>
      </c>
      <c r="D128" s="178">
        <f>(8*MATERIALES!$C$189)+(1*MATERIALES!$C$198)+(2*MATERIALES!$C$206)+(((A128*2)+(B128*2))*MATERIALES!$C$209)+(4*MATERIALES!$C$148)+(((A128*5)*2)*MATERIALES!$C$147)+(((A128*2)+(B128*2))*MATERIALES!$C$210)+((((A128*2)+(B128*2))/0.1)*MATERIALES!$C$192)+(((A128*2)+(B128*2))*MATERIALES!$C$165)+(2*MATERIALES!$C$187)+(0.5*MATERIALES!$C$167)</f>
        <v>3889.4544000000001</v>
      </c>
      <c r="E128" s="178"/>
      <c r="F128" s="179">
        <f>(A128*B128)*MATERIALES!$D$82</f>
        <v>265</v>
      </c>
      <c r="G128" s="179">
        <f>(((A128*B128)*2)*MATERIALES!$D$83)+(4*MATERIALES!$C$229)+(((A128*2)+(B128*2))*MATERIALES!$C$230)+(((A128*2)+(B128*2))*MATERIALES!$C$231)+((((A128*2)+(B128*2))/15)*MATERIALES!$C$232)+((((A128*2)+(B128*2))/15)*(MATERIALES!$C$233*0.15))</f>
        <v>1368.3175999999999</v>
      </c>
      <c r="H128" s="179">
        <f>(A128*B128)*MATERIALES!$D$89</f>
        <v>895</v>
      </c>
      <c r="I128" s="180">
        <f t="shared" si="30"/>
        <v>5586.29072</v>
      </c>
      <c r="J128" s="180">
        <f t="shared" si="31"/>
        <v>7792.9259199999997</v>
      </c>
      <c r="K128" s="181">
        <f t="shared" si="32"/>
        <v>6398.79072</v>
      </c>
      <c r="L128" s="923" t="s">
        <v>191</v>
      </c>
    </row>
    <row r="129" spans="1:12">
      <c r="A129" s="176">
        <v>0.5</v>
      </c>
      <c r="B129" s="177">
        <v>1.1000000000000001</v>
      </c>
      <c r="C129" s="178">
        <f>((((A129*2)+(B129*2))*MATERIALES!$C$57)+(((A129*2)+(B129*2))*MATERIALES!$C$76)+(((A129*2)+(B129*2))*MATERIALES!$C$73))*(MATERIALES!$F$2*MATERIALES!$J$15)</f>
        <v>0</v>
      </c>
      <c r="D129" s="178">
        <f>(8*MATERIALES!$C$189)+(1*MATERIALES!$C$198)+(2*MATERIALES!$C$206)+(((A129*2)+(B129*2))*MATERIALES!$C$209)+(4*MATERIALES!$C$148)+(((A129*5)*2)*MATERIALES!$C$147)+(((A129*2)+(B129*2))*MATERIALES!$C$210)+((((A129*2)+(B129*2))/0.1)*MATERIALES!$C$192)+(((A129*2)+(B129*2))*MATERIALES!$C$165)+(2*MATERIALES!$C$187)+(0.5*MATERIALES!$C$167)</f>
        <v>3909.8945600000002</v>
      </c>
      <c r="E129" s="178"/>
      <c r="F129" s="179">
        <f>(A129*B129)*MATERIALES!$D$82</f>
        <v>291.5</v>
      </c>
      <c r="G129" s="179">
        <f>(((A129*B129)*2)*MATERIALES!$D$83)+(4*MATERIALES!$C$229)+(((A129*2)+(B129*2))*MATERIALES!$C$230)+(((A129*2)+(B129*2))*MATERIALES!$C$231)+((((A129*2)+(B129*2))/15)*MATERIALES!$C$232)+((((A129*2)+(B129*2))/15)*(MATERIALES!$C$233*0.15))</f>
        <v>1479.7494400000003</v>
      </c>
      <c r="H129" s="179">
        <f>(A129*B129)*MATERIALES!$D$89</f>
        <v>984.50000000000011</v>
      </c>
      <c r="I129" s="180">
        <f t="shared" si="30"/>
        <v>5665.8629280000005</v>
      </c>
      <c r="J129" s="180">
        <f t="shared" si="31"/>
        <v>8042.3618080000015</v>
      </c>
      <c r="K129" s="181">
        <f t="shared" si="32"/>
        <v>6559.6129280000005</v>
      </c>
      <c r="L129" s="924"/>
    </row>
    <row r="130" spans="1:12">
      <c r="A130" s="176">
        <v>0.5</v>
      </c>
      <c r="B130" s="177">
        <v>1.2</v>
      </c>
      <c r="C130" s="178">
        <f>((((A130*2)+(B130*2))*MATERIALES!$C$57)+(((A130*2)+(B130*2))*MATERIALES!$C$76)+(((A130*2)+(B130*2))*MATERIALES!$C$73))*(MATERIALES!$F$2*MATERIALES!$J$15)</f>
        <v>0</v>
      </c>
      <c r="D130" s="178">
        <f>(8*MATERIALES!$C$189)+(1*MATERIALES!$C$198)+(2*MATERIALES!$C$206)+(((A130*2)+(B130*2))*MATERIALES!$C$209)+(4*MATERIALES!$C$148)+(((A130*5)*2)*MATERIALES!$C$147)+(((A130*2)+(B130*2))*MATERIALES!$C$210)+((((A130*2)+(B130*2))/0.1)*MATERIALES!$C$192)+(((A130*2)+(B130*2))*MATERIALES!$C$165)+(2*MATERIALES!$C$187)+(0.5*MATERIALES!$C$167)</f>
        <v>3930.3347200000003</v>
      </c>
      <c r="E130" s="178"/>
      <c r="F130" s="179">
        <f>(A130*B130)*MATERIALES!$D$82</f>
        <v>318</v>
      </c>
      <c r="G130" s="179">
        <f>(((A130*B130)*2)*MATERIALES!$D$83)+(4*MATERIALES!$C$229)+(((A130*2)+(B130*2))*MATERIALES!$C$230)+(((A130*2)+(B130*2))*MATERIALES!$C$231)+((((A130*2)+(B130*2))/15)*MATERIALES!$C$232)+((((A130*2)+(B130*2))/15)*(MATERIALES!$C$233*0.15))</f>
        <v>1591.1812800000002</v>
      </c>
      <c r="H130" s="179">
        <f>(A130*B130)*MATERIALES!$D$89</f>
        <v>1074</v>
      </c>
      <c r="I130" s="180">
        <f t="shared" si="30"/>
        <v>5745.435136000001</v>
      </c>
      <c r="J130" s="180">
        <f t="shared" si="31"/>
        <v>8291.7976960000015</v>
      </c>
      <c r="K130" s="181">
        <f t="shared" si="32"/>
        <v>6720.435136000001</v>
      </c>
      <c r="L130" s="924"/>
    </row>
    <row r="131" spans="1:12" ht="15.75" thickBot="1">
      <c r="A131" s="176">
        <v>0.5</v>
      </c>
      <c r="B131" s="177">
        <v>1.5</v>
      </c>
      <c r="C131" s="178">
        <f>((((A131*2)+(B131*2))*MATERIALES!$C$57)+(((A131*2)+(B131*2))*MATERIALES!$C$76)+(((A131*2)+(B131*2))*MATERIALES!$C$73))*(MATERIALES!$F$2*MATERIALES!$J$15)</f>
        <v>0</v>
      </c>
      <c r="D131" s="178">
        <f>(8*MATERIALES!$C$189)+(1*MATERIALES!$C$198)+(2*MATERIALES!$C$206)+(((A131*2)+(B131*2))*MATERIALES!$C$209)+(4*MATERIALES!$C$148)+(((A131*5)*2)*MATERIALES!$C$147)+(((A131*2)+(B131*2))*MATERIALES!$C$210)+((((A131*2)+(B131*2))/0.1)*MATERIALES!$C$192)+(((A131*2)+(B131*2))*MATERIALES!$C$165)+(2*MATERIALES!$C$187)+(0.5*MATERIALES!$C$167)</f>
        <v>3991.6552000000006</v>
      </c>
      <c r="E131" s="178"/>
      <c r="F131" s="179">
        <f>(A131*B131)*MATERIALES!$D$82</f>
        <v>397.5</v>
      </c>
      <c r="G131" s="179">
        <f>(((A131*B131)*2)*MATERIALES!$D$83)+(4*MATERIALES!$C$229)+(((A131*2)+(B131*2))*MATERIALES!$C$230)+(((A131*2)+(B131*2))*MATERIALES!$C$231)+((((A131*2)+(B131*2))/15)*MATERIALES!$C$232)+((((A131*2)+(B131*2))/15)*(MATERIALES!$C$233*0.15))</f>
        <v>1925.4767999999999</v>
      </c>
      <c r="H131" s="179">
        <f>(A131*B131)*MATERIALES!$D$89</f>
        <v>1342.5</v>
      </c>
      <c r="I131" s="180">
        <f t="shared" si="30"/>
        <v>5984.1517600000006</v>
      </c>
      <c r="J131" s="180">
        <f t="shared" si="31"/>
        <v>9040.1053600000014</v>
      </c>
      <c r="K131" s="181">
        <f t="shared" si="32"/>
        <v>7202.9017600000006</v>
      </c>
      <c r="L131" s="925"/>
    </row>
    <row r="132" spans="1:12">
      <c r="A132" s="161">
        <v>3</v>
      </c>
      <c r="B132" s="162">
        <v>3</v>
      </c>
      <c r="C132" s="75">
        <f>((((A132*2)+(B132*2))*MATERIALES!$C$57)+(((A132*2)+(B132*2))*MATERIALES!$C$76)+(((A132*2)+(B132*2))*MATERIALES!$C$73))*(MATERIALES!$F$2*MATERIALES!$J$15)</f>
        <v>0</v>
      </c>
      <c r="D132" s="75">
        <f>(8*MATERIALES!$C$189)+(1*MATERIALES!$C$197)+(2*MATERIALES!$C$206)+(((A132*2)+(B132*2))*MATERIALES!$C$209)+(4*MATERIALES!$C$148)+(((A132*5)*2)*MATERIALES!$C$147)+(((A132*2)+(B132*2))*MATERIALES!$C$210)+((((A132*2)+(B132*2))/0.1)*MATERIALES!$C$192)+(((A132*2)+(B132*2))*MATERIALES!$C$165)+(2*MATERIALES!$C$187)+(0.5*MATERIALES!$C$167)</f>
        <v>4809.2615999999998</v>
      </c>
      <c r="E132" s="75"/>
      <c r="F132" s="112">
        <f>(A132*B132)*MATERIALES!$D$82</f>
        <v>4770</v>
      </c>
      <c r="G132" s="112">
        <f>(((A132*B132)*2)*MATERIALES!$D$83)+(4*MATERIALES!$C$229)+(((A132*2)+(B132*2))*MATERIALES!$C$230)+(((A132*2)+(B132*2))*MATERIALES!$C$231)+((((A132*2)+(B132*2))/15)*MATERIALES!$C$232)+((((A132*2)+(B132*2))/15)*(MATERIALES!$C$233*0.15))</f>
        <v>14507.750400000001</v>
      </c>
      <c r="H132" s="112">
        <f>(A132*B132)*MATERIALES!$D$89</f>
        <v>16110</v>
      </c>
      <c r="I132" s="167">
        <f t="shared" si="30"/>
        <v>15792.040079999999</v>
      </c>
      <c r="J132" s="167">
        <f t="shared" si="31"/>
        <v>35267.54088</v>
      </c>
      <c r="K132" s="163">
        <f t="shared" si="32"/>
        <v>30417.040079999999</v>
      </c>
      <c r="L132" s="920" t="s">
        <v>189</v>
      </c>
    </row>
    <row r="133" spans="1:12">
      <c r="A133" s="161">
        <v>0.6</v>
      </c>
      <c r="B133" s="162">
        <v>0.6</v>
      </c>
      <c r="C133" s="75">
        <f>((((A133*2)+(B133*2))*MATERIALES!$C$57)+(((A133*2)+(B133*2))*MATERIALES!$C$76)+(((A133*2)+(B133*2))*MATERIALES!$C$73))*(MATERIALES!$F$2*MATERIALES!$J$15)</f>
        <v>0</v>
      </c>
      <c r="D133" s="75">
        <f>(8*MATERIALES!$C$189)+(1*MATERIALES!$C$197)+(2*MATERIALES!$C$206)+(((A133*2)+(B133*2))*MATERIALES!$C$209)+(4*MATERIALES!$C$148)+(((A133*5)*2)*MATERIALES!$C$147)+(((A133*2)+(B133*2))*MATERIALES!$C$210)+((((A133*2)+(B133*2))/0.1)*MATERIALES!$C$192)+(((A133*2)+(B133*2))*MATERIALES!$C$165)+(2*MATERIALES!$C$187)+(0.5*MATERIALES!$C$167)</f>
        <v>3828.1339200000007</v>
      </c>
      <c r="E133" s="75"/>
      <c r="F133" s="112">
        <f>(A133*B133)*MATERIALES!$D$82</f>
        <v>190.79999999999998</v>
      </c>
      <c r="G133" s="112">
        <f>(((A133*B133)*2)*MATERIALES!$D$83)+(4*MATERIALES!$C$229)+(((A133*2)+(B133*2))*MATERIALES!$C$230)+(((A133*2)+(B133*2))*MATERIALES!$C$231)+((((A133*2)+(B133*2))/15)*MATERIALES!$C$232)+((((A133*2)+(B133*2))/15)*(MATERIALES!$C$233*0.15))</f>
        <v>1047.02208</v>
      </c>
      <c r="H133" s="112">
        <f>(A133*B133)*MATERIALES!$D$89</f>
        <v>644.4</v>
      </c>
      <c r="I133" s="167">
        <f t="shared" si="30"/>
        <v>5358.1740960000016</v>
      </c>
      <c r="J133" s="167">
        <f t="shared" si="31"/>
        <v>7070.6182560000016</v>
      </c>
      <c r="K133" s="163">
        <f t="shared" si="32"/>
        <v>5943.1740960000006</v>
      </c>
      <c r="L133" s="921"/>
    </row>
    <row r="134" spans="1:12" ht="15.75" thickBot="1">
      <c r="A134" s="161">
        <v>0.6</v>
      </c>
      <c r="B134" s="162">
        <v>0.8</v>
      </c>
      <c r="C134" s="75">
        <f>((((A134*2)+(B134*2))*MATERIALES!$C$57)+(((A134*2)+(B134*2))*MATERIALES!$C$76)+(((A134*2)+(B134*2))*MATERIALES!$C$73))*(MATERIALES!$F$2*MATERIALES!$J$15)</f>
        <v>0</v>
      </c>
      <c r="D134" s="75">
        <f>(8*MATERIALES!$C$189)+(1*MATERIALES!$C$197)+(2*MATERIALES!$C$206)+(((A134*2)+(B134*2))*MATERIALES!$C$209)+(4*MATERIALES!$C$148)+(((A134*5)*2)*MATERIALES!$C$147)+(((A134*2)+(B134*2))*MATERIALES!$C$210)+((((A134*2)+(B134*2))/0.1)*MATERIALES!$C$192)+(((A134*2)+(B134*2))*MATERIALES!$C$165)+(2*MATERIALES!$C$187)+(0.5*MATERIALES!$C$167)</f>
        <v>3869.0142400000004</v>
      </c>
      <c r="E134" s="75"/>
      <c r="F134" s="112">
        <f>(A134*B134)*MATERIALES!$D$82</f>
        <v>254.39999999999998</v>
      </c>
      <c r="G134" s="112">
        <f>(((A134*B134)*2)*MATERIALES!$D$83)+(4*MATERIALES!$C$229)+(((A134*2)+(B134*2))*MATERIALES!$C$230)+(((A134*2)+(B134*2))*MATERIALES!$C$231)+((((A134*2)+(B134*2))/15)*MATERIALES!$C$232)+((((A134*2)+(B134*2))/15)*(MATERIALES!$C$233*0.15))</f>
        <v>1295.8857600000001</v>
      </c>
      <c r="H134" s="112">
        <f>(A134*B134)*MATERIALES!$D$89</f>
        <v>859.19999999999993</v>
      </c>
      <c r="I134" s="167">
        <f t="shared" si="30"/>
        <v>5538.5185120000006</v>
      </c>
      <c r="J134" s="167">
        <f t="shared" si="31"/>
        <v>7621.4900320000006</v>
      </c>
      <c r="K134" s="163">
        <f t="shared" si="32"/>
        <v>6318.5185120000006</v>
      </c>
      <c r="L134" s="922"/>
    </row>
    <row r="135" spans="1:12">
      <c r="A135" s="176">
        <v>0.6</v>
      </c>
      <c r="B135" s="177">
        <v>1</v>
      </c>
      <c r="C135" s="178">
        <f>((((A135*2)+(B135*2))*MATERIALES!$C$57)+(((A135*2)+(B135*2))*MATERIALES!$C$76)+(((A135*2)+(B135*2))*MATERIALES!$C$73))*(MATERIALES!$F$2*MATERIALES!$J$15)</f>
        <v>0</v>
      </c>
      <c r="D135" s="178">
        <f>(8*MATERIALES!$C$189)+(1*MATERIALES!$C$198)+(2*MATERIALES!$C$206)+(((A135*2)+(B135*2))*MATERIALES!$C$209)+(4*MATERIALES!$C$148)+(((A135*5)*2)*MATERIALES!$C$147)+(((A135*2)+(B135*2))*MATERIALES!$C$210)+((((A135*2)+(B135*2))/0.1)*MATERIALES!$C$192)+(((A135*2)+(B135*2))*MATERIALES!$C$165)+(2*MATERIALES!$C$187)+(0.5*MATERIALES!$C$167)</f>
        <v>3909.8945600000002</v>
      </c>
      <c r="E135" s="178"/>
      <c r="F135" s="179">
        <f>(A135*B135)*MATERIALES!$D$82</f>
        <v>318</v>
      </c>
      <c r="G135" s="179">
        <f>(((A135*B135)*2)*MATERIALES!$D$83)+(4*MATERIALES!$C$229)+(((A135*2)+(B135*2))*MATERIALES!$C$230)+(((A135*2)+(B135*2))*MATERIALES!$C$231)+((((A135*2)+(B135*2))/15)*MATERIALES!$C$232)+((((A135*2)+(B135*2))/15)*(MATERIALES!$C$233*0.15))</f>
        <v>1544.74944</v>
      </c>
      <c r="H135" s="179">
        <f>(A135*B135)*MATERIALES!$D$89</f>
        <v>1074</v>
      </c>
      <c r="I135" s="180">
        <f t="shared" si="30"/>
        <v>5718.8629280000005</v>
      </c>
      <c r="J135" s="180">
        <f t="shared" si="31"/>
        <v>8172.3618080000006</v>
      </c>
      <c r="K135" s="181">
        <f t="shared" si="32"/>
        <v>6693.8629280000005</v>
      </c>
      <c r="L135" s="923" t="s">
        <v>191</v>
      </c>
    </row>
    <row r="136" spans="1:12">
      <c r="A136" s="176">
        <v>0.6</v>
      </c>
      <c r="B136" s="177">
        <v>1.1000000000000001</v>
      </c>
      <c r="C136" s="178">
        <f>((((A136*2)+(B136*2))*MATERIALES!$C$57)+(((A136*2)+(B136*2))*MATERIALES!$C$76)+(((A136*2)+(B136*2))*MATERIALES!$C$73))*(MATERIALES!$F$2*MATERIALES!$J$15)</f>
        <v>0</v>
      </c>
      <c r="D136" s="178">
        <f>(8*MATERIALES!$C$189)+(1*MATERIALES!$C$198)+(2*MATERIALES!$C$206)+(((A136*2)+(B136*2))*MATERIALES!$C$209)+(4*MATERIALES!$C$148)+(((A136*5)*2)*MATERIALES!$C$147)+(((A136*2)+(B136*2))*MATERIALES!$C$210)+((((A136*2)+(B136*2))/0.1)*MATERIALES!$C$192)+(((A136*2)+(B136*2))*MATERIALES!$C$165)+(2*MATERIALES!$C$187)+(0.5*MATERIALES!$C$167)</f>
        <v>3930.3347200000003</v>
      </c>
      <c r="E136" s="178"/>
      <c r="F136" s="179">
        <f>(A136*B136)*MATERIALES!$D$82</f>
        <v>349.8</v>
      </c>
      <c r="G136" s="179">
        <f>(((A136*B136)*2)*MATERIALES!$D$83)+(4*MATERIALES!$C$229)+(((A136*2)+(B136*2))*MATERIALES!$C$230)+(((A136*2)+(B136*2))*MATERIALES!$C$231)+((((A136*2)+(B136*2))/15)*MATERIALES!$C$232)+((((A136*2)+(B136*2))/15)*(MATERIALES!$C$233*0.15))</f>
        <v>1669.1812800000002</v>
      </c>
      <c r="H136" s="179">
        <f>(A136*B136)*MATERIALES!$D$89</f>
        <v>1181.4000000000001</v>
      </c>
      <c r="I136" s="180">
        <f t="shared" si="30"/>
        <v>5809.0351360000013</v>
      </c>
      <c r="J136" s="180">
        <f t="shared" si="31"/>
        <v>8447.7976960000015</v>
      </c>
      <c r="K136" s="181">
        <f t="shared" si="32"/>
        <v>6881.5351360000013</v>
      </c>
      <c r="L136" s="924"/>
    </row>
    <row r="137" spans="1:12">
      <c r="A137" s="176">
        <v>0.6</v>
      </c>
      <c r="B137" s="177">
        <v>1.2</v>
      </c>
      <c r="C137" s="178">
        <f>((((A137*2)+(B137*2))*MATERIALES!$C$57)+(((A137*2)+(B137*2))*MATERIALES!$C$76)+(((A137*2)+(B137*2))*MATERIALES!$C$73))*(MATERIALES!$F$2*MATERIALES!$J$15)</f>
        <v>0</v>
      </c>
      <c r="D137" s="178">
        <f>(8*MATERIALES!$C$189)+(1*MATERIALES!$C$198)+(2*MATERIALES!$C$206)+(((A137*2)+(B137*2))*MATERIALES!$C$209)+(4*MATERIALES!$C$148)+(((A137*5)*2)*MATERIALES!$C$147)+(((A137*2)+(B137*2))*MATERIALES!$C$210)+((((A137*2)+(B137*2))/0.1)*MATERIALES!$C$192)+(((A137*2)+(B137*2))*MATERIALES!$C$165)+(2*MATERIALES!$C$187)+(0.5*MATERIALES!$C$167)</f>
        <v>3950.7748799999999</v>
      </c>
      <c r="E137" s="178"/>
      <c r="F137" s="179">
        <f>(A137*B137)*MATERIALES!$D$82</f>
        <v>381.59999999999997</v>
      </c>
      <c r="G137" s="179">
        <f>(((A137*B137)*2)*MATERIALES!$D$83)+(4*MATERIALES!$C$229)+(((A137*2)+(B137*2))*MATERIALES!$C$230)+(((A137*2)+(B137*2))*MATERIALES!$C$231)+((((A137*2)+(B137*2))/15)*MATERIALES!$C$232)+((((A137*2)+(B137*2))/15)*(MATERIALES!$C$233*0.15))</f>
        <v>1793.6131199999998</v>
      </c>
      <c r="H137" s="179">
        <f>(A137*B137)*MATERIALES!$D$89</f>
        <v>1288.8</v>
      </c>
      <c r="I137" s="180">
        <f t="shared" si="30"/>
        <v>5899.2073439999995</v>
      </c>
      <c r="J137" s="180">
        <f t="shared" si="31"/>
        <v>8723.2335839999996</v>
      </c>
      <c r="K137" s="181">
        <f t="shared" si="32"/>
        <v>7069.2073439999995</v>
      </c>
      <c r="L137" s="924"/>
    </row>
    <row r="138" spans="1:12" ht="15.75" thickBot="1">
      <c r="A138" s="176">
        <v>0.6</v>
      </c>
      <c r="B138" s="177">
        <v>1.5</v>
      </c>
      <c r="C138" s="178">
        <f>((((A138*2)+(B138*2))*MATERIALES!$C$57)+(((A138*2)+(B138*2))*MATERIALES!$C$76)+(((A138*2)+(B138*2))*MATERIALES!$C$73))*(MATERIALES!$F$2*MATERIALES!$J$15)</f>
        <v>0</v>
      </c>
      <c r="D138" s="178">
        <f>(8*MATERIALES!$C$189)+(1*MATERIALES!$C$198)+(2*MATERIALES!$C$206)+(((A138*2)+(B138*2))*MATERIALES!$C$209)+(4*MATERIALES!$C$148)+(((A138*5)*2)*MATERIALES!$C$147)+(((A138*2)+(B138*2))*MATERIALES!$C$210)+((((A138*2)+(B138*2))/0.1)*MATERIALES!$C$192)+(((A138*2)+(B138*2))*MATERIALES!$C$165)+(2*MATERIALES!$C$187)+(0.5*MATERIALES!$C$167)</f>
        <v>4012.0953600000003</v>
      </c>
      <c r="E138" s="178"/>
      <c r="F138" s="179">
        <f>(A138*B138)*MATERIALES!$D$82</f>
        <v>476.99999999999994</v>
      </c>
      <c r="G138" s="179">
        <f>(((A138*B138)*2)*MATERIALES!$D$83)+(4*MATERIALES!$C$229)+(((A138*2)+(B138*2))*MATERIALES!$C$230)+(((A138*2)+(B138*2))*MATERIALES!$C$231)+((((A138*2)+(B138*2))/15)*MATERIALES!$C$232)+((((A138*2)+(B138*2))/15)*(MATERIALES!$C$233*0.15))</f>
        <v>2166.9086399999997</v>
      </c>
      <c r="H138" s="179">
        <f>(A138*B138)*MATERIALES!$D$89</f>
        <v>1610.9999999999998</v>
      </c>
      <c r="I138" s="180">
        <f t="shared" si="30"/>
        <v>6169.7239680000002</v>
      </c>
      <c r="J138" s="180">
        <f t="shared" si="31"/>
        <v>9549.5412479999995</v>
      </c>
      <c r="K138" s="181">
        <f t="shared" si="32"/>
        <v>7632.2239680000002</v>
      </c>
      <c r="L138" s="925"/>
    </row>
    <row r="139" spans="1:12">
      <c r="A139" s="161">
        <v>1.8</v>
      </c>
      <c r="B139" s="162">
        <v>0.4</v>
      </c>
      <c r="C139" s="75">
        <f>((((A139*2)+(B139*2))*MATERIALES!$C$57)+(((A139*2)+(B139*2))*MATERIALES!$C$76)+(((A139*2)+(B139*2))*MATERIALES!$C$73))*(MATERIALES!$F$2*MATERIALES!$J$15)</f>
        <v>0</v>
      </c>
      <c r="D139" s="75">
        <f>(8*MATERIALES!$C$189)+(1*MATERIALES!$C$197)+(2*MATERIALES!$C$206)+(((A139*2)+(B139*2))*MATERIALES!$C$209)+(4*MATERIALES!$C$148)+(((A139*5)*2)*MATERIALES!$C$147)+(((A139*2)+(B139*2))*MATERIALES!$C$210)+((((A139*2)+(B139*2))/0.1)*MATERIALES!$C$192)+(((A139*2)+(B139*2))*MATERIALES!$C$165)+(2*MATERIALES!$C$187)+(0.5*MATERIALES!$C$167)</f>
        <v>4032.5355200000004</v>
      </c>
      <c r="E139" s="75"/>
      <c r="F139" s="112">
        <f>(A139*B139)*MATERIALES!$D$82</f>
        <v>381.6</v>
      </c>
      <c r="G139" s="112">
        <f>(((A139*B139)*2)*MATERIALES!$D$83)+(4*MATERIALES!$C$229)+(((A139*2)+(B139*2))*MATERIALES!$C$230)+(((A139*2)+(B139*2))*MATERIALES!$C$231)+((((A139*2)+(B139*2))/15)*MATERIALES!$C$232)+((((A139*2)+(B139*2))/15)*(MATERIALES!$C$233*0.15))</f>
        <v>1979.3404800000005</v>
      </c>
      <c r="H139" s="112">
        <f>(A139*B139)*MATERIALES!$D$89</f>
        <v>1288.8000000000002</v>
      </c>
      <c r="I139" s="167">
        <f t="shared" si="30"/>
        <v>6005.4961760000006</v>
      </c>
      <c r="J139" s="167">
        <f t="shared" si="31"/>
        <v>9200.9771360000013</v>
      </c>
      <c r="K139" s="163">
        <f t="shared" si="32"/>
        <v>7175.4961760000006</v>
      </c>
      <c r="L139" s="920" t="s">
        <v>189</v>
      </c>
    </row>
    <row r="140" spans="1:12">
      <c r="A140" s="161">
        <v>1.8</v>
      </c>
      <c r="B140" s="162">
        <v>0.6</v>
      </c>
      <c r="C140" s="75">
        <f>((((A140*2)+(B140*2))*MATERIALES!$C$57)+(((A140*2)+(B140*2))*MATERIALES!$C$76)+(((A140*2)+(B140*2))*MATERIALES!$C$73))*(MATERIALES!$F$2*MATERIALES!$J$15)</f>
        <v>0</v>
      </c>
      <c r="D140" s="75">
        <f>(8*MATERIALES!$C$189)+(1*MATERIALES!$C$197)+(2*MATERIALES!$C$206)+(((A140*2)+(B140*2))*MATERIALES!$C$209)+(4*MATERIALES!$C$148)+(((A140*5)*2)*MATERIALES!$C$147)+(((A140*2)+(B140*2))*MATERIALES!$C$210)+((((A140*2)+(B140*2))/0.1)*MATERIALES!$C$192)+(((A140*2)+(B140*2))*MATERIALES!$C$165)+(2*MATERIALES!$C$187)+(0.5*MATERIALES!$C$167)</f>
        <v>4073.4158400000001</v>
      </c>
      <c r="E140" s="75"/>
      <c r="F140" s="112">
        <f>(A140*B140)*MATERIALES!$D$82</f>
        <v>572.40000000000009</v>
      </c>
      <c r="G140" s="112">
        <f>(((A140*B140)*2)*MATERIALES!$D$83)+(4*MATERIALES!$C$229)+(((A140*2)+(B140*2))*MATERIALES!$C$230)+(((A140*2)+(B140*2))*MATERIALES!$C$231)+((((A140*2)+(B140*2))/15)*MATERIALES!$C$232)+((((A140*2)+(B140*2))/15)*(MATERIALES!$C$233*0.15))</f>
        <v>2540.2041600000002</v>
      </c>
      <c r="H140" s="112">
        <f>(A140*B140)*MATERIALES!$D$89</f>
        <v>1933.2</v>
      </c>
      <c r="I140" s="167">
        <f t="shared" si="30"/>
        <v>6440.2405920000001</v>
      </c>
      <c r="J140" s="167">
        <f t="shared" si="31"/>
        <v>10375.848912000001</v>
      </c>
      <c r="K140" s="163">
        <f t="shared" si="32"/>
        <v>8195.2405920000001</v>
      </c>
      <c r="L140" s="921"/>
    </row>
    <row r="141" spans="1:12" ht="15.75" thickBot="1">
      <c r="A141" s="161">
        <v>1.8</v>
      </c>
      <c r="B141" s="162">
        <v>0.8</v>
      </c>
      <c r="C141" s="75">
        <f>((((A141*2)+(B141*2))*MATERIALES!$C$57)+(((A141*2)+(B141*2))*MATERIALES!$C$76)+(((A141*2)+(B141*2))*MATERIALES!$C$73))*(MATERIALES!$F$2*MATERIALES!$J$15)</f>
        <v>0</v>
      </c>
      <c r="D141" s="75">
        <f>(8*MATERIALES!$C$189)+(1*MATERIALES!$C$197)+(2*MATERIALES!$C$206)+(((A141*2)+(B141*2))*MATERIALES!$C$209)+(4*MATERIALES!$C$148)+(((A141*5)*2)*MATERIALES!$C$147)+(((A141*2)+(B141*2))*MATERIALES!$C$210)+((((A141*2)+(B141*2))/0.1)*MATERIALES!$C$192)+(((A141*2)+(B141*2))*MATERIALES!$C$165)+(2*MATERIALES!$C$187)+(0.5*MATERIALES!$C$167)</f>
        <v>4114.2961599999999</v>
      </c>
      <c r="E141" s="75"/>
      <c r="F141" s="112">
        <f>(A141*B141)*MATERIALES!$D$82</f>
        <v>763.2</v>
      </c>
      <c r="G141" s="112">
        <f>(((A141*B141)*2)*MATERIALES!$D$83)+(4*MATERIALES!$C$229)+(((A141*2)+(B141*2))*MATERIALES!$C$230)+(((A141*2)+(B141*2))*MATERIALES!$C$231)+((((A141*2)+(B141*2))/15)*MATERIALES!$C$232)+((((A141*2)+(B141*2))/15)*(MATERIALES!$C$233*0.15))</f>
        <v>3101.0678400000002</v>
      </c>
      <c r="H141" s="112">
        <f>(A141*B141)*MATERIALES!$D$89</f>
        <v>2577.6000000000004</v>
      </c>
      <c r="I141" s="167">
        <f t="shared" si="30"/>
        <v>6874.9850079999997</v>
      </c>
      <c r="J141" s="167">
        <f t="shared" si="31"/>
        <v>11550.720688000001</v>
      </c>
      <c r="K141" s="163">
        <f t="shared" si="32"/>
        <v>9214.9850079999997</v>
      </c>
      <c r="L141" s="922"/>
    </row>
    <row r="142" spans="1:12">
      <c r="A142" s="176">
        <v>1.8</v>
      </c>
      <c r="B142" s="177">
        <v>1</v>
      </c>
      <c r="C142" s="178">
        <f>((((A142*2)+(B142*2))*MATERIALES!$C$57)+(((A142*2)+(B142*2))*MATERIALES!$C$76)+(((A142*2)+(B142*2))*MATERIALES!$C$73))*(MATERIALES!$F$2*MATERIALES!$J$15)</f>
        <v>0</v>
      </c>
      <c r="D142" s="178">
        <f>(8*MATERIALES!$C$189)+(1*MATERIALES!$C$198)+(2*MATERIALES!$C$206)+(((A142*2)+(B142*2))*MATERIALES!$C$209)+(4*MATERIALES!$C$148)+(((A142*5)*2)*MATERIALES!$C$147)+(((A142*2)+(B142*2))*MATERIALES!$C$210)+((((A142*2)+(B142*2))/0.1)*MATERIALES!$C$192)+(((A142*2)+(B142*2))*MATERIALES!$C$165)+(2*MATERIALES!$C$187)+(0.5*MATERIALES!$C$167)</f>
        <v>4155.1764800000001</v>
      </c>
      <c r="E142" s="178"/>
      <c r="F142" s="179">
        <f>(A142*B142)*MATERIALES!$D$82</f>
        <v>954</v>
      </c>
      <c r="G142" s="179">
        <f>(((A142*B142)*2)*MATERIALES!$D$83)+(4*MATERIALES!$C$229)+(((A142*2)+(B142*2))*MATERIALES!$C$230)+(((A142*2)+(B142*2))*MATERIALES!$C$231)+((((A142*2)+(B142*2))/15)*MATERIALES!$C$232)+((((A142*2)+(B142*2))/15)*(MATERIALES!$C$233*0.15))</f>
        <v>3661.9315200000001</v>
      </c>
      <c r="H142" s="179">
        <f>(A142*B142)*MATERIALES!$D$89</f>
        <v>3222</v>
      </c>
      <c r="I142" s="180">
        <f t="shared" si="30"/>
        <v>7309.7294240000001</v>
      </c>
      <c r="J142" s="180">
        <f t="shared" si="31"/>
        <v>12725.592464000001</v>
      </c>
      <c r="K142" s="181">
        <f t="shared" si="32"/>
        <v>10234.729424000001</v>
      </c>
      <c r="L142" s="923" t="s">
        <v>191</v>
      </c>
    </row>
    <row r="143" spans="1:12">
      <c r="A143" s="176">
        <v>1.8</v>
      </c>
      <c r="B143" s="177">
        <v>1.2</v>
      </c>
      <c r="C143" s="178">
        <f>((((A143*2)+(B143*2))*MATERIALES!$C$57)+(((A143*2)+(B143*2))*MATERIALES!$C$76)+(((A143*2)+(B143*2))*MATERIALES!$C$73))*(MATERIALES!$F$2*MATERIALES!$J$15)</f>
        <v>0</v>
      </c>
      <c r="D143" s="178">
        <f>(8*MATERIALES!$C$189)+(1*MATERIALES!$C$198)+(2*MATERIALES!$C$206)+(((A143*2)+(B143*2))*MATERIALES!$C$209)+(4*MATERIALES!$C$148)+(((A143*5)*2)*MATERIALES!$C$147)+(((A143*2)+(B143*2))*MATERIALES!$C$210)+((((A143*2)+(B143*2))/0.1)*MATERIALES!$C$192)+(((A143*2)+(B143*2))*MATERIALES!$C$165)+(2*MATERIALES!$C$187)+(0.5*MATERIALES!$C$167)</f>
        <v>4196.0568000000003</v>
      </c>
      <c r="E143" s="178"/>
      <c r="F143" s="179">
        <f>(A143*B143)*MATERIALES!$D$82</f>
        <v>1144.8000000000002</v>
      </c>
      <c r="G143" s="179">
        <f>(((A143*B143)*2)*MATERIALES!$D$83)+(4*MATERIALES!$C$229)+(((A143*2)+(B143*2))*MATERIALES!$C$230)+(((A143*2)+(B143*2))*MATERIALES!$C$231)+((((A143*2)+(B143*2))/15)*MATERIALES!$C$232)+((((A143*2)+(B143*2))/15)*(MATERIALES!$C$233*0.15))</f>
        <v>4222.7952000000005</v>
      </c>
      <c r="H143" s="179">
        <f>(A143*B143)*MATERIALES!$D$89</f>
        <v>3866.4</v>
      </c>
      <c r="I143" s="180">
        <f t="shared" si="30"/>
        <v>7744.4738400000006</v>
      </c>
      <c r="J143" s="180">
        <f t="shared" si="31"/>
        <v>13900.464240000001</v>
      </c>
      <c r="K143" s="181">
        <f t="shared" si="32"/>
        <v>11254.473840000001</v>
      </c>
      <c r="L143" s="924"/>
    </row>
    <row r="144" spans="1:12">
      <c r="A144" s="176">
        <v>1.8</v>
      </c>
      <c r="B144" s="177">
        <v>1.5</v>
      </c>
      <c r="C144" s="178">
        <f>((((A144*2)+(B144*2))*MATERIALES!$C$57)+(((A144*2)+(B144*2))*MATERIALES!$C$76)+(((A144*2)+(B144*2))*MATERIALES!$C$73))*(MATERIALES!$F$2*MATERIALES!$J$15)</f>
        <v>0</v>
      </c>
      <c r="D144" s="178">
        <f>(8*MATERIALES!$C$189)+(1*MATERIALES!$C$198)+(2*MATERIALES!$C$206)+(((A144*2)+(B144*2))*MATERIALES!$C$209)+(4*MATERIALES!$C$148)+(((A144*5)*2)*MATERIALES!$C$147)+(((A144*2)+(B144*2))*MATERIALES!$C$210)+((((A144*2)+(B144*2))/0.1)*MATERIALES!$C$192)+(((A144*2)+(B144*2))*MATERIALES!$C$165)+(2*MATERIALES!$C$187)+(0.5*MATERIALES!$C$167)</f>
        <v>4257.3772799999997</v>
      </c>
      <c r="E144" s="178"/>
      <c r="F144" s="179">
        <f>(A144*B144)*MATERIALES!$D$82</f>
        <v>1431</v>
      </c>
      <c r="G144" s="179">
        <f>(((A144*B144)*2)*MATERIALES!$D$83)+(4*MATERIALES!$C$229)+(((A144*2)+(B144*2))*MATERIALES!$C$230)+(((A144*2)+(B144*2))*MATERIALES!$C$231)+((((A144*2)+(B144*2))/15)*MATERIALES!$C$232)+((((A144*2)+(B144*2))/15)*(MATERIALES!$C$233*0.15))</f>
        <v>5064.0907200000001</v>
      </c>
      <c r="H144" s="179">
        <f>(A144*B144)*MATERIALES!$D$89</f>
        <v>4833</v>
      </c>
      <c r="I144" s="180">
        <f t="shared" si="30"/>
        <v>8396.5904640000008</v>
      </c>
      <c r="J144" s="180">
        <f t="shared" si="31"/>
        <v>15662.771904000001</v>
      </c>
      <c r="K144" s="181">
        <f t="shared" si="32"/>
        <v>12784.090464000001</v>
      </c>
      <c r="L144" s="924"/>
    </row>
    <row r="145" spans="1:12" ht="15.75" thickBot="1">
      <c r="A145" s="176">
        <v>1.8</v>
      </c>
      <c r="B145" s="177">
        <v>1.8</v>
      </c>
      <c r="C145" s="178">
        <f>((((A145*2)+(B145*2))*MATERIALES!$C$57)+(((A145*2)+(B145*2))*MATERIALES!$C$76)+(((A145*2)+(B145*2))*MATERIALES!$C$73))*(MATERIALES!$F$2*MATERIALES!$J$15)</f>
        <v>0</v>
      </c>
      <c r="D145" s="178">
        <f>(8*MATERIALES!$C$189)+(1*MATERIALES!$C$198)+(2*MATERIALES!$C$206)+(((A145*2)+(B145*2))*MATERIALES!$C$209)+(4*MATERIALES!$C$148)+(((A145*5)*2)*MATERIALES!$C$147)+(((A145*2)+(B145*2))*MATERIALES!$C$210)+((((A145*2)+(B145*2))/0.1)*MATERIALES!$C$192)+(((A145*2)+(B145*2))*MATERIALES!$C$165)+(2*MATERIALES!$C$187)+(0.5*MATERIALES!$C$167)</f>
        <v>4318.69776</v>
      </c>
      <c r="E145" s="178"/>
      <c r="F145" s="179">
        <f>(A145*B145)*MATERIALES!$D$82</f>
        <v>1717.2</v>
      </c>
      <c r="G145" s="179">
        <f>(((A145*B145)*2)*MATERIALES!$D$83)+(4*MATERIALES!$C$229)+(((A145*2)+(B145*2))*MATERIALES!$C$230)+(((A145*2)+(B145*2))*MATERIALES!$C$231)+((((A145*2)+(B145*2))/15)*MATERIALES!$C$232)+((((A145*2)+(B145*2))/15)*(MATERIALES!$C$233*0.15))</f>
        <v>5905.3862400000007</v>
      </c>
      <c r="H145" s="179">
        <f>(A145*B145)*MATERIALES!$D$89</f>
        <v>5799.6</v>
      </c>
      <c r="I145" s="180">
        <f t="shared" ref="I145:I166" si="33">((C145+D145+E145)*1.3)+(F145*2)</f>
        <v>9048.707088000001</v>
      </c>
      <c r="J145" s="180">
        <f t="shared" ref="J145:J166" si="34">((C145+D145+E145)*1.3)+(G145*2)</f>
        <v>17425.079568000001</v>
      </c>
      <c r="K145" s="181">
        <f t="shared" ref="K145:K166" si="35">((C145+D145+E145)*1.3)+(H145*1.5)</f>
        <v>14313.707088000003</v>
      </c>
      <c r="L145" s="925"/>
    </row>
    <row r="146" spans="1:12">
      <c r="A146" s="161">
        <v>2</v>
      </c>
      <c r="B146" s="162">
        <v>0.4</v>
      </c>
      <c r="C146" s="75">
        <f>((((A146*2)+(B146*2))*MATERIALES!$C$57)+(((A146*2)+(B146*2))*MATERIALES!$C$76)+(((A146*2)+(B146*2))*MATERIALES!$C$73))*(MATERIALES!$F$2*MATERIALES!$J$15)</f>
        <v>0</v>
      </c>
      <c r="D146" s="75">
        <f>(8*MATERIALES!$C$189)+(1*MATERIALES!$C$197)+(2*MATERIALES!$C$206)+(((A146*2)+(B146*2))*MATERIALES!$C$209)+(4*MATERIALES!$C$148)+(((A146*5)*2)*MATERIALES!$C$147)+(((A146*2)+(B146*2))*MATERIALES!$C$210)+((((A146*2)+(B146*2))/0.1)*MATERIALES!$C$192)+(((A146*2)+(B146*2))*MATERIALES!$C$165)+(2*MATERIALES!$C$187)+(0.5*MATERIALES!$C$167)</f>
        <v>4073.4158400000001</v>
      </c>
      <c r="E146" s="75"/>
      <c r="F146" s="112">
        <f>(A146*B146)*MATERIALES!$D$82</f>
        <v>424</v>
      </c>
      <c r="G146" s="112">
        <f>(((A146*B146)*2)*MATERIALES!$D$83)+(4*MATERIALES!$C$229)+(((A146*2)+(B146*2))*MATERIALES!$C$230)+(((A146*2)+(B146*2))*MATERIALES!$C$231)+((((A146*2)+(B146*2))/15)*MATERIALES!$C$232)+((((A146*2)+(B146*2))/15)*(MATERIALES!$C$233*0.15))</f>
        <v>2176.2041599999998</v>
      </c>
      <c r="H146" s="112">
        <f>(A146*B146)*MATERIALES!$D$89</f>
        <v>1432</v>
      </c>
      <c r="I146" s="167">
        <f t="shared" si="33"/>
        <v>6143.4405919999999</v>
      </c>
      <c r="J146" s="167">
        <f t="shared" si="34"/>
        <v>9647.8489119999995</v>
      </c>
      <c r="K146" s="163">
        <f t="shared" si="35"/>
        <v>7443.4405919999999</v>
      </c>
      <c r="L146" s="920" t="s">
        <v>189</v>
      </c>
    </row>
    <row r="147" spans="1:12">
      <c r="A147" s="161">
        <v>2</v>
      </c>
      <c r="B147" s="162">
        <v>0.6</v>
      </c>
      <c r="C147" s="75">
        <f>((((A147*2)+(B147*2))*MATERIALES!$C$57)+(((A147*2)+(B147*2))*MATERIALES!$C$76)+(((A147*2)+(B147*2))*MATERIALES!$C$73))*(MATERIALES!$F$2*MATERIALES!$J$15)</f>
        <v>0</v>
      </c>
      <c r="D147" s="75">
        <f>(8*MATERIALES!$C$189)+(1*MATERIALES!$C$197)+(2*MATERIALES!$C$206)+(((A147*2)+(B147*2))*MATERIALES!$C$209)+(4*MATERIALES!$C$148)+(((A147*5)*2)*MATERIALES!$C$147)+(((A147*2)+(B147*2))*MATERIALES!$C$210)+((((A147*2)+(B147*2))/0.1)*MATERIALES!$C$192)+(((A147*2)+(B147*2))*MATERIALES!$C$165)+(2*MATERIALES!$C$187)+(0.5*MATERIALES!$C$167)</f>
        <v>4114.2961599999999</v>
      </c>
      <c r="E147" s="75"/>
      <c r="F147" s="112">
        <f>(A147*B147)*MATERIALES!$D$82</f>
        <v>636</v>
      </c>
      <c r="G147" s="112">
        <f>(((A147*B147)*2)*MATERIALES!$D$83)+(4*MATERIALES!$C$229)+(((A147*2)+(B147*2))*MATERIALES!$C$230)+(((A147*2)+(B147*2))*MATERIALES!$C$231)+((((A147*2)+(B147*2))/15)*MATERIALES!$C$232)+((((A147*2)+(B147*2))/15)*(MATERIALES!$C$233*0.15))</f>
        <v>2789.0678399999997</v>
      </c>
      <c r="H147" s="112">
        <f>(A147*B147)*MATERIALES!$D$89</f>
        <v>2148</v>
      </c>
      <c r="I147" s="167">
        <f t="shared" si="33"/>
        <v>6620.585008</v>
      </c>
      <c r="J147" s="167">
        <f t="shared" si="34"/>
        <v>10926.720687999999</v>
      </c>
      <c r="K147" s="163">
        <f t="shared" si="35"/>
        <v>8570.585008</v>
      </c>
      <c r="L147" s="921"/>
    </row>
    <row r="148" spans="1:12" ht="15.75" thickBot="1">
      <c r="A148" s="161">
        <v>2</v>
      </c>
      <c r="B148" s="162">
        <v>0.8</v>
      </c>
      <c r="C148" s="75">
        <f>((((A148*2)+(B148*2))*MATERIALES!$C$57)+(((A148*2)+(B148*2))*MATERIALES!$C$76)+(((A148*2)+(B148*2))*MATERIALES!$C$73))*(MATERIALES!$F$2*MATERIALES!$J$15)</f>
        <v>0</v>
      </c>
      <c r="D148" s="75">
        <f>(8*MATERIALES!$C$189)+(1*MATERIALES!$C$197)+(2*MATERIALES!$C$206)+(((A148*2)+(B148*2))*MATERIALES!$C$209)+(4*MATERIALES!$C$148)+(((A148*5)*2)*MATERIALES!$C$147)+(((A148*2)+(B148*2))*MATERIALES!$C$210)+((((A148*2)+(B148*2))/0.1)*MATERIALES!$C$192)+(((A148*2)+(B148*2))*MATERIALES!$C$165)+(2*MATERIALES!$C$187)+(0.5*MATERIALES!$C$167)</f>
        <v>4155.1764800000001</v>
      </c>
      <c r="E148" s="75"/>
      <c r="F148" s="112">
        <f>(A148*B148)*MATERIALES!$D$82</f>
        <v>848</v>
      </c>
      <c r="G148" s="112">
        <f>(((A148*B148)*2)*MATERIALES!$D$83)+(4*MATERIALES!$C$229)+(((A148*2)+(B148*2))*MATERIALES!$C$230)+(((A148*2)+(B148*2))*MATERIALES!$C$231)+((((A148*2)+(B148*2))/15)*MATERIALES!$C$232)+((((A148*2)+(B148*2))/15)*(MATERIALES!$C$233*0.15))</f>
        <v>3401.9315200000001</v>
      </c>
      <c r="H148" s="112">
        <f>(A148*B148)*MATERIALES!$D$89</f>
        <v>2864</v>
      </c>
      <c r="I148" s="167">
        <f t="shared" si="33"/>
        <v>7097.7294240000001</v>
      </c>
      <c r="J148" s="167">
        <f t="shared" si="34"/>
        <v>12205.592464000001</v>
      </c>
      <c r="K148" s="163">
        <f t="shared" si="35"/>
        <v>9697.729424000001</v>
      </c>
      <c r="L148" s="922"/>
    </row>
    <row r="149" spans="1:12">
      <c r="A149" s="176">
        <v>2</v>
      </c>
      <c r="B149" s="177">
        <v>1</v>
      </c>
      <c r="C149" s="178">
        <f>((((A149*2)+(B149*2))*MATERIALES!$C$57)+(((A149*2)+(B149*2))*MATERIALES!$C$76)+(((A149*2)+(B149*2))*MATERIALES!$C$73))*(MATERIALES!$F$2*MATERIALES!$J$15)</f>
        <v>0</v>
      </c>
      <c r="D149" s="178">
        <f>(8*MATERIALES!$C$189)+(1*MATERIALES!$C$198)+(2*MATERIALES!$C$206)+(((A149*2)+(B149*2))*MATERIALES!$C$209)+(4*MATERIALES!$C$148)+(((A149*5)*2)*MATERIALES!$C$147)+(((A149*2)+(B149*2))*MATERIALES!$C$210)+((((A149*2)+(B149*2))/0.1)*MATERIALES!$C$192)+(((A149*2)+(B149*2))*MATERIALES!$C$165)+(2*MATERIALES!$C$187)+(0.5*MATERIALES!$C$167)</f>
        <v>4196.0568000000003</v>
      </c>
      <c r="E149" s="178"/>
      <c r="F149" s="179">
        <f>(A149*B149)*MATERIALES!$D$82</f>
        <v>1060</v>
      </c>
      <c r="G149" s="179">
        <f>(((A149*B149)*2)*MATERIALES!$D$83)+(4*MATERIALES!$C$229)+(((A149*2)+(B149*2))*MATERIALES!$C$230)+(((A149*2)+(B149*2))*MATERIALES!$C$231)+((((A149*2)+(B149*2))/15)*MATERIALES!$C$232)+((((A149*2)+(B149*2))/15)*(MATERIALES!$C$233*0.15))</f>
        <v>4014.7952000000005</v>
      </c>
      <c r="H149" s="179">
        <f>(A149*B149)*MATERIALES!$D$89</f>
        <v>3580</v>
      </c>
      <c r="I149" s="180">
        <f t="shared" si="33"/>
        <v>7574.8738400000002</v>
      </c>
      <c r="J149" s="180">
        <f t="shared" si="34"/>
        <v>13484.464240000001</v>
      </c>
      <c r="K149" s="181">
        <f t="shared" si="35"/>
        <v>10824.87384</v>
      </c>
      <c r="L149" s="923" t="s">
        <v>191</v>
      </c>
    </row>
    <row r="150" spans="1:12">
      <c r="A150" s="176">
        <v>2</v>
      </c>
      <c r="B150" s="177">
        <v>1.2</v>
      </c>
      <c r="C150" s="178">
        <f>((((A150*2)+(B150*2))*MATERIALES!$C$57)+(((A150*2)+(B150*2))*MATERIALES!$C$76)+(((A150*2)+(B150*2))*MATERIALES!$C$73))*(MATERIALES!$F$2*MATERIALES!$J$15)</f>
        <v>0</v>
      </c>
      <c r="D150" s="178">
        <f>(8*MATERIALES!$C$189)+(1*MATERIALES!$C$198)+(2*MATERIALES!$C$206)+(((A150*2)+(B150*2))*MATERIALES!$C$209)+(4*MATERIALES!$C$148)+(((A150*5)*2)*MATERIALES!$C$147)+(((A150*2)+(B150*2))*MATERIALES!$C$210)+((((A150*2)+(B150*2))/0.1)*MATERIALES!$C$192)+(((A150*2)+(B150*2))*MATERIALES!$C$165)+(2*MATERIALES!$C$187)+(0.5*MATERIALES!$C$167)</f>
        <v>4236.9371199999996</v>
      </c>
      <c r="E150" s="178"/>
      <c r="F150" s="179">
        <f>(A150*B150)*MATERIALES!$D$82</f>
        <v>1272</v>
      </c>
      <c r="G150" s="179">
        <f>(((A150*B150)*2)*MATERIALES!$D$83)+(4*MATERIALES!$C$229)+(((A150*2)+(B150*2))*MATERIALES!$C$230)+(((A150*2)+(B150*2))*MATERIALES!$C$231)+((((A150*2)+(B150*2))/15)*MATERIALES!$C$232)+((((A150*2)+(B150*2))/15)*(MATERIALES!$C$233*0.15))</f>
        <v>4627.65888</v>
      </c>
      <c r="H150" s="179">
        <f>(A150*B150)*MATERIALES!$D$89</f>
        <v>4296</v>
      </c>
      <c r="I150" s="180">
        <f t="shared" si="33"/>
        <v>8052.0182559999994</v>
      </c>
      <c r="J150" s="180">
        <f t="shared" si="34"/>
        <v>14763.336015999999</v>
      </c>
      <c r="K150" s="181">
        <f t="shared" si="35"/>
        <v>11952.018255999999</v>
      </c>
      <c r="L150" s="924"/>
    </row>
    <row r="151" spans="1:12">
      <c r="A151" s="176">
        <v>2</v>
      </c>
      <c r="B151" s="177">
        <v>1.5</v>
      </c>
      <c r="C151" s="178">
        <f>((((A151*2)+(B151*2))*MATERIALES!$C$57)+(((A151*2)+(B151*2))*MATERIALES!$C$76)+(((A151*2)+(B151*2))*MATERIALES!$C$73))*(MATERIALES!$F$2*MATERIALES!$J$15)</f>
        <v>0</v>
      </c>
      <c r="D151" s="178">
        <f>(8*MATERIALES!$C$189)+(1*MATERIALES!$C$198)+(2*MATERIALES!$C$206)+(((A151*2)+(B151*2))*MATERIALES!$C$209)+(4*MATERIALES!$C$148)+(((A151*5)*2)*MATERIALES!$C$147)+(((A151*2)+(B151*2))*MATERIALES!$C$210)+((((A151*2)+(B151*2))/0.1)*MATERIALES!$C$192)+(((A151*2)+(B151*2))*MATERIALES!$C$165)+(2*MATERIALES!$C$187)+(0.5*MATERIALES!$C$167)</f>
        <v>4298.2575999999999</v>
      </c>
      <c r="E151" s="178"/>
      <c r="F151" s="179">
        <f>(A151*B151)*MATERIALES!$D$82</f>
        <v>1590</v>
      </c>
      <c r="G151" s="179">
        <f>(((A151*B151)*2)*MATERIALES!$D$83)+(4*MATERIALES!$C$229)+(((A151*2)+(B151*2))*MATERIALES!$C$230)+(((A151*2)+(B151*2))*MATERIALES!$C$231)+((((A151*2)+(B151*2))/15)*MATERIALES!$C$232)+((((A151*2)+(B151*2))/15)*(MATERIALES!$C$233*0.15))</f>
        <v>5546.9543999999996</v>
      </c>
      <c r="H151" s="179">
        <f>(A151*B151)*MATERIALES!$D$89</f>
        <v>5370</v>
      </c>
      <c r="I151" s="180">
        <f t="shared" si="33"/>
        <v>8767.73488</v>
      </c>
      <c r="J151" s="180">
        <f t="shared" si="34"/>
        <v>16681.643680000001</v>
      </c>
      <c r="K151" s="181">
        <f t="shared" si="35"/>
        <v>13642.73488</v>
      </c>
      <c r="L151" s="924"/>
    </row>
    <row r="152" spans="1:12" ht="15.75" thickBot="1">
      <c r="A152" s="176">
        <v>2</v>
      </c>
      <c r="B152" s="177">
        <v>1.8</v>
      </c>
      <c r="C152" s="178">
        <f>((((A152*2)+(B152*2))*MATERIALES!$C$57)+(((A152*2)+(B152*2))*MATERIALES!$C$76)+(((A152*2)+(B152*2))*MATERIALES!$C$73))*(MATERIALES!$F$2*MATERIALES!$J$15)</f>
        <v>0</v>
      </c>
      <c r="D152" s="178">
        <f>(8*MATERIALES!$C$189)+(1*MATERIALES!$C$198)+(2*MATERIALES!$C$206)+(((A152*2)+(B152*2))*MATERIALES!$C$209)+(4*MATERIALES!$C$148)+(((A152*5)*2)*MATERIALES!$C$147)+(((A152*2)+(B152*2))*MATERIALES!$C$210)+((((A152*2)+(B152*2))/0.1)*MATERIALES!$C$192)+(((A152*2)+(B152*2))*MATERIALES!$C$165)+(2*MATERIALES!$C$187)+(0.5*MATERIALES!$C$167)</f>
        <v>4359.5780800000002</v>
      </c>
      <c r="E152" s="178"/>
      <c r="F152" s="179">
        <f>(A152*B152)*MATERIALES!$D$82</f>
        <v>1908</v>
      </c>
      <c r="G152" s="179">
        <f>(((A152*B152)*2)*MATERIALES!$D$83)+(4*MATERIALES!$C$229)+(((A152*2)+(B152*2))*MATERIALES!$C$230)+(((A152*2)+(B152*2))*MATERIALES!$C$231)+((((A152*2)+(B152*2))/15)*MATERIALES!$C$232)+((((A152*2)+(B152*2))/15)*(MATERIALES!$C$233*0.15))</f>
        <v>6466.2499200000002</v>
      </c>
      <c r="H152" s="179">
        <f>(A152*B152)*MATERIALES!$D$89</f>
        <v>6444</v>
      </c>
      <c r="I152" s="180">
        <f t="shared" si="33"/>
        <v>9483.4515040000006</v>
      </c>
      <c r="J152" s="180">
        <f t="shared" si="34"/>
        <v>18599.951344000001</v>
      </c>
      <c r="K152" s="181">
        <f t="shared" si="35"/>
        <v>15333.451504000001</v>
      </c>
      <c r="L152" s="925"/>
    </row>
    <row r="153" spans="1:12">
      <c r="A153" s="161">
        <v>2.2000000000000002</v>
      </c>
      <c r="B153" s="162">
        <v>0.4</v>
      </c>
      <c r="C153" s="75">
        <f>((((A153*2)+(B153*2))*MATERIALES!$C$57)+(((A153*2)+(B153*2))*MATERIALES!$C$76)+(((A153*2)+(B153*2))*MATERIALES!$C$73))*(MATERIALES!$F$2*MATERIALES!$J$15)</f>
        <v>0</v>
      </c>
      <c r="D153" s="75">
        <f>(8*MATERIALES!$C$189)+(1*MATERIALES!$C$197)+(2*MATERIALES!$C$206)+(((A153*2)+(B153*2))*MATERIALES!$C$209)+(4*MATERIALES!$C$148)+(((A153*5)*2)*MATERIALES!$C$147)+(((A153*2)+(B153*2))*MATERIALES!$C$210)+((((A153*2)+(B153*2))/0.1)*MATERIALES!$C$192)+(((A153*2)+(B153*2))*MATERIALES!$C$165)+(2*MATERIALES!$C$187)+(0.5*MATERIALES!$C$167)</f>
        <v>4114.2961599999999</v>
      </c>
      <c r="E153" s="75"/>
      <c r="F153" s="112">
        <f>(A153*B153)*MATERIALES!$D$82</f>
        <v>466.40000000000003</v>
      </c>
      <c r="G153" s="112">
        <f>(((A153*B153)*2)*MATERIALES!$D$83)+(4*MATERIALES!$C$229)+(((A153*2)+(B153*2))*MATERIALES!$C$230)+(((A153*2)+(B153*2))*MATERIALES!$C$231)+((((A153*2)+(B153*2))/15)*MATERIALES!$C$232)+((((A153*2)+(B153*2))/15)*(MATERIALES!$C$233*0.15))</f>
        <v>2373.0678400000002</v>
      </c>
      <c r="H153" s="112">
        <f>(A153*B153)*MATERIALES!$D$89</f>
        <v>1575.2000000000003</v>
      </c>
      <c r="I153" s="167">
        <f t="shared" si="33"/>
        <v>6281.3850080000002</v>
      </c>
      <c r="J153" s="167">
        <f t="shared" si="34"/>
        <v>10094.720688000001</v>
      </c>
      <c r="K153" s="163">
        <f t="shared" si="35"/>
        <v>7711.3850080000002</v>
      </c>
      <c r="L153" s="920" t="s">
        <v>189</v>
      </c>
    </row>
    <row r="154" spans="1:12">
      <c r="A154" s="161">
        <v>2.2000000000000002</v>
      </c>
      <c r="B154" s="162">
        <v>0.6</v>
      </c>
      <c r="C154" s="75">
        <f>((((A154*2)+(B154*2))*MATERIALES!$C$57)+(((A154*2)+(B154*2))*MATERIALES!$C$76)+(((A154*2)+(B154*2))*MATERIALES!$C$73))*(MATERIALES!$F$2*MATERIALES!$J$15)</f>
        <v>0</v>
      </c>
      <c r="D154" s="75">
        <f>(8*MATERIALES!$C$189)+(1*MATERIALES!$C$197)+(2*MATERIALES!$C$206)+(((A154*2)+(B154*2))*MATERIALES!$C$209)+(4*MATERIALES!$C$148)+(((A154*5)*2)*MATERIALES!$C$147)+(((A154*2)+(B154*2))*MATERIALES!$C$210)+((((A154*2)+(B154*2))/0.1)*MATERIALES!$C$192)+(((A154*2)+(B154*2))*MATERIALES!$C$165)+(2*MATERIALES!$C$187)+(0.5*MATERIALES!$C$167)</f>
        <v>4155.1764800000001</v>
      </c>
      <c r="E154" s="75"/>
      <c r="F154" s="112">
        <f>(A154*B154)*MATERIALES!$D$82</f>
        <v>699.6</v>
      </c>
      <c r="G154" s="112">
        <f>(((A154*B154)*2)*MATERIALES!$D$83)+(4*MATERIALES!$C$229)+(((A154*2)+(B154*2))*MATERIALES!$C$230)+(((A154*2)+(B154*2))*MATERIALES!$C$231)+((((A154*2)+(B154*2))/15)*MATERIALES!$C$232)+((((A154*2)+(B154*2))/15)*(MATERIALES!$C$233*0.15))</f>
        <v>3037.9315200000001</v>
      </c>
      <c r="H154" s="112">
        <f>(A154*B154)*MATERIALES!$D$89</f>
        <v>2362.8000000000002</v>
      </c>
      <c r="I154" s="167">
        <f t="shared" si="33"/>
        <v>6800.9294239999999</v>
      </c>
      <c r="J154" s="167">
        <f t="shared" si="34"/>
        <v>11477.592464000001</v>
      </c>
      <c r="K154" s="163">
        <f t="shared" si="35"/>
        <v>8945.9294239999999</v>
      </c>
      <c r="L154" s="921"/>
    </row>
    <row r="155" spans="1:12" ht="15.75" thickBot="1">
      <c r="A155" s="161">
        <v>2.2000000000000002</v>
      </c>
      <c r="B155" s="162">
        <v>0.8</v>
      </c>
      <c r="C155" s="75">
        <f>((((A155*2)+(B155*2))*MATERIALES!$C$57)+(((A155*2)+(B155*2))*MATERIALES!$C$76)+(((A155*2)+(B155*2))*MATERIALES!$C$73))*(MATERIALES!$F$2*MATERIALES!$J$15)</f>
        <v>0</v>
      </c>
      <c r="D155" s="75">
        <f>(8*MATERIALES!$C$189)+(1*MATERIALES!$C$197)+(2*MATERIALES!$C$206)+(((A155*2)+(B155*2))*MATERIALES!$C$209)+(4*MATERIALES!$C$148)+(((A155*5)*2)*MATERIALES!$C$147)+(((A155*2)+(B155*2))*MATERIALES!$C$210)+((((A155*2)+(B155*2))/0.1)*MATERIALES!$C$192)+(((A155*2)+(B155*2))*MATERIALES!$C$165)+(2*MATERIALES!$C$187)+(0.5*MATERIALES!$C$167)</f>
        <v>4196.0568000000003</v>
      </c>
      <c r="E155" s="75"/>
      <c r="F155" s="112">
        <f>(A155*B155)*MATERIALES!$D$82</f>
        <v>932.80000000000007</v>
      </c>
      <c r="G155" s="112">
        <f>(((A155*B155)*2)*MATERIALES!$D$83)+(4*MATERIALES!$C$229)+(((A155*2)+(B155*2))*MATERIALES!$C$230)+(((A155*2)+(B155*2))*MATERIALES!$C$231)+((((A155*2)+(B155*2))/15)*MATERIALES!$C$232)+((((A155*2)+(B155*2))/15)*(MATERIALES!$C$233*0.15))</f>
        <v>3702.7952000000005</v>
      </c>
      <c r="H155" s="112">
        <f>(A155*B155)*MATERIALES!$D$89</f>
        <v>3150.4000000000005</v>
      </c>
      <c r="I155" s="167">
        <f t="shared" si="33"/>
        <v>7320.4738400000006</v>
      </c>
      <c r="J155" s="167">
        <f t="shared" si="34"/>
        <v>12860.464240000001</v>
      </c>
      <c r="K155" s="163">
        <f t="shared" si="35"/>
        <v>10180.473840000001</v>
      </c>
      <c r="L155" s="922"/>
    </row>
    <row r="156" spans="1:12">
      <c r="A156" s="176">
        <v>2.2000000000000002</v>
      </c>
      <c r="B156" s="177">
        <v>1</v>
      </c>
      <c r="C156" s="178">
        <f>((((A156*2)+(B156*2))*MATERIALES!$C$57)+(((A156*2)+(B156*2))*MATERIALES!$C$76)+(((A156*2)+(B156*2))*MATERIALES!$C$73))*(MATERIALES!$F$2*MATERIALES!$J$15)</f>
        <v>0</v>
      </c>
      <c r="D156" s="178">
        <f>(8*MATERIALES!$C$189)+(1*MATERIALES!$C$198)+(2*MATERIALES!$C$206)+(((A156*2)+(B156*2))*MATERIALES!$C$209)+(4*MATERIALES!$C$148)+(((A156*5)*2)*MATERIALES!$C$147)+(((A156*2)+(B156*2))*MATERIALES!$C$210)+((((A156*2)+(B156*2))/0.1)*MATERIALES!$C$192)+(((A156*2)+(B156*2))*MATERIALES!$C$165)+(2*MATERIALES!$C$187)+(0.5*MATERIALES!$C$167)</f>
        <v>4236.9371199999996</v>
      </c>
      <c r="E156" s="178"/>
      <c r="F156" s="179">
        <f>(A156*B156)*MATERIALES!$D$82</f>
        <v>1166</v>
      </c>
      <c r="G156" s="179">
        <f>(((A156*B156)*2)*MATERIALES!$D$83)+(4*MATERIALES!$C$229)+(((A156*2)+(B156*2))*MATERIALES!$C$230)+(((A156*2)+(B156*2))*MATERIALES!$C$231)+((((A156*2)+(B156*2))/15)*MATERIALES!$C$232)+((((A156*2)+(B156*2))/15)*(MATERIALES!$C$233*0.15))</f>
        <v>4367.6588800000009</v>
      </c>
      <c r="H156" s="179">
        <f>(A156*B156)*MATERIALES!$D$89</f>
        <v>3938.0000000000005</v>
      </c>
      <c r="I156" s="180">
        <f t="shared" si="33"/>
        <v>7840.0182559999994</v>
      </c>
      <c r="J156" s="180">
        <f t="shared" si="34"/>
        <v>14243.336016000001</v>
      </c>
      <c r="K156" s="181">
        <f t="shared" si="35"/>
        <v>11415.018255999999</v>
      </c>
      <c r="L156" s="923" t="s">
        <v>191</v>
      </c>
    </row>
    <row r="157" spans="1:12">
      <c r="A157" s="176">
        <v>2.2000000000000002</v>
      </c>
      <c r="B157" s="177">
        <v>1.2</v>
      </c>
      <c r="C157" s="178">
        <f>((((A157*2)+(B157*2))*MATERIALES!$C$57)+(((A157*2)+(B157*2))*MATERIALES!$C$76)+(((A157*2)+(B157*2))*MATERIALES!$C$73))*(MATERIALES!$F$2*MATERIALES!$J$15)</f>
        <v>0</v>
      </c>
      <c r="D157" s="178">
        <f>(8*MATERIALES!$C$189)+(1*MATERIALES!$C$198)+(2*MATERIALES!$C$206)+(((A157*2)+(B157*2))*MATERIALES!$C$209)+(4*MATERIALES!$C$148)+(((A157*5)*2)*MATERIALES!$C$147)+(((A157*2)+(B157*2))*MATERIALES!$C$210)+((((A157*2)+(B157*2))/0.1)*MATERIALES!$C$192)+(((A157*2)+(B157*2))*MATERIALES!$C$165)+(2*MATERIALES!$C$187)+(0.5*MATERIALES!$C$167)</f>
        <v>4277.8174399999998</v>
      </c>
      <c r="E157" s="178"/>
      <c r="F157" s="179">
        <f>(A157*B157)*MATERIALES!$D$82</f>
        <v>1399.2</v>
      </c>
      <c r="G157" s="179">
        <f>(((A157*B157)*2)*MATERIALES!$D$83)+(4*MATERIALES!$C$229)+(((A157*2)+(B157*2))*MATERIALES!$C$230)+(((A157*2)+(B157*2))*MATERIALES!$C$231)+((((A157*2)+(B157*2))/15)*MATERIALES!$C$232)+((((A157*2)+(B157*2))/15)*(MATERIALES!$C$233*0.15))</f>
        <v>5032.5225600000003</v>
      </c>
      <c r="H157" s="179">
        <f>(A157*B157)*MATERIALES!$D$89</f>
        <v>4725.6000000000004</v>
      </c>
      <c r="I157" s="180">
        <f t="shared" si="33"/>
        <v>8359.562672</v>
      </c>
      <c r="J157" s="180">
        <f t="shared" si="34"/>
        <v>15626.207792000001</v>
      </c>
      <c r="K157" s="181">
        <f t="shared" si="35"/>
        <v>12649.562672</v>
      </c>
      <c r="L157" s="924"/>
    </row>
    <row r="158" spans="1:12">
      <c r="A158" s="176">
        <v>2.2000000000000002</v>
      </c>
      <c r="B158" s="177">
        <v>1.5</v>
      </c>
      <c r="C158" s="178">
        <f>((((A158*2)+(B158*2))*MATERIALES!$C$57)+(((A158*2)+(B158*2))*MATERIALES!$C$76)+(((A158*2)+(B158*2))*MATERIALES!$C$73))*(MATERIALES!$F$2*MATERIALES!$J$15)</f>
        <v>0</v>
      </c>
      <c r="D158" s="178">
        <f>(8*MATERIALES!$C$189)+(1*MATERIALES!$C$198)+(2*MATERIALES!$C$206)+(((A158*2)+(B158*2))*MATERIALES!$C$209)+(4*MATERIALES!$C$148)+(((A158*5)*2)*MATERIALES!$C$147)+(((A158*2)+(B158*2))*MATERIALES!$C$210)+((((A158*2)+(B158*2))/0.1)*MATERIALES!$C$192)+(((A158*2)+(B158*2))*MATERIALES!$C$165)+(2*MATERIALES!$C$187)+(0.5*MATERIALES!$C$167)</f>
        <v>4339.1379200000001</v>
      </c>
      <c r="E158" s="178"/>
      <c r="F158" s="179">
        <f>(A158*B158)*MATERIALES!$D$82</f>
        <v>1749.0000000000002</v>
      </c>
      <c r="G158" s="179">
        <f>(((A158*B158)*2)*MATERIALES!$D$83)+(4*MATERIALES!$C$229)+(((A158*2)+(B158*2))*MATERIALES!$C$230)+(((A158*2)+(B158*2))*MATERIALES!$C$231)+((((A158*2)+(B158*2))/15)*MATERIALES!$C$232)+((((A158*2)+(B158*2))/15)*(MATERIALES!$C$233*0.15))</f>
        <v>6029.81808</v>
      </c>
      <c r="H158" s="179">
        <f>(A158*B158)*MATERIALES!$D$89</f>
        <v>5907.0000000000009</v>
      </c>
      <c r="I158" s="180">
        <f t="shared" si="33"/>
        <v>9138.879296000001</v>
      </c>
      <c r="J158" s="180">
        <f t="shared" si="34"/>
        <v>17700.515456000001</v>
      </c>
      <c r="K158" s="181">
        <f t="shared" si="35"/>
        <v>14501.379296000003</v>
      </c>
      <c r="L158" s="924"/>
    </row>
    <row r="159" spans="1:12" ht="15.75" thickBot="1">
      <c r="A159" s="176">
        <v>2.2000000000000002</v>
      </c>
      <c r="B159" s="177">
        <v>1.8</v>
      </c>
      <c r="C159" s="178">
        <f>((((A159*2)+(B159*2))*MATERIALES!$C$57)+(((A159*2)+(B159*2))*MATERIALES!$C$76)+(((A159*2)+(B159*2))*MATERIALES!$C$73))*(MATERIALES!$F$2*MATERIALES!$J$15)</f>
        <v>0</v>
      </c>
      <c r="D159" s="178">
        <f>(8*MATERIALES!$C$189)+(1*MATERIALES!$C$198)+(2*MATERIALES!$C$206)+(((A159*2)+(B159*2))*MATERIALES!$C$209)+(4*MATERIALES!$C$148)+(((A159*5)*2)*MATERIALES!$C$147)+(((A159*2)+(B159*2))*MATERIALES!$C$210)+((((A159*2)+(B159*2))/0.1)*MATERIALES!$C$192)+(((A159*2)+(B159*2))*MATERIALES!$C$165)+(2*MATERIALES!$C$187)+(0.5*MATERIALES!$C$167)</f>
        <v>4400.4583999999995</v>
      </c>
      <c r="E159" s="178"/>
      <c r="F159" s="179">
        <f>(A159*B159)*MATERIALES!$D$82</f>
        <v>2098.8000000000002</v>
      </c>
      <c r="G159" s="179">
        <f>(((A159*B159)*2)*MATERIALES!$D$83)+(4*MATERIALES!$C$229)+(((A159*2)+(B159*2))*MATERIALES!$C$230)+(((A159*2)+(B159*2))*MATERIALES!$C$231)+((((A159*2)+(B159*2))/15)*MATERIALES!$C$232)+((((A159*2)+(B159*2))/15)*(MATERIALES!$C$233*0.15))</f>
        <v>7027.1136000000015</v>
      </c>
      <c r="H159" s="179">
        <f>(A159*B159)*MATERIALES!$D$89</f>
        <v>7088.4000000000005</v>
      </c>
      <c r="I159" s="180">
        <f t="shared" si="33"/>
        <v>9918.1959200000001</v>
      </c>
      <c r="J159" s="180">
        <f t="shared" si="34"/>
        <v>19774.823120000001</v>
      </c>
      <c r="K159" s="181">
        <f t="shared" si="35"/>
        <v>16353.19592</v>
      </c>
      <c r="L159" s="925"/>
    </row>
    <row r="160" spans="1:12">
      <c r="A160" s="161">
        <v>2.4</v>
      </c>
      <c r="B160" s="162">
        <v>0.4</v>
      </c>
      <c r="C160" s="75">
        <f>((((A160*2)+(B160*2))*MATERIALES!$C$57)+(((A160*2)+(B160*2))*MATERIALES!$C$76)+(((A160*2)+(B160*2))*MATERIALES!$C$73))*(MATERIALES!$F$2*MATERIALES!$J$15)</f>
        <v>0</v>
      </c>
      <c r="D160" s="75">
        <f>(8*MATERIALES!$C$189)+(1*MATERIALES!$C$197)+(2*MATERIALES!$C$206)+(((A160*2)+(B160*2))*MATERIALES!$C$209)+(4*MATERIALES!$C$148)+(((A160*5)*2)*MATERIALES!$C$147)+(((A160*2)+(B160*2))*MATERIALES!$C$210)+((((A160*2)+(B160*2))/0.1)*MATERIALES!$C$192)+(((A160*2)+(B160*2))*MATERIALES!$C$165)+(2*MATERIALES!$C$187)+(0.5*MATERIALES!$C$167)</f>
        <v>4155.1764800000001</v>
      </c>
      <c r="E160" s="75"/>
      <c r="F160" s="112">
        <f>(A160*B160)*MATERIALES!$D$82</f>
        <v>508.79999999999995</v>
      </c>
      <c r="G160" s="112">
        <f>(((A160*B160)*2)*MATERIALES!$D$83)+(4*MATERIALES!$C$229)+(((A160*2)+(B160*2))*MATERIALES!$C$230)+(((A160*2)+(B160*2))*MATERIALES!$C$231)+((((A160*2)+(B160*2))/15)*MATERIALES!$C$232)+((((A160*2)+(B160*2))/15)*(MATERIALES!$C$233*0.15))</f>
        <v>2569.9315200000001</v>
      </c>
      <c r="H160" s="112">
        <f>(A160*B160)*MATERIALES!$D$89</f>
        <v>1718.3999999999999</v>
      </c>
      <c r="I160" s="167">
        <f t="shared" si="33"/>
        <v>6419.3294239999996</v>
      </c>
      <c r="J160" s="167">
        <f t="shared" si="34"/>
        <v>10541.592464000001</v>
      </c>
      <c r="K160" s="163">
        <f t="shared" si="35"/>
        <v>7979.3294239999996</v>
      </c>
      <c r="L160" s="920" t="s">
        <v>189</v>
      </c>
    </row>
    <row r="161" spans="1:12">
      <c r="A161" s="161">
        <v>2.4</v>
      </c>
      <c r="B161" s="162">
        <v>0.6</v>
      </c>
      <c r="C161" s="75">
        <f>((((A161*2)+(B161*2))*MATERIALES!$C$57)+(((A161*2)+(B161*2))*MATERIALES!$C$76)+(((A161*2)+(B161*2))*MATERIALES!$C$73))*(MATERIALES!$F$2*MATERIALES!$J$15)</f>
        <v>0</v>
      </c>
      <c r="D161" s="75">
        <f>(8*MATERIALES!$C$189)+(1*MATERIALES!$C$197)+(2*MATERIALES!$C$206)+(((A161*2)+(B161*2))*MATERIALES!$C$209)+(4*MATERIALES!$C$148)+(((A161*5)*2)*MATERIALES!$C$147)+(((A161*2)+(B161*2))*MATERIALES!$C$210)+((((A161*2)+(B161*2))/0.1)*MATERIALES!$C$192)+(((A161*2)+(B161*2))*MATERIALES!$C$165)+(2*MATERIALES!$C$187)+(0.5*MATERIALES!$C$167)</f>
        <v>4196.0568000000003</v>
      </c>
      <c r="E161" s="75"/>
      <c r="F161" s="112">
        <f>(A161*B161)*MATERIALES!$D$82</f>
        <v>763.19999999999993</v>
      </c>
      <c r="G161" s="112">
        <f>(((A161*B161)*2)*MATERIALES!$D$83)+(4*MATERIALES!$C$229)+(((A161*2)+(B161*2))*MATERIALES!$C$230)+(((A161*2)+(B161*2))*MATERIALES!$C$231)+((((A161*2)+(B161*2))/15)*MATERIALES!$C$232)+((((A161*2)+(B161*2))/15)*(MATERIALES!$C$233*0.15))</f>
        <v>3286.7951999999996</v>
      </c>
      <c r="H161" s="112">
        <f>(A161*B161)*MATERIALES!$D$89</f>
        <v>2577.6</v>
      </c>
      <c r="I161" s="167">
        <f t="shared" si="33"/>
        <v>6981.2738399999998</v>
      </c>
      <c r="J161" s="167">
        <f t="shared" si="34"/>
        <v>12028.464239999999</v>
      </c>
      <c r="K161" s="163">
        <f t="shared" si="35"/>
        <v>9321.2738399999998</v>
      </c>
      <c r="L161" s="921"/>
    </row>
    <row r="162" spans="1:12" ht="15.75" thickBot="1">
      <c r="A162" s="161">
        <v>2.4</v>
      </c>
      <c r="B162" s="162">
        <v>0.8</v>
      </c>
      <c r="C162" s="75">
        <f>((((A162*2)+(B162*2))*MATERIALES!$C$57)+(((A162*2)+(B162*2))*MATERIALES!$C$76)+(((A162*2)+(B162*2))*MATERIALES!$C$73))*(MATERIALES!$F$2*MATERIALES!$J$15)</f>
        <v>0</v>
      </c>
      <c r="D162" s="75">
        <f>(8*MATERIALES!$C$189)+(1*MATERIALES!$C$197)+(2*MATERIALES!$C$206)+(((A162*2)+(B162*2))*MATERIALES!$C$209)+(4*MATERIALES!$C$148)+(((A162*5)*2)*MATERIALES!$C$147)+(((A162*2)+(B162*2))*MATERIALES!$C$210)+((((A162*2)+(B162*2))/0.1)*MATERIALES!$C$192)+(((A162*2)+(B162*2))*MATERIALES!$C$165)+(2*MATERIALES!$C$187)+(0.5*MATERIALES!$C$167)</f>
        <v>4236.9371199999996</v>
      </c>
      <c r="E162" s="75"/>
      <c r="F162" s="112">
        <f>(A162*B162)*MATERIALES!$D$82</f>
        <v>1017.5999999999999</v>
      </c>
      <c r="G162" s="112">
        <f>(((A162*B162)*2)*MATERIALES!$D$83)+(4*MATERIALES!$C$229)+(((A162*2)+(B162*2))*MATERIALES!$C$230)+(((A162*2)+(B162*2))*MATERIALES!$C$231)+((((A162*2)+(B162*2))/15)*MATERIALES!$C$232)+((((A162*2)+(B162*2))/15)*(MATERIALES!$C$233*0.15))</f>
        <v>4003.6588800000004</v>
      </c>
      <c r="H162" s="112">
        <f>(A162*B162)*MATERIALES!$D$89</f>
        <v>3436.7999999999997</v>
      </c>
      <c r="I162" s="167">
        <f t="shared" si="33"/>
        <v>7543.2182559999992</v>
      </c>
      <c r="J162" s="167">
        <f t="shared" si="34"/>
        <v>13515.336016000001</v>
      </c>
      <c r="K162" s="163">
        <f t="shared" si="35"/>
        <v>10663.218256</v>
      </c>
      <c r="L162" s="922"/>
    </row>
    <row r="163" spans="1:12">
      <c r="A163" s="176">
        <v>2.4</v>
      </c>
      <c r="B163" s="177">
        <v>1</v>
      </c>
      <c r="C163" s="178">
        <f>((((A163*2)+(B163*2))*MATERIALES!$C$57)+(((A163*2)+(B163*2))*MATERIALES!$C$76)+(((A163*2)+(B163*2))*MATERIALES!$C$73))*(MATERIALES!$F$2*MATERIALES!$J$15)</f>
        <v>0</v>
      </c>
      <c r="D163" s="178">
        <f>(8*MATERIALES!$C$189)+(1*MATERIALES!$C$198)+(2*MATERIALES!$C$206)+(((A163*2)+(B163*2))*MATERIALES!$C$209)+(4*MATERIALES!$C$148)+(((A163*5)*2)*MATERIALES!$C$147)+(((A163*2)+(B163*2))*MATERIALES!$C$210)+((((A163*2)+(B163*2))/0.1)*MATERIALES!$C$192)+(((A163*2)+(B163*2))*MATERIALES!$C$165)+(2*MATERIALES!$C$187)+(0.5*MATERIALES!$C$167)</f>
        <v>4277.8174399999998</v>
      </c>
      <c r="E163" s="178"/>
      <c r="F163" s="179">
        <f>(A163*B163)*MATERIALES!$D$82</f>
        <v>1272</v>
      </c>
      <c r="G163" s="179">
        <f>(((A163*B163)*2)*MATERIALES!$D$83)+(4*MATERIALES!$C$229)+(((A163*2)+(B163*2))*MATERIALES!$C$230)+(((A163*2)+(B163*2))*MATERIALES!$C$231)+((((A163*2)+(B163*2))/15)*MATERIALES!$C$232)+((((A163*2)+(B163*2))/15)*(MATERIALES!$C$233*0.15))</f>
        <v>4720.5225600000003</v>
      </c>
      <c r="H163" s="179">
        <f>(A163*B163)*MATERIALES!$D$89</f>
        <v>4296</v>
      </c>
      <c r="I163" s="180">
        <f t="shared" si="33"/>
        <v>8105.1626720000004</v>
      </c>
      <c r="J163" s="180">
        <f t="shared" si="34"/>
        <v>15002.207792000001</v>
      </c>
      <c r="K163" s="181">
        <f t="shared" si="35"/>
        <v>12005.162672</v>
      </c>
      <c r="L163" s="923" t="s">
        <v>191</v>
      </c>
    </row>
    <row r="164" spans="1:12">
      <c r="A164" s="176">
        <v>2.4</v>
      </c>
      <c r="B164" s="177">
        <v>1.2</v>
      </c>
      <c r="C164" s="178">
        <f>((((A164*2)+(B164*2))*MATERIALES!$C$57)+(((A164*2)+(B164*2))*MATERIALES!$C$76)+(((A164*2)+(B164*2))*MATERIALES!$C$73))*(MATERIALES!$F$2*MATERIALES!$J$15)</f>
        <v>0</v>
      </c>
      <c r="D164" s="178">
        <f>(8*MATERIALES!$C$189)+(1*MATERIALES!$C$198)+(2*MATERIALES!$C$206)+(((A164*2)+(B164*2))*MATERIALES!$C$209)+(4*MATERIALES!$C$148)+(((A164*5)*2)*MATERIALES!$C$147)+(((A164*2)+(B164*2))*MATERIALES!$C$210)+((((A164*2)+(B164*2))/0.1)*MATERIALES!$C$192)+(((A164*2)+(B164*2))*MATERIALES!$C$165)+(2*MATERIALES!$C$187)+(0.5*MATERIALES!$C$167)</f>
        <v>4318.69776</v>
      </c>
      <c r="E164" s="178"/>
      <c r="F164" s="179">
        <f>(A164*B164)*MATERIALES!$D$82</f>
        <v>1526.3999999999999</v>
      </c>
      <c r="G164" s="179">
        <f>(((A164*B164)*2)*MATERIALES!$D$83)+(4*MATERIALES!$C$229)+(((A164*2)+(B164*2))*MATERIALES!$C$230)+(((A164*2)+(B164*2))*MATERIALES!$C$231)+((((A164*2)+(B164*2))/15)*MATERIALES!$C$232)+((((A164*2)+(B164*2))/15)*(MATERIALES!$C$233*0.15))</f>
        <v>5437.3862399999998</v>
      </c>
      <c r="H164" s="179">
        <f>(A164*B164)*MATERIALES!$D$89</f>
        <v>5155.2</v>
      </c>
      <c r="I164" s="180">
        <f t="shared" si="33"/>
        <v>8667.1070880000007</v>
      </c>
      <c r="J164" s="180">
        <f t="shared" si="34"/>
        <v>16489.079568000001</v>
      </c>
      <c r="K164" s="181">
        <f t="shared" si="35"/>
        <v>13347.107088000001</v>
      </c>
      <c r="L164" s="924"/>
    </row>
    <row r="165" spans="1:12">
      <c r="A165" s="176">
        <v>2.4</v>
      </c>
      <c r="B165" s="177">
        <v>1.5</v>
      </c>
      <c r="C165" s="178">
        <f>((((A165*2)+(B165*2))*MATERIALES!$C$57)+(((A165*2)+(B165*2))*MATERIALES!$C$76)+(((A165*2)+(B165*2))*MATERIALES!$C$73))*(MATERIALES!$F$2*MATERIALES!$J$15)</f>
        <v>0</v>
      </c>
      <c r="D165" s="178">
        <f>(8*MATERIALES!$C$189)+(1*MATERIALES!$C$198)+(2*MATERIALES!$C$206)+(((A165*2)+(B165*2))*MATERIALES!$C$209)+(4*MATERIALES!$C$148)+(((A165*5)*2)*MATERIALES!$C$147)+(((A165*2)+(B165*2))*MATERIALES!$C$210)+((((A165*2)+(B165*2))/0.1)*MATERIALES!$C$192)+(((A165*2)+(B165*2))*MATERIALES!$C$165)+(2*MATERIALES!$C$187)+(0.5*MATERIALES!$C$167)</f>
        <v>4380.0182399999994</v>
      </c>
      <c r="E165" s="178"/>
      <c r="F165" s="179">
        <f>(A165*B165)*MATERIALES!$D$82</f>
        <v>1907.9999999999998</v>
      </c>
      <c r="G165" s="179">
        <f>(((A165*B165)*2)*MATERIALES!$D$83)+(4*MATERIALES!$C$229)+(((A165*2)+(B165*2))*MATERIALES!$C$230)+(((A165*2)+(B165*2))*MATERIALES!$C$231)+((((A165*2)+(B165*2))/15)*MATERIALES!$C$232)+((((A165*2)+(B165*2))/15)*(MATERIALES!$C$233*0.15))</f>
        <v>6512.6817599999995</v>
      </c>
      <c r="H165" s="179">
        <f>(A165*B165)*MATERIALES!$D$89</f>
        <v>6443.9999999999991</v>
      </c>
      <c r="I165" s="180">
        <f t="shared" si="33"/>
        <v>9510.0237119999983</v>
      </c>
      <c r="J165" s="180">
        <f t="shared" si="34"/>
        <v>18719.387231999997</v>
      </c>
      <c r="K165" s="181">
        <f t="shared" si="35"/>
        <v>15360.023711999998</v>
      </c>
      <c r="L165" s="924"/>
    </row>
    <row r="166" spans="1:12" ht="15.75" thickBot="1">
      <c r="A166" s="182">
        <v>2.4</v>
      </c>
      <c r="B166" s="183">
        <v>1.8</v>
      </c>
      <c r="C166" s="184">
        <f>((((A166*2)+(B166*2))*MATERIALES!$C$57)+(((A166*2)+(B166*2))*MATERIALES!$C$76)+(((A166*2)+(B166*2))*MATERIALES!$C$73))*(MATERIALES!$F$2*MATERIALES!$J$15)</f>
        <v>0</v>
      </c>
      <c r="D166" s="184">
        <f>(8*MATERIALES!$C$189)+(1*MATERIALES!$C$198)+(2*MATERIALES!$C$206)+(((A166*2)+(B166*2))*MATERIALES!$C$209)+(4*MATERIALES!$C$148)+(((A166*5)*2)*MATERIALES!$C$147)+(((A166*2)+(B166*2))*MATERIALES!$C$210)+((((A166*2)+(B166*2))/0.1)*MATERIALES!$C$192)+(((A166*2)+(B166*2))*MATERIALES!$C$165)+(2*MATERIALES!$C$187)+(0.5*MATERIALES!$C$167)</f>
        <v>4441.3387199999997</v>
      </c>
      <c r="E166" s="184"/>
      <c r="F166" s="185">
        <f>(A166*B166)*MATERIALES!$D$82</f>
        <v>2289.6000000000004</v>
      </c>
      <c r="G166" s="185">
        <f>(((A166*B166)*2)*MATERIALES!$D$83)+(4*MATERIALES!$C$229)+(((A166*2)+(B166*2))*MATERIALES!$C$230)+(((A166*2)+(B166*2))*MATERIALES!$C$231)+((((A166*2)+(B166*2))/15)*MATERIALES!$C$232)+((((A166*2)+(B166*2))/15)*(MATERIALES!$C$233*0.15))</f>
        <v>7587.9772800000001</v>
      </c>
      <c r="H166" s="185">
        <f>(A166*B166)*MATERIALES!$D$89</f>
        <v>7732.8</v>
      </c>
      <c r="I166" s="186">
        <f t="shared" si="33"/>
        <v>10352.940336</v>
      </c>
      <c r="J166" s="186">
        <f t="shared" si="34"/>
        <v>20949.694896000001</v>
      </c>
      <c r="K166" s="187">
        <f t="shared" si="35"/>
        <v>17372.940336</v>
      </c>
      <c r="L166" s="925"/>
    </row>
  </sheetData>
  <mergeCells count="40">
    <mergeCell ref="L135:L138"/>
    <mergeCell ref="L139:L141"/>
    <mergeCell ref="L160:L162"/>
    <mergeCell ref="L163:L166"/>
    <mergeCell ref="L142:L145"/>
    <mergeCell ref="L146:L148"/>
    <mergeCell ref="L149:L152"/>
    <mergeCell ref="L153:L155"/>
    <mergeCell ref="L156:L159"/>
    <mergeCell ref="L121:L124"/>
    <mergeCell ref="L52:L105"/>
    <mergeCell ref="L125:L127"/>
    <mergeCell ref="L128:L131"/>
    <mergeCell ref="L132:L134"/>
    <mergeCell ref="L32:L33"/>
    <mergeCell ref="L34:L38"/>
    <mergeCell ref="L39:L40"/>
    <mergeCell ref="L41:L45"/>
    <mergeCell ref="L112:L120"/>
    <mergeCell ref="L21:L24"/>
    <mergeCell ref="L25:L26"/>
    <mergeCell ref="L27:L31"/>
    <mergeCell ref="L6:L13"/>
    <mergeCell ref="L14:L18"/>
    <mergeCell ref="T1:T11"/>
    <mergeCell ref="O3:R4"/>
    <mergeCell ref="O24:S25"/>
    <mergeCell ref="A111:K111"/>
    <mergeCell ref="A49:K49"/>
    <mergeCell ref="A51:K51"/>
    <mergeCell ref="C108:E108"/>
    <mergeCell ref="F108:G108"/>
    <mergeCell ref="A109:K109"/>
    <mergeCell ref="C2:E2"/>
    <mergeCell ref="F2:G2"/>
    <mergeCell ref="A3:K3"/>
    <mergeCell ref="A5:K5"/>
    <mergeCell ref="C48:E48"/>
    <mergeCell ref="F48:G48"/>
    <mergeCell ref="L19:L20"/>
  </mergeCells>
  <pageMargins left="0.59055118110236227" right="0.59055118110236227" top="0" bottom="0" header="0.31496062992125984" footer="0.31496062992125984"/>
  <pageSetup orientation="portrait" r:id="rId1"/>
  <tableParts count="2">
    <tablePart r:id="rId2"/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1"/>
  <sheetViews>
    <sheetView topLeftCell="L1" workbookViewId="0">
      <selection activeCell="T41" sqref="T41"/>
    </sheetView>
  </sheetViews>
  <sheetFormatPr baseColWidth="10" defaultRowHeight="15"/>
  <cols>
    <col min="1" max="9" width="0" hidden="1" customWidth="1"/>
    <col min="10" max="10" width="11.5703125" hidden="1" customWidth="1"/>
    <col min="11" max="11" width="0" hidden="1" customWidth="1"/>
    <col min="12" max="12" width="23.7109375" customWidth="1"/>
    <col min="13" max="13" width="14" customWidth="1"/>
    <col min="14" max="17" width="16.28515625" customWidth="1"/>
    <col min="19" max="19" width="5.42578125" customWidth="1"/>
  </cols>
  <sheetData>
    <row r="1" spans="1:19" ht="15.75" thickBot="1">
      <c r="N1" s="32"/>
      <c r="O1" s="32"/>
      <c r="P1" s="32"/>
      <c r="Q1" s="32"/>
      <c r="R1" s="32"/>
      <c r="S1" s="884" t="s">
        <v>647</v>
      </c>
    </row>
    <row r="2" spans="1:19" ht="15.75" thickBot="1">
      <c r="A2" s="32"/>
      <c r="B2" s="32"/>
      <c r="C2" s="801">
        <v>0.3</v>
      </c>
      <c r="D2" s="802"/>
      <c r="E2" s="803"/>
      <c r="F2" s="801">
        <v>1</v>
      </c>
      <c r="G2" s="803"/>
      <c r="H2" s="61">
        <v>0.5</v>
      </c>
      <c r="I2" s="121"/>
      <c r="J2" s="32"/>
      <c r="K2" s="46" t="s">
        <v>163</v>
      </c>
      <c r="N2" s="32"/>
      <c r="O2" s="32"/>
      <c r="P2" s="32"/>
      <c r="Q2" s="32"/>
      <c r="R2" s="32"/>
      <c r="S2" s="885"/>
    </row>
    <row r="3" spans="1:19" ht="15.75" thickBot="1">
      <c r="A3" s="792" t="s">
        <v>374</v>
      </c>
      <c r="B3" s="793"/>
      <c r="C3" s="793"/>
      <c r="D3" s="793"/>
      <c r="E3" s="793"/>
      <c r="F3" s="793"/>
      <c r="G3" s="793"/>
      <c r="H3" s="793"/>
      <c r="I3" s="793"/>
      <c r="J3" s="793"/>
      <c r="K3" s="794"/>
      <c r="M3" s="861" t="s">
        <v>662</v>
      </c>
      <c r="N3" s="876"/>
      <c r="O3" s="876"/>
      <c r="P3" s="876"/>
      <c r="Q3" s="862"/>
      <c r="R3" s="32"/>
      <c r="S3" s="885"/>
    </row>
    <row r="4" spans="1:19" s="32" customFormat="1" ht="15.75" thickBot="1">
      <c r="A4" s="36" t="s">
        <v>116</v>
      </c>
      <c r="B4" s="36" t="s">
        <v>117</v>
      </c>
      <c r="C4" s="36" t="s">
        <v>162</v>
      </c>
      <c r="D4" s="36" t="s">
        <v>119</v>
      </c>
      <c r="E4" s="36" t="s">
        <v>120</v>
      </c>
      <c r="F4" s="36" t="s">
        <v>520</v>
      </c>
      <c r="G4" s="135" t="s">
        <v>260</v>
      </c>
      <c r="H4" s="135" t="s">
        <v>259</v>
      </c>
      <c r="I4" s="116" t="s">
        <v>521</v>
      </c>
      <c r="J4" s="36" t="s">
        <v>262</v>
      </c>
      <c r="K4" s="36" t="s">
        <v>263</v>
      </c>
      <c r="L4" s="137"/>
      <c r="M4" s="865"/>
      <c r="N4" s="877"/>
      <c r="O4" s="877"/>
      <c r="P4" s="877"/>
      <c r="Q4" s="866"/>
      <c r="S4" s="885"/>
    </row>
    <row r="5" spans="1:19" ht="38.25" thickBot="1">
      <c r="A5" s="795"/>
      <c r="B5" s="796"/>
      <c r="C5" s="796"/>
      <c r="D5" s="796"/>
      <c r="E5" s="796"/>
      <c r="F5" s="796"/>
      <c r="G5" s="796"/>
      <c r="H5" s="796"/>
      <c r="I5" s="796"/>
      <c r="J5" s="796"/>
      <c r="K5" s="797"/>
      <c r="M5" s="271" t="s">
        <v>534</v>
      </c>
      <c r="N5" s="271" t="s">
        <v>663</v>
      </c>
      <c r="O5" s="271" t="s">
        <v>623</v>
      </c>
      <c r="P5" s="271" t="s">
        <v>624</v>
      </c>
      <c r="Q5" s="271" t="s">
        <v>645</v>
      </c>
      <c r="R5" s="242"/>
      <c r="S5" s="885"/>
    </row>
    <row r="6" spans="1:19" ht="18.75">
      <c r="A6" s="65">
        <v>0.6</v>
      </c>
      <c r="B6" s="66">
        <v>0.4</v>
      </c>
      <c r="C6" s="58">
        <f>((((A6*2)+(B6*2))*MATERIALES!$C$57)+(((A6*2)+(B6*2))*MATERIALES!$C$73))*(MATERIALES!$F$2*MATERIALES!$J$15)</f>
        <v>0</v>
      </c>
      <c r="D6" s="58">
        <f>(4*MATERIALES!$C$189)+((((A6*2)+(B6*2))/0.1)*MATERIALES!$C$192)+(((A6*2)+(B6*2))*MATERIALES!$C$165)+(0.5*MATERIALES!$C$167)+(4*MATERIALES!$C$148)+(((A6*5)*2)*MATERIALES!$C$147)+(2*MATERIALES!$C$187)</f>
        <v>557.01360000000011</v>
      </c>
      <c r="E6" s="74"/>
      <c r="F6" s="54">
        <f>(A6*B6)*MATERIALES!$D$82</f>
        <v>127.19999999999999</v>
      </c>
      <c r="G6" s="54">
        <f>(((A6*B6)*2)*MATERIALES!$D$83)+(4*MATERIALES!$C$229)+(((A6*2)+(B6*2))*MATERIALES!$C$230)+(((A6*2)+(B6*2))*MATERIALES!$C$231)+((((A6*2)+(B6*2))/15)*MATERIALES!$C$232)+((((A6*2)+(B6*2))/15)*(MATERIALES!$C$233*0.15))</f>
        <v>798.15840000000003</v>
      </c>
      <c r="H6" s="54">
        <f>(A6*B6)*MATERIALES!$D$89</f>
        <v>429.59999999999997</v>
      </c>
      <c r="I6" s="125">
        <f>((SUM(C6:E6)*1.3)+(F6*2))</f>
        <v>978.51768000000015</v>
      </c>
      <c r="J6" s="144">
        <f>((SUM(C6:E6)*1.3)+(G6*2))</f>
        <v>2320.4344800000003</v>
      </c>
      <c r="K6" s="67">
        <f>((SUM(C6:E6)*1.3)+(H6*1.5))</f>
        <v>1368.5176800000002</v>
      </c>
      <c r="M6" s="260" t="s">
        <v>539</v>
      </c>
      <c r="N6" s="278">
        <f>+I6</f>
        <v>978.51768000000015</v>
      </c>
      <c r="O6" s="278">
        <f>+J6</f>
        <v>2320.4344800000003</v>
      </c>
      <c r="P6" s="278">
        <f>+K6</f>
        <v>1368.5176800000002</v>
      </c>
      <c r="Q6" s="278">
        <f>+'MODENA CLASICA CORREDIZA'!M6</f>
        <v>0</v>
      </c>
      <c r="R6" s="242"/>
      <c r="S6" s="885"/>
    </row>
    <row r="7" spans="1:19" ht="15.75">
      <c r="A7" s="68">
        <v>0.6</v>
      </c>
      <c r="B7" s="69">
        <v>0.6</v>
      </c>
      <c r="C7" s="59">
        <f>((((A7*2)+(B7*2))*MATERIALES!$C$57)+(((A7*2)+(B7*2))*MATERIALES!$C$73))*(MATERIALES!$F$2*MATERIALES!$J$15)</f>
        <v>0</v>
      </c>
      <c r="D7" s="59">
        <f>(4*MATERIALES!$C$189)+((((A7*2)+(B7*2))/0.1)*MATERIALES!$C$192)+(((A7*2)+(B7*2))*MATERIALES!$C$165)+(0.5*MATERIALES!$C$167)+(4*MATERIALES!$C$148)+(((A7*5)*2)*MATERIALES!$C$147)+(2*MATERIALES!$C$187)</f>
        <v>574.28592000000003</v>
      </c>
      <c r="E7" s="75"/>
      <c r="F7" s="55">
        <f>(A7*B7)*MATERIALES!$D$82</f>
        <v>190.79999999999998</v>
      </c>
      <c r="G7" s="55">
        <f>(((A7*B7)*2)*MATERIALES!$D$83)+(4*MATERIALES!$C$229)+(((A7*2)+(B7*2))*MATERIALES!$C$230)+(((A7*2)+(B7*2))*MATERIALES!$C$231)+((((A7*2)+(B7*2))/15)*MATERIALES!$C$232)+((((A7*2)+(B7*2))/15)*(MATERIALES!$C$233*0.15))</f>
        <v>1047.02208</v>
      </c>
      <c r="H7" s="55">
        <f>(A7*B7)*MATERIALES!$D$89</f>
        <v>644.4</v>
      </c>
      <c r="I7" s="124">
        <f t="shared" ref="I7:I59" si="0">((SUM(C7:E7)*1.3)+(F7*2))</f>
        <v>1128.1716960000001</v>
      </c>
      <c r="J7" s="143">
        <f t="shared" ref="J7:J59" si="1">((SUM(C7:E7)*1.3)+(G7*2))</f>
        <v>2840.6158559999999</v>
      </c>
      <c r="K7" s="70">
        <f t="shared" ref="K7:K59" si="2">((SUM(C7:E7)*1.3)+(H7*1.5))</f>
        <v>1713.1716959999999</v>
      </c>
      <c r="M7" s="262" t="s">
        <v>540</v>
      </c>
      <c r="N7" s="246">
        <f t="shared" ref="N7:N44" si="3">+I7</f>
        <v>1128.1716960000001</v>
      </c>
      <c r="O7" s="246">
        <f t="shared" ref="O7:O45" si="4">+J7</f>
        <v>2840.6158559999999</v>
      </c>
      <c r="P7" s="246">
        <f t="shared" ref="P7:P45" si="5">+K7</f>
        <v>1713.1716959999999</v>
      </c>
      <c r="Q7" s="246">
        <f>+'MODENA CLASICA CORREDIZA'!M7</f>
        <v>0</v>
      </c>
      <c r="R7" s="248"/>
      <c r="S7" s="885"/>
    </row>
    <row r="8" spans="1:19" ht="15.75">
      <c r="A8" s="68">
        <v>0.8</v>
      </c>
      <c r="B8" s="69">
        <v>0.4</v>
      </c>
      <c r="C8" s="59">
        <f>((((A8*2)+(B8*2))*MATERIALES!$C$57)+(((A8*2)+(B8*2))*MATERIALES!$C$73))*(MATERIALES!$F$2*MATERIALES!$J$15)</f>
        <v>0</v>
      </c>
      <c r="D8" s="59">
        <f>(4*MATERIALES!$C$189)+((((A8*2)+(B8*2))/0.1)*MATERIALES!$C$192)+(((A8*2)+(B8*2))*MATERIALES!$C$165)+(0.5*MATERIALES!$C$167)+(4*MATERIALES!$C$148)+(((A8*5)*2)*MATERIALES!$C$147)+(2*MATERIALES!$C$187)</f>
        <v>574.28592000000003</v>
      </c>
      <c r="E8" s="75"/>
      <c r="F8" s="55">
        <f>(A8*B8)*MATERIALES!$D$82</f>
        <v>169.60000000000002</v>
      </c>
      <c r="G8" s="55">
        <f>(((A8*B8)*2)*MATERIALES!$D$83)+(4*MATERIALES!$C$229)+(((A8*2)+(B8*2))*MATERIALES!$C$230)+(((A8*2)+(B8*2))*MATERIALES!$C$231)+((((A8*2)+(B8*2))/15)*MATERIALES!$C$232)+((((A8*2)+(B8*2))/15)*(MATERIALES!$C$233*0.15))</f>
        <v>995.02208000000007</v>
      </c>
      <c r="H8" s="55">
        <f>(A8*B8)*MATERIALES!$D$89</f>
        <v>572.80000000000007</v>
      </c>
      <c r="I8" s="124">
        <f t="shared" si="0"/>
        <v>1085.7716960000002</v>
      </c>
      <c r="J8" s="143">
        <f t="shared" si="1"/>
        <v>2736.6158560000003</v>
      </c>
      <c r="K8" s="70">
        <f t="shared" si="2"/>
        <v>1605.7716960000002</v>
      </c>
      <c r="M8" s="262" t="s">
        <v>541</v>
      </c>
      <c r="N8" s="246">
        <f t="shared" si="3"/>
        <v>1085.7716960000002</v>
      </c>
      <c r="O8" s="246">
        <f t="shared" si="4"/>
        <v>2736.6158560000003</v>
      </c>
      <c r="P8" s="246">
        <f t="shared" si="5"/>
        <v>1605.7716960000002</v>
      </c>
      <c r="Q8" s="246">
        <f>+'MODENA CLASICA CORREDIZA'!M8</f>
        <v>0</v>
      </c>
      <c r="R8" s="248"/>
      <c r="S8" s="885"/>
    </row>
    <row r="9" spans="1:19" ht="15.75">
      <c r="A9" s="68">
        <v>0.8</v>
      </c>
      <c r="B9" s="69">
        <v>0.6</v>
      </c>
      <c r="C9" s="59">
        <f>((((A9*2)+(B9*2))*MATERIALES!$C$57)+(((A9*2)+(B9*2))*MATERIALES!$C$73))*(MATERIALES!$F$2*MATERIALES!$J$15)</f>
        <v>0</v>
      </c>
      <c r="D9" s="59">
        <f>(4*MATERIALES!$C$189)+((((A9*2)+(B9*2))/0.1)*MATERIALES!$C$192)+(((A9*2)+(B9*2))*MATERIALES!$C$165)+(0.5*MATERIALES!$C$167)+(4*MATERIALES!$C$148)+(((A9*5)*2)*MATERIALES!$C$147)+(2*MATERIALES!$C$187)</f>
        <v>591.55823999999996</v>
      </c>
      <c r="E9" s="75"/>
      <c r="F9" s="55">
        <f>(A9*B9)*MATERIALES!$D$82</f>
        <v>254.39999999999998</v>
      </c>
      <c r="G9" s="55">
        <f>(((A9*B9)*2)*MATERIALES!$D$83)+(4*MATERIALES!$C$229)+(((A9*2)+(B9*2))*MATERIALES!$C$230)+(((A9*2)+(B9*2))*MATERIALES!$C$231)+((((A9*2)+(B9*2))/15)*MATERIALES!$C$232)+((((A9*2)+(B9*2))/15)*(MATERIALES!$C$233*0.15))</f>
        <v>1295.8857600000001</v>
      </c>
      <c r="H9" s="55">
        <f>(A9*B9)*MATERIALES!$D$89</f>
        <v>859.19999999999993</v>
      </c>
      <c r="I9" s="124">
        <f t="shared" si="0"/>
        <v>1277.8257119999998</v>
      </c>
      <c r="J9" s="143">
        <f t="shared" si="1"/>
        <v>3360.7972320000003</v>
      </c>
      <c r="K9" s="70">
        <f t="shared" si="2"/>
        <v>2057.8257119999998</v>
      </c>
      <c r="M9" s="262" t="s">
        <v>542</v>
      </c>
      <c r="N9" s="246">
        <f t="shared" si="3"/>
        <v>1277.8257119999998</v>
      </c>
      <c r="O9" s="246">
        <f t="shared" si="4"/>
        <v>3360.7972320000003</v>
      </c>
      <c r="P9" s="246">
        <f t="shared" si="5"/>
        <v>2057.8257119999998</v>
      </c>
      <c r="Q9" s="246">
        <f>+'MODENA CLASICA CORREDIZA'!M9</f>
        <v>0</v>
      </c>
      <c r="R9" s="248"/>
      <c r="S9" s="885"/>
    </row>
    <row r="10" spans="1:19" ht="15.75">
      <c r="A10" s="68">
        <v>0.8</v>
      </c>
      <c r="B10" s="69">
        <v>0.8</v>
      </c>
      <c r="C10" s="59">
        <f>((((A10*2)+(B10*2))*MATERIALES!$C$57)+(((A10*2)+(B10*2))*MATERIALES!$C$73))*(MATERIALES!$F$2*MATERIALES!$J$15)</f>
        <v>0</v>
      </c>
      <c r="D10" s="59">
        <f>(4*MATERIALES!$C$189)+((((A10*2)+(B10*2))/0.1)*MATERIALES!$C$192)+(((A10*2)+(B10*2))*MATERIALES!$C$165)+(0.5*MATERIALES!$C$167)+(4*MATERIALES!$C$148)+(((A10*5)*2)*MATERIALES!$C$147)+(2*MATERIALES!$C$187)</f>
        <v>608.8305600000001</v>
      </c>
      <c r="E10" s="75"/>
      <c r="F10" s="55">
        <f>(A10*B10)*MATERIALES!$D$82</f>
        <v>339.20000000000005</v>
      </c>
      <c r="G10" s="55">
        <f>(((A10*B10)*2)*MATERIALES!$D$83)+(4*MATERIALES!$C$229)+(((A10*2)+(B10*2))*MATERIALES!$C$230)+(((A10*2)+(B10*2))*MATERIALES!$C$231)+((((A10*2)+(B10*2))/15)*MATERIALES!$C$232)+((((A10*2)+(B10*2))/15)*(MATERIALES!$C$233*0.15))</f>
        <v>1596.7494400000003</v>
      </c>
      <c r="H10" s="55">
        <f>(A10*B10)*MATERIALES!$D$89</f>
        <v>1145.6000000000001</v>
      </c>
      <c r="I10" s="124">
        <f t="shared" si="0"/>
        <v>1469.8797280000003</v>
      </c>
      <c r="J10" s="143">
        <f t="shared" si="1"/>
        <v>3984.9786080000008</v>
      </c>
      <c r="K10" s="70">
        <f t="shared" si="2"/>
        <v>2509.8797280000003</v>
      </c>
      <c r="M10" s="262" t="s">
        <v>543</v>
      </c>
      <c r="N10" s="246">
        <f t="shared" si="3"/>
        <v>1469.8797280000003</v>
      </c>
      <c r="O10" s="246">
        <f t="shared" si="4"/>
        <v>3984.9786080000008</v>
      </c>
      <c r="P10" s="246">
        <f t="shared" si="5"/>
        <v>2509.8797280000003</v>
      </c>
      <c r="Q10" s="246">
        <f>+'MODENA CLASICA CORREDIZA'!M10</f>
        <v>0</v>
      </c>
      <c r="R10" s="248"/>
      <c r="S10" s="885"/>
    </row>
    <row r="11" spans="1:19" ht="16.5" thickBot="1">
      <c r="A11" s="68">
        <v>1</v>
      </c>
      <c r="B11" s="69">
        <v>0.4</v>
      </c>
      <c r="C11" s="59">
        <f>((((A11*2)+(B11*2))*MATERIALES!$C$57)+(((A11*2)+(B11*2))*MATERIALES!$C$73))*(MATERIALES!$F$2*MATERIALES!$J$15)</f>
        <v>0</v>
      </c>
      <c r="D11" s="59">
        <f>(4*MATERIALES!$C$189)+((((A11*2)+(B11*2))/0.1)*MATERIALES!$C$192)+(((A11*2)+(B11*2))*MATERIALES!$C$165)+(0.5*MATERIALES!$C$167)+(4*MATERIALES!$C$148)+(((A11*5)*2)*MATERIALES!$C$147)+(2*MATERIALES!$C$187)</f>
        <v>591.55823999999996</v>
      </c>
      <c r="E11" s="75"/>
      <c r="F11" s="55">
        <f>(A11*B11)*MATERIALES!$D$82</f>
        <v>212</v>
      </c>
      <c r="G11" s="55">
        <f>(((A11*B11)*2)*MATERIALES!$D$83)+(4*MATERIALES!$C$229)+(((A11*2)+(B11*2))*MATERIALES!$C$230)+(((A11*2)+(B11*2))*MATERIALES!$C$231)+((((A11*2)+(B11*2))/15)*MATERIALES!$C$232)+((((A11*2)+(B11*2))/15)*(MATERIALES!$C$233*0.15))</f>
        <v>1191.8857600000001</v>
      </c>
      <c r="H11" s="55">
        <f>(A11*B11)*MATERIALES!$D$89</f>
        <v>716</v>
      </c>
      <c r="I11" s="124">
        <f t="shared" si="0"/>
        <v>1193.0257120000001</v>
      </c>
      <c r="J11" s="143">
        <f t="shared" si="1"/>
        <v>3152.7972320000003</v>
      </c>
      <c r="K11" s="70">
        <f t="shared" si="2"/>
        <v>1843.0257120000001</v>
      </c>
      <c r="M11" s="262" t="s">
        <v>544</v>
      </c>
      <c r="N11" s="246">
        <f t="shared" si="3"/>
        <v>1193.0257120000001</v>
      </c>
      <c r="O11" s="246">
        <f t="shared" si="4"/>
        <v>3152.7972320000003</v>
      </c>
      <c r="P11" s="246">
        <f t="shared" si="5"/>
        <v>1843.0257120000001</v>
      </c>
      <c r="Q11" s="246">
        <f>+'MODENA CLASICA CORREDIZA'!M11</f>
        <v>0</v>
      </c>
      <c r="R11" s="248"/>
      <c r="S11" s="886"/>
    </row>
    <row r="12" spans="1:19" ht="15.75">
      <c r="A12" s="68">
        <v>1</v>
      </c>
      <c r="B12" s="69">
        <v>0.6</v>
      </c>
      <c r="C12" s="59">
        <f>((((A12*2)+(B12*2))*MATERIALES!$C$57)+(((A12*2)+(B12*2))*MATERIALES!$C$73))*(MATERIALES!$F$2*MATERIALES!$J$15)</f>
        <v>0</v>
      </c>
      <c r="D12" s="59">
        <f>(4*MATERIALES!$C$189)+((((A12*2)+(B12*2))/0.1)*MATERIALES!$C$192)+(((A12*2)+(B12*2))*MATERIALES!$C$165)+(0.5*MATERIALES!$C$167)+(4*MATERIALES!$C$148)+(((A12*5)*2)*MATERIALES!$C$147)+(2*MATERIALES!$C$187)</f>
        <v>608.8305600000001</v>
      </c>
      <c r="E12" s="75"/>
      <c r="F12" s="55">
        <f>(A12*B12)*MATERIALES!$D$82</f>
        <v>318</v>
      </c>
      <c r="G12" s="55">
        <f>(((A12*B12)*2)*MATERIALES!$D$83)+(4*MATERIALES!$C$229)+(((A12*2)+(B12*2))*MATERIALES!$C$230)+(((A12*2)+(B12*2))*MATERIALES!$C$231)+((((A12*2)+(B12*2))/15)*MATERIALES!$C$232)+((((A12*2)+(B12*2))/15)*(MATERIALES!$C$233*0.15))</f>
        <v>1544.74944</v>
      </c>
      <c r="H12" s="55">
        <f>(A12*B12)*MATERIALES!$D$89</f>
        <v>1074</v>
      </c>
      <c r="I12" s="124">
        <f t="shared" si="0"/>
        <v>1427.4797280000003</v>
      </c>
      <c r="J12" s="143">
        <f t="shared" si="1"/>
        <v>3880.9786080000003</v>
      </c>
      <c r="K12" s="70">
        <f t="shared" si="2"/>
        <v>2402.4797280000003</v>
      </c>
      <c r="M12" s="262" t="s">
        <v>545</v>
      </c>
      <c r="N12" s="246">
        <f t="shared" si="3"/>
        <v>1427.4797280000003</v>
      </c>
      <c r="O12" s="246">
        <f t="shared" si="4"/>
        <v>3880.9786080000003</v>
      </c>
      <c r="P12" s="246">
        <f t="shared" si="5"/>
        <v>2402.4797280000003</v>
      </c>
      <c r="Q12" s="246">
        <f>+'MODENA CLASICA CORREDIZA'!M12</f>
        <v>0</v>
      </c>
      <c r="R12" s="248"/>
    </row>
    <row r="13" spans="1:19" ht="15.75">
      <c r="A13" s="68">
        <v>1</v>
      </c>
      <c r="B13" s="69">
        <v>0.8</v>
      </c>
      <c r="C13" s="59">
        <f>((((A13*2)+(B13*2))*MATERIALES!$C$57)+(((A13*2)+(B13*2))*MATERIALES!$C$73))*(MATERIALES!$F$2*MATERIALES!$J$15)</f>
        <v>0</v>
      </c>
      <c r="D13" s="59">
        <f>(4*MATERIALES!$C$189)+((((A13*2)+(B13*2))/0.1)*MATERIALES!$C$192)+(((A13*2)+(B13*2))*MATERIALES!$C$165)+(0.5*MATERIALES!$C$167)+(4*MATERIALES!$C$148)+(((A13*5)*2)*MATERIALES!$C$147)+(2*MATERIALES!$C$187)</f>
        <v>626.10288000000003</v>
      </c>
      <c r="E13" s="75"/>
      <c r="F13" s="55">
        <f>(A13*B13)*MATERIALES!$D$82</f>
        <v>424</v>
      </c>
      <c r="G13" s="55">
        <f>(((A13*B13)*2)*MATERIALES!$D$83)+(4*MATERIALES!$C$229)+(((A13*2)+(B13*2))*MATERIALES!$C$230)+(((A13*2)+(B13*2))*MATERIALES!$C$231)+((((A13*2)+(B13*2))/15)*MATERIALES!$C$232)+((((A13*2)+(B13*2))/15)*(MATERIALES!$C$233*0.15))</f>
        <v>1897.6131199999998</v>
      </c>
      <c r="H13" s="55">
        <f>(A13*B13)*MATERIALES!$D$89</f>
        <v>1432</v>
      </c>
      <c r="I13" s="124">
        <f t="shared" si="0"/>
        <v>1661.9337439999999</v>
      </c>
      <c r="J13" s="143">
        <f t="shared" si="1"/>
        <v>4609.1599839999999</v>
      </c>
      <c r="K13" s="70">
        <f t="shared" si="2"/>
        <v>2961.9337439999999</v>
      </c>
      <c r="M13" s="263" t="s">
        <v>546</v>
      </c>
      <c r="N13" s="246">
        <f t="shared" si="3"/>
        <v>1661.9337439999999</v>
      </c>
      <c r="O13" s="246">
        <f t="shared" si="4"/>
        <v>4609.1599839999999</v>
      </c>
      <c r="P13" s="246">
        <f t="shared" si="5"/>
        <v>2961.9337439999999</v>
      </c>
      <c r="Q13" s="246">
        <f>+'MODENA CLASICA CORREDIZA'!M13</f>
        <v>0</v>
      </c>
      <c r="R13" s="248"/>
    </row>
    <row r="14" spans="1:19" ht="15.75">
      <c r="A14" s="68">
        <v>1</v>
      </c>
      <c r="B14" s="69">
        <v>1</v>
      </c>
      <c r="C14" s="59">
        <f>((((A14*2)+(B14*2))*MATERIALES!$C$57)+(((A14*2)+(B14*2))*MATERIALES!$C$73))*(MATERIALES!$F$2*MATERIALES!$J$15)</f>
        <v>0</v>
      </c>
      <c r="D14" s="59">
        <f>(4*MATERIALES!$C$189)+((((A14*2)+(B14*2))/0.1)*MATERIALES!$C$192)+(((A14*2)+(B14*2))*MATERIALES!$C$165)+(0.5*MATERIALES!$C$167)+(4*MATERIALES!$C$148)+(((A14*5)*2)*MATERIALES!$C$147)+(2*MATERIALES!$C$187)</f>
        <v>643.37520000000006</v>
      </c>
      <c r="E14" s="75"/>
      <c r="F14" s="55">
        <f>(A14*B14)*MATERIALES!$D$82</f>
        <v>530</v>
      </c>
      <c r="G14" s="55">
        <f>(((A14*B14)*2)*MATERIALES!$D$83)+(4*MATERIALES!$C$229)+(((A14*2)+(B14*2))*MATERIALES!$C$230)+(((A14*2)+(B14*2))*MATERIALES!$C$231)+((((A14*2)+(B14*2))/15)*MATERIALES!$C$232)+((((A14*2)+(B14*2))/15)*(MATERIALES!$C$233*0.15))</f>
        <v>2250.4767999999999</v>
      </c>
      <c r="H14" s="55">
        <f>(A14*B14)*MATERIALES!$D$89</f>
        <v>1790</v>
      </c>
      <c r="I14" s="124">
        <f t="shared" si="0"/>
        <v>1896.3877600000001</v>
      </c>
      <c r="J14" s="143">
        <f t="shared" si="1"/>
        <v>5337.3413600000003</v>
      </c>
      <c r="K14" s="70">
        <f t="shared" si="2"/>
        <v>3521.3877600000001</v>
      </c>
      <c r="M14" s="263" t="s">
        <v>547</v>
      </c>
      <c r="N14" s="246">
        <f t="shared" si="3"/>
        <v>1896.3877600000001</v>
      </c>
      <c r="O14" s="246">
        <f t="shared" si="4"/>
        <v>5337.3413600000003</v>
      </c>
      <c r="P14" s="246">
        <f t="shared" si="5"/>
        <v>3521.3877600000001</v>
      </c>
      <c r="Q14" s="246">
        <f>+'MODENA CLASICA CORREDIZA'!M14</f>
        <v>0</v>
      </c>
      <c r="R14" s="252"/>
    </row>
    <row r="15" spans="1:19" ht="15.75">
      <c r="A15" s="68">
        <v>1</v>
      </c>
      <c r="B15" s="69">
        <v>1.1000000000000001</v>
      </c>
      <c r="C15" s="59">
        <f>((((A15*2)+(B15*2))*MATERIALES!$C$57)+(((A15*2)+(B15*2))*MATERIALES!$C$73))*(MATERIALES!$F$2*MATERIALES!$J$15)</f>
        <v>0</v>
      </c>
      <c r="D15" s="59">
        <f>(4*MATERIALES!$C$189)+((((A15*2)+(B15*2))/0.1)*MATERIALES!$C$192)+(((A15*2)+(B15*2))*MATERIALES!$C$165)+(0.5*MATERIALES!$C$167)+(4*MATERIALES!$C$148)+(((A15*5)*2)*MATERIALES!$C$147)+(2*MATERIALES!$C$187)</f>
        <v>652.01136000000008</v>
      </c>
      <c r="E15" s="75"/>
      <c r="F15" s="55">
        <f>(A15*B15)*MATERIALES!$D$82</f>
        <v>583</v>
      </c>
      <c r="G15" s="55">
        <f>(((A15*B15)*2)*MATERIALES!$D$83)+(4*MATERIALES!$C$229)+(((A15*2)+(B15*2))*MATERIALES!$C$230)+(((A15*2)+(B15*2))*MATERIALES!$C$231)+((((A15*2)+(B15*2))/15)*MATERIALES!$C$232)+((((A15*2)+(B15*2))/15)*(MATERIALES!$C$233*0.15))</f>
        <v>2426.9086400000001</v>
      </c>
      <c r="H15" s="55">
        <f>(A15*B15)*MATERIALES!$D$89</f>
        <v>1969.0000000000002</v>
      </c>
      <c r="I15" s="124">
        <f t="shared" si="0"/>
        <v>2013.6147680000001</v>
      </c>
      <c r="J15" s="143">
        <f t="shared" si="1"/>
        <v>5701.4320480000006</v>
      </c>
      <c r="K15" s="70">
        <f t="shared" si="2"/>
        <v>3801.1147680000004</v>
      </c>
      <c r="M15" s="263" t="s">
        <v>548</v>
      </c>
      <c r="N15" s="246">
        <f t="shared" si="3"/>
        <v>2013.6147680000001</v>
      </c>
      <c r="O15" s="246">
        <f t="shared" si="4"/>
        <v>5701.4320480000006</v>
      </c>
      <c r="P15" s="246">
        <f t="shared" si="5"/>
        <v>3801.1147680000004</v>
      </c>
      <c r="Q15" s="246">
        <f>+'MODENA CLASICA CORREDIZA'!M15</f>
        <v>0</v>
      </c>
      <c r="R15" s="252"/>
    </row>
    <row r="16" spans="1:19" ht="15.75">
      <c r="A16" s="68">
        <v>1</v>
      </c>
      <c r="B16" s="69">
        <v>1.2</v>
      </c>
      <c r="C16" s="59">
        <f>((((A16*2)+(B16*2))*MATERIALES!$C$57)+(((A16*2)+(B16*2))*MATERIALES!$C$73))*(MATERIALES!$F$2*MATERIALES!$J$15)</f>
        <v>0</v>
      </c>
      <c r="D16" s="59">
        <f>(4*MATERIALES!$C$189)+((((A16*2)+(B16*2))/0.1)*MATERIALES!$C$192)+(((A16*2)+(B16*2))*MATERIALES!$C$165)+(0.5*MATERIALES!$C$167)+(4*MATERIALES!$C$148)+(((A16*5)*2)*MATERIALES!$C$147)+(2*MATERIALES!$C$187)</f>
        <v>660.6475200000001</v>
      </c>
      <c r="E16" s="75"/>
      <c r="F16" s="55">
        <f>(A16*B16)*MATERIALES!$D$82</f>
        <v>636</v>
      </c>
      <c r="G16" s="55">
        <f>(((A16*B16)*2)*MATERIALES!$D$83)+(4*MATERIALES!$C$229)+(((A16*2)+(B16*2))*MATERIALES!$C$230)+(((A16*2)+(B16*2))*MATERIALES!$C$231)+((((A16*2)+(B16*2))/15)*MATERIALES!$C$232)+((((A16*2)+(B16*2))/15)*(MATERIALES!$C$233*0.15))</f>
        <v>2603.3404799999998</v>
      </c>
      <c r="H16" s="55">
        <f>(A16*B16)*MATERIALES!$D$89</f>
        <v>2148</v>
      </c>
      <c r="I16" s="124">
        <f t="shared" si="0"/>
        <v>2130.8417760000002</v>
      </c>
      <c r="J16" s="143">
        <f t="shared" si="1"/>
        <v>6065.5227359999999</v>
      </c>
      <c r="K16" s="70">
        <f t="shared" si="2"/>
        <v>4080.8417760000002</v>
      </c>
      <c r="M16" s="263" t="s">
        <v>549</v>
      </c>
      <c r="N16" s="246">
        <f t="shared" si="3"/>
        <v>2130.8417760000002</v>
      </c>
      <c r="O16" s="246">
        <f t="shared" si="4"/>
        <v>6065.5227359999999</v>
      </c>
      <c r="P16" s="246">
        <f t="shared" si="5"/>
        <v>4080.8417760000002</v>
      </c>
      <c r="Q16" s="246">
        <f>+'MODENA CLASICA CORREDIZA'!M16</f>
        <v>0</v>
      </c>
      <c r="R16" s="252"/>
    </row>
    <row r="17" spans="1:19" ht="15.75">
      <c r="A17" s="68">
        <v>1</v>
      </c>
      <c r="B17" s="69">
        <v>1.5</v>
      </c>
      <c r="C17" s="59">
        <f>((((A17*2)+(B17*2))*MATERIALES!$C$57)+(((A17*2)+(B17*2))*MATERIALES!$C$73))*(MATERIALES!$F$2*MATERIALES!$J$15)</f>
        <v>0</v>
      </c>
      <c r="D17" s="59">
        <f>(4*MATERIALES!$C$189)+((((A17*2)+(B17*2))/0.1)*MATERIALES!$C$192)+(((A17*2)+(B17*2))*MATERIALES!$C$165)+(0.5*MATERIALES!$C$167)+(4*MATERIALES!$C$148)+(((A17*5)*2)*MATERIALES!$C$147)+(2*MATERIALES!$C$187)</f>
        <v>686.55600000000004</v>
      </c>
      <c r="E17" s="75"/>
      <c r="F17" s="55">
        <f>(A17*B17)*MATERIALES!$D$82</f>
        <v>795</v>
      </c>
      <c r="G17" s="55">
        <f>(((A17*B17)*2)*MATERIALES!$D$83)+(4*MATERIALES!$C$229)+(((A17*2)+(B17*2))*MATERIALES!$C$230)+(((A17*2)+(B17*2))*MATERIALES!$C$231)+((((A17*2)+(B17*2))/15)*MATERIALES!$C$232)+((((A17*2)+(B17*2))/15)*(MATERIALES!$C$233*0.15))</f>
        <v>3132.636</v>
      </c>
      <c r="H17" s="55">
        <f>(A17*B17)*MATERIALES!$D$89</f>
        <v>2685</v>
      </c>
      <c r="I17" s="124">
        <f t="shared" si="0"/>
        <v>2482.5228000000002</v>
      </c>
      <c r="J17" s="143">
        <f t="shared" si="1"/>
        <v>7157.7947999999997</v>
      </c>
      <c r="K17" s="70">
        <f t="shared" si="2"/>
        <v>4920.0227999999997</v>
      </c>
      <c r="M17" s="263" t="s">
        <v>550</v>
      </c>
      <c r="N17" s="246">
        <f t="shared" si="3"/>
        <v>2482.5228000000002</v>
      </c>
      <c r="O17" s="246">
        <f t="shared" si="4"/>
        <v>7157.7947999999997</v>
      </c>
      <c r="P17" s="246">
        <f t="shared" si="5"/>
        <v>4920.0227999999997</v>
      </c>
      <c r="Q17" s="246">
        <f>+'MODENA CLASICA CORREDIZA'!M17</f>
        <v>0</v>
      </c>
      <c r="R17" s="252"/>
    </row>
    <row r="18" spans="1:19" ht="15.75">
      <c r="A18" s="68">
        <v>1.2</v>
      </c>
      <c r="B18" s="69">
        <v>0.4</v>
      </c>
      <c r="C18" s="59">
        <f>((((A18*2)+(B18*2))*MATERIALES!$C$57)+(((A18*2)+(B18*2))*MATERIALES!$C$73))*(MATERIALES!$F$2*MATERIALES!$J$15)</f>
        <v>0</v>
      </c>
      <c r="D18" s="59">
        <f>(4*MATERIALES!$C$189)+((((A18*2)+(B18*2))/0.1)*MATERIALES!$C$192)+(((A18*2)+(B18*2))*MATERIALES!$C$165)+(0.5*MATERIALES!$C$167)+(4*MATERIALES!$C$148)+(((A18*5)*2)*MATERIALES!$C$147)+(2*MATERIALES!$C$187)</f>
        <v>608.8305600000001</v>
      </c>
      <c r="E18" s="75"/>
      <c r="F18" s="55">
        <f>(A18*B18)*MATERIALES!$D$82</f>
        <v>254.39999999999998</v>
      </c>
      <c r="G18" s="55">
        <f>(((A18*B18)*2)*MATERIALES!$D$83)+(4*MATERIALES!$C$229)+(((A18*2)+(B18*2))*MATERIALES!$C$230)+(((A18*2)+(B18*2))*MATERIALES!$C$231)+((((A18*2)+(B18*2))/15)*MATERIALES!$C$232)+((((A18*2)+(B18*2))/15)*(MATERIALES!$C$233*0.15))</f>
        <v>1388.74944</v>
      </c>
      <c r="H18" s="55">
        <f>(A18*B18)*MATERIALES!$D$89</f>
        <v>859.19999999999993</v>
      </c>
      <c r="I18" s="124">
        <f t="shared" si="0"/>
        <v>1300.279728</v>
      </c>
      <c r="J18" s="143">
        <f t="shared" si="1"/>
        <v>3568.9786080000003</v>
      </c>
      <c r="K18" s="70">
        <f t="shared" si="2"/>
        <v>2080.279728</v>
      </c>
      <c r="M18" s="263" t="s">
        <v>551</v>
      </c>
      <c r="N18" s="246">
        <f t="shared" si="3"/>
        <v>1300.279728</v>
      </c>
      <c r="O18" s="246">
        <f t="shared" si="4"/>
        <v>3568.9786080000003</v>
      </c>
      <c r="P18" s="246">
        <f t="shared" si="5"/>
        <v>2080.279728</v>
      </c>
      <c r="Q18" s="246">
        <f>+'MODENA CLASICA CORREDIZA'!M18</f>
        <v>0</v>
      </c>
      <c r="R18" s="252"/>
    </row>
    <row r="19" spans="1:19" ht="15.75">
      <c r="A19" s="68">
        <v>1.2</v>
      </c>
      <c r="B19" s="69">
        <v>0.6</v>
      </c>
      <c r="C19" s="59">
        <f>((((A19*2)+(B19*2))*MATERIALES!$C$57)+(((A19*2)+(B19*2))*MATERIALES!$C$73))*(MATERIALES!$F$2*MATERIALES!$J$15)</f>
        <v>0</v>
      </c>
      <c r="D19" s="59">
        <f>(4*MATERIALES!$C$189)+((((A19*2)+(B19*2))/0.1)*MATERIALES!$C$192)+(((A19*2)+(B19*2))*MATERIALES!$C$165)+(0.5*MATERIALES!$C$167)+(4*MATERIALES!$C$148)+(((A19*5)*2)*MATERIALES!$C$147)+(2*MATERIALES!$C$187)</f>
        <v>626.10288000000003</v>
      </c>
      <c r="E19" s="75"/>
      <c r="F19" s="55">
        <f>(A19*B19)*MATERIALES!$D$82</f>
        <v>381.59999999999997</v>
      </c>
      <c r="G19" s="55">
        <f>(((A19*B19)*2)*MATERIALES!$D$83)+(4*MATERIALES!$C$229)+(((A19*2)+(B19*2))*MATERIALES!$C$230)+(((A19*2)+(B19*2))*MATERIALES!$C$231)+((((A19*2)+(B19*2))/15)*MATERIALES!$C$232)+((((A19*2)+(B19*2))/15)*(MATERIALES!$C$233*0.15))</f>
        <v>1793.6131199999998</v>
      </c>
      <c r="H19" s="55">
        <f>(A19*B19)*MATERIALES!$D$89</f>
        <v>1288.8</v>
      </c>
      <c r="I19" s="124">
        <f t="shared" si="0"/>
        <v>1577.133744</v>
      </c>
      <c r="J19" s="143">
        <f t="shared" si="1"/>
        <v>4401.1599839999999</v>
      </c>
      <c r="K19" s="70">
        <f t="shared" si="2"/>
        <v>2747.1337439999998</v>
      </c>
      <c r="M19" s="263" t="s">
        <v>552</v>
      </c>
      <c r="N19" s="246">
        <f t="shared" si="3"/>
        <v>1577.133744</v>
      </c>
      <c r="O19" s="246">
        <f t="shared" si="4"/>
        <v>4401.1599839999999</v>
      </c>
      <c r="P19" s="246">
        <f t="shared" si="5"/>
        <v>2747.1337439999998</v>
      </c>
      <c r="Q19" s="246">
        <f>+'MODENA CLASICA CORREDIZA'!M19</f>
        <v>0</v>
      </c>
      <c r="R19" s="252"/>
    </row>
    <row r="20" spans="1:19" ht="15.75">
      <c r="A20" s="68">
        <v>1.2</v>
      </c>
      <c r="B20" s="69">
        <v>0.8</v>
      </c>
      <c r="C20" s="59">
        <f>((((A20*2)+(B20*2))*MATERIALES!$C$57)+(((A20*2)+(B20*2))*MATERIALES!$C$73))*(MATERIALES!$F$2*MATERIALES!$J$15)</f>
        <v>0</v>
      </c>
      <c r="D20" s="59">
        <f>(4*MATERIALES!$C$189)+((((A20*2)+(B20*2))/0.1)*MATERIALES!$C$192)+(((A20*2)+(B20*2))*MATERIALES!$C$165)+(0.5*MATERIALES!$C$167)+(4*MATERIALES!$C$148)+(((A20*5)*2)*MATERIALES!$C$147)+(2*MATERIALES!$C$187)</f>
        <v>643.37520000000006</v>
      </c>
      <c r="E20" s="75"/>
      <c r="F20" s="55">
        <f>(A20*B20)*MATERIALES!$D$82</f>
        <v>508.79999999999995</v>
      </c>
      <c r="G20" s="55">
        <f>(((A20*B20)*2)*MATERIALES!$D$83)+(4*MATERIALES!$C$229)+(((A20*2)+(B20*2))*MATERIALES!$C$230)+(((A20*2)+(B20*2))*MATERIALES!$C$231)+((((A20*2)+(B20*2))/15)*MATERIALES!$C$232)+((((A20*2)+(B20*2))/15)*(MATERIALES!$C$233*0.15))</f>
        <v>2198.4767999999999</v>
      </c>
      <c r="H20" s="55">
        <f>(A20*B20)*MATERIALES!$D$89</f>
        <v>1718.3999999999999</v>
      </c>
      <c r="I20" s="124">
        <f t="shared" si="0"/>
        <v>1853.98776</v>
      </c>
      <c r="J20" s="143">
        <f t="shared" si="1"/>
        <v>5233.3413600000003</v>
      </c>
      <c r="K20" s="70">
        <f t="shared" si="2"/>
        <v>3413.98776</v>
      </c>
      <c r="M20" s="263" t="s">
        <v>553</v>
      </c>
      <c r="N20" s="246">
        <f t="shared" si="3"/>
        <v>1853.98776</v>
      </c>
      <c r="O20" s="246">
        <f t="shared" si="4"/>
        <v>5233.3413600000003</v>
      </c>
      <c r="P20" s="246">
        <f t="shared" si="5"/>
        <v>3413.98776</v>
      </c>
      <c r="Q20" s="246">
        <f>+'MODENA CLASICA CORREDIZA'!M20</f>
        <v>0</v>
      </c>
      <c r="R20" s="252"/>
    </row>
    <row r="21" spans="1:19" ht="15.75">
      <c r="A21" s="68">
        <v>1.2</v>
      </c>
      <c r="B21" s="69">
        <v>1</v>
      </c>
      <c r="C21" s="59">
        <f>((((A21*2)+(B21*2))*MATERIALES!$C$57)+(((A21*2)+(B21*2))*MATERIALES!$C$73))*(MATERIALES!$F$2*MATERIALES!$J$15)</f>
        <v>0</v>
      </c>
      <c r="D21" s="59">
        <f>(4*MATERIALES!$C$189)+((((A21*2)+(B21*2))/0.1)*MATERIALES!$C$192)+(((A21*2)+(B21*2))*MATERIALES!$C$165)+(0.5*MATERIALES!$C$167)+(4*MATERIALES!$C$148)+(((A21*5)*2)*MATERIALES!$C$147)+(2*MATERIALES!$C$187)</f>
        <v>660.6475200000001</v>
      </c>
      <c r="E21" s="75"/>
      <c r="F21" s="55">
        <f>(A21*B21)*MATERIALES!$D$82</f>
        <v>636</v>
      </c>
      <c r="G21" s="55">
        <f>(((A21*B21)*2)*MATERIALES!$D$83)+(4*MATERIALES!$C$229)+(((A21*2)+(B21*2))*MATERIALES!$C$230)+(((A21*2)+(B21*2))*MATERIALES!$C$231)+((((A21*2)+(B21*2))/15)*MATERIALES!$C$232)+((((A21*2)+(B21*2))/15)*(MATERIALES!$C$233*0.15))</f>
        <v>2603.3404799999998</v>
      </c>
      <c r="H21" s="55">
        <f>(A21*B21)*MATERIALES!$D$89</f>
        <v>2148</v>
      </c>
      <c r="I21" s="124">
        <f t="shared" si="0"/>
        <v>2130.8417760000002</v>
      </c>
      <c r="J21" s="143">
        <f t="shared" si="1"/>
        <v>6065.5227359999999</v>
      </c>
      <c r="K21" s="70">
        <f t="shared" si="2"/>
        <v>4080.8417760000002</v>
      </c>
      <c r="M21" s="263" t="s">
        <v>554</v>
      </c>
      <c r="N21" s="246">
        <f t="shared" si="3"/>
        <v>2130.8417760000002</v>
      </c>
      <c r="O21" s="246">
        <f t="shared" si="4"/>
        <v>6065.5227359999999</v>
      </c>
      <c r="P21" s="246">
        <f t="shared" si="5"/>
        <v>4080.8417760000002</v>
      </c>
      <c r="Q21" s="246">
        <f>+'MODENA CLASICA CORREDIZA'!M21</f>
        <v>0</v>
      </c>
      <c r="R21" s="252"/>
    </row>
    <row r="22" spans="1:19" ht="15.75">
      <c r="A22" s="68">
        <v>1.2</v>
      </c>
      <c r="B22" s="69">
        <v>1.1000000000000001</v>
      </c>
      <c r="C22" s="59">
        <f>((((A22*2)+(B22*2))*MATERIALES!$C$57)+(((A22*2)+(B22*2))*MATERIALES!$C$73))*(MATERIALES!$F$2*MATERIALES!$J$15)</f>
        <v>0</v>
      </c>
      <c r="D22" s="59">
        <f>(4*MATERIALES!$C$189)+((((A22*2)+(B22*2))/0.1)*MATERIALES!$C$192)+(((A22*2)+(B22*2))*MATERIALES!$C$165)+(0.5*MATERIALES!$C$167)+(4*MATERIALES!$C$148)+(((A22*5)*2)*MATERIALES!$C$147)+(2*MATERIALES!$C$187)</f>
        <v>669.28368</v>
      </c>
      <c r="E22" s="75"/>
      <c r="F22" s="55">
        <f>(A22*B22)*MATERIALES!$D$82</f>
        <v>699.6</v>
      </c>
      <c r="G22" s="55">
        <f>(((A22*B22)*2)*MATERIALES!$D$83)+(4*MATERIALES!$C$229)+(((A22*2)+(B22*2))*MATERIALES!$C$230)+(((A22*2)+(B22*2))*MATERIALES!$C$231)+((((A22*2)+(B22*2))/15)*MATERIALES!$C$232)+((((A22*2)+(B22*2))/15)*(MATERIALES!$C$233*0.15))</f>
        <v>2805.77232</v>
      </c>
      <c r="H22" s="55">
        <f>(A22*B22)*MATERIALES!$D$89</f>
        <v>2362.8000000000002</v>
      </c>
      <c r="I22" s="124">
        <f t="shared" si="0"/>
        <v>2269.2687839999999</v>
      </c>
      <c r="J22" s="143">
        <f t="shared" si="1"/>
        <v>6481.6134240000001</v>
      </c>
      <c r="K22" s="70">
        <f t="shared" si="2"/>
        <v>4414.2687839999999</v>
      </c>
      <c r="M22" s="263" t="s">
        <v>555</v>
      </c>
      <c r="N22" s="246">
        <f t="shared" si="3"/>
        <v>2269.2687839999999</v>
      </c>
      <c r="O22" s="246">
        <f t="shared" si="4"/>
        <v>6481.6134240000001</v>
      </c>
      <c r="P22" s="246">
        <f t="shared" si="5"/>
        <v>4414.2687839999999</v>
      </c>
      <c r="Q22" s="246">
        <f>+'MODENA CLASICA CORREDIZA'!M22</f>
        <v>0</v>
      </c>
      <c r="R22" s="252"/>
    </row>
    <row r="23" spans="1:19" ht="15.75">
      <c r="A23" s="68">
        <v>1.2</v>
      </c>
      <c r="B23" s="69">
        <v>1.2</v>
      </c>
      <c r="C23" s="59">
        <f>((((A23*2)+(B23*2))*MATERIALES!$C$57)+(((A23*2)+(B23*2))*MATERIALES!$C$73))*(MATERIALES!$F$2*MATERIALES!$J$15)</f>
        <v>0</v>
      </c>
      <c r="D23" s="59">
        <f>(4*MATERIALES!$C$189)+((((A23*2)+(B23*2))/0.1)*MATERIALES!$C$192)+(((A23*2)+(B23*2))*MATERIALES!$C$165)+(0.5*MATERIALES!$C$167)+(4*MATERIALES!$C$148)+(((A23*5)*2)*MATERIALES!$C$147)+(2*MATERIALES!$C$187)</f>
        <v>677.91984000000002</v>
      </c>
      <c r="E23" s="75"/>
      <c r="F23" s="55">
        <f>(A23*B23)*MATERIALES!$D$82</f>
        <v>763.19999999999993</v>
      </c>
      <c r="G23" s="55">
        <f>(((A23*B23)*2)*MATERIALES!$D$83)+(4*MATERIALES!$C$229)+(((A23*2)+(B23*2))*MATERIALES!$C$230)+(((A23*2)+(B23*2))*MATERIALES!$C$231)+((((A23*2)+(B23*2))/15)*MATERIALES!$C$232)+((((A23*2)+(B23*2))/15)*(MATERIALES!$C$233*0.15))</f>
        <v>3008.2041600000002</v>
      </c>
      <c r="H23" s="55">
        <f>(A23*B23)*MATERIALES!$D$89</f>
        <v>2577.6</v>
      </c>
      <c r="I23" s="124">
        <f t="shared" si="0"/>
        <v>2407.695792</v>
      </c>
      <c r="J23" s="143">
        <f t="shared" si="1"/>
        <v>6897.7041120000004</v>
      </c>
      <c r="K23" s="70">
        <f t="shared" si="2"/>
        <v>4747.6957919999995</v>
      </c>
      <c r="M23" s="263" t="s">
        <v>556</v>
      </c>
      <c r="N23" s="246">
        <f t="shared" si="3"/>
        <v>2407.695792</v>
      </c>
      <c r="O23" s="246">
        <f t="shared" si="4"/>
        <v>6897.7041120000004</v>
      </c>
      <c r="P23" s="246">
        <f t="shared" si="5"/>
        <v>4747.6957919999995</v>
      </c>
      <c r="Q23" s="246">
        <f>+'MODENA CLASICA CORREDIZA'!M23</f>
        <v>0</v>
      </c>
      <c r="R23" s="252"/>
    </row>
    <row r="24" spans="1:19" ht="15.75">
      <c r="A24" s="68">
        <v>1.2</v>
      </c>
      <c r="B24" s="69">
        <v>1.5</v>
      </c>
      <c r="C24" s="59">
        <f>((((A24*2)+(B24*2))*MATERIALES!$C$57)+(((A24*2)+(B24*2))*MATERIALES!$C$73))*(MATERIALES!$F$2*MATERIALES!$J$15)</f>
        <v>0</v>
      </c>
      <c r="D24" s="59">
        <f>(4*MATERIALES!$C$189)+((((A24*2)+(B24*2))/0.1)*MATERIALES!$C$192)+(((A24*2)+(B24*2))*MATERIALES!$C$165)+(0.5*MATERIALES!$C$167)+(4*MATERIALES!$C$148)+(((A24*5)*2)*MATERIALES!$C$147)+(2*MATERIALES!$C$187)</f>
        <v>703.82832000000008</v>
      </c>
      <c r="E24" s="75"/>
      <c r="F24" s="55">
        <f>(A24*B24)*MATERIALES!$D$82</f>
        <v>953.99999999999989</v>
      </c>
      <c r="G24" s="55">
        <f>(((A24*B24)*2)*MATERIALES!$D$83)+(4*MATERIALES!$C$229)+(((A24*2)+(B24*2))*MATERIALES!$C$230)+(((A24*2)+(B24*2))*MATERIALES!$C$231)+((((A24*2)+(B24*2))/15)*MATERIALES!$C$232)+((((A24*2)+(B24*2))/15)*(MATERIALES!$C$233*0.15))</f>
        <v>3615.4996799999999</v>
      </c>
      <c r="H24" s="55">
        <f>(A24*B24)*MATERIALES!$D$89</f>
        <v>3221.9999999999995</v>
      </c>
      <c r="I24" s="124">
        <f t="shared" si="0"/>
        <v>2822.9768159999999</v>
      </c>
      <c r="J24" s="143">
        <f t="shared" si="1"/>
        <v>8145.9761760000001</v>
      </c>
      <c r="K24" s="70">
        <f t="shared" si="2"/>
        <v>5747.9768159999994</v>
      </c>
      <c r="M24" s="263" t="s">
        <v>557</v>
      </c>
      <c r="N24" s="246">
        <f t="shared" si="3"/>
        <v>2822.9768159999999</v>
      </c>
      <c r="O24" s="246">
        <f t="shared" si="4"/>
        <v>8145.9761760000001</v>
      </c>
      <c r="P24" s="246">
        <f t="shared" si="5"/>
        <v>5747.9768159999994</v>
      </c>
      <c r="Q24" s="246">
        <f>+'MODENA CLASICA CORREDIZA'!M24</f>
        <v>0</v>
      </c>
      <c r="R24" s="252"/>
    </row>
    <row r="25" spans="1:19" ht="15.75">
      <c r="A25" s="68">
        <v>1.2</v>
      </c>
      <c r="B25" s="69">
        <v>1.8</v>
      </c>
      <c r="C25" s="59">
        <f>((((A25*2)+(B25*2))*MATERIALES!$C$57)+(((A25*2)+(B25*2))*MATERIALES!$C$73))*(MATERIALES!$F$2*MATERIALES!$J$15)</f>
        <v>0</v>
      </c>
      <c r="D25" s="59">
        <f>(4*MATERIALES!$C$189)+((((A25*2)+(B25*2))/0.1)*MATERIALES!$C$192)+(((A25*2)+(B25*2))*MATERIALES!$C$165)+(0.5*MATERIALES!$C$167)+(4*MATERIALES!$C$148)+(((A25*5)*2)*MATERIALES!$C$147)+(2*MATERIALES!$C$187)</f>
        <v>729.73680000000002</v>
      </c>
      <c r="E25" s="75"/>
      <c r="F25" s="55">
        <f>(A25*B25)*MATERIALES!$D$82</f>
        <v>1144.8000000000002</v>
      </c>
      <c r="G25" s="55">
        <f>(((A25*B25)*2)*MATERIALES!$D$83)+(4*MATERIALES!$C$229)+(((A25*2)+(B25*2))*MATERIALES!$C$230)+(((A25*2)+(B25*2))*MATERIALES!$C$231)+((((A25*2)+(B25*2))/15)*MATERIALES!$C$232)+((((A25*2)+(B25*2))/15)*(MATERIALES!$C$233*0.15))</f>
        <v>4222.7952000000005</v>
      </c>
      <c r="H25" s="55">
        <f>(A25*B25)*MATERIALES!$D$89</f>
        <v>3866.4</v>
      </c>
      <c r="I25" s="124">
        <f t="shared" si="0"/>
        <v>3238.2578400000002</v>
      </c>
      <c r="J25" s="143">
        <f t="shared" si="1"/>
        <v>9394.2482400000008</v>
      </c>
      <c r="K25" s="70">
        <f t="shared" si="2"/>
        <v>6748.2578400000002</v>
      </c>
      <c r="M25" s="263" t="s">
        <v>558</v>
      </c>
      <c r="N25" s="246">
        <f t="shared" si="3"/>
        <v>3238.2578400000002</v>
      </c>
      <c r="O25" s="246">
        <f t="shared" si="4"/>
        <v>9394.2482400000008</v>
      </c>
      <c r="P25" s="246">
        <f t="shared" si="5"/>
        <v>6748.2578400000002</v>
      </c>
      <c r="Q25" s="246">
        <f>+'MODENA CLASICA CORREDIZA'!M25</f>
        <v>0</v>
      </c>
      <c r="R25" s="252"/>
    </row>
    <row r="26" spans="1:19" ht="15.75">
      <c r="A26" s="68">
        <v>1.5</v>
      </c>
      <c r="B26" s="69">
        <v>0.4</v>
      </c>
      <c r="C26" s="59">
        <f>((((A26*2)+(B26*2))*MATERIALES!$C$57)+(((A26*2)+(B26*2))*MATERIALES!$C$73))*(MATERIALES!$F$2*MATERIALES!$J$15)</f>
        <v>0</v>
      </c>
      <c r="D26" s="59">
        <f>(4*MATERIALES!$C$189)+((((A26*2)+(B26*2))/0.1)*MATERIALES!$C$192)+(((A26*2)+(B26*2))*MATERIALES!$C$165)+(0.5*MATERIALES!$C$167)+(4*MATERIALES!$C$148)+(((A26*5)*2)*MATERIALES!$C$147)+(2*MATERIALES!$C$187)</f>
        <v>634.73904000000005</v>
      </c>
      <c r="E26" s="75"/>
      <c r="F26" s="55">
        <f>(A26*B26)*MATERIALES!$D$82</f>
        <v>318.00000000000006</v>
      </c>
      <c r="G26" s="55">
        <f>(((A26*B26)*2)*MATERIALES!$D$83)+(4*MATERIALES!$C$229)+(((A26*2)+(B26*2))*MATERIALES!$C$230)+(((A26*2)+(B26*2))*MATERIALES!$C$231)+((((A26*2)+(B26*2))/15)*MATERIALES!$C$232)+((((A26*2)+(B26*2))/15)*(MATERIALES!$C$233*0.15))</f>
        <v>1684.0449600000004</v>
      </c>
      <c r="H26" s="55">
        <f>(A26*B26)*MATERIALES!$D$89</f>
        <v>1074.0000000000002</v>
      </c>
      <c r="I26" s="124">
        <f t="shared" si="0"/>
        <v>1461.1607520000002</v>
      </c>
      <c r="J26" s="143">
        <f t="shared" si="1"/>
        <v>4193.250672000001</v>
      </c>
      <c r="K26" s="70">
        <f t="shared" si="2"/>
        <v>2436.1607520000007</v>
      </c>
      <c r="M26" s="269" t="s">
        <v>559</v>
      </c>
      <c r="N26" s="246">
        <f t="shared" si="3"/>
        <v>1461.1607520000002</v>
      </c>
      <c r="O26" s="246">
        <f t="shared" si="4"/>
        <v>4193.250672000001</v>
      </c>
      <c r="P26" s="246">
        <f t="shared" si="5"/>
        <v>2436.1607520000007</v>
      </c>
      <c r="Q26" s="246">
        <f>+'MODENA CLASICA CORREDIZA'!M26</f>
        <v>0</v>
      </c>
      <c r="R26" s="32"/>
      <c r="S26" s="32"/>
    </row>
    <row r="27" spans="1:19" ht="15.75">
      <c r="A27" s="68">
        <v>1.5</v>
      </c>
      <c r="B27" s="69">
        <v>0.6</v>
      </c>
      <c r="C27" s="59">
        <f>((((A27*2)+(B27*2))*MATERIALES!$C$57)+(((A27*2)+(B27*2))*MATERIALES!$C$73))*(MATERIALES!$F$2*MATERIALES!$J$15)</f>
        <v>0</v>
      </c>
      <c r="D27" s="59">
        <f>(4*MATERIALES!$C$189)+((((A27*2)+(B27*2))/0.1)*MATERIALES!$C$192)+(((A27*2)+(B27*2))*MATERIALES!$C$165)+(0.5*MATERIALES!$C$167)+(4*MATERIALES!$C$148)+(((A27*5)*2)*MATERIALES!$C$147)+(2*MATERIALES!$C$187)</f>
        <v>652.01136000000008</v>
      </c>
      <c r="E27" s="75"/>
      <c r="F27" s="55">
        <f>(A27*B27)*MATERIALES!$D$82</f>
        <v>476.99999999999994</v>
      </c>
      <c r="G27" s="55">
        <f>(((A27*B27)*2)*MATERIALES!$D$83)+(4*MATERIALES!$C$229)+(((A27*2)+(B27*2))*MATERIALES!$C$230)+(((A27*2)+(B27*2))*MATERIALES!$C$231)+((((A27*2)+(B27*2))/15)*MATERIALES!$C$232)+((((A27*2)+(B27*2))/15)*(MATERIALES!$C$233*0.15))</f>
        <v>2166.9086399999997</v>
      </c>
      <c r="H27" s="55">
        <f>(A27*B27)*MATERIALES!$D$89</f>
        <v>1610.9999999999998</v>
      </c>
      <c r="I27" s="124">
        <f t="shared" si="0"/>
        <v>1801.6147679999999</v>
      </c>
      <c r="J27" s="143">
        <f t="shared" si="1"/>
        <v>5181.4320479999997</v>
      </c>
      <c r="K27" s="70">
        <f t="shared" si="2"/>
        <v>3264.1147679999995</v>
      </c>
      <c r="M27" s="269" t="s">
        <v>560</v>
      </c>
      <c r="N27" s="246">
        <f t="shared" si="3"/>
        <v>1801.6147679999999</v>
      </c>
      <c r="O27" s="246">
        <f t="shared" si="4"/>
        <v>5181.4320479999997</v>
      </c>
      <c r="P27" s="246">
        <f t="shared" si="5"/>
        <v>3264.1147679999995</v>
      </c>
      <c r="Q27" s="246">
        <f>+'MODENA CLASICA CORREDIZA'!M27</f>
        <v>0</v>
      </c>
      <c r="R27" s="32"/>
      <c r="S27" s="32"/>
    </row>
    <row r="28" spans="1:19" ht="15.75">
      <c r="A28" s="68">
        <v>1.5</v>
      </c>
      <c r="B28" s="69">
        <v>0.8</v>
      </c>
      <c r="C28" s="59">
        <f>((((A28*2)+(B28*2))*MATERIALES!$C$57)+(((A28*2)+(B28*2))*MATERIALES!$C$73))*(MATERIALES!$F$2*MATERIALES!$J$15)</f>
        <v>0</v>
      </c>
      <c r="D28" s="59">
        <f>(4*MATERIALES!$C$189)+((((A28*2)+(B28*2))/0.1)*MATERIALES!$C$192)+(((A28*2)+(B28*2))*MATERIALES!$C$165)+(0.5*MATERIALES!$C$167)+(4*MATERIALES!$C$148)+(((A28*5)*2)*MATERIALES!$C$147)+(2*MATERIALES!$C$187)</f>
        <v>669.28368</v>
      </c>
      <c r="E28" s="75"/>
      <c r="F28" s="55">
        <f>(A28*B28)*MATERIALES!$D$82</f>
        <v>636.00000000000011</v>
      </c>
      <c r="G28" s="55">
        <f>(((A28*B28)*2)*MATERIALES!$D$83)+(4*MATERIALES!$C$229)+(((A28*2)+(B28*2))*MATERIALES!$C$230)+(((A28*2)+(B28*2))*MATERIALES!$C$231)+((((A28*2)+(B28*2))/15)*MATERIALES!$C$232)+((((A28*2)+(B28*2))/15)*(MATERIALES!$C$233*0.15))</f>
        <v>2649.77232</v>
      </c>
      <c r="H28" s="55">
        <f>(A28*B28)*MATERIALES!$D$89</f>
        <v>2148.0000000000005</v>
      </c>
      <c r="I28" s="124">
        <f t="shared" si="0"/>
        <v>2142.0687840000001</v>
      </c>
      <c r="J28" s="143">
        <f t="shared" si="1"/>
        <v>6169.6134240000001</v>
      </c>
      <c r="K28" s="70">
        <f t="shared" si="2"/>
        <v>4092.068784000001</v>
      </c>
      <c r="M28" s="269" t="s">
        <v>561</v>
      </c>
      <c r="N28" s="246">
        <f t="shared" si="3"/>
        <v>2142.0687840000001</v>
      </c>
      <c r="O28" s="246">
        <f t="shared" si="4"/>
        <v>6169.6134240000001</v>
      </c>
      <c r="P28" s="246">
        <f t="shared" si="5"/>
        <v>4092.068784000001</v>
      </c>
      <c r="Q28" s="246">
        <f>+'MODENA CLASICA CORREDIZA'!M28</f>
        <v>0</v>
      </c>
      <c r="R28" s="32"/>
      <c r="S28" s="32"/>
    </row>
    <row r="29" spans="1:19" ht="15.75">
      <c r="A29" s="68">
        <v>1.5</v>
      </c>
      <c r="B29" s="69">
        <v>1</v>
      </c>
      <c r="C29" s="59">
        <f>((((A29*2)+(B29*2))*MATERIALES!$C$57)+(((A29*2)+(B29*2))*MATERIALES!$C$73))*(MATERIALES!$F$2*MATERIALES!$J$15)</f>
        <v>0</v>
      </c>
      <c r="D29" s="59">
        <f>(4*MATERIALES!$C$189)+((((A29*2)+(B29*2))/0.1)*MATERIALES!$C$192)+(((A29*2)+(B29*2))*MATERIALES!$C$165)+(0.5*MATERIALES!$C$167)+(4*MATERIALES!$C$148)+(((A29*5)*2)*MATERIALES!$C$147)+(2*MATERIALES!$C$187)</f>
        <v>686.55600000000004</v>
      </c>
      <c r="E29" s="75"/>
      <c r="F29" s="55">
        <f>(A29*B29)*MATERIALES!$D$82</f>
        <v>795</v>
      </c>
      <c r="G29" s="55">
        <f>(((A29*B29)*2)*MATERIALES!$D$83)+(4*MATERIALES!$C$229)+(((A29*2)+(B29*2))*MATERIALES!$C$230)+(((A29*2)+(B29*2))*MATERIALES!$C$231)+((((A29*2)+(B29*2))/15)*MATERIALES!$C$232)+((((A29*2)+(B29*2))/15)*(MATERIALES!$C$233*0.15))</f>
        <v>3132.636</v>
      </c>
      <c r="H29" s="55">
        <f>(A29*B29)*MATERIALES!$D$89</f>
        <v>2685</v>
      </c>
      <c r="I29" s="124">
        <f t="shared" si="0"/>
        <v>2482.5228000000002</v>
      </c>
      <c r="J29" s="143">
        <f t="shared" si="1"/>
        <v>7157.7947999999997</v>
      </c>
      <c r="K29" s="70">
        <f t="shared" si="2"/>
        <v>4920.0227999999997</v>
      </c>
      <c r="M29" s="269" t="s">
        <v>562</v>
      </c>
      <c r="N29" s="246">
        <f t="shared" si="3"/>
        <v>2482.5228000000002</v>
      </c>
      <c r="O29" s="246">
        <f t="shared" si="4"/>
        <v>7157.7947999999997</v>
      </c>
      <c r="P29" s="246">
        <f t="shared" si="5"/>
        <v>4920.0227999999997</v>
      </c>
      <c r="Q29" s="246">
        <f>+'MODENA CLASICA CORREDIZA'!M29</f>
        <v>0</v>
      </c>
    </row>
    <row r="30" spans="1:19" ht="15.75">
      <c r="A30" s="68">
        <v>1.5</v>
      </c>
      <c r="B30" s="69">
        <v>1.1000000000000001</v>
      </c>
      <c r="C30" s="59">
        <f>((((A30*2)+(B30*2))*MATERIALES!$C$57)+(((A30*2)+(B30*2))*MATERIALES!$C$73))*(MATERIALES!$F$2*MATERIALES!$J$15)</f>
        <v>0</v>
      </c>
      <c r="D30" s="59">
        <f>(4*MATERIALES!$C$189)+((((A30*2)+(B30*2))/0.1)*MATERIALES!$C$192)+(((A30*2)+(B30*2))*MATERIALES!$C$165)+(0.5*MATERIALES!$C$167)+(4*MATERIALES!$C$148)+(((A30*5)*2)*MATERIALES!$C$147)+(2*MATERIALES!$C$187)</f>
        <v>695.19216000000006</v>
      </c>
      <c r="E30" s="75"/>
      <c r="F30" s="55">
        <f>(A30*B30)*MATERIALES!$D$82</f>
        <v>874.50000000000011</v>
      </c>
      <c r="G30" s="55">
        <f>(((A30*B30)*2)*MATERIALES!$D$83)+(4*MATERIALES!$C$229)+(((A30*2)+(B30*2))*MATERIALES!$C$230)+(((A30*2)+(B30*2))*MATERIALES!$C$231)+((((A30*2)+(B30*2))/15)*MATERIALES!$C$232)+((((A30*2)+(B30*2))/15)*(MATERIALES!$C$233*0.15))</f>
        <v>3374.0678400000002</v>
      </c>
      <c r="H30" s="55">
        <f>(A30*B30)*MATERIALES!$D$89</f>
        <v>2953.5000000000005</v>
      </c>
      <c r="I30" s="124">
        <f t="shared" si="0"/>
        <v>2652.7498080000005</v>
      </c>
      <c r="J30" s="143">
        <f t="shared" si="1"/>
        <v>7651.8854880000008</v>
      </c>
      <c r="K30" s="70">
        <f t="shared" si="2"/>
        <v>5333.9998080000014</v>
      </c>
      <c r="M30" s="269" t="s">
        <v>563</v>
      </c>
      <c r="N30" s="246">
        <f t="shared" si="3"/>
        <v>2652.7498080000005</v>
      </c>
      <c r="O30" s="246">
        <f t="shared" si="4"/>
        <v>7651.8854880000008</v>
      </c>
      <c r="P30" s="246">
        <f t="shared" si="5"/>
        <v>5333.9998080000014</v>
      </c>
      <c r="Q30" s="246">
        <f>+'MODENA CLASICA CORREDIZA'!M30</f>
        <v>0</v>
      </c>
    </row>
    <row r="31" spans="1:19" ht="15.75">
      <c r="A31" s="68">
        <v>1.5</v>
      </c>
      <c r="B31" s="69">
        <v>1.2</v>
      </c>
      <c r="C31" s="59">
        <f>((((A31*2)+(B31*2))*MATERIALES!$C$57)+(((A31*2)+(B31*2))*MATERIALES!$C$73))*(MATERIALES!$F$2*MATERIALES!$J$15)</f>
        <v>0</v>
      </c>
      <c r="D31" s="59">
        <f>(4*MATERIALES!$C$189)+((((A31*2)+(B31*2))/0.1)*MATERIALES!$C$192)+(((A31*2)+(B31*2))*MATERIALES!$C$165)+(0.5*MATERIALES!$C$167)+(4*MATERIALES!$C$148)+(((A31*5)*2)*MATERIALES!$C$147)+(2*MATERIALES!$C$187)</f>
        <v>703.82832000000008</v>
      </c>
      <c r="E31" s="75"/>
      <c r="F31" s="55">
        <f>(A31*B31)*MATERIALES!$D$82</f>
        <v>953.99999999999989</v>
      </c>
      <c r="G31" s="55">
        <f>(((A31*B31)*2)*MATERIALES!$D$83)+(4*MATERIALES!$C$229)+(((A31*2)+(B31*2))*MATERIALES!$C$230)+(((A31*2)+(B31*2))*MATERIALES!$C$231)+((((A31*2)+(B31*2))/15)*MATERIALES!$C$232)+((((A31*2)+(B31*2))/15)*(MATERIALES!$C$233*0.15))</f>
        <v>3615.4996799999999</v>
      </c>
      <c r="H31" s="55">
        <f>(A31*B31)*MATERIALES!$D$89</f>
        <v>3221.9999999999995</v>
      </c>
      <c r="I31" s="124">
        <f t="shared" si="0"/>
        <v>2822.9768159999999</v>
      </c>
      <c r="J31" s="143">
        <f t="shared" si="1"/>
        <v>8145.9761760000001</v>
      </c>
      <c r="K31" s="70">
        <f t="shared" si="2"/>
        <v>5747.9768159999994</v>
      </c>
      <c r="M31" s="269" t="s">
        <v>564</v>
      </c>
      <c r="N31" s="246">
        <f t="shared" si="3"/>
        <v>2822.9768159999999</v>
      </c>
      <c r="O31" s="246">
        <f t="shared" si="4"/>
        <v>8145.9761760000001</v>
      </c>
      <c r="P31" s="246">
        <f t="shared" si="5"/>
        <v>5747.9768159999994</v>
      </c>
      <c r="Q31" s="246">
        <f>+'MODENA CLASICA CORREDIZA'!M31</f>
        <v>0</v>
      </c>
    </row>
    <row r="32" spans="1:19" ht="15.75">
      <c r="A32" s="68">
        <v>1.5</v>
      </c>
      <c r="B32" s="69">
        <v>1.5</v>
      </c>
      <c r="C32" s="59">
        <f>((((A32*2)+(B32*2))*MATERIALES!$C$57)+(((A32*2)+(B32*2))*MATERIALES!$C$73))*(MATERIALES!$F$2*MATERIALES!$J$15)</f>
        <v>0</v>
      </c>
      <c r="D32" s="59">
        <f>(4*MATERIALES!$C$189)+((((A32*2)+(B32*2))/0.1)*MATERIALES!$C$192)+(((A32*2)+(B32*2))*MATERIALES!$C$165)+(0.5*MATERIALES!$C$167)+(4*MATERIALES!$C$148)+(((A32*5)*2)*MATERIALES!$C$147)+(2*MATERIALES!$C$187)</f>
        <v>729.73680000000002</v>
      </c>
      <c r="E32" s="75"/>
      <c r="F32" s="55">
        <f>(A32*B32)*MATERIALES!$D$82</f>
        <v>1192.5</v>
      </c>
      <c r="G32" s="55">
        <f>(((A32*B32)*2)*MATERIALES!$D$83)+(4*MATERIALES!$C$229)+(((A32*2)+(B32*2))*MATERIALES!$C$230)+(((A32*2)+(B32*2))*MATERIALES!$C$231)+((((A32*2)+(B32*2))/15)*MATERIALES!$C$232)+((((A32*2)+(B32*2))/15)*(MATERIALES!$C$233*0.15))</f>
        <v>4339.7952000000005</v>
      </c>
      <c r="H32" s="55">
        <f>(A32*B32)*MATERIALES!$D$89</f>
        <v>4027.5</v>
      </c>
      <c r="I32" s="124">
        <f t="shared" si="0"/>
        <v>3333.6578399999999</v>
      </c>
      <c r="J32" s="143">
        <f t="shared" si="1"/>
        <v>9628.2482400000008</v>
      </c>
      <c r="K32" s="70">
        <f t="shared" si="2"/>
        <v>6989.9078399999999</v>
      </c>
      <c r="M32" s="269" t="s">
        <v>565</v>
      </c>
      <c r="N32" s="246">
        <f t="shared" si="3"/>
        <v>3333.6578399999999</v>
      </c>
      <c r="O32" s="246">
        <f t="shared" si="4"/>
        <v>9628.2482400000008</v>
      </c>
      <c r="P32" s="246">
        <f t="shared" si="5"/>
        <v>6989.9078399999999</v>
      </c>
      <c r="Q32" s="246">
        <f>+'MODENA CLASICA CORREDIZA'!M32</f>
        <v>0</v>
      </c>
    </row>
    <row r="33" spans="1:17" ht="15.75">
      <c r="A33" s="68">
        <v>1.5</v>
      </c>
      <c r="B33" s="69">
        <v>1.8</v>
      </c>
      <c r="C33" s="59">
        <f>((((A33*2)+(B33*2))*MATERIALES!$C$57)+(((A33*2)+(B33*2))*MATERIALES!$C$73))*(MATERIALES!$F$2*MATERIALES!$J$15)</f>
        <v>0</v>
      </c>
      <c r="D33" s="59">
        <f>(4*MATERIALES!$C$189)+((((A33*2)+(B33*2))/0.1)*MATERIALES!$C$192)+(((A33*2)+(B33*2))*MATERIALES!$C$165)+(0.5*MATERIALES!$C$167)+(4*MATERIALES!$C$148)+(((A33*5)*2)*MATERIALES!$C$147)+(2*MATERIALES!$C$187)</f>
        <v>755.64528000000007</v>
      </c>
      <c r="E33" s="75"/>
      <c r="F33" s="55">
        <f>(A33*B33)*MATERIALES!$D$82</f>
        <v>1431</v>
      </c>
      <c r="G33" s="55">
        <f>(((A33*B33)*2)*MATERIALES!$D$83)+(4*MATERIALES!$C$229)+(((A33*2)+(B33*2))*MATERIALES!$C$230)+(((A33*2)+(B33*2))*MATERIALES!$C$231)+((((A33*2)+(B33*2))/15)*MATERIALES!$C$232)+((((A33*2)+(B33*2))/15)*(MATERIALES!$C$233*0.15))</f>
        <v>5064.0907200000001</v>
      </c>
      <c r="H33" s="55">
        <f>(A33*B33)*MATERIALES!$D$89</f>
        <v>4833</v>
      </c>
      <c r="I33" s="124">
        <f t="shared" si="0"/>
        <v>3844.3388640000003</v>
      </c>
      <c r="J33" s="143">
        <f t="shared" si="1"/>
        <v>11110.520304</v>
      </c>
      <c r="K33" s="70">
        <f t="shared" si="2"/>
        <v>8231.8388639999994</v>
      </c>
      <c r="M33" s="269" t="s">
        <v>566</v>
      </c>
      <c r="N33" s="246">
        <f t="shared" si="3"/>
        <v>3844.3388640000003</v>
      </c>
      <c r="O33" s="246">
        <f t="shared" si="4"/>
        <v>11110.520304</v>
      </c>
      <c r="P33" s="246">
        <f t="shared" si="5"/>
        <v>8231.8388639999994</v>
      </c>
      <c r="Q33" s="246">
        <f>+'MODENA CLASICA CORREDIZA'!M33</f>
        <v>0</v>
      </c>
    </row>
    <row r="34" spans="1:17" ht="15.75">
      <c r="A34" s="68">
        <v>1.8</v>
      </c>
      <c r="B34" s="69">
        <v>0.8</v>
      </c>
      <c r="C34" s="59">
        <f>((((A34*2)+(B34*2))*MATERIALES!$C$57)+(((A34*2)+(B34*2))*MATERIALES!$C$73))*(MATERIALES!$F$2*MATERIALES!$J$15)</f>
        <v>0</v>
      </c>
      <c r="D34" s="59">
        <f>(4*MATERIALES!$C$189)+((((A34*2)+(B34*2))/0.1)*MATERIALES!$C$192)+(((A34*2)+(B34*2))*MATERIALES!$C$165)+(0.5*MATERIALES!$C$167)+(4*MATERIALES!$C$148)+(((A34*5)*2)*MATERIALES!$C$147)+(2*MATERIALES!$C$187)</f>
        <v>695.19216000000006</v>
      </c>
      <c r="E34" s="75"/>
      <c r="F34" s="55">
        <f>(A34*B34)*MATERIALES!$D$82</f>
        <v>763.2</v>
      </c>
      <c r="G34" s="55">
        <f>(((A34*B34)*2)*MATERIALES!$D$83)+(4*MATERIALES!$C$229)+(((A34*2)+(B34*2))*MATERIALES!$C$230)+(((A34*2)+(B34*2))*MATERIALES!$C$231)+((((A34*2)+(B34*2))/15)*MATERIALES!$C$232)+((((A34*2)+(B34*2))/15)*(MATERIALES!$C$233*0.15))</f>
        <v>3101.0678400000002</v>
      </c>
      <c r="H34" s="55">
        <f>(A34*B34)*MATERIALES!$D$89</f>
        <v>2577.6000000000004</v>
      </c>
      <c r="I34" s="124">
        <f t="shared" si="0"/>
        <v>2430.1498080000001</v>
      </c>
      <c r="J34" s="143">
        <f t="shared" si="1"/>
        <v>7105.8854880000008</v>
      </c>
      <c r="K34" s="70">
        <f t="shared" si="2"/>
        <v>4770.149808000001</v>
      </c>
      <c r="M34" s="269" t="s">
        <v>567</v>
      </c>
      <c r="N34" s="246">
        <f t="shared" si="3"/>
        <v>2430.1498080000001</v>
      </c>
      <c r="O34" s="246">
        <f t="shared" si="4"/>
        <v>7105.8854880000008</v>
      </c>
      <c r="P34" s="246">
        <f t="shared" si="5"/>
        <v>4770.149808000001</v>
      </c>
      <c r="Q34" s="246">
        <f>+'MODENA CLASICA CORREDIZA'!M34</f>
        <v>0</v>
      </c>
    </row>
    <row r="35" spans="1:17" ht="15.75">
      <c r="A35" s="68">
        <v>1.8</v>
      </c>
      <c r="B35" s="69">
        <v>1</v>
      </c>
      <c r="C35" s="59">
        <f>((((A35*2)+(B35*2))*MATERIALES!$C$57)+(((A35*2)+(B35*2))*MATERIALES!$C$73))*(MATERIALES!$F$2*MATERIALES!$J$15)</f>
        <v>0</v>
      </c>
      <c r="D35" s="59">
        <f>(4*MATERIALES!$C$189)+((((A35*2)+(B35*2))/0.1)*MATERIALES!$C$192)+(((A35*2)+(B35*2))*MATERIALES!$C$165)+(0.5*MATERIALES!$C$167)+(4*MATERIALES!$C$148)+(((A35*5)*2)*MATERIALES!$C$147)+(2*MATERIALES!$C$187)</f>
        <v>712.46447999999998</v>
      </c>
      <c r="E35" s="75"/>
      <c r="F35" s="55">
        <f>(A35*B35)*MATERIALES!$D$82</f>
        <v>954</v>
      </c>
      <c r="G35" s="55">
        <f>(((A35*B35)*2)*MATERIALES!$D$83)+(4*MATERIALES!$C$229)+(((A35*2)+(B35*2))*MATERIALES!$C$230)+(((A35*2)+(B35*2))*MATERIALES!$C$231)+((((A35*2)+(B35*2))/15)*MATERIALES!$C$232)+((((A35*2)+(B35*2))/15)*(MATERIALES!$C$233*0.15))</f>
        <v>3661.9315200000001</v>
      </c>
      <c r="H35" s="55">
        <f>(A35*B35)*MATERIALES!$D$89</f>
        <v>3222</v>
      </c>
      <c r="I35" s="124">
        <f t="shared" si="0"/>
        <v>2834.2038240000002</v>
      </c>
      <c r="J35" s="143">
        <f t="shared" si="1"/>
        <v>8250.0668640000004</v>
      </c>
      <c r="K35" s="70">
        <f t="shared" si="2"/>
        <v>5759.2038240000002</v>
      </c>
      <c r="M35" s="269" t="s">
        <v>568</v>
      </c>
      <c r="N35" s="246">
        <f t="shared" si="3"/>
        <v>2834.2038240000002</v>
      </c>
      <c r="O35" s="246">
        <f t="shared" si="4"/>
        <v>8250.0668640000004</v>
      </c>
      <c r="P35" s="246">
        <f t="shared" si="5"/>
        <v>5759.2038240000002</v>
      </c>
      <c r="Q35" s="246">
        <f>+'MODENA CLASICA CORREDIZA'!M35</f>
        <v>0</v>
      </c>
    </row>
    <row r="36" spans="1:17" ht="15.75">
      <c r="A36" s="68">
        <v>1.8</v>
      </c>
      <c r="B36" s="69">
        <v>1.1000000000000001</v>
      </c>
      <c r="C36" s="59">
        <f>((((A36*2)+(B36*2))*MATERIALES!$C$57)+(((A36*2)+(B36*2))*MATERIALES!$C$73))*(MATERIALES!$F$2*MATERIALES!$J$15)</f>
        <v>0</v>
      </c>
      <c r="D36" s="59">
        <f>(4*MATERIALES!$C$189)+((((A36*2)+(B36*2))/0.1)*MATERIALES!$C$192)+(((A36*2)+(B36*2))*MATERIALES!$C$165)+(0.5*MATERIALES!$C$167)+(4*MATERIALES!$C$148)+(((A36*5)*2)*MATERIALES!$C$147)+(2*MATERIALES!$C$187)</f>
        <v>721.10064000000011</v>
      </c>
      <c r="E36" s="75"/>
      <c r="F36" s="55">
        <f>(A36*B36)*MATERIALES!$D$82</f>
        <v>1049.4000000000001</v>
      </c>
      <c r="G36" s="55">
        <f>(((A36*B36)*2)*MATERIALES!$D$83)+(4*MATERIALES!$C$229)+(((A36*2)+(B36*2))*MATERIALES!$C$230)+(((A36*2)+(B36*2))*MATERIALES!$C$231)+((((A36*2)+(B36*2))/15)*MATERIALES!$C$232)+((((A36*2)+(B36*2))/15)*(MATERIALES!$C$233*0.15))</f>
        <v>3942.3633600000007</v>
      </c>
      <c r="H36" s="55">
        <f>(A36*B36)*MATERIALES!$D$89</f>
        <v>3544.2000000000003</v>
      </c>
      <c r="I36" s="124">
        <f t="shared" si="0"/>
        <v>3036.2308320000002</v>
      </c>
      <c r="J36" s="143">
        <f t="shared" si="1"/>
        <v>8822.1575520000024</v>
      </c>
      <c r="K36" s="70">
        <f t="shared" si="2"/>
        <v>6253.7308320000002</v>
      </c>
      <c r="M36" s="269" t="s">
        <v>569</v>
      </c>
      <c r="N36" s="246">
        <f t="shared" si="3"/>
        <v>3036.2308320000002</v>
      </c>
      <c r="O36" s="246">
        <f t="shared" si="4"/>
        <v>8822.1575520000024</v>
      </c>
      <c r="P36" s="246">
        <f t="shared" si="5"/>
        <v>6253.7308320000002</v>
      </c>
      <c r="Q36" s="246">
        <f>+'MODENA CLASICA CORREDIZA'!M36</f>
        <v>0</v>
      </c>
    </row>
    <row r="37" spans="1:17" ht="15.75">
      <c r="A37" s="68">
        <v>1.8</v>
      </c>
      <c r="B37" s="69">
        <v>1.2</v>
      </c>
      <c r="C37" s="59">
        <f>((((A37*2)+(B37*2))*MATERIALES!$C$57)+(((A37*2)+(B37*2))*MATERIALES!$C$73))*(MATERIALES!$F$2*MATERIALES!$J$15)</f>
        <v>0</v>
      </c>
      <c r="D37" s="59">
        <f>(4*MATERIALES!$C$189)+((((A37*2)+(B37*2))/0.1)*MATERIALES!$C$192)+(((A37*2)+(B37*2))*MATERIALES!$C$165)+(0.5*MATERIALES!$C$167)+(4*MATERIALES!$C$148)+(((A37*5)*2)*MATERIALES!$C$147)+(2*MATERIALES!$C$187)</f>
        <v>729.73680000000002</v>
      </c>
      <c r="E37" s="75"/>
      <c r="F37" s="55">
        <f>(A37*B37)*MATERIALES!$D$82</f>
        <v>1144.8000000000002</v>
      </c>
      <c r="G37" s="55">
        <f>(((A37*B37)*2)*MATERIALES!$D$83)+(4*MATERIALES!$C$229)+(((A37*2)+(B37*2))*MATERIALES!$C$230)+(((A37*2)+(B37*2))*MATERIALES!$C$231)+((((A37*2)+(B37*2))/15)*MATERIALES!$C$232)+((((A37*2)+(B37*2))/15)*(MATERIALES!$C$233*0.15))</f>
        <v>4222.7952000000005</v>
      </c>
      <c r="H37" s="55">
        <f>(A37*B37)*MATERIALES!$D$89</f>
        <v>3866.4</v>
      </c>
      <c r="I37" s="124">
        <f t="shared" si="0"/>
        <v>3238.2578400000002</v>
      </c>
      <c r="J37" s="143">
        <f t="shared" si="1"/>
        <v>9394.2482400000008</v>
      </c>
      <c r="K37" s="70">
        <f t="shared" si="2"/>
        <v>6748.2578400000002</v>
      </c>
      <c r="M37" s="269" t="s">
        <v>570</v>
      </c>
      <c r="N37" s="246">
        <f t="shared" si="3"/>
        <v>3238.2578400000002</v>
      </c>
      <c r="O37" s="246">
        <f t="shared" si="4"/>
        <v>9394.2482400000008</v>
      </c>
      <c r="P37" s="246">
        <f t="shared" si="5"/>
        <v>6748.2578400000002</v>
      </c>
      <c r="Q37" s="246">
        <f>+'MODENA CLASICA CORREDIZA'!M37</f>
        <v>0</v>
      </c>
    </row>
    <row r="38" spans="1:17" ht="15.75">
      <c r="A38" s="68">
        <v>1.8</v>
      </c>
      <c r="B38" s="69">
        <v>1.5</v>
      </c>
      <c r="C38" s="59">
        <f>((((A38*2)+(B38*2))*MATERIALES!$C$57)+(((A38*2)+(B38*2))*MATERIALES!$C$73))*(MATERIALES!$F$2*MATERIALES!$J$15)</f>
        <v>0</v>
      </c>
      <c r="D38" s="59">
        <f>(4*MATERIALES!$C$189)+((((A38*2)+(B38*2))/0.1)*MATERIALES!$C$192)+(((A38*2)+(B38*2))*MATERIALES!$C$165)+(0.5*MATERIALES!$C$167)+(4*MATERIALES!$C$148)+(((A38*5)*2)*MATERIALES!$C$147)+(2*MATERIALES!$C$187)</f>
        <v>755.64528000000007</v>
      </c>
      <c r="E38" s="75"/>
      <c r="F38" s="55">
        <f>(A38*B38)*MATERIALES!$D$82</f>
        <v>1431</v>
      </c>
      <c r="G38" s="55">
        <f>(((A38*B38)*2)*MATERIALES!$D$83)+(4*MATERIALES!$C$229)+(((A38*2)+(B38*2))*MATERIALES!$C$230)+(((A38*2)+(B38*2))*MATERIALES!$C$231)+((((A38*2)+(B38*2))/15)*MATERIALES!$C$232)+((((A38*2)+(B38*2))/15)*(MATERIALES!$C$233*0.15))</f>
        <v>5064.0907200000001</v>
      </c>
      <c r="H38" s="55">
        <f>(A38*B38)*MATERIALES!$D$89</f>
        <v>4833</v>
      </c>
      <c r="I38" s="124">
        <f t="shared" si="0"/>
        <v>3844.3388640000003</v>
      </c>
      <c r="J38" s="143">
        <f t="shared" si="1"/>
        <v>11110.520304</v>
      </c>
      <c r="K38" s="70">
        <f t="shared" si="2"/>
        <v>8231.8388639999994</v>
      </c>
      <c r="M38" s="269" t="s">
        <v>571</v>
      </c>
      <c r="N38" s="246">
        <f t="shared" si="3"/>
        <v>3844.3388640000003</v>
      </c>
      <c r="O38" s="246">
        <f t="shared" si="4"/>
        <v>11110.520304</v>
      </c>
      <c r="P38" s="246">
        <f t="shared" si="5"/>
        <v>8231.8388639999994</v>
      </c>
      <c r="Q38" s="246">
        <f>+'MODENA CLASICA CORREDIZA'!M38</f>
        <v>0</v>
      </c>
    </row>
    <row r="39" spans="1:17" ht="15.75">
      <c r="A39" s="68">
        <v>1.8</v>
      </c>
      <c r="B39" s="69">
        <v>1.8</v>
      </c>
      <c r="C39" s="59">
        <f>((((A39*2)+(B39*2))*MATERIALES!$C$57)+(((A39*2)+(B39*2))*MATERIALES!$C$73))*(MATERIALES!$F$2*MATERIALES!$J$15)</f>
        <v>0</v>
      </c>
      <c r="D39" s="59">
        <f>(4*MATERIALES!$C$189)+((((A39*2)+(B39*2))/0.1)*MATERIALES!$C$192)+(((A39*2)+(B39*2))*MATERIALES!$C$165)+(0.5*MATERIALES!$C$167)+(4*MATERIALES!$C$148)+(((A39*5)*2)*MATERIALES!$C$147)+(2*MATERIALES!$C$187)</f>
        <v>781.55376000000012</v>
      </c>
      <c r="E39" s="75"/>
      <c r="F39" s="55">
        <f>(A39*B39)*MATERIALES!$D$82</f>
        <v>1717.2</v>
      </c>
      <c r="G39" s="55">
        <f>(((A39*B39)*2)*MATERIALES!$D$83)+(4*MATERIALES!$C$229)+(((A39*2)+(B39*2))*MATERIALES!$C$230)+(((A39*2)+(B39*2))*MATERIALES!$C$231)+((((A39*2)+(B39*2))/15)*MATERIALES!$C$232)+((((A39*2)+(B39*2))/15)*(MATERIALES!$C$233*0.15))</f>
        <v>5905.3862400000007</v>
      </c>
      <c r="H39" s="55">
        <f>(A39*B39)*MATERIALES!$D$89</f>
        <v>5799.6</v>
      </c>
      <c r="I39" s="124">
        <f t="shared" si="0"/>
        <v>4450.4198880000004</v>
      </c>
      <c r="J39" s="143">
        <f t="shared" si="1"/>
        <v>12826.792368000002</v>
      </c>
      <c r="K39" s="70">
        <f t="shared" si="2"/>
        <v>9715.4198880000022</v>
      </c>
      <c r="M39" s="269" t="s">
        <v>572</v>
      </c>
      <c r="N39" s="246">
        <f t="shared" si="3"/>
        <v>4450.4198880000004</v>
      </c>
      <c r="O39" s="246">
        <f t="shared" si="4"/>
        <v>12826.792368000002</v>
      </c>
      <c r="P39" s="246">
        <f t="shared" si="5"/>
        <v>9715.4198880000022</v>
      </c>
      <c r="Q39" s="246">
        <f>+'MODENA CLASICA CORREDIZA'!M39</f>
        <v>0</v>
      </c>
    </row>
    <row r="40" spans="1:17" ht="15.75">
      <c r="A40" s="68">
        <v>2</v>
      </c>
      <c r="B40" s="69">
        <v>0.8</v>
      </c>
      <c r="C40" s="59">
        <f>((((A40*2)+(B40*2))*MATERIALES!$C$57)+(((A40*2)+(B40*2))*MATERIALES!$C$73))*(MATERIALES!$F$2*MATERIALES!$J$15)</f>
        <v>0</v>
      </c>
      <c r="D40" s="59">
        <f>(4*MATERIALES!$C$189)+((((A40*2)+(B40*2))/0.1)*MATERIALES!$C$192)+(((A40*2)+(B40*2))*MATERIALES!$C$165)+(0.5*MATERIALES!$C$167)+(4*MATERIALES!$C$148)+(((A40*5)*2)*MATERIALES!$C$147)+(2*MATERIALES!$C$187)</f>
        <v>712.46447999999998</v>
      </c>
      <c r="E40" s="75"/>
      <c r="F40" s="55">
        <f>(A40*B40)*MATERIALES!$D$82</f>
        <v>848</v>
      </c>
      <c r="G40" s="55">
        <f>(((A40*B40)*2)*MATERIALES!$D$83)+(4*MATERIALES!$C$229)+(((A40*2)+(B40*2))*MATERIALES!$C$230)+(((A40*2)+(B40*2))*MATERIALES!$C$231)+((((A40*2)+(B40*2))/15)*MATERIALES!$C$232)+((((A40*2)+(B40*2))/15)*(MATERIALES!$C$233*0.15))</f>
        <v>3401.9315200000001</v>
      </c>
      <c r="H40" s="55">
        <f>(A40*B40)*MATERIALES!$D$89</f>
        <v>2864</v>
      </c>
      <c r="I40" s="124">
        <f t="shared" si="0"/>
        <v>2622.2038240000002</v>
      </c>
      <c r="J40" s="143">
        <f t="shared" si="1"/>
        <v>7730.0668640000004</v>
      </c>
      <c r="K40" s="70">
        <f t="shared" si="2"/>
        <v>5222.2038240000002</v>
      </c>
      <c r="M40" s="269" t="s">
        <v>573</v>
      </c>
      <c r="N40" s="246">
        <f t="shared" si="3"/>
        <v>2622.2038240000002</v>
      </c>
      <c r="O40" s="246">
        <f t="shared" si="4"/>
        <v>7730.0668640000004</v>
      </c>
      <c r="P40" s="246">
        <f t="shared" si="5"/>
        <v>5222.2038240000002</v>
      </c>
      <c r="Q40" s="246">
        <f>+'MODENA CLASICA CORREDIZA'!M40</f>
        <v>0</v>
      </c>
    </row>
    <row r="41" spans="1:17" ht="15.75">
      <c r="A41" s="68">
        <v>2</v>
      </c>
      <c r="B41" s="69">
        <v>1</v>
      </c>
      <c r="C41" s="59">
        <f>((((A41*2)+(B41*2))*MATERIALES!$C$57)+(((A41*2)+(B41*2))*MATERIALES!$C$73))*(MATERIALES!$F$2*MATERIALES!$J$15)</f>
        <v>0</v>
      </c>
      <c r="D41" s="59">
        <f>(4*MATERIALES!$C$189)+((((A41*2)+(B41*2))/0.1)*MATERIALES!$C$192)+(((A41*2)+(B41*2))*MATERIALES!$C$165)+(0.5*MATERIALES!$C$167)+(4*MATERIALES!$C$148)+(((A41*5)*2)*MATERIALES!$C$147)+(2*MATERIALES!$C$187)</f>
        <v>729.73680000000002</v>
      </c>
      <c r="E41" s="75"/>
      <c r="F41" s="55">
        <f>(A41*B41)*MATERIALES!$D$82</f>
        <v>1060</v>
      </c>
      <c r="G41" s="55">
        <f>(((A41*B41)*2)*MATERIALES!$D$83)+(4*MATERIALES!$C$229)+(((A41*2)+(B41*2))*MATERIALES!$C$230)+(((A41*2)+(B41*2))*MATERIALES!$C$231)+((((A41*2)+(B41*2))/15)*MATERIALES!$C$232)+((((A41*2)+(B41*2))/15)*(MATERIALES!$C$233*0.15))</f>
        <v>4014.7952000000005</v>
      </c>
      <c r="H41" s="55">
        <f>(A41*B41)*MATERIALES!$D$89</f>
        <v>3580</v>
      </c>
      <c r="I41" s="124">
        <f t="shared" si="0"/>
        <v>3068.6578399999999</v>
      </c>
      <c r="J41" s="143">
        <f t="shared" si="1"/>
        <v>8978.2482400000008</v>
      </c>
      <c r="K41" s="70">
        <f t="shared" si="2"/>
        <v>6318.6578399999999</v>
      </c>
      <c r="M41" s="269" t="s">
        <v>574</v>
      </c>
      <c r="N41" s="246">
        <f t="shared" si="3"/>
        <v>3068.6578399999999</v>
      </c>
      <c r="O41" s="246">
        <f t="shared" si="4"/>
        <v>8978.2482400000008</v>
      </c>
      <c r="P41" s="246">
        <f t="shared" si="5"/>
        <v>6318.6578399999999</v>
      </c>
      <c r="Q41" s="246">
        <f>+'MODENA CLASICA CORREDIZA'!M41</f>
        <v>0</v>
      </c>
    </row>
    <row r="42" spans="1:17" ht="15.75">
      <c r="A42" s="68">
        <v>2</v>
      </c>
      <c r="B42" s="69">
        <v>1.1000000000000001</v>
      </c>
      <c r="C42" s="59">
        <f>((((A42*2)+(B42*2))*MATERIALES!$C$57)+(((A42*2)+(B42*2))*MATERIALES!$C$73))*(MATERIALES!$F$2*MATERIALES!$J$15)</f>
        <v>0</v>
      </c>
      <c r="D42" s="59">
        <f>(4*MATERIALES!$C$189)+((((A42*2)+(B42*2))/0.1)*MATERIALES!$C$192)+(((A42*2)+(B42*2))*MATERIALES!$C$165)+(0.5*MATERIALES!$C$167)+(4*MATERIALES!$C$148)+(((A42*5)*2)*MATERIALES!$C$147)+(2*MATERIALES!$C$187)</f>
        <v>738.37296000000003</v>
      </c>
      <c r="E42" s="75"/>
      <c r="F42" s="55">
        <f>(A42*B42)*MATERIALES!$D$82</f>
        <v>1166</v>
      </c>
      <c r="G42" s="55">
        <f>(((A42*B42)*2)*MATERIALES!$D$83)+(4*MATERIALES!$C$229)+(((A42*2)+(B42*2))*MATERIALES!$C$230)+(((A42*2)+(B42*2))*MATERIALES!$C$231)+((((A42*2)+(B42*2))/15)*MATERIALES!$C$232)+((((A42*2)+(B42*2))/15)*(MATERIALES!$C$233*0.15))</f>
        <v>4321.2270400000007</v>
      </c>
      <c r="H42" s="55">
        <f>(A42*B42)*MATERIALES!$D$89</f>
        <v>3938.0000000000005</v>
      </c>
      <c r="I42" s="124">
        <f t="shared" si="0"/>
        <v>3291.8848480000001</v>
      </c>
      <c r="J42" s="143">
        <f t="shared" si="1"/>
        <v>9602.338928000001</v>
      </c>
      <c r="K42" s="70">
        <f t="shared" si="2"/>
        <v>6866.8848480000006</v>
      </c>
      <c r="M42" s="269" t="s">
        <v>575</v>
      </c>
      <c r="N42" s="246">
        <f t="shared" si="3"/>
        <v>3291.8848480000001</v>
      </c>
      <c r="O42" s="246">
        <f t="shared" si="4"/>
        <v>9602.338928000001</v>
      </c>
      <c r="P42" s="246">
        <f t="shared" si="5"/>
        <v>6866.8848480000006</v>
      </c>
      <c r="Q42" s="246">
        <f>+'MODENA CLASICA CORREDIZA'!M42</f>
        <v>0</v>
      </c>
    </row>
    <row r="43" spans="1:17" ht="15.75">
      <c r="A43" s="68">
        <v>2</v>
      </c>
      <c r="B43" s="69">
        <v>1.2</v>
      </c>
      <c r="C43" s="59">
        <f>((((A43*2)+(B43*2))*MATERIALES!$C$57)+(((A43*2)+(B43*2))*MATERIALES!$C$73))*(MATERIALES!$F$2*MATERIALES!$J$15)</f>
        <v>0</v>
      </c>
      <c r="D43" s="59">
        <f>(4*MATERIALES!$C$189)+((((A43*2)+(B43*2))/0.1)*MATERIALES!$C$192)+(((A43*2)+(B43*2))*MATERIALES!$C$165)+(0.5*MATERIALES!$C$167)+(4*MATERIALES!$C$148)+(((A43*5)*2)*MATERIALES!$C$147)+(2*MATERIALES!$C$187)</f>
        <v>747.00912000000005</v>
      </c>
      <c r="E43" s="75"/>
      <c r="F43" s="55">
        <f>(A43*B43)*MATERIALES!$D$82</f>
        <v>1272</v>
      </c>
      <c r="G43" s="55">
        <f>(((A43*B43)*2)*MATERIALES!$D$83)+(4*MATERIALES!$C$229)+(((A43*2)+(B43*2))*MATERIALES!$C$230)+(((A43*2)+(B43*2))*MATERIALES!$C$231)+((((A43*2)+(B43*2))/15)*MATERIALES!$C$232)+((((A43*2)+(B43*2))/15)*(MATERIALES!$C$233*0.15))</f>
        <v>4627.65888</v>
      </c>
      <c r="H43" s="55">
        <f>(A43*B43)*MATERIALES!$D$89</f>
        <v>4296</v>
      </c>
      <c r="I43" s="124">
        <f t="shared" si="0"/>
        <v>3515.111856</v>
      </c>
      <c r="J43" s="143">
        <f t="shared" si="1"/>
        <v>10226.429615999999</v>
      </c>
      <c r="K43" s="70">
        <f t="shared" si="2"/>
        <v>7415.1118560000004</v>
      </c>
      <c r="M43" s="269" t="s">
        <v>576</v>
      </c>
      <c r="N43" s="246">
        <f t="shared" si="3"/>
        <v>3515.111856</v>
      </c>
      <c r="O43" s="246">
        <f t="shared" si="4"/>
        <v>10226.429615999999</v>
      </c>
      <c r="P43" s="246">
        <f t="shared" si="5"/>
        <v>7415.1118560000004</v>
      </c>
      <c r="Q43" s="246">
        <f>+'MODENA CLASICA CORREDIZA'!M43</f>
        <v>0</v>
      </c>
    </row>
    <row r="44" spans="1:17" ht="15.75">
      <c r="A44" s="68">
        <v>2</v>
      </c>
      <c r="B44" s="69">
        <v>1.5</v>
      </c>
      <c r="C44" s="59">
        <f>((((A44*2)+(B44*2))*MATERIALES!$C$57)+(((A44*2)+(B44*2))*MATERIALES!$C$73))*(MATERIALES!$F$2*MATERIALES!$J$15)</f>
        <v>0</v>
      </c>
      <c r="D44" s="59">
        <f>(4*MATERIALES!$C$189)+((((A44*2)+(B44*2))/0.1)*MATERIALES!$C$192)+(((A44*2)+(B44*2))*MATERIALES!$C$165)+(0.5*MATERIALES!$C$167)+(4*MATERIALES!$C$148)+(((A44*5)*2)*MATERIALES!$C$147)+(2*MATERIALES!$C$187)</f>
        <v>772.91760000000011</v>
      </c>
      <c r="E44" s="75"/>
      <c r="F44" s="55">
        <f>(A44*B44)*MATERIALES!$D$82</f>
        <v>1590</v>
      </c>
      <c r="G44" s="55">
        <f>(((A44*B44)*2)*MATERIALES!$D$83)+(4*MATERIALES!$C$229)+(((A44*2)+(B44*2))*MATERIALES!$C$230)+(((A44*2)+(B44*2))*MATERIALES!$C$231)+((((A44*2)+(B44*2))/15)*MATERIALES!$C$232)+((((A44*2)+(B44*2))/15)*(MATERIALES!$C$233*0.15))</f>
        <v>5546.9543999999996</v>
      </c>
      <c r="H44" s="55">
        <f>(A44*B44)*MATERIALES!$D$89</f>
        <v>5370</v>
      </c>
      <c r="I44" s="124">
        <f t="shared" si="0"/>
        <v>4184.79288</v>
      </c>
      <c r="J44" s="143">
        <f t="shared" si="1"/>
        <v>12098.70168</v>
      </c>
      <c r="K44" s="70">
        <f t="shared" si="2"/>
        <v>9059.7928800000009</v>
      </c>
      <c r="M44" s="269" t="s">
        <v>577</v>
      </c>
      <c r="N44" s="246">
        <f t="shared" si="3"/>
        <v>4184.79288</v>
      </c>
      <c r="O44" s="246">
        <f t="shared" si="4"/>
        <v>12098.70168</v>
      </c>
      <c r="P44" s="246">
        <f t="shared" si="5"/>
        <v>9059.7928800000009</v>
      </c>
      <c r="Q44" s="246">
        <f>+'MODENA CLASICA CORREDIZA'!M44</f>
        <v>0</v>
      </c>
    </row>
    <row r="45" spans="1:17" ht="16.5" thickBot="1">
      <c r="A45" s="68">
        <v>2</v>
      </c>
      <c r="B45" s="69">
        <v>1.8</v>
      </c>
      <c r="C45" s="59">
        <f>((((A45*2)+(B45*2))*MATERIALES!$C$57)+(((A45*2)+(B45*2))*MATERIALES!$C$73))*(MATERIALES!$F$2*MATERIALES!$J$15)</f>
        <v>0</v>
      </c>
      <c r="D45" s="59">
        <f>(4*MATERIALES!$C$189)+((((A45*2)+(B45*2))/0.1)*MATERIALES!$C$192)+(((A45*2)+(B45*2))*MATERIALES!$C$165)+(0.5*MATERIALES!$C$167)+(4*MATERIALES!$C$148)+(((A45*5)*2)*MATERIALES!$C$147)+(2*MATERIALES!$C$187)</f>
        <v>798.82608000000005</v>
      </c>
      <c r="E45" s="75"/>
      <c r="F45" s="55">
        <f>(A45*B45)*MATERIALES!$D$82</f>
        <v>1908</v>
      </c>
      <c r="G45" s="55">
        <f>(((A45*B45)*2)*MATERIALES!$D$83)+(4*MATERIALES!$C$229)+(((A45*2)+(B45*2))*MATERIALES!$C$230)+(((A45*2)+(B45*2))*MATERIALES!$C$231)+((((A45*2)+(B45*2))/15)*MATERIALES!$C$232)+((((A45*2)+(B45*2))/15)*(MATERIALES!$C$233*0.15))</f>
        <v>6466.2499200000002</v>
      </c>
      <c r="H45" s="55">
        <f>(A45*B45)*MATERIALES!$D$89</f>
        <v>6444</v>
      </c>
      <c r="I45" s="124">
        <f t="shared" si="0"/>
        <v>4854.4739040000004</v>
      </c>
      <c r="J45" s="143">
        <f t="shared" si="1"/>
        <v>13970.973744000001</v>
      </c>
      <c r="K45" s="70">
        <f t="shared" si="2"/>
        <v>10704.473904</v>
      </c>
      <c r="M45" s="270" t="s">
        <v>578</v>
      </c>
      <c r="N45" s="285">
        <f>+I45</f>
        <v>4854.4739040000004</v>
      </c>
      <c r="O45" s="285">
        <f t="shared" si="4"/>
        <v>13970.973744000001</v>
      </c>
      <c r="P45" s="285">
        <f t="shared" si="5"/>
        <v>10704.473904</v>
      </c>
      <c r="Q45" s="285">
        <f>+'MODENA CLASICA CORREDIZA'!M45</f>
        <v>0</v>
      </c>
    </row>
    <row r="46" spans="1:17">
      <c r="A46" s="68">
        <v>2.2000000000000002</v>
      </c>
      <c r="B46" s="69">
        <v>0.4</v>
      </c>
      <c r="C46" s="59">
        <f>((((A46*2)+(B46*2))*MATERIALES!$C$57)+(((A46*2)+(B46*2))*MATERIALES!$C$73))*(MATERIALES!$F$2*MATERIALES!$J$15)</f>
        <v>0</v>
      </c>
      <c r="D46" s="59">
        <f>(4*MATERIALES!$C$189)+((((A46*2)+(B46*2))/0.1)*MATERIALES!$C$192)+(((A46*2)+(B46*2))*MATERIALES!$C$165)+(0.5*MATERIALES!$C$167)+(4*MATERIALES!$C$148)+(((A46*5)*2)*MATERIALES!$C$147)+(2*MATERIALES!$C$187)</f>
        <v>695.19216000000006</v>
      </c>
      <c r="E46" s="75"/>
      <c r="F46" s="55">
        <f>(A46*B46)*MATERIALES!$D$82</f>
        <v>466.40000000000003</v>
      </c>
      <c r="G46" s="55">
        <f>(((A46*B46)*2)*MATERIALES!$D$83)+(4*MATERIALES!$C$229)+(((A46*2)+(B46*2))*MATERIALES!$C$230)+(((A46*2)+(B46*2))*MATERIALES!$C$231)+((((A46*2)+(B46*2))/15)*MATERIALES!$C$232)+((((A46*2)+(B46*2))/15)*(MATERIALES!$C$233*0.15))</f>
        <v>2373.0678400000002</v>
      </c>
      <c r="H46" s="55">
        <f>(A46*B46)*MATERIALES!$D$89</f>
        <v>1575.2000000000003</v>
      </c>
      <c r="I46" s="124">
        <f t="shared" si="0"/>
        <v>1836.5498080000002</v>
      </c>
      <c r="J46" s="143">
        <f t="shared" si="1"/>
        <v>5649.8854880000008</v>
      </c>
      <c r="K46" s="70">
        <f t="shared" si="2"/>
        <v>3266.5498080000002</v>
      </c>
    </row>
    <row r="47" spans="1:17">
      <c r="A47" s="68">
        <v>2.2000000000000002</v>
      </c>
      <c r="B47" s="69">
        <v>0.6</v>
      </c>
      <c r="C47" s="59">
        <f>((((A47*2)+(B47*2))*MATERIALES!$C$57)+(((A47*2)+(B47*2))*MATERIALES!$C$73))*(MATERIALES!$F$2*MATERIALES!$J$15)</f>
        <v>0</v>
      </c>
      <c r="D47" s="59">
        <f>(4*MATERIALES!$C$189)+((((A47*2)+(B47*2))/0.1)*MATERIALES!$C$192)+(((A47*2)+(B47*2))*MATERIALES!$C$165)+(0.5*MATERIALES!$C$167)+(4*MATERIALES!$C$148)+(((A47*5)*2)*MATERIALES!$C$147)+(2*MATERIALES!$C$187)</f>
        <v>712.46447999999998</v>
      </c>
      <c r="E47" s="75"/>
      <c r="F47" s="55">
        <f>(A47*B47)*MATERIALES!$D$82</f>
        <v>699.6</v>
      </c>
      <c r="G47" s="55">
        <f>(((A47*B47)*2)*MATERIALES!$D$83)+(4*MATERIALES!$C$229)+(((A47*2)+(B47*2))*MATERIALES!$C$230)+(((A47*2)+(B47*2))*MATERIALES!$C$231)+((((A47*2)+(B47*2))/15)*MATERIALES!$C$232)+((((A47*2)+(B47*2))/15)*(MATERIALES!$C$233*0.15))</f>
        <v>3037.9315200000001</v>
      </c>
      <c r="H47" s="55">
        <f>(A47*B47)*MATERIALES!$D$89</f>
        <v>2362.8000000000002</v>
      </c>
      <c r="I47" s="124">
        <f t="shared" si="0"/>
        <v>2325.403824</v>
      </c>
      <c r="J47" s="143">
        <f t="shared" si="1"/>
        <v>7002.0668640000004</v>
      </c>
      <c r="K47" s="70">
        <f t="shared" si="2"/>
        <v>4470.403824</v>
      </c>
    </row>
    <row r="48" spans="1:17">
      <c r="A48" s="68">
        <v>2.2000000000000002</v>
      </c>
      <c r="B48" s="69">
        <v>0.8</v>
      </c>
      <c r="C48" s="59">
        <f>((((A48*2)+(B48*2))*MATERIALES!$C$57)+(((A48*2)+(B48*2))*MATERIALES!$C$73))*(MATERIALES!$F$2*MATERIALES!$J$15)</f>
        <v>0</v>
      </c>
      <c r="D48" s="59">
        <f>(4*MATERIALES!$C$189)+((((A48*2)+(B48*2))/0.1)*MATERIALES!$C$192)+(((A48*2)+(B48*2))*MATERIALES!$C$165)+(0.5*MATERIALES!$C$167)+(4*MATERIALES!$C$148)+(((A48*5)*2)*MATERIALES!$C$147)+(2*MATERIALES!$C$187)</f>
        <v>729.73680000000002</v>
      </c>
      <c r="E48" s="75"/>
      <c r="F48" s="55">
        <f>(A48*B48)*MATERIALES!$D$82</f>
        <v>932.80000000000007</v>
      </c>
      <c r="G48" s="55">
        <f>(((A48*B48)*2)*MATERIALES!$D$83)+(4*MATERIALES!$C$229)+(((A48*2)+(B48*2))*MATERIALES!$C$230)+(((A48*2)+(B48*2))*MATERIALES!$C$231)+((((A48*2)+(B48*2))/15)*MATERIALES!$C$232)+((((A48*2)+(B48*2))/15)*(MATERIALES!$C$233*0.15))</f>
        <v>3702.7952000000005</v>
      </c>
      <c r="H48" s="55">
        <f>(A48*B48)*MATERIALES!$D$89</f>
        <v>3150.4000000000005</v>
      </c>
      <c r="I48" s="124">
        <f t="shared" si="0"/>
        <v>2814.2578400000002</v>
      </c>
      <c r="J48" s="143">
        <f t="shared" si="1"/>
        <v>8354.2482400000008</v>
      </c>
      <c r="K48" s="70">
        <f t="shared" si="2"/>
        <v>5674.2578400000002</v>
      </c>
      <c r="L48" s="4"/>
    </row>
    <row r="49" spans="1:13">
      <c r="A49" s="68">
        <v>2.2000000000000002</v>
      </c>
      <c r="B49" s="69">
        <v>1</v>
      </c>
      <c r="C49" s="59">
        <f>((((A49*2)+(B49*2))*MATERIALES!$C$57)+(((A49*2)+(B49*2))*MATERIALES!$C$73))*(MATERIALES!$F$2*MATERIALES!$J$15)</f>
        <v>0</v>
      </c>
      <c r="D49" s="59">
        <f>(4*MATERIALES!$C$189)+((((A49*2)+(B49*2))/0.1)*MATERIALES!$C$192)+(((A49*2)+(B49*2))*MATERIALES!$C$165)+(0.5*MATERIALES!$C$167)+(4*MATERIALES!$C$148)+(((A49*5)*2)*MATERIALES!$C$147)+(2*MATERIALES!$C$187)</f>
        <v>747.00912000000005</v>
      </c>
      <c r="E49" s="75"/>
      <c r="F49" s="55">
        <f>(A49*B49)*MATERIALES!$D$82</f>
        <v>1166</v>
      </c>
      <c r="G49" s="55">
        <f>(((A49*B49)*2)*MATERIALES!$D$83)+(4*MATERIALES!$C$229)+(((A49*2)+(B49*2))*MATERIALES!$C$230)+(((A49*2)+(B49*2))*MATERIALES!$C$231)+((((A49*2)+(B49*2))/15)*MATERIALES!$C$232)+((((A49*2)+(B49*2))/15)*(MATERIALES!$C$233*0.15))</f>
        <v>4367.6588800000009</v>
      </c>
      <c r="H49" s="55">
        <f>(A49*B49)*MATERIALES!$D$89</f>
        <v>3938.0000000000005</v>
      </c>
      <c r="I49" s="124">
        <f t="shared" si="0"/>
        <v>3303.111856</v>
      </c>
      <c r="J49" s="143">
        <f t="shared" si="1"/>
        <v>9706.4296160000013</v>
      </c>
      <c r="K49" s="70">
        <f t="shared" si="2"/>
        <v>6878.1118560000014</v>
      </c>
      <c r="L49" s="4"/>
    </row>
    <row r="50" spans="1:13">
      <c r="A50" s="68">
        <v>2.2000000000000002</v>
      </c>
      <c r="B50" s="69">
        <v>1.2</v>
      </c>
      <c r="C50" s="59">
        <f>((((A50*2)+(B50*2))*MATERIALES!$C$57)+(((A50*2)+(B50*2))*MATERIALES!$C$73))*(MATERIALES!$F$2*MATERIALES!$J$15)</f>
        <v>0</v>
      </c>
      <c r="D50" s="59">
        <f>(4*MATERIALES!$C$189)+((((A50*2)+(B50*2))/0.1)*MATERIALES!$C$192)+(((A50*2)+(B50*2))*MATERIALES!$C$165)+(0.5*MATERIALES!$C$167)+(4*MATERIALES!$C$148)+(((A50*5)*2)*MATERIALES!$C$147)+(2*MATERIALES!$C$187)</f>
        <v>764.28144000000009</v>
      </c>
      <c r="E50" s="75"/>
      <c r="F50" s="55">
        <f>(A50*B50)*MATERIALES!$D$82</f>
        <v>1399.2</v>
      </c>
      <c r="G50" s="55">
        <f>(((A50*B50)*2)*MATERIALES!$D$83)+(4*MATERIALES!$C$229)+(((A50*2)+(B50*2))*MATERIALES!$C$230)+(((A50*2)+(B50*2))*MATERIALES!$C$231)+((((A50*2)+(B50*2))/15)*MATERIALES!$C$232)+((((A50*2)+(B50*2))/15)*(MATERIALES!$C$233*0.15))</f>
        <v>5032.5225600000003</v>
      </c>
      <c r="H50" s="55">
        <f>(A50*B50)*MATERIALES!$D$89</f>
        <v>4725.6000000000004</v>
      </c>
      <c r="I50" s="124">
        <f t="shared" si="0"/>
        <v>3791.9658720000002</v>
      </c>
      <c r="J50" s="143">
        <f t="shared" si="1"/>
        <v>11058.610992000002</v>
      </c>
      <c r="K50" s="70">
        <f t="shared" si="2"/>
        <v>8081.9658720000007</v>
      </c>
      <c r="L50" s="4"/>
    </row>
    <row r="51" spans="1:13">
      <c r="A51" s="68">
        <v>2.2000000000000002</v>
      </c>
      <c r="B51" s="69">
        <v>1.5</v>
      </c>
      <c r="C51" s="59">
        <f>((((A51*2)+(B51*2))*MATERIALES!$C$57)+(((A51*2)+(B51*2))*MATERIALES!$C$73))*(MATERIALES!$F$2*MATERIALES!$J$15)</f>
        <v>0</v>
      </c>
      <c r="D51" s="59">
        <f>(4*MATERIALES!$C$189)+((((A51*2)+(B51*2))/0.1)*MATERIALES!$C$192)+(((A51*2)+(B51*2))*MATERIALES!$C$165)+(0.5*MATERIALES!$C$167)+(4*MATERIALES!$C$148)+(((A51*5)*2)*MATERIALES!$C$147)+(2*MATERIALES!$C$187)</f>
        <v>790.18992000000003</v>
      </c>
      <c r="E51" s="75"/>
      <c r="F51" s="55">
        <f>(A51*B51)*MATERIALES!$D$82</f>
        <v>1749.0000000000002</v>
      </c>
      <c r="G51" s="55">
        <f>(((A51*B51)*2)*MATERIALES!$D$83)+(4*MATERIALES!$C$229)+(((A51*2)+(B51*2))*MATERIALES!$C$230)+(((A51*2)+(B51*2))*MATERIALES!$C$231)+((((A51*2)+(B51*2))/15)*MATERIALES!$C$232)+((((A51*2)+(B51*2))/15)*(MATERIALES!$C$233*0.15))</f>
        <v>6029.81808</v>
      </c>
      <c r="H51" s="55">
        <f>(A51*B51)*MATERIALES!$D$89</f>
        <v>5907.0000000000009</v>
      </c>
      <c r="I51" s="124">
        <f t="shared" si="0"/>
        <v>4525.2468960000006</v>
      </c>
      <c r="J51" s="143">
        <f t="shared" si="1"/>
        <v>13086.883056000001</v>
      </c>
      <c r="K51" s="70">
        <f t="shared" si="2"/>
        <v>9887.7468960000024</v>
      </c>
      <c r="L51" s="4"/>
    </row>
    <row r="52" spans="1:13">
      <c r="A52" s="68">
        <v>2.2000000000000002</v>
      </c>
      <c r="B52" s="69">
        <v>1.8</v>
      </c>
      <c r="C52" s="59">
        <f>((((A52*2)+(B52*2))*MATERIALES!$C$57)+(((A52*2)+(B52*2))*MATERIALES!$C$73))*(MATERIALES!$F$2*MATERIALES!$J$15)</f>
        <v>0</v>
      </c>
      <c r="D52" s="59">
        <f>(4*MATERIALES!$C$189)+((((A52*2)+(B52*2))/0.1)*MATERIALES!$C$192)+(((A52*2)+(B52*2))*MATERIALES!$C$165)+(0.5*MATERIALES!$C$167)+(4*MATERIALES!$C$148)+(((A52*5)*2)*MATERIALES!$C$147)+(2*MATERIALES!$C$187)</f>
        <v>816.09840000000008</v>
      </c>
      <c r="E52" s="75"/>
      <c r="F52" s="55">
        <f>(A52*B52)*MATERIALES!$D$82</f>
        <v>2098.8000000000002</v>
      </c>
      <c r="G52" s="55">
        <f>(((A52*B52)*2)*MATERIALES!$D$83)+(4*MATERIALES!$C$229)+(((A52*2)+(B52*2))*MATERIALES!$C$230)+(((A52*2)+(B52*2))*MATERIALES!$C$231)+((((A52*2)+(B52*2))/15)*MATERIALES!$C$232)+((((A52*2)+(B52*2))/15)*(MATERIALES!$C$233*0.15))</f>
        <v>7027.1136000000015</v>
      </c>
      <c r="H52" s="55">
        <f>(A52*B52)*MATERIALES!$D$89</f>
        <v>7088.4000000000005</v>
      </c>
      <c r="I52" s="124">
        <f t="shared" si="0"/>
        <v>5258.5279200000004</v>
      </c>
      <c r="J52" s="143">
        <f t="shared" si="1"/>
        <v>15115.155120000003</v>
      </c>
      <c r="K52" s="70">
        <f t="shared" si="2"/>
        <v>11693.52792</v>
      </c>
      <c r="L52" s="4"/>
    </row>
    <row r="53" spans="1:13">
      <c r="A53" s="68">
        <v>2.4</v>
      </c>
      <c r="B53" s="69">
        <v>0.4</v>
      </c>
      <c r="C53" s="59">
        <f>((((A53*2)+(B53*2))*MATERIALES!$C$57)+(((A53*2)+(B53*2))*MATERIALES!$C$73))*(MATERIALES!$F$2*MATERIALES!$J$15)</f>
        <v>0</v>
      </c>
      <c r="D53" s="59">
        <f>(4*MATERIALES!$C$189)+((((A53*2)+(B53*2))/0.1)*MATERIALES!$C$192)+(((A53*2)+(B53*2))*MATERIALES!$C$165)+(0.5*MATERIALES!$C$167)+(4*MATERIALES!$C$148)+(((A53*5)*2)*MATERIALES!$C$147)+(2*MATERIALES!$C$187)</f>
        <v>712.46447999999998</v>
      </c>
      <c r="E53" s="75"/>
      <c r="F53" s="55">
        <f>(A53*B53)*MATERIALES!$D$82</f>
        <v>508.79999999999995</v>
      </c>
      <c r="G53" s="55">
        <f>(((A53*B53)*2)*MATERIALES!$D$83)+(4*MATERIALES!$C$229)+(((A53*2)+(B53*2))*MATERIALES!$C$230)+(((A53*2)+(B53*2))*MATERIALES!$C$231)+((((A53*2)+(B53*2))/15)*MATERIALES!$C$232)+((((A53*2)+(B53*2))/15)*(MATERIALES!$C$233*0.15))</f>
        <v>2569.9315200000001</v>
      </c>
      <c r="H53" s="55">
        <f>(A53*B53)*MATERIALES!$D$89</f>
        <v>1718.3999999999999</v>
      </c>
      <c r="I53" s="124">
        <f t="shared" si="0"/>
        <v>1943.8038240000001</v>
      </c>
      <c r="J53" s="143">
        <f t="shared" si="1"/>
        <v>6066.0668640000004</v>
      </c>
      <c r="K53" s="70">
        <f t="shared" si="2"/>
        <v>3503.8038240000001</v>
      </c>
      <c r="L53" s="4"/>
    </row>
    <row r="54" spans="1:13">
      <c r="A54" s="68">
        <v>2.4</v>
      </c>
      <c r="B54" s="69">
        <v>0.6</v>
      </c>
      <c r="C54" s="59">
        <f>((((A54*2)+(B54*2))*MATERIALES!$C$57)+(((A54*2)+(B54*2))*MATERIALES!$C$73))*(MATERIALES!$F$2*MATERIALES!$J$15)</f>
        <v>0</v>
      </c>
      <c r="D54" s="59">
        <f>(4*MATERIALES!$C$189)+((((A54*2)+(B54*2))/0.1)*MATERIALES!$C$192)+(((A54*2)+(B54*2))*MATERIALES!$C$165)+(0.5*MATERIALES!$C$167)+(4*MATERIALES!$C$148)+(((A54*5)*2)*MATERIALES!$C$147)+(2*MATERIALES!$C$187)</f>
        <v>729.73680000000002</v>
      </c>
      <c r="E54" s="75"/>
      <c r="F54" s="55">
        <f>(A54*B54)*MATERIALES!$D$82</f>
        <v>763.19999999999993</v>
      </c>
      <c r="G54" s="55">
        <f>(((A54*B54)*2)*MATERIALES!$D$83)+(4*MATERIALES!$C$229)+(((A54*2)+(B54*2))*MATERIALES!$C$230)+(((A54*2)+(B54*2))*MATERIALES!$C$231)+((((A54*2)+(B54*2))/15)*MATERIALES!$C$232)+((((A54*2)+(B54*2))/15)*(MATERIALES!$C$233*0.15))</f>
        <v>3286.7951999999996</v>
      </c>
      <c r="H54" s="55">
        <f>(A54*B54)*MATERIALES!$D$89</f>
        <v>2577.6</v>
      </c>
      <c r="I54" s="124">
        <f t="shared" si="0"/>
        <v>2475.0578399999999</v>
      </c>
      <c r="J54" s="143">
        <f t="shared" si="1"/>
        <v>7522.248239999999</v>
      </c>
      <c r="K54" s="70">
        <f t="shared" si="2"/>
        <v>4815.0578399999995</v>
      </c>
      <c r="L54" s="4"/>
    </row>
    <row r="55" spans="1:13">
      <c r="A55" s="68">
        <v>2.4</v>
      </c>
      <c r="B55" s="69">
        <v>0.8</v>
      </c>
      <c r="C55" s="59">
        <f>((((A55*2)+(B55*2))*MATERIALES!$C$57)+(((A55*2)+(B55*2))*MATERIALES!$C$73))*(MATERIALES!$F$2*MATERIALES!$J$15)</f>
        <v>0</v>
      </c>
      <c r="D55" s="59">
        <f>(4*MATERIALES!$C$189)+((((A55*2)+(B55*2))/0.1)*MATERIALES!$C$192)+(((A55*2)+(B55*2))*MATERIALES!$C$165)+(0.5*MATERIALES!$C$167)+(4*MATERIALES!$C$148)+(((A55*5)*2)*MATERIALES!$C$147)+(2*MATERIALES!$C$187)</f>
        <v>747.00912000000005</v>
      </c>
      <c r="E55" s="75"/>
      <c r="F55" s="55">
        <f>(A55*B55)*MATERIALES!$D$82</f>
        <v>1017.5999999999999</v>
      </c>
      <c r="G55" s="55">
        <f>(((A55*B55)*2)*MATERIALES!$D$83)+(4*MATERIALES!$C$229)+(((A55*2)+(B55*2))*MATERIALES!$C$230)+(((A55*2)+(B55*2))*MATERIALES!$C$231)+((((A55*2)+(B55*2))/15)*MATERIALES!$C$232)+((((A55*2)+(B55*2))/15)*(MATERIALES!$C$233*0.15))</f>
        <v>4003.6588800000004</v>
      </c>
      <c r="H55" s="55">
        <f>(A55*B55)*MATERIALES!$D$89</f>
        <v>3436.7999999999997</v>
      </c>
      <c r="I55" s="124">
        <f t="shared" si="0"/>
        <v>3006.3118559999998</v>
      </c>
      <c r="J55" s="143">
        <f t="shared" si="1"/>
        <v>8978.4296160000013</v>
      </c>
      <c r="K55" s="70">
        <f t="shared" si="2"/>
        <v>6126.3118560000003</v>
      </c>
      <c r="L55" s="4"/>
    </row>
    <row r="56" spans="1:13">
      <c r="A56" s="68">
        <v>2.4</v>
      </c>
      <c r="B56" s="69">
        <v>1</v>
      </c>
      <c r="C56" s="59">
        <f>((((A56*2)+(B56*2))*MATERIALES!$C$57)+(((A56*2)+(B56*2))*MATERIALES!$C$73))*(MATERIALES!$F$2*MATERIALES!$J$15)</f>
        <v>0</v>
      </c>
      <c r="D56" s="59">
        <f>(4*MATERIALES!$C$189)+((((A56*2)+(B56*2))/0.1)*MATERIALES!$C$192)+(((A56*2)+(B56*2))*MATERIALES!$C$165)+(0.5*MATERIALES!$C$167)+(4*MATERIALES!$C$148)+(((A56*5)*2)*MATERIALES!$C$147)+(2*MATERIALES!$C$187)</f>
        <v>764.28144000000009</v>
      </c>
      <c r="E56" s="75"/>
      <c r="F56" s="55">
        <f>(A56*B56)*MATERIALES!$D$82</f>
        <v>1272</v>
      </c>
      <c r="G56" s="55">
        <f>(((A56*B56)*2)*MATERIALES!$D$83)+(4*MATERIALES!$C$229)+(((A56*2)+(B56*2))*MATERIALES!$C$230)+(((A56*2)+(B56*2))*MATERIALES!$C$231)+((((A56*2)+(B56*2))/15)*MATERIALES!$C$232)+((((A56*2)+(B56*2))/15)*(MATERIALES!$C$233*0.15))</f>
        <v>4720.5225600000003</v>
      </c>
      <c r="H56" s="55">
        <f>(A56*B56)*MATERIALES!$D$89</f>
        <v>4296</v>
      </c>
      <c r="I56" s="124">
        <f t="shared" si="0"/>
        <v>3537.5658720000001</v>
      </c>
      <c r="J56" s="143">
        <f t="shared" si="1"/>
        <v>10434.610992000002</v>
      </c>
      <c r="K56" s="70">
        <f t="shared" si="2"/>
        <v>7437.5658720000001</v>
      </c>
      <c r="L56" s="4"/>
    </row>
    <row r="57" spans="1:13">
      <c r="A57" s="68">
        <v>2.4</v>
      </c>
      <c r="B57" s="69">
        <v>1.2</v>
      </c>
      <c r="C57" s="59">
        <f>((((A57*2)+(B57*2))*MATERIALES!$C$57)+(((A57*2)+(B57*2))*MATERIALES!$C$73))*(MATERIALES!$F$2*MATERIALES!$J$15)</f>
        <v>0</v>
      </c>
      <c r="D57" s="59">
        <f>(4*MATERIALES!$C$189)+((((A57*2)+(B57*2))/0.1)*MATERIALES!$C$192)+(((A57*2)+(B57*2))*MATERIALES!$C$165)+(0.5*MATERIALES!$C$167)+(4*MATERIALES!$C$148)+(((A57*5)*2)*MATERIALES!$C$147)+(2*MATERIALES!$C$187)</f>
        <v>781.55376000000001</v>
      </c>
      <c r="E57" s="75"/>
      <c r="F57" s="55">
        <f>(A57*B57)*MATERIALES!$D$82</f>
        <v>1526.3999999999999</v>
      </c>
      <c r="G57" s="55">
        <f>(((A57*B57)*2)*MATERIALES!$D$83)+(4*MATERIALES!$C$229)+(((A57*2)+(B57*2))*MATERIALES!$C$230)+(((A57*2)+(B57*2))*MATERIALES!$C$231)+((((A57*2)+(B57*2))/15)*MATERIALES!$C$232)+((((A57*2)+(B57*2))/15)*(MATERIALES!$C$233*0.15))</f>
        <v>5437.3862399999998</v>
      </c>
      <c r="H57" s="55">
        <f>(A57*B57)*MATERIALES!$D$89</f>
        <v>5155.2</v>
      </c>
      <c r="I57" s="124">
        <f t="shared" si="0"/>
        <v>4068.819888</v>
      </c>
      <c r="J57" s="143">
        <f t="shared" si="1"/>
        <v>11890.792368</v>
      </c>
      <c r="K57" s="70">
        <f t="shared" si="2"/>
        <v>8748.819888</v>
      </c>
      <c r="L57" s="4"/>
    </row>
    <row r="58" spans="1:13">
      <c r="A58" s="68">
        <v>2.4</v>
      </c>
      <c r="B58" s="69">
        <v>1.5</v>
      </c>
      <c r="C58" s="59">
        <f>((((A58*2)+(B58*2))*MATERIALES!$C$57)+(((A58*2)+(B58*2))*MATERIALES!$C$73))*(MATERIALES!$F$2*MATERIALES!$J$15)</f>
        <v>0</v>
      </c>
      <c r="D58" s="59">
        <f>(4*MATERIALES!$C$189)+((((A58*2)+(B58*2))/0.1)*MATERIALES!$C$192)+(((A58*2)+(B58*2))*MATERIALES!$C$165)+(0.5*MATERIALES!$C$167)+(4*MATERIALES!$C$148)+(((A58*5)*2)*MATERIALES!$C$147)+(2*MATERIALES!$C$187)</f>
        <v>807.46224000000007</v>
      </c>
      <c r="E58" s="75"/>
      <c r="F58" s="55">
        <f>(A58*B58)*MATERIALES!$D$82</f>
        <v>1907.9999999999998</v>
      </c>
      <c r="G58" s="55">
        <f>(((A58*B58)*2)*MATERIALES!$D$83)+(4*MATERIALES!$C$229)+(((A58*2)+(B58*2))*MATERIALES!$C$230)+(((A58*2)+(B58*2))*MATERIALES!$C$231)+((((A58*2)+(B58*2))/15)*MATERIALES!$C$232)+((((A58*2)+(B58*2))/15)*(MATERIALES!$C$233*0.15))</f>
        <v>6512.6817599999995</v>
      </c>
      <c r="H58" s="55">
        <f>(A58*B58)*MATERIALES!$D$89</f>
        <v>6443.9999999999991</v>
      </c>
      <c r="I58" s="124">
        <f t="shared" si="0"/>
        <v>4865.7009119999993</v>
      </c>
      <c r="J58" s="143">
        <f t="shared" si="1"/>
        <v>14075.064431999999</v>
      </c>
      <c r="K58" s="70">
        <f t="shared" si="2"/>
        <v>10715.700911999998</v>
      </c>
      <c r="L58" s="4"/>
    </row>
    <row r="59" spans="1:13" ht="15.75" thickBot="1">
      <c r="A59" s="71">
        <v>2</v>
      </c>
      <c r="B59" s="72">
        <v>2</v>
      </c>
      <c r="C59" s="60">
        <f>((((A59*2)+(B59*2))*MATERIALES!$C$57)+(((A59*2)+(B59*2))*MATERIALES!$C$73))*(MATERIALES!$F$2*MATERIALES!$J$15)</f>
        <v>0</v>
      </c>
      <c r="D59" s="60">
        <f>(4*MATERIALES!$C$189)+((((A59*2)+(B59*2))/0.1)*MATERIALES!$C$192)+(((A59*2)+(B59*2))*MATERIALES!$C$165)+(0.5*MATERIALES!$C$167)+(4*MATERIALES!$C$148)+(((A59*5)*2)*MATERIALES!$C$147)+(2*MATERIALES!$C$187)</f>
        <v>816.09840000000008</v>
      </c>
      <c r="E59" s="76"/>
      <c r="F59" s="56">
        <f>(A59*B59)*MATERIALES!$D$82</f>
        <v>2120</v>
      </c>
      <c r="G59" s="56">
        <f>(((A59*B59)*2)*MATERIALES!$D$83)+(4*MATERIALES!$C$229)+(((A59*2)+(B59*2))*MATERIALES!$C$230)+(((A59*2)+(B59*2))*MATERIALES!$C$231)+((((A59*2)+(B59*2))/15)*MATERIALES!$C$232)+((((A59*2)+(B59*2))/15)*(MATERIALES!$C$233*0.15))</f>
        <v>7079.1135999999997</v>
      </c>
      <c r="H59" s="56">
        <f>(A59*B59)*MATERIALES!$D$89</f>
        <v>7160</v>
      </c>
      <c r="I59" s="126">
        <f t="shared" si="0"/>
        <v>5300.9279200000001</v>
      </c>
      <c r="J59" s="145">
        <f t="shared" si="1"/>
        <v>15219.155119999999</v>
      </c>
      <c r="K59" s="73">
        <f t="shared" si="2"/>
        <v>11800.92792</v>
      </c>
      <c r="L59" s="4"/>
      <c r="M59" s="238"/>
    </row>
    <row r="60" spans="1:13">
      <c r="L60" s="4"/>
    </row>
    <row r="61" spans="1:13" ht="15.75" thickBot="1"/>
    <row r="62" spans="1:13" ht="15.75" thickBot="1">
      <c r="A62" s="32"/>
      <c r="B62" s="32"/>
      <c r="C62" s="801">
        <v>0.3</v>
      </c>
      <c r="D62" s="802"/>
      <c r="E62" s="803"/>
      <c r="F62" s="801">
        <v>1</v>
      </c>
      <c r="G62" s="803"/>
      <c r="H62" s="61">
        <v>0.5</v>
      </c>
      <c r="I62" s="121"/>
      <c r="J62" s="32"/>
      <c r="K62" s="46" t="s">
        <v>163</v>
      </c>
    </row>
    <row r="63" spans="1:13" ht="15.75" thickBot="1">
      <c r="A63" s="792" t="s">
        <v>375</v>
      </c>
      <c r="B63" s="793"/>
      <c r="C63" s="793"/>
      <c r="D63" s="793"/>
      <c r="E63" s="793"/>
      <c r="F63" s="793"/>
      <c r="G63" s="793"/>
      <c r="H63" s="793"/>
      <c r="I63" s="793"/>
      <c r="J63" s="793"/>
      <c r="K63" s="794"/>
    </row>
    <row r="64" spans="1:13" s="32" customFormat="1" ht="15.75" thickBot="1">
      <c r="A64" s="36" t="s">
        <v>116</v>
      </c>
      <c r="B64" s="36" t="s">
        <v>117</v>
      </c>
      <c r="C64" s="36" t="s">
        <v>162</v>
      </c>
      <c r="D64" s="36" t="s">
        <v>119</v>
      </c>
      <c r="E64" s="36" t="s">
        <v>120</v>
      </c>
      <c r="F64" s="36" t="s">
        <v>520</v>
      </c>
      <c r="G64" s="135" t="s">
        <v>260</v>
      </c>
      <c r="H64" s="135" t="s">
        <v>259</v>
      </c>
      <c r="I64" s="116" t="s">
        <v>521</v>
      </c>
      <c r="J64" s="36" t="s">
        <v>262</v>
      </c>
      <c r="K64" s="36" t="s">
        <v>263</v>
      </c>
      <c r="L64" s="137"/>
    </row>
    <row r="65" spans="1:11" ht="15.75" thickBot="1">
      <c r="A65" s="795"/>
      <c r="B65" s="796"/>
      <c r="C65" s="796"/>
      <c r="D65" s="796"/>
      <c r="E65" s="796"/>
      <c r="F65" s="796"/>
      <c r="G65" s="796"/>
      <c r="H65" s="796"/>
      <c r="I65" s="796"/>
      <c r="J65" s="796"/>
      <c r="K65" s="797"/>
    </row>
    <row r="66" spans="1:11">
      <c r="A66" s="65">
        <v>1.2</v>
      </c>
      <c r="B66" s="66">
        <v>2</v>
      </c>
      <c r="C66" s="58">
        <f>((((A66*2)+(B66*2))*MATERIALES!$C$57)+(((A66*2)+(B66*2))*MATERIALES!$C$73)+(A66*MATERIALES!$C$60))*(MATERIALES!$F$2*MATERIALES!$J$15)</f>
        <v>0</v>
      </c>
      <c r="D66" s="58">
        <f>(4*MATERIALES!$C$189)+((((A66*4)+(B66*2))/0.1)*MATERIALES!$C$192)+(((A66*4)+(B66*2))*MATERIALES!$C$165)+(0.5*MATERIALES!$C$167)+(4*MATERIALES!$C$148)+(((A66*5)*2)*MATERIALES!$C$147)+(4*MATERIALES!$C$174)+(2*MATERIALES!$C$187)</f>
        <v>867.03344000000004</v>
      </c>
      <c r="E66" s="58">
        <f>(0.5*MATERIALES!$D$254)</f>
        <v>557</v>
      </c>
      <c r="F66" s="54">
        <f>(A66*B66)*MATERIALES!$D$82</f>
        <v>1272</v>
      </c>
      <c r="G66" s="54">
        <f>(((A66*B66)*2)*MATERIALES!$D$83)+(8*MATERIALES!$C$229)+(((A66*4)+(B66*2))*MATERIALES!$C$230)+(((A66*4)+(B66*2))*MATERIALES!$C$231)+((((A66*2)+(B66*2))/15)*MATERIALES!$C$232)+((((A66*2)+(B66*2))/15)*(MATERIALES!$C$233*0.15))</f>
        <v>5068.8268800000005</v>
      </c>
      <c r="H66" s="54">
        <f>(A66*B66)*MATERIALES!$D$89</f>
        <v>4296</v>
      </c>
      <c r="I66" s="125">
        <f>((SUM(C66:E66)*1.3)+(F66*2))</f>
        <v>4395.2434720000001</v>
      </c>
      <c r="J66" s="144">
        <f>((SUM(C66:E66)*1.3)+(G66*2))</f>
        <v>11988.897232000001</v>
      </c>
      <c r="K66" s="67">
        <f>((SUM(C66:E66)*1.3)+(H66*1.5))</f>
        <v>8295.2434720000001</v>
      </c>
    </row>
    <row r="67" spans="1:11">
      <c r="A67" s="68">
        <v>1.5</v>
      </c>
      <c r="B67" s="69">
        <v>2</v>
      </c>
      <c r="C67" s="59">
        <f>((((A67*2)+(B67*2))*MATERIALES!$C$57)+(((A67*2)+(B67*2))*MATERIALES!$C$73)+(A67*MATERIALES!$C$60))*(MATERIALES!$F$2*MATERIALES!$J$15)</f>
        <v>0</v>
      </c>
      <c r="D67" s="59">
        <f>(4*MATERIALES!$C$189)+((((A67*4)+(B67*2))/0.1)*MATERIALES!$C$192)+(((A67*4)+(B67*2))*MATERIALES!$C$165)+(0.5*MATERIALES!$C$167)+(4*MATERIALES!$C$148)+(((A67*5)*2)*MATERIALES!$C$147)+(4*MATERIALES!$C$174)+(2*MATERIALES!$C$187)</f>
        <v>918.85040000000004</v>
      </c>
      <c r="E67" s="59">
        <f>(0.5*MATERIALES!$D$254)</f>
        <v>557</v>
      </c>
      <c r="F67" s="55">
        <f>(A67*B67)*MATERIALES!$D$82</f>
        <v>1590</v>
      </c>
      <c r="G67" s="55">
        <f>(((A67*B67)*2)*MATERIALES!$D$83)+(8*MATERIALES!$C$229)+(((A67*4)+(B67*2))*MATERIALES!$C$230)+(((A67*4)+(B67*2))*MATERIALES!$C$231)+((((A67*2)+(B67*2))/15)*MATERIALES!$C$232)+((((A67*2)+(B67*2))/15)*(MATERIALES!$C$233*0.15))</f>
        <v>6092.9543999999996</v>
      </c>
      <c r="H67" s="55">
        <f>(A67*B67)*MATERIALES!$D$89</f>
        <v>5370</v>
      </c>
      <c r="I67" s="124">
        <f t="shared" ref="I67:I71" si="6">((SUM(C67:E67)*1.3)+(F67*2))</f>
        <v>5098.6055200000001</v>
      </c>
      <c r="J67" s="143">
        <f t="shared" ref="J67:J71" si="7">((SUM(C67:E67)*1.3)+(G67*2))</f>
        <v>14104.514319999998</v>
      </c>
      <c r="K67" s="70">
        <f t="shared" ref="K67:K71" si="8">((SUM(C67:E67)*1.3)+(H67*1.5))</f>
        <v>9973.605520000001</v>
      </c>
    </row>
    <row r="68" spans="1:11">
      <c r="A68" s="68">
        <v>1.8</v>
      </c>
      <c r="B68" s="69">
        <v>2</v>
      </c>
      <c r="C68" s="59">
        <f>((((A68*2)+(B68*2))*MATERIALES!$C$57)+(((A68*2)+(B68*2))*MATERIALES!$C$73)+(A68*MATERIALES!$C$60))*(MATERIALES!$F$2*MATERIALES!$J$15)</f>
        <v>0</v>
      </c>
      <c r="D68" s="59">
        <f>(4*MATERIALES!$C$189)+((((A68*4)+(B68*2))/0.1)*MATERIALES!$C$192)+(((A68*4)+(B68*2))*MATERIALES!$C$165)+(0.5*MATERIALES!$C$167)+(4*MATERIALES!$C$148)+(((A68*5)*2)*MATERIALES!$C$147)+(4*MATERIALES!$C$174)+(2*MATERIALES!$C$187)</f>
        <v>970.66736000000003</v>
      </c>
      <c r="E68" s="59">
        <f>(0.5*MATERIALES!$D$254)</f>
        <v>557</v>
      </c>
      <c r="F68" s="55">
        <f>(A68*B68)*MATERIALES!$D$82</f>
        <v>1908</v>
      </c>
      <c r="G68" s="55">
        <f>(((A68*B68)*2)*MATERIALES!$D$83)+(8*MATERIALES!$C$229)+(((A68*4)+(B68*2))*MATERIALES!$C$230)+(((A68*4)+(B68*2))*MATERIALES!$C$231)+((((A68*2)+(B68*2))/15)*MATERIALES!$C$232)+((((A68*2)+(B68*2))/15)*(MATERIALES!$C$233*0.15))</f>
        <v>7117.0819199999996</v>
      </c>
      <c r="H68" s="55">
        <f>(A68*B68)*MATERIALES!$D$89</f>
        <v>6444</v>
      </c>
      <c r="I68" s="124">
        <f t="shared" si="6"/>
        <v>5801.967568</v>
      </c>
      <c r="J68" s="143">
        <f t="shared" si="7"/>
        <v>16220.131407999999</v>
      </c>
      <c r="K68" s="70">
        <f t="shared" si="8"/>
        <v>11651.967568</v>
      </c>
    </row>
    <row r="69" spans="1:11">
      <c r="A69" s="68">
        <v>2</v>
      </c>
      <c r="B69" s="69">
        <v>2</v>
      </c>
      <c r="C69" s="59">
        <f>((((A69*2)+(B69*2))*MATERIALES!$C$57)+(((A69*2)+(B69*2))*MATERIALES!$C$73)+(A69*MATERIALES!$C$60))*(MATERIALES!$F$2*MATERIALES!$J$15)</f>
        <v>0</v>
      </c>
      <c r="D69" s="59">
        <f>(4*MATERIALES!$C$189)+((((A69*4)+(B69*2))/0.1)*MATERIALES!$C$192)+(((A69*4)+(B69*2))*MATERIALES!$C$165)+(0.5*MATERIALES!$C$167)+(4*MATERIALES!$C$148)+(((A69*5)*2)*MATERIALES!$C$147)+(4*MATERIALES!$C$174)+(2*MATERIALES!$C$187)</f>
        <v>1005.2120000000001</v>
      </c>
      <c r="E69" s="59">
        <f>(0.5*MATERIALES!$D$254)</f>
        <v>557</v>
      </c>
      <c r="F69" s="55">
        <f>(A69*B69)*MATERIALES!$D$82</f>
        <v>2120</v>
      </c>
      <c r="G69" s="55">
        <f>(((A69*B69)*2)*MATERIALES!$D$83)+(8*MATERIALES!$C$229)+(((A69*4)+(B69*2))*MATERIALES!$C$230)+(((A69*4)+(B69*2))*MATERIALES!$C$231)+((((A69*2)+(B69*2))/15)*MATERIALES!$C$232)+((((A69*2)+(B69*2))/15)*(MATERIALES!$C$233*0.15))</f>
        <v>7799.8336000000008</v>
      </c>
      <c r="H69" s="55">
        <f>(A69*B69)*MATERIALES!$D$89</f>
        <v>7160</v>
      </c>
      <c r="I69" s="124">
        <f t="shared" si="6"/>
        <v>6270.8756000000003</v>
      </c>
      <c r="J69" s="143">
        <f t="shared" si="7"/>
        <v>17630.542800000003</v>
      </c>
      <c r="K69" s="70">
        <f t="shared" si="8"/>
        <v>12770.875599999999</v>
      </c>
    </row>
    <row r="70" spans="1:11">
      <c r="A70" s="68">
        <v>2.2000000000000002</v>
      </c>
      <c r="B70" s="69">
        <v>2</v>
      </c>
      <c r="C70" s="59">
        <f>((((A70*2)+(B70*2))*MATERIALES!$C$57)+(((A70*2)+(B70*2))*MATERIALES!$C$73)+(A70*MATERIALES!$C$60))*(MATERIALES!$F$2*MATERIALES!$J$15)</f>
        <v>0</v>
      </c>
      <c r="D70" s="59">
        <f>(4*MATERIALES!$C$189)+((((A70*4)+(B70*2))/0.1)*MATERIALES!$C$192)+(((A70*4)+(B70*2))*MATERIALES!$C$165)+(0.5*MATERIALES!$C$167)+(4*MATERIALES!$C$148)+(((A70*5)*2)*MATERIALES!$C$147)+(4*MATERIALES!$C$174)+(2*MATERIALES!$C$187)</f>
        <v>1039.7566400000001</v>
      </c>
      <c r="E70" s="59">
        <f>(0.5*MATERIALES!$D$254)</f>
        <v>557</v>
      </c>
      <c r="F70" s="55">
        <f>(A70*B70)*MATERIALES!$D$82</f>
        <v>2332</v>
      </c>
      <c r="G70" s="55">
        <f>(((A70*B70)*2)*MATERIALES!$D$83)+(8*MATERIALES!$C$229)+(((A70*4)+(B70*2))*MATERIALES!$C$230)+(((A70*4)+(B70*2))*MATERIALES!$C$231)+((((A70*2)+(B70*2))/15)*MATERIALES!$C$232)+((((A70*2)+(B70*2))/15)*(MATERIALES!$C$233*0.15))</f>
        <v>8482.5852800000011</v>
      </c>
      <c r="H70" s="55">
        <f>(A70*B70)*MATERIALES!$D$89</f>
        <v>7876.0000000000009</v>
      </c>
      <c r="I70" s="124">
        <f t="shared" si="6"/>
        <v>6739.7836320000006</v>
      </c>
      <c r="J70" s="143">
        <f t="shared" si="7"/>
        <v>19040.954192000001</v>
      </c>
      <c r="K70" s="70">
        <f t="shared" si="8"/>
        <v>13889.783632000002</v>
      </c>
    </row>
    <row r="71" spans="1:11" ht="15.75" thickBot="1">
      <c r="A71" s="71">
        <v>2.4</v>
      </c>
      <c r="B71" s="72">
        <v>2</v>
      </c>
      <c r="C71" s="60">
        <f>((((A71*2)+(B71*2))*MATERIALES!$C$57)+(((A71*2)+(B71*2))*MATERIALES!$C$73)+(A71*MATERIALES!$C$60))*(MATERIALES!$F$2*MATERIALES!$J$15)</f>
        <v>0</v>
      </c>
      <c r="D71" s="60">
        <f>(4*MATERIALES!$C$189)+((((A71*4)+(B71*2))/0.1)*MATERIALES!$C$192)+(((A71*4)+(B71*2))*MATERIALES!$C$165)+(0.5*MATERIALES!$C$167)+(4*MATERIALES!$C$148)+(((A71*5)*2)*MATERIALES!$C$147)+(4*MATERIALES!$C$174)+(2*MATERIALES!$C$187)</f>
        <v>1074.3012799999999</v>
      </c>
      <c r="E71" s="60">
        <f>(0.5*MATERIALES!$D$254)</f>
        <v>557</v>
      </c>
      <c r="F71" s="56">
        <f>(A71*B71)*MATERIALES!$D$82</f>
        <v>2544</v>
      </c>
      <c r="G71" s="56">
        <f>(((A71*B71)*2)*MATERIALES!$D$83)+(8*MATERIALES!$C$229)+(((A71*4)+(B71*2))*MATERIALES!$C$230)+(((A71*4)+(B71*2))*MATERIALES!$C$231)+((((A71*2)+(B71*2))/15)*MATERIALES!$C$232)+((((A71*2)+(B71*2))/15)*(MATERIALES!$C$233*0.15))</f>
        <v>9165.3369600000005</v>
      </c>
      <c r="H71" s="56">
        <f>(A71*B71)*MATERIALES!$D$89</f>
        <v>8592</v>
      </c>
      <c r="I71" s="126">
        <f t="shared" si="6"/>
        <v>7208.6916639999999</v>
      </c>
      <c r="J71" s="145">
        <f t="shared" si="7"/>
        <v>20451.365583999999</v>
      </c>
      <c r="K71" s="73">
        <f t="shared" si="8"/>
        <v>15008.691664</v>
      </c>
    </row>
  </sheetData>
  <mergeCells count="10">
    <mergeCell ref="S1:S11"/>
    <mergeCell ref="M3:Q4"/>
    <mergeCell ref="A63:K63"/>
    <mergeCell ref="A65:K65"/>
    <mergeCell ref="C2:E2"/>
    <mergeCell ref="F2:G2"/>
    <mergeCell ref="A5:K5"/>
    <mergeCell ref="A3:K3"/>
    <mergeCell ref="C62:E62"/>
    <mergeCell ref="F62:G62"/>
  </mergeCells>
  <pageMargins left="0.59055118110236227" right="0.59055118110236227" top="0" bottom="0.74803149606299213" header="0.31496062992125984" footer="0.31496062992125984"/>
  <pageSetup scale="97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382"/>
  <sheetViews>
    <sheetView topLeftCell="AI1" workbookViewId="0">
      <selection activeCell="T41" sqref="T41"/>
    </sheetView>
  </sheetViews>
  <sheetFormatPr baseColWidth="10" defaultRowHeight="15"/>
  <cols>
    <col min="1" max="1" width="7" hidden="1" customWidth="1"/>
    <col min="2" max="2" width="4.7109375" hidden="1" customWidth="1"/>
    <col min="3" max="4" width="10.5703125" hidden="1" customWidth="1"/>
    <col min="5" max="5" width="8.140625" hidden="1" customWidth="1"/>
    <col min="6" max="6" width="11.28515625" hidden="1" customWidth="1"/>
    <col min="7" max="8" width="11.5703125" hidden="1" customWidth="1"/>
    <col min="9" max="9" width="29.7109375" hidden="1" customWidth="1"/>
    <col min="10" max="10" width="0" style="236" hidden="1" customWidth="1"/>
    <col min="11" max="12" width="0" hidden="1" customWidth="1"/>
    <col min="13" max="13" width="7" hidden="1" customWidth="1"/>
    <col min="14" max="14" width="4.7109375" hidden="1" customWidth="1"/>
    <col min="15" max="16" width="10.5703125" hidden="1" customWidth="1"/>
    <col min="17" max="17" width="8.140625" hidden="1" customWidth="1"/>
    <col min="18" max="18" width="11.28515625" hidden="1" customWidth="1"/>
    <col min="19" max="20" width="11.5703125" hidden="1" customWidth="1"/>
    <col min="21" max="21" width="29.7109375" hidden="1" customWidth="1"/>
    <col min="22" max="22" width="0" hidden="1" customWidth="1"/>
    <col min="23" max="23" width="7" hidden="1" customWidth="1"/>
    <col min="24" max="24" width="4.7109375" hidden="1" customWidth="1"/>
    <col min="25" max="26" width="10.5703125" hidden="1" customWidth="1"/>
    <col min="27" max="27" width="9" hidden="1" customWidth="1"/>
    <col min="28" max="28" width="11.28515625" hidden="1" customWidth="1"/>
    <col min="29" max="30" width="11.5703125" hidden="1" customWidth="1"/>
    <col min="31" max="34" width="0" hidden="1" customWidth="1"/>
    <col min="36" max="36" width="12.42578125" customWidth="1"/>
    <col min="37" max="37" width="3.7109375" customWidth="1"/>
    <col min="38" max="38" width="12.42578125" bestFit="1" customWidth="1"/>
    <col min="39" max="39" width="3.7109375" customWidth="1"/>
    <col min="40" max="40" width="12.42578125" bestFit="1" customWidth="1"/>
    <col min="41" max="41" width="3.7109375" customWidth="1"/>
    <col min="42" max="42" width="12.42578125" bestFit="1" customWidth="1"/>
    <col min="43" max="43" width="3.7109375" customWidth="1"/>
    <col min="44" max="44" width="12.42578125" bestFit="1" customWidth="1"/>
    <col min="45" max="45" width="2.28515625" customWidth="1"/>
    <col min="46" max="46" width="12.28515625" bestFit="1" customWidth="1"/>
    <col min="47" max="47" width="2.28515625" customWidth="1"/>
    <col min="48" max="48" width="7.140625" customWidth="1"/>
    <col min="50" max="50" width="5.5703125" customWidth="1"/>
  </cols>
  <sheetData>
    <row r="1" spans="1:50" ht="15" customHeight="1" thickBot="1">
      <c r="AV1" s="576" t="s">
        <v>532</v>
      </c>
      <c r="AX1" s="884" t="s">
        <v>532</v>
      </c>
    </row>
    <row r="2" spans="1:50" ht="15" customHeight="1" thickBot="1">
      <c r="A2" s="32"/>
      <c r="B2" s="32"/>
      <c r="C2" s="801">
        <v>0.3</v>
      </c>
      <c r="D2" s="802"/>
      <c r="E2" s="803"/>
      <c r="F2" s="61">
        <v>1</v>
      </c>
      <c r="G2" s="32"/>
      <c r="H2" s="46" t="s">
        <v>163</v>
      </c>
      <c r="M2" s="32"/>
      <c r="N2" s="32"/>
      <c r="O2" s="801">
        <v>0.3</v>
      </c>
      <c r="P2" s="802"/>
      <c r="Q2" s="802"/>
      <c r="R2" s="803"/>
      <c r="S2" s="32"/>
      <c r="T2" s="46" t="s">
        <v>163</v>
      </c>
      <c r="AJ2" s="363" t="s">
        <v>627</v>
      </c>
      <c r="AK2" s="371"/>
      <c r="AL2" s="366" t="s">
        <v>628</v>
      </c>
      <c r="AM2" s="372"/>
      <c r="AN2" s="363" t="s">
        <v>629</v>
      </c>
      <c r="AO2" s="371"/>
      <c r="AP2" s="363" t="s">
        <v>630</v>
      </c>
      <c r="AQ2" s="373"/>
      <c r="AR2" s="366" t="s">
        <v>631</v>
      </c>
      <c r="AS2" s="366"/>
      <c r="AT2" s="77"/>
      <c r="AU2" s="77"/>
      <c r="AV2" s="576"/>
      <c r="AX2" s="885"/>
    </row>
    <row r="3" spans="1:50" ht="15" customHeight="1" thickBot="1">
      <c r="A3" s="792" t="s">
        <v>194</v>
      </c>
      <c r="B3" s="793"/>
      <c r="C3" s="793"/>
      <c r="D3" s="793"/>
      <c r="E3" s="793"/>
      <c r="F3" s="793"/>
      <c r="G3" s="793"/>
      <c r="H3" s="794"/>
      <c r="M3" s="792" t="s">
        <v>208</v>
      </c>
      <c r="N3" s="793"/>
      <c r="O3" s="793"/>
      <c r="P3" s="793"/>
      <c r="Q3" s="793"/>
      <c r="R3" s="793"/>
      <c r="S3" s="793"/>
      <c r="T3" s="794"/>
      <c r="AV3" s="576"/>
      <c r="AX3" s="885"/>
    </row>
    <row r="4" spans="1:50" ht="15" customHeight="1" thickBot="1">
      <c r="A4" s="36" t="s">
        <v>116</v>
      </c>
      <c r="B4" s="36" t="s">
        <v>117</v>
      </c>
      <c r="C4" s="36" t="s">
        <v>162</v>
      </c>
      <c r="D4" s="36" t="s">
        <v>119</v>
      </c>
      <c r="E4" s="36" t="s">
        <v>120</v>
      </c>
      <c r="F4" s="36" t="s">
        <v>118</v>
      </c>
      <c r="G4" s="36" t="s">
        <v>121</v>
      </c>
      <c r="H4" s="36" t="s">
        <v>122</v>
      </c>
      <c r="M4" s="36" t="s">
        <v>116</v>
      </c>
      <c r="N4" s="36" t="s">
        <v>117</v>
      </c>
      <c r="O4" s="36" t="s">
        <v>162</v>
      </c>
      <c r="P4" s="36" t="s">
        <v>119</v>
      </c>
      <c r="Q4" s="36" t="s">
        <v>120</v>
      </c>
      <c r="R4" s="36" t="s">
        <v>207</v>
      </c>
      <c r="S4" s="36" t="s">
        <v>121</v>
      </c>
      <c r="T4" s="36" t="s">
        <v>122</v>
      </c>
      <c r="AL4" s="4"/>
      <c r="AM4" s="32"/>
      <c r="AN4" s="289"/>
      <c r="AP4" s="287"/>
      <c r="AQ4" s="288"/>
      <c r="AR4" s="290"/>
      <c r="AS4" s="290"/>
      <c r="AV4" s="576"/>
      <c r="AX4" s="885"/>
    </row>
    <row r="5" spans="1:50" ht="15" customHeight="1" thickBot="1">
      <c r="A5" s="795"/>
      <c r="B5" s="796"/>
      <c r="C5" s="796"/>
      <c r="D5" s="796"/>
      <c r="E5" s="796"/>
      <c r="F5" s="796"/>
      <c r="G5" s="796"/>
      <c r="H5" s="797"/>
      <c r="M5" s="795"/>
      <c r="N5" s="796"/>
      <c r="O5" s="796"/>
      <c r="P5" s="796"/>
      <c r="Q5" s="796"/>
      <c r="R5" s="796"/>
      <c r="S5" s="796"/>
      <c r="T5" s="797"/>
      <c r="AK5" s="291"/>
      <c r="AL5" s="292"/>
      <c r="AM5" s="293"/>
      <c r="AN5" s="294"/>
      <c r="AO5" s="295"/>
      <c r="AP5" s="296"/>
      <c r="AQ5" s="293"/>
      <c r="AR5" s="297"/>
      <c r="AS5" s="297"/>
      <c r="AT5" s="291"/>
      <c r="AU5" s="291"/>
      <c r="AV5" s="576"/>
      <c r="AX5" s="885"/>
    </row>
    <row r="6" spans="1:50" ht="15" customHeight="1">
      <c r="A6" s="65">
        <v>0.6</v>
      </c>
      <c r="B6" s="66">
        <v>2</v>
      </c>
      <c r="C6" s="58">
        <f>(((A6+(2*B6))*MATERIALES!$C$57)+((A6+(2*B6))*MATERIALES!$C$55)+(A6*MATERIALES!$C$59)+((((A6*2)+(B6*2))*MATERIALES!$C$73)*2))*(MATERIALES!$F$2*MATERIALES!$J$15)</f>
        <v>0</v>
      </c>
      <c r="D6" s="58">
        <f>(1*MATERIALES!$C$204)+(1*MATERIALES!$C$205)+(3*MATERIALES!$C$207)+(2*MATERIALES!$C$189)+(2*MATERIALES!$C$190)+(2*MATERIALES!$C$191)+(4*MATERIALES!$C$158)+(4*MATERIALES!$C$159)+((A6+(2*B6))*MATERIALES!$C$210)+((A6+(2*B6))*MATERIALES!$C$209)+(((A6*2)+(B6*2))*MATERIALES!$C$141)+(((((A6*2)+(B6*2))/0.1)*MATERIALES!$C$192)*2)+(2*MATERIALES!$C$187)+(((A6*5)*2)*MATERIALES!$C$147)+(4*MATERIALES!$C$148)</f>
        <v>4860.8705600000003</v>
      </c>
      <c r="E6" s="74"/>
      <c r="F6" s="54">
        <f>(A6*B6)*MATERIALES!$D$82</f>
        <v>636</v>
      </c>
      <c r="G6" s="58">
        <f>SUM(C6:F6)</f>
        <v>5496.8705600000003</v>
      </c>
      <c r="H6" s="67">
        <f>(SUM(C6:E6)*1.3)+(F6*2)</f>
        <v>7591.1317280000003</v>
      </c>
      <c r="M6" s="65">
        <v>0.6</v>
      </c>
      <c r="N6" s="66">
        <v>2</v>
      </c>
      <c r="O6" s="58">
        <f>(((M6+(2*N6))*MATERIALES!$C$57)+((M6+(2*N6))*MATERIALES!$C$55)+(M6*MATERIALES!$C$59)+((((M6*2)+(N6*2))*MATERIALES!$C$73)*2))*(MATERIALES!$F$2*MATERIALES!$J$15)</f>
        <v>0</v>
      </c>
      <c r="P6" s="58">
        <f>(1*MATERIALES!$C$204)+(1*MATERIALES!$C$205)+(3*MATERIALES!$C$207)+(2*MATERIALES!$C$189)+(2*MATERIALES!$C$190)+(2*MATERIALES!$C$191)+(4*MATERIALES!$C$158)+(4*MATERIALES!$C$159)+((M6+(2*N6))*MATERIALES!$C$210)+((M6+(2*N6))*MATERIALES!$C$209)+(((M6*2)+(N6*2))*MATERIALES!$C$165)+(0.5*MATERIALES!$C$167)+(((((M6*2)+(N6*2))/0.1)*MATERIALES!$C$192)*2)+(2*MATERIALES!$C$187)+(((M6*5)*2)*MATERIALES!$C$147)+(4*MATERIALES!$C$148)</f>
        <v>4997.3705600000003</v>
      </c>
      <c r="Q6" s="74"/>
      <c r="R6" s="54">
        <f>(((M6-0.2)*MATERIALES!$C$30)*(N6/0.12))*MATERIALES!$F$2</f>
        <v>4315.5839999999998</v>
      </c>
      <c r="S6" s="58">
        <f>SUM(O6:R6)</f>
        <v>9312.9545600000001</v>
      </c>
      <c r="T6" s="67">
        <f>(SUM(O6:R6)*1.3)</f>
        <v>12106.840928000001</v>
      </c>
      <c r="AK6" s="291"/>
      <c r="AL6" s="292"/>
      <c r="AM6" s="293"/>
      <c r="AN6" s="294"/>
      <c r="AO6" s="295"/>
      <c r="AP6" s="296"/>
      <c r="AQ6" s="293"/>
      <c r="AR6" s="297"/>
      <c r="AS6" s="297"/>
      <c r="AT6" s="291"/>
      <c r="AU6" s="291"/>
      <c r="AV6" s="576"/>
      <c r="AX6" s="885"/>
    </row>
    <row r="7" spans="1:50" ht="15" customHeight="1">
      <c r="A7" s="68">
        <v>0.7</v>
      </c>
      <c r="B7" s="69">
        <v>2</v>
      </c>
      <c r="C7" s="59">
        <f>(((A7+(2*B7))*MATERIALES!$C$57)+((A7+(2*B7))*MATERIALES!$C$55)+(A7*MATERIALES!$C$59)+((((A7*2)+(B7*2))*MATERIALES!$C$73)*2))*(MATERIALES!$F$2*MATERIALES!$J$15)</f>
        <v>0</v>
      </c>
      <c r="D7" s="59">
        <f>(1*MATERIALES!$C$204)+(1*MATERIALES!$C$205)+(3*MATERIALES!$C$207)+(2*MATERIALES!$C$189)+(2*MATERIALES!$C$190)+(2*MATERIALES!$C$191)+(4*MATERIALES!$C$158)+(4*MATERIALES!$C$159)+((A7+(2*B7))*MATERIALES!$C$210)+((A7+(2*B7))*MATERIALES!$C$209)+(((A7*2)+(B7*2))*MATERIALES!$C$141)+(((((A7*2)+(B7*2))/0.1)*MATERIALES!$C$192)*2)+(2*MATERIALES!$C$187)+(((A7*5)*2)*MATERIALES!$C$147)+(4*MATERIALES!$C$148)</f>
        <v>4879.7767199999989</v>
      </c>
      <c r="E7" s="75"/>
      <c r="F7" s="55">
        <f>(A7*B7)*MATERIALES!$D$82</f>
        <v>742</v>
      </c>
      <c r="G7" s="59">
        <f t="shared" ref="G7:G13" si="0">SUM(C7:F7)</f>
        <v>5621.7767199999989</v>
      </c>
      <c r="H7" s="70">
        <f t="shared" ref="H7:H13" si="1">(SUM(C7:E7)*1.3)+(F7*2)</f>
        <v>7827.7097359999989</v>
      </c>
      <c r="M7" s="68">
        <v>0.7</v>
      </c>
      <c r="N7" s="69">
        <v>2</v>
      </c>
      <c r="O7" s="59">
        <f>(((M7+(2*N7))*MATERIALES!$C$57)+((M7+(2*N7))*MATERIALES!$C$55)+(M7*MATERIALES!$C$59)+((((M7*2)+(N7*2))*MATERIALES!$C$73)*2))*(MATERIALES!$F$2*MATERIALES!$J$15)</f>
        <v>0</v>
      </c>
      <c r="P7" s="59">
        <f>(1*MATERIALES!$C$204)+(1*MATERIALES!$C$205)+(3*MATERIALES!$C$207)+(2*MATERIALES!$C$189)+(2*MATERIALES!$C$190)+(2*MATERIALES!$C$191)+(4*MATERIALES!$C$158)+(4*MATERIALES!$C$159)+((M7+(2*N7))*MATERIALES!$C$210)+((M7+(2*N7))*MATERIALES!$C$209)+(((M7*2)+(N7*2))*MATERIALES!$C$165)+(0.5*MATERIALES!$C$167)+(((((M7*2)+(N7*2))/0.1)*MATERIALES!$C$192)*2)+(2*MATERIALES!$C$187)+(((M7*5)*2)*MATERIALES!$C$147)+(4*MATERIALES!$C$148)</f>
        <v>5016.2767199999989</v>
      </c>
      <c r="Q7" s="75"/>
      <c r="R7" s="55">
        <f>(((M7-0.2)*MATERIALES!$C$30)*(N7/0.12))*MATERIALES!$F$2</f>
        <v>5394.48</v>
      </c>
      <c r="S7" s="59">
        <f t="shared" ref="S7:S13" si="2">SUM(O7:R7)</f>
        <v>10410.756719999998</v>
      </c>
      <c r="T7" s="70">
        <f t="shared" ref="T7:T13" si="3">(SUM(O7:R7)*1.3)</f>
        <v>13533.983735999996</v>
      </c>
      <c r="AK7" s="291"/>
      <c r="AL7" s="292"/>
      <c r="AM7" s="298"/>
      <c r="AN7" s="294"/>
      <c r="AO7" s="295"/>
      <c r="AP7" s="296"/>
      <c r="AQ7" s="298"/>
      <c r="AR7" s="297"/>
      <c r="AS7" s="297"/>
      <c r="AT7" s="291"/>
      <c r="AU7" s="291"/>
      <c r="AV7" s="576"/>
      <c r="AX7" s="885"/>
    </row>
    <row r="8" spans="1:50" ht="15" customHeight="1">
      <c r="A8" s="68">
        <v>0.8</v>
      </c>
      <c r="B8" s="69">
        <v>2</v>
      </c>
      <c r="C8" s="59">
        <f>(((A8+(2*B8))*MATERIALES!$C$57)+((A8+(2*B8))*MATERIALES!$C$55)+(A8*MATERIALES!$C$59)+((((A8*2)+(B8*2))*MATERIALES!$C$73)*2))*(MATERIALES!$F$2*MATERIALES!$J$15)</f>
        <v>0</v>
      </c>
      <c r="D8" s="59">
        <f>(1*MATERIALES!$C$204)+(1*MATERIALES!$C$205)+(3*MATERIALES!$C$207)+(2*MATERIALES!$C$189)+(2*MATERIALES!$C$190)+(2*MATERIALES!$C$191)+(4*MATERIALES!$C$158)+(4*MATERIALES!$C$159)+((A8+(2*B8))*MATERIALES!$C$210)+((A8+(2*B8))*MATERIALES!$C$209)+(((A8*2)+(B8*2))*MATERIALES!$C$141)+(((((A8*2)+(B8*2))/0.1)*MATERIALES!$C$192)*2)+(2*MATERIALES!$C$187)+(((A8*5)*2)*MATERIALES!$C$147)+(4*MATERIALES!$C$148)</f>
        <v>4898.6828800000003</v>
      </c>
      <c r="E8" s="75"/>
      <c r="F8" s="55">
        <f>(A8*B8)*MATERIALES!$D$82</f>
        <v>848</v>
      </c>
      <c r="G8" s="59">
        <f t="shared" si="0"/>
        <v>5746.6828800000003</v>
      </c>
      <c r="H8" s="70">
        <f t="shared" si="1"/>
        <v>8064.2877440000002</v>
      </c>
      <c r="M8" s="68">
        <v>0.8</v>
      </c>
      <c r="N8" s="69">
        <v>2</v>
      </c>
      <c r="O8" s="59">
        <f>(((M8+(2*N8))*MATERIALES!$C$57)+((M8+(2*N8))*MATERIALES!$C$55)+(M8*MATERIALES!$C$59)+((((M8*2)+(N8*2))*MATERIALES!$C$73)*2))*(MATERIALES!$F$2*MATERIALES!$J$15)</f>
        <v>0</v>
      </c>
      <c r="P8" s="59">
        <f>(1*MATERIALES!$C$204)+(1*MATERIALES!$C$205)+(3*MATERIALES!$C$207)+(2*MATERIALES!$C$189)+(2*MATERIALES!$C$190)+(2*MATERIALES!$C$191)+(4*MATERIALES!$C$158)+(4*MATERIALES!$C$159)+((M8+(2*N8))*MATERIALES!$C$210)+((M8+(2*N8))*MATERIALES!$C$209)+(((M8*2)+(N8*2))*MATERIALES!$C$165)+(0.5*MATERIALES!$C$167)+(((((M8*2)+(N8*2))/0.1)*MATERIALES!$C$192)*2)+(2*MATERIALES!$C$187)+(((M8*5)*2)*MATERIALES!$C$147)+(4*MATERIALES!$C$148)</f>
        <v>5035.1828800000003</v>
      </c>
      <c r="Q8" s="75"/>
      <c r="R8" s="55">
        <f>(((M8-0.2)*MATERIALES!$C$30)*(N8/0.12))*MATERIALES!$F$2</f>
        <v>6473.376000000002</v>
      </c>
      <c r="S8" s="59">
        <f t="shared" si="2"/>
        <v>11508.558880000002</v>
      </c>
      <c r="T8" s="70">
        <f t="shared" si="3"/>
        <v>14961.126544000004</v>
      </c>
      <c r="AL8" s="4"/>
      <c r="AM8" s="298"/>
      <c r="AN8" s="289"/>
      <c r="AO8" s="295"/>
      <c r="AP8" s="287"/>
      <c r="AQ8" s="298"/>
      <c r="AR8" s="297"/>
      <c r="AS8" s="297"/>
      <c r="AV8" s="576"/>
      <c r="AX8" s="885"/>
    </row>
    <row r="9" spans="1:50">
      <c r="A9" s="68">
        <v>0.9</v>
      </c>
      <c r="B9" s="69">
        <v>2</v>
      </c>
      <c r="C9" s="59">
        <f>(((A9+(2*B9))*MATERIALES!$C$57)+((A9+(2*B9))*MATERIALES!$C$55)+(A9*MATERIALES!$C$59)+((((A9*2)+(B9*2))*MATERIALES!$C$73)*2))*(MATERIALES!$F$2*MATERIALES!$J$15)</f>
        <v>0</v>
      </c>
      <c r="D9" s="59">
        <f>(1*MATERIALES!$C$204)+(1*MATERIALES!$C$205)+(3*MATERIALES!$C$207)+(2*MATERIALES!$C$189)+(2*MATERIALES!$C$190)+(2*MATERIALES!$C$191)+(4*MATERIALES!$C$158)+(4*MATERIALES!$C$159)+((A9+(2*B9))*MATERIALES!$C$210)+((A9+(2*B9))*MATERIALES!$C$209)+(((A9*2)+(B9*2))*MATERIALES!$C$141)+(((((A9*2)+(B9*2))/0.1)*MATERIALES!$C$192)*2)+(2*MATERIALES!$C$187)+(((A9*5)*2)*MATERIALES!$C$147)+(4*MATERIALES!$C$148)</f>
        <v>4917.5890399999998</v>
      </c>
      <c r="E9" s="75"/>
      <c r="F9" s="55">
        <f>(A9*B9)*MATERIALES!$D$82</f>
        <v>954</v>
      </c>
      <c r="G9" s="59">
        <f t="shared" si="0"/>
        <v>5871.5890399999998</v>
      </c>
      <c r="H9" s="70">
        <f t="shared" si="1"/>
        <v>8300.8657519999997</v>
      </c>
      <c r="M9" s="68">
        <v>0.9</v>
      </c>
      <c r="N9" s="69">
        <v>2</v>
      </c>
      <c r="O9" s="59">
        <f>(((M9+(2*N9))*MATERIALES!$C$57)+((M9+(2*N9))*MATERIALES!$C$55)+(M9*MATERIALES!$C$59)+((((M9*2)+(N9*2))*MATERIALES!$C$73)*2))*(MATERIALES!$F$2*MATERIALES!$J$15)</f>
        <v>0</v>
      </c>
      <c r="P9" s="59">
        <f>(1*MATERIALES!$C$204)+(1*MATERIALES!$C$205)+(3*MATERIALES!$C$207)+(2*MATERIALES!$C$189)+(2*MATERIALES!$C$190)+(2*MATERIALES!$C$191)+(4*MATERIALES!$C$158)+(4*MATERIALES!$C$159)+((M9+(2*N9))*MATERIALES!$C$210)+((M9+(2*N9))*MATERIALES!$C$209)+(((M9*2)+(N9*2))*MATERIALES!$C$165)+(0.5*MATERIALES!$C$167)+(((((M9*2)+(N9*2))/0.1)*MATERIALES!$C$192)*2)+(2*MATERIALES!$C$187)+(((M9*5)*2)*MATERIALES!$C$147)+(4*MATERIALES!$C$148)</f>
        <v>5054.0890399999998</v>
      </c>
      <c r="Q9" s="75"/>
      <c r="R9" s="55">
        <f>(((M9-0.2)*MATERIALES!$C$30)*(N9/0.12))*MATERIALES!$F$2</f>
        <v>7552.2720000000008</v>
      </c>
      <c r="S9" s="59">
        <f t="shared" si="2"/>
        <v>12606.36104</v>
      </c>
      <c r="T9" s="70">
        <f t="shared" si="3"/>
        <v>16388.269351999999</v>
      </c>
      <c r="AL9" s="4"/>
      <c r="AM9" s="299"/>
      <c r="AN9" s="289"/>
      <c r="AO9" s="300"/>
      <c r="AP9" s="287"/>
      <c r="AQ9" s="288"/>
      <c r="AV9" s="576"/>
      <c r="AX9" s="885"/>
    </row>
    <row r="10" spans="1:50">
      <c r="A10" s="68">
        <v>0.6</v>
      </c>
      <c r="B10" s="69">
        <v>2.1</v>
      </c>
      <c r="C10" s="59">
        <f>(((A10+(2*B10))*MATERIALES!$C$57)+((A10+(2*B10))*MATERIALES!$C$55)+(A10*MATERIALES!$C$59)+((((A10*2)+(B10*2))*MATERIALES!$C$73)*2))*(MATERIALES!$F$2*MATERIALES!$J$15)</f>
        <v>0</v>
      </c>
      <c r="D10" s="59">
        <f>(1*MATERIALES!$C$204)+(1*MATERIALES!$C$205)+(3*MATERIALES!$C$207)+(2*MATERIALES!$C$189)+(2*MATERIALES!$C$190)+(2*MATERIALES!$C$191)+(4*MATERIALES!$C$158)+(4*MATERIALES!$C$159)+((A10+(2*B10))*MATERIALES!$C$210)+((A10+(2*B10))*MATERIALES!$C$209)+(((A10*2)+(B10*2))*MATERIALES!$C$141)+(((((A10*2)+(B10*2))/0.1)*MATERIALES!$C$192)*2)+(2*MATERIALES!$C$187)+(((A10*5)*2)*MATERIALES!$C$147)+(4*MATERIALES!$C$148)</f>
        <v>4885.6787199999999</v>
      </c>
      <c r="E10" s="75"/>
      <c r="F10" s="55">
        <f>(A10*B10)*MATERIALES!$D$82</f>
        <v>667.8</v>
      </c>
      <c r="G10" s="59">
        <f t="shared" si="0"/>
        <v>5553.4787200000001</v>
      </c>
      <c r="H10" s="70">
        <f t="shared" si="1"/>
        <v>7686.9823359999991</v>
      </c>
      <c r="M10" s="68">
        <v>0.6</v>
      </c>
      <c r="N10" s="69">
        <v>2.1</v>
      </c>
      <c r="O10" s="59">
        <f>(((M10+(2*N10))*MATERIALES!$C$57)+((M10+(2*N10))*MATERIALES!$C$55)+(M10*MATERIALES!$C$59)+((((M10*2)+(N10*2))*MATERIALES!$C$73)*2))*(MATERIALES!$F$2*MATERIALES!$J$15)</f>
        <v>0</v>
      </c>
      <c r="P10" s="59">
        <f>(1*MATERIALES!$C$204)+(1*MATERIALES!$C$205)+(3*MATERIALES!$C$207)+(2*MATERIALES!$C$189)+(2*MATERIALES!$C$190)+(2*MATERIALES!$C$191)+(4*MATERIALES!$C$158)+(4*MATERIALES!$C$159)+((M10+(2*N10))*MATERIALES!$C$210)+((M10+(2*N10))*MATERIALES!$C$209)+(((M10*2)+(N10*2))*MATERIALES!$C$165)+(0.5*MATERIALES!$C$167)+(((((M10*2)+(N10*2))/0.1)*MATERIALES!$C$192)*2)+(2*MATERIALES!$C$187)+(((M10*5)*2)*MATERIALES!$C$147)+(4*MATERIALES!$C$148)</f>
        <v>5022.1787199999999</v>
      </c>
      <c r="Q10" s="75"/>
      <c r="R10" s="55">
        <f>(((M10-0.2)*MATERIALES!$C$30)*(N10/0.12))*MATERIALES!$F$2</f>
        <v>4531.3631999999998</v>
      </c>
      <c r="S10" s="59">
        <f t="shared" si="2"/>
        <v>9553.5419199999997</v>
      </c>
      <c r="T10" s="70">
        <f t="shared" si="3"/>
        <v>12419.604496</v>
      </c>
      <c r="AL10" s="4"/>
      <c r="AM10" s="299"/>
      <c r="AN10" s="289"/>
      <c r="AO10" s="300"/>
      <c r="AP10" s="287"/>
      <c r="AQ10" s="288"/>
      <c r="AV10" s="576"/>
      <c r="AX10" s="885"/>
    </row>
    <row r="11" spans="1:50">
      <c r="A11" s="68">
        <v>0.7</v>
      </c>
      <c r="B11" s="69">
        <v>2.1</v>
      </c>
      <c r="C11" s="59">
        <f>(((A11+(2*B11))*MATERIALES!$C$57)+((A11+(2*B11))*MATERIALES!$C$55)+(A11*MATERIALES!$C$59)+((((A11*2)+(B11*2))*MATERIALES!$C$73)*2))*(MATERIALES!$F$2*MATERIALES!$J$15)</f>
        <v>0</v>
      </c>
      <c r="D11" s="59">
        <f>(1*MATERIALES!$C$204)+(1*MATERIALES!$C$205)+(3*MATERIALES!$C$207)+(2*MATERIALES!$C$189)+(2*MATERIALES!$C$190)+(2*MATERIALES!$C$191)+(4*MATERIALES!$C$158)+(4*MATERIALES!$C$159)+((A11+(2*B11))*MATERIALES!$C$210)+((A11+(2*B11))*MATERIALES!$C$209)+(((A11*2)+(B11*2))*MATERIALES!$C$141)+(((((A11*2)+(B11*2))/0.1)*MATERIALES!$C$192)*2)+(2*MATERIALES!$C$187)+(((A11*5)*2)*MATERIALES!$C$147)+(4*MATERIALES!$C$148)</f>
        <v>4904.5848800000003</v>
      </c>
      <c r="E11" s="75"/>
      <c r="F11" s="55">
        <f>(A11*B11)*MATERIALES!$D$82</f>
        <v>779.1</v>
      </c>
      <c r="G11" s="59">
        <f t="shared" si="0"/>
        <v>5683.6848800000007</v>
      </c>
      <c r="H11" s="70">
        <f t="shared" si="1"/>
        <v>7934.1603440000008</v>
      </c>
      <c r="M11" s="68">
        <v>0.7</v>
      </c>
      <c r="N11" s="69">
        <v>2.1</v>
      </c>
      <c r="O11" s="59">
        <f>(((M11+(2*N11))*MATERIALES!$C$57)+((M11+(2*N11))*MATERIALES!$C$55)+(M11*MATERIALES!$C$59)+((((M11*2)+(N11*2))*MATERIALES!$C$73)*2))*(MATERIALES!$F$2*MATERIALES!$J$15)</f>
        <v>0</v>
      </c>
      <c r="P11" s="59">
        <f>(1*MATERIALES!$C$204)+(1*MATERIALES!$C$205)+(3*MATERIALES!$C$207)+(2*MATERIALES!$C$189)+(2*MATERIALES!$C$190)+(2*MATERIALES!$C$191)+(4*MATERIALES!$C$158)+(4*MATERIALES!$C$159)+((M11+(2*N11))*MATERIALES!$C$210)+((M11+(2*N11))*MATERIALES!$C$209)+(((M11*2)+(N11*2))*MATERIALES!$C$165)+(0.5*MATERIALES!$C$167)+(((((M11*2)+(N11*2))/0.1)*MATERIALES!$C$192)*2)+(2*MATERIALES!$C$187)+(((M11*5)*2)*MATERIALES!$C$147)+(4*MATERIALES!$C$148)</f>
        <v>5041.0848800000003</v>
      </c>
      <c r="Q11" s="75"/>
      <c r="R11" s="55">
        <f>(((M11-0.2)*MATERIALES!$C$30)*(N11/0.12))*MATERIALES!$F$2</f>
        <v>5664.2039999999997</v>
      </c>
      <c r="S11" s="59">
        <f t="shared" si="2"/>
        <v>10705.28888</v>
      </c>
      <c r="T11" s="70">
        <f t="shared" si="3"/>
        <v>13916.875544</v>
      </c>
      <c r="AL11" s="4"/>
      <c r="AM11" s="299"/>
      <c r="AN11" s="289"/>
      <c r="AO11" s="300"/>
      <c r="AP11" s="287"/>
      <c r="AQ11" s="288"/>
      <c r="AV11" s="576"/>
      <c r="AX11" s="885"/>
    </row>
    <row r="12" spans="1:50" ht="15" customHeight="1">
      <c r="A12" s="68">
        <v>0.8</v>
      </c>
      <c r="B12" s="69">
        <v>2.1</v>
      </c>
      <c r="C12" s="59">
        <f>(((A12+(2*B12))*MATERIALES!$C$57)+((A12+(2*B12))*MATERIALES!$C$55)+(A12*MATERIALES!$C$59)+((((A12*2)+(B12*2))*MATERIALES!$C$73)*2))*(MATERIALES!$F$2*MATERIALES!$J$15)</f>
        <v>0</v>
      </c>
      <c r="D12" s="59">
        <f>(1*MATERIALES!$C$204)+(1*MATERIALES!$C$205)+(3*MATERIALES!$C$207)+(2*MATERIALES!$C$189)+(2*MATERIALES!$C$190)+(2*MATERIALES!$C$191)+(4*MATERIALES!$C$158)+(4*MATERIALES!$C$159)+((A12+(2*B12))*MATERIALES!$C$210)+((A12+(2*B12))*MATERIALES!$C$209)+(((A12*2)+(B12*2))*MATERIALES!$C$141)+(((((A12*2)+(B12*2))/0.1)*MATERIALES!$C$192)*2)+(2*MATERIALES!$C$187)+(((A12*5)*2)*MATERIALES!$C$147)+(4*MATERIALES!$C$148)</f>
        <v>4923.4910399999999</v>
      </c>
      <c r="E12" s="75"/>
      <c r="F12" s="55">
        <f>(A12*B12)*MATERIALES!$D$82</f>
        <v>890.40000000000009</v>
      </c>
      <c r="G12" s="59">
        <f t="shared" si="0"/>
        <v>5813.8910400000004</v>
      </c>
      <c r="H12" s="70">
        <f t="shared" si="1"/>
        <v>8181.3383520000007</v>
      </c>
      <c r="M12" s="68">
        <v>0.8</v>
      </c>
      <c r="N12" s="69">
        <v>2.1</v>
      </c>
      <c r="O12" s="59">
        <f>(((M12+(2*N12))*MATERIALES!$C$57)+((M12+(2*N12))*MATERIALES!$C$55)+(M12*MATERIALES!$C$59)+((((M12*2)+(N12*2))*MATERIALES!$C$73)*2))*(MATERIALES!$F$2*MATERIALES!$J$15)</f>
        <v>0</v>
      </c>
      <c r="P12" s="59">
        <f>(1*MATERIALES!$C$204)+(1*MATERIALES!$C$205)+(3*MATERIALES!$C$207)+(2*MATERIALES!$C$189)+(2*MATERIALES!$C$190)+(2*MATERIALES!$C$191)+(4*MATERIALES!$C$158)+(4*MATERIALES!$C$159)+((M12+(2*N12))*MATERIALES!$C$210)+((M12+(2*N12))*MATERIALES!$C$209)+(((M12*2)+(N12*2))*MATERIALES!$C$165)+(0.5*MATERIALES!$C$167)+(((((M12*2)+(N12*2))/0.1)*MATERIALES!$C$192)*2)+(2*MATERIALES!$C$187)+(((M12*5)*2)*MATERIALES!$C$147)+(4*MATERIALES!$C$148)</f>
        <v>5059.9910399999999</v>
      </c>
      <c r="Q12" s="75"/>
      <c r="R12" s="55">
        <f>(((M12-0.2)*MATERIALES!$C$30)*(N12/0.12))*MATERIALES!$F$2</f>
        <v>6797.0448000000024</v>
      </c>
      <c r="S12" s="59">
        <f t="shared" si="2"/>
        <v>11857.035840000002</v>
      </c>
      <c r="T12" s="70">
        <f t="shared" si="3"/>
        <v>15414.146592000003</v>
      </c>
      <c r="AM12" s="267"/>
      <c r="AQ12" s="288"/>
      <c r="AV12" s="576"/>
      <c r="AX12" s="885"/>
    </row>
    <row r="13" spans="1:50" ht="15.75" customHeight="1" thickBot="1">
      <c r="A13" s="71">
        <v>0.9</v>
      </c>
      <c r="B13" s="72">
        <v>2.1</v>
      </c>
      <c r="C13" s="60">
        <f>(((A13+(2*B13))*MATERIALES!$C$57)+((A13+(2*B13))*MATERIALES!$C$55)+(A13*MATERIALES!$C$59)+((((A13*2)+(B13*2))*MATERIALES!$C$73)*2))*(MATERIALES!$F$2*MATERIALES!$J$15)</f>
        <v>0</v>
      </c>
      <c r="D13" s="60">
        <f>(1*MATERIALES!$C$204)+(1*MATERIALES!$C$205)+(3*MATERIALES!$C$207)+(2*MATERIALES!$C$189)+(2*MATERIALES!$C$190)+(2*MATERIALES!$C$191)+(4*MATERIALES!$C$158)+(4*MATERIALES!$C$159)+((A13+(2*B13))*MATERIALES!$C$210)+((A13+(2*B13))*MATERIALES!$C$209)+(((A13*2)+(B13*2))*MATERIALES!$C$141)+(((((A13*2)+(B13*2))/0.1)*MATERIALES!$C$192)*2)+(2*MATERIALES!$C$187)+(((A13*5)*2)*MATERIALES!$C$147)+(4*MATERIALES!$C$148)</f>
        <v>4942.3971999999985</v>
      </c>
      <c r="E13" s="76"/>
      <c r="F13" s="56">
        <f>(A13*B13)*MATERIALES!$D$82</f>
        <v>1001.7</v>
      </c>
      <c r="G13" s="60">
        <f t="shared" si="0"/>
        <v>5944.0971999999983</v>
      </c>
      <c r="H13" s="73">
        <f t="shared" si="1"/>
        <v>8428.5163599999978</v>
      </c>
      <c r="M13" s="71">
        <v>0.9</v>
      </c>
      <c r="N13" s="72">
        <v>2.1</v>
      </c>
      <c r="O13" s="60">
        <f>(((M13+(2*N13))*MATERIALES!$C$57)+((M13+(2*N13))*MATERIALES!$C$55)+(M13*MATERIALES!$C$59)+((((M13*2)+(N13*2))*MATERIALES!$C$73)*2))*(MATERIALES!$F$2*MATERIALES!$J$15)</f>
        <v>0</v>
      </c>
      <c r="P13" s="60">
        <f>(1*MATERIALES!$C$204)+(1*MATERIALES!$C$205)+(3*MATERIALES!$C$207)+(2*MATERIALES!$C$189)+(2*MATERIALES!$C$190)+(2*MATERIALES!$C$191)+(4*MATERIALES!$C$158)+(4*MATERIALES!$C$159)+((M13+(2*N13))*MATERIALES!$C$210)+((M13+(2*N13))*MATERIALES!$C$209)+(((M13*2)+(N13*2))*MATERIALES!$C$165)+(0.5*MATERIALES!$C$167)+(((((M13*2)+(N13*2))/0.1)*MATERIALES!$C$192)*2)+(2*MATERIALES!$C$187)+(((M13*5)*2)*MATERIALES!$C$147)+(4*MATERIALES!$C$148)</f>
        <v>5078.8971999999985</v>
      </c>
      <c r="Q13" s="76"/>
      <c r="R13" s="56">
        <f>(((M13-0.2)*MATERIALES!$C$30)*(N13/0.12))*MATERIALES!$F$2</f>
        <v>7929.8856000000005</v>
      </c>
      <c r="S13" s="60">
        <f t="shared" si="2"/>
        <v>13008.782799999999</v>
      </c>
      <c r="T13" s="73">
        <f t="shared" si="3"/>
        <v>16911.41764</v>
      </c>
      <c r="AJ13" s="602">
        <f>+H8</f>
        <v>8064.2877440000002</v>
      </c>
      <c r="AK13" s="486"/>
      <c r="AL13" s="602">
        <f>+H22</f>
        <v>8277.947008000001</v>
      </c>
      <c r="AM13" s="488"/>
      <c r="AN13" s="602">
        <f>+H36</f>
        <v>8897.3360639999992</v>
      </c>
      <c r="AO13" s="486"/>
      <c r="AP13" s="602">
        <f>+AD50</f>
        <v>21969.553648000005</v>
      </c>
      <c r="AQ13" s="487"/>
      <c r="AR13" s="602">
        <f>+T78</f>
        <v>9236.711048000001</v>
      </c>
      <c r="AS13" s="431"/>
      <c r="AT13" s="603" t="s">
        <v>702</v>
      </c>
      <c r="AU13" s="476"/>
      <c r="AV13" s="576"/>
      <c r="AX13" s="886"/>
    </row>
    <row r="14" spans="1:50" ht="15.75" customHeight="1">
      <c r="AJ14" s="602">
        <f>+H137</f>
        <v>10664.287744000001</v>
      </c>
      <c r="AK14" s="486"/>
      <c r="AL14" s="602">
        <f>+H151</f>
        <v>10877.947008000001</v>
      </c>
      <c r="AM14" s="488"/>
      <c r="AN14" s="602">
        <f>+H165</f>
        <v>11497.336063999999</v>
      </c>
      <c r="AO14" s="486"/>
      <c r="AP14" s="602">
        <f>+AD179</f>
        <v>23269.553648000005</v>
      </c>
      <c r="AQ14" s="487"/>
      <c r="AR14" s="602">
        <f>+T207</f>
        <v>11836.711048000001</v>
      </c>
      <c r="AS14" s="474"/>
      <c r="AT14" s="603" t="s">
        <v>703</v>
      </c>
      <c r="AU14" s="476"/>
    </row>
    <row r="15" spans="1:50" ht="15.75" customHeight="1" thickBot="1">
      <c r="AJ15" s="602">
        <f>+H265</f>
        <v>13172.150784000001</v>
      </c>
      <c r="AK15" s="486"/>
      <c r="AL15" s="602">
        <f>+H279</f>
        <v>14172.399487999999</v>
      </c>
      <c r="AM15" s="488"/>
      <c r="AN15" s="602">
        <f>+H293</f>
        <v>17807.106304000001</v>
      </c>
      <c r="AO15" s="486"/>
      <c r="AP15" s="602">
        <f>+AD307</f>
        <v>24385.859888000006</v>
      </c>
      <c r="AQ15" s="487"/>
      <c r="AR15" s="602">
        <f>+T335</f>
        <v>20022.679688</v>
      </c>
      <c r="AS15" s="474"/>
      <c r="AT15" s="603" t="s">
        <v>692</v>
      </c>
      <c r="AU15" s="476"/>
    </row>
    <row r="16" spans="1:50" ht="15" customHeight="1" thickBot="1">
      <c r="A16" s="32"/>
      <c r="B16" s="32"/>
      <c r="C16" s="801">
        <v>0.3</v>
      </c>
      <c r="D16" s="802"/>
      <c r="E16" s="803"/>
      <c r="F16" s="61">
        <v>1</v>
      </c>
      <c r="G16" s="32"/>
      <c r="H16" s="46" t="s">
        <v>163</v>
      </c>
      <c r="M16" s="32"/>
      <c r="N16" s="32"/>
      <c r="O16" s="801">
        <v>0.3</v>
      </c>
      <c r="P16" s="802"/>
      <c r="Q16" s="803"/>
      <c r="R16" s="61">
        <v>1</v>
      </c>
      <c r="S16" s="32"/>
      <c r="T16" s="46" t="s">
        <v>163</v>
      </c>
      <c r="AM16" s="267"/>
      <c r="AQ16" s="288"/>
    </row>
    <row r="17" spans="1:48" ht="15" customHeight="1" thickBot="1">
      <c r="A17" s="792" t="s">
        <v>203</v>
      </c>
      <c r="B17" s="793"/>
      <c r="C17" s="793"/>
      <c r="D17" s="793"/>
      <c r="E17" s="793"/>
      <c r="F17" s="793"/>
      <c r="G17" s="793"/>
      <c r="H17" s="794"/>
      <c r="M17" s="792" t="s">
        <v>209</v>
      </c>
      <c r="N17" s="793"/>
      <c r="O17" s="793"/>
      <c r="P17" s="793"/>
      <c r="Q17" s="793"/>
      <c r="R17" s="793"/>
      <c r="S17" s="793"/>
      <c r="T17" s="794"/>
      <c r="AJ17" s="363" t="s">
        <v>632</v>
      </c>
      <c r="AK17" s="369"/>
      <c r="AL17" s="363" t="s">
        <v>633</v>
      </c>
      <c r="AM17" s="369"/>
      <c r="AN17" s="366" t="s">
        <v>634</v>
      </c>
      <c r="AO17" s="370"/>
      <c r="AP17" s="363" t="s">
        <v>635</v>
      </c>
      <c r="AQ17" s="370"/>
      <c r="AR17" s="363" t="s">
        <v>636</v>
      </c>
      <c r="AS17" s="363"/>
      <c r="AT17" s="370"/>
      <c r="AU17" s="370"/>
    </row>
    <row r="18" spans="1:48" ht="15" customHeight="1" thickBot="1">
      <c r="A18" s="36" t="s">
        <v>116</v>
      </c>
      <c r="B18" s="36" t="s">
        <v>117</v>
      </c>
      <c r="C18" s="36" t="s">
        <v>162</v>
      </c>
      <c r="D18" s="36" t="s">
        <v>119</v>
      </c>
      <c r="E18" s="36" t="s">
        <v>120</v>
      </c>
      <c r="F18" s="36" t="s">
        <v>118</v>
      </c>
      <c r="G18" s="36" t="s">
        <v>121</v>
      </c>
      <c r="H18" s="36" t="s">
        <v>122</v>
      </c>
      <c r="M18" s="36" t="s">
        <v>116</v>
      </c>
      <c r="N18" s="36" t="s">
        <v>117</v>
      </c>
      <c r="O18" s="36" t="s">
        <v>162</v>
      </c>
      <c r="P18" s="36" t="s">
        <v>119</v>
      </c>
      <c r="Q18" s="36" t="s">
        <v>120</v>
      </c>
      <c r="R18" s="36" t="s">
        <v>118</v>
      </c>
      <c r="S18" s="36" t="s">
        <v>121</v>
      </c>
      <c r="T18" s="36" t="s">
        <v>122</v>
      </c>
      <c r="AL18" s="301"/>
      <c r="AN18" s="302"/>
      <c r="AO18" s="302"/>
      <c r="AP18" s="302"/>
      <c r="AQ18" s="302"/>
    </row>
    <row r="19" spans="1:48" ht="15" customHeight="1" thickBot="1">
      <c r="A19" s="795"/>
      <c r="B19" s="796"/>
      <c r="C19" s="796"/>
      <c r="D19" s="796"/>
      <c r="E19" s="796"/>
      <c r="F19" s="796"/>
      <c r="G19" s="796"/>
      <c r="H19" s="797"/>
      <c r="M19" s="795"/>
      <c r="N19" s="796"/>
      <c r="O19" s="796"/>
      <c r="P19" s="796"/>
      <c r="Q19" s="796"/>
      <c r="R19" s="796"/>
      <c r="S19" s="796"/>
      <c r="T19" s="797"/>
      <c r="AM19" s="32"/>
      <c r="AQ19" s="32"/>
    </row>
    <row r="20" spans="1:48" ht="15" customHeight="1">
      <c r="A20" s="65">
        <v>0.6</v>
      </c>
      <c r="B20" s="66">
        <v>2</v>
      </c>
      <c r="C20" s="58">
        <f>(((A20+(2*B20))*MATERIALES!$C$57)+((A20+(2*B20))*MATERIALES!$C$55)+(A20*MATERIALES!$C$59)+((((A20*4)+(B20*2))*MATERIALES!$C$73)*2)+(A20*MATERIALES!$C$58))*(MATERIALES!$F$2*MATERIALES!$J$15)</f>
        <v>0</v>
      </c>
      <c r="D20" s="58">
        <f>(1*MATERIALES!$C$204)+(1*MATERIALES!$C$205)+(3*MATERIALES!$C$207)+(2*MATERIALES!$C$189)+(2*MATERIALES!$C$190)+(2*MATERIALES!$C$191)+(8*MATERIALES!$C$158)+(8*MATERIALES!$C$159)+((A20+(2*B20))*MATERIALES!$C$210)+((A20+(2*B20))*MATERIALES!$C$209)+(((A20*4)+(B20*2))*MATERIALES!$C$141)+(((((A20*4)+(B20*2))/0.1)*MATERIALES!$C$192)*2)+(2*MATERIALES!$C$187)+(((A20*5)*2)*MATERIALES!$C$147)+(4*MATERIALES!$C$148)</f>
        <v>4999.2155199999997</v>
      </c>
      <c r="E20" s="74"/>
      <c r="F20" s="54">
        <f>(A20*B20)*MATERIALES!$D$82</f>
        <v>636</v>
      </c>
      <c r="G20" s="58">
        <f>SUM(C20:F20)</f>
        <v>5635.2155199999997</v>
      </c>
      <c r="H20" s="67">
        <f>(SUM(C20:E20)*1.3)+(F20*2)</f>
        <v>7770.980176</v>
      </c>
      <c r="M20" s="65">
        <v>0.6</v>
      </c>
      <c r="N20" s="66">
        <v>2</v>
      </c>
      <c r="O20" s="58">
        <f>(((M20+(2*N20))*MATERIALES!$C$57)+((M20+(2*N20))*MATERIALES!$C$55)+(M20*MATERIALES!$C$59)+(M20*MATERIALES!$C$58)+(((M20-0.2)*MATERIALES!$C$30)*((N20/2)/0.12))+((((M20*2)+(N20*1))*MATERIALES!$C$73)*2))*(MATERIALES!$F$2*MATERIALES!$J$15)</f>
        <v>0</v>
      </c>
      <c r="P20" s="58">
        <f>(1*MATERIALES!$C$204)+(1*MATERIALES!$C$205)+(3*MATERIALES!$C$207)+(2*MATERIALES!$C$189)+(2*MATERIALES!$C$190)+(2*MATERIALES!$C$191)+(8*MATERIALES!$C$158)+(8*MATERIALES!$C$159)+((M20+(2*N20))*MATERIALES!$C$210)+((M20+(2*N20))*MATERIALES!$C$209)+(((M20*2)+(N20*1))*MATERIALES!$C$141)+(((M20*2)+(N20*1))*MATERIALES!$C$165)+(((((M20*4)+(N20*2))/0.1)*MATERIALES!$C$192)*2)+(0.25*MATERIALES!$C$167)+(2*MATERIALES!$C$187)+(((M20*5)*2)*MATERIALES!$C$147)+(4*MATERIALES!$C$148)</f>
        <v>5067.4655200000007</v>
      </c>
      <c r="Q20" s="74"/>
      <c r="R20" s="54">
        <f>(M20*(N20/2))*MATERIALES!$D$82</f>
        <v>318</v>
      </c>
      <c r="S20" s="58">
        <f>SUM(O20:R20)</f>
        <v>5385.4655200000007</v>
      </c>
      <c r="T20" s="67">
        <f>(SUM(O20:Q20)*1.3)+(R20*2)</f>
        <v>7223.7051760000013</v>
      </c>
      <c r="AM20" s="32"/>
      <c r="AQ20" s="32"/>
      <c r="AV20" s="304"/>
    </row>
    <row r="21" spans="1:48" ht="15" customHeight="1">
      <c r="A21" s="68">
        <v>0.7</v>
      </c>
      <c r="B21" s="69">
        <v>2</v>
      </c>
      <c r="C21" s="59">
        <f>(((A21+(2*B21))*MATERIALES!$C$57)+((A21+(2*B21))*MATERIALES!$C$55)+(A21*MATERIALES!$C$59)+((((A21*4)+(B21*2))*MATERIALES!$C$73)*2)+(A21*MATERIALES!$C$58))*(MATERIALES!$F$2*MATERIALES!$J$15)</f>
        <v>0</v>
      </c>
      <c r="D21" s="59">
        <f>(1*MATERIALES!$C$204)+(1*MATERIALES!$C$205)+(3*MATERIALES!$C$207)+(2*MATERIALES!$C$189)+(2*MATERIALES!$C$190)+(2*MATERIALES!$C$191)+(8*MATERIALES!$C$158)+(8*MATERIALES!$C$159)+((A21+(2*B21))*MATERIALES!$C$210)+((A21+(2*B21))*MATERIALES!$C$209)+(((A21*4)+(B21*2))*MATERIALES!$C$141)+(((((A21*4)+(B21*2))/0.1)*MATERIALES!$C$192)*2)+(2*MATERIALES!$C$187)+(((A21*5)*2)*MATERIALES!$C$147)+(4*MATERIALES!$C$148)</f>
        <v>5031.1258399999997</v>
      </c>
      <c r="E21" s="75"/>
      <c r="F21" s="55">
        <f>(A21*B21)*MATERIALES!$D$82</f>
        <v>742</v>
      </c>
      <c r="G21" s="59">
        <f t="shared" ref="G21:G27" si="4">SUM(C21:F21)</f>
        <v>5773.1258399999997</v>
      </c>
      <c r="H21" s="70">
        <f t="shared" ref="H21:H27" si="5">(SUM(C21:E21)*1.3)+(F21*2)</f>
        <v>8024.4635920000001</v>
      </c>
      <c r="M21" s="68">
        <v>0.7</v>
      </c>
      <c r="N21" s="69">
        <v>2</v>
      </c>
      <c r="O21" s="59">
        <f>(((M21+(2*N21))*MATERIALES!$C$57)+((M21+(2*N21))*MATERIALES!$C$55)+(M21*MATERIALES!$C$59)+(M21*MATERIALES!$C$58)+(((M21-0.2)*MATERIALES!$C$30)*((N21/2)/0.12))+((((M21*2)+(N21*1))*MATERIALES!$C$73)*2))*(MATERIALES!$F$2*MATERIALES!$J$15)</f>
        <v>0</v>
      </c>
      <c r="P21" s="59">
        <f>(1*MATERIALES!$C$204)+(1*MATERIALES!$C$205)+(3*MATERIALES!$C$207)+(2*MATERIALES!$C$189)+(2*MATERIALES!$C$190)+(2*MATERIALES!$C$191)+(8*MATERIALES!$C$158)+(8*MATERIALES!$C$159)+((M21+(2*N21))*MATERIALES!$C$210)+((M21+(2*N21))*MATERIALES!$C$209)+(((M21*2)+(N21*1))*MATERIALES!$C$141)+(((M21*2)+(N21*1))*MATERIALES!$C$165)+(((((M21*4)+(N21*2))/0.1)*MATERIALES!$C$192)*2)+(0.25*MATERIALES!$C$167)+(2*MATERIALES!$C$187)+(((M21*5)*2)*MATERIALES!$C$147)+(4*MATERIALES!$C$148)</f>
        <v>5099.3758399999997</v>
      </c>
      <c r="Q21" s="75"/>
      <c r="R21" s="55">
        <f>(M21*(N21/2))*MATERIALES!$D$82</f>
        <v>371</v>
      </c>
      <c r="S21" s="59">
        <f t="shared" ref="S21:S27" si="6">SUM(O21:R21)</f>
        <v>5470.3758399999997</v>
      </c>
      <c r="T21" s="70">
        <f t="shared" ref="T21:T27" si="7">(SUM(O21:Q21)*1.3)+(R21*2)</f>
        <v>7371.1885919999995</v>
      </c>
      <c r="AM21" s="32"/>
      <c r="AQ21" s="32"/>
      <c r="AV21" s="304"/>
    </row>
    <row r="22" spans="1:48" ht="15" customHeight="1">
      <c r="A22" s="68">
        <v>0.8</v>
      </c>
      <c r="B22" s="69">
        <v>2</v>
      </c>
      <c r="C22" s="59">
        <f>(((A22+(2*B22))*MATERIALES!$C$57)+((A22+(2*B22))*MATERIALES!$C$55)+(A22*MATERIALES!$C$59)+((((A22*4)+(B22*2))*MATERIALES!$C$73)*2)+(A22*MATERIALES!$C$58))*(MATERIALES!$F$2*MATERIALES!$J$15)</f>
        <v>0</v>
      </c>
      <c r="D22" s="59">
        <f>(1*MATERIALES!$C$204)+(1*MATERIALES!$C$205)+(3*MATERIALES!$C$207)+(2*MATERIALES!$C$189)+(2*MATERIALES!$C$190)+(2*MATERIALES!$C$191)+(8*MATERIALES!$C$158)+(8*MATERIALES!$C$159)+((A22+(2*B22))*MATERIALES!$C$210)+((A22+(2*B22))*MATERIALES!$C$209)+(((A22*4)+(B22*2))*MATERIALES!$C$141)+(((((A22*4)+(B22*2))/0.1)*MATERIALES!$C$192)*2)+(2*MATERIALES!$C$187)+(((A22*5)*2)*MATERIALES!$C$147)+(4*MATERIALES!$C$148)</f>
        <v>5063.0361600000006</v>
      </c>
      <c r="E22" s="75"/>
      <c r="F22" s="55">
        <f>(A22*B22)*MATERIALES!$D$82</f>
        <v>848</v>
      </c>
      <c r="G22" s="59">
        <f t="shared" si="4"/>
        <v>5911.0361600000006</v>
      </c>
      <c r="H22" s="70">
        <f t="shared" si="5"/>
        <v>8277.947008000001</v>
      </c>
      <c r="M22" s="68">
        <v>0.8</v>
      </c>
      <c r="N22" s="69">
        <v>2</v>
      </c>
      <c r="O22" s="59">
        <f>(((M22+(2*N22))*MATERIALES!$C$57)+((M22+(2*N22))*MATERIALES!$C$55)+(M22*MATERIALES!$C$59)+(M22*MATERIALES!$C$58)+(((M22-0.2)*MATERIALES!$C$30)*((N22/2)/0.12))+((((M22*2)+(N22*1))*MATERIALES!$C$73)*2))*(MATERIALES!$F$2*MATERIALES!$J$15)</f>
        <v>0</v>
      </c>
      <c r="P22" s="59">
        <f>(1*MATERIALES!$C$204)+(1*MATERIALES!$C$205)+(3*MATERIALES!$C$207)+(2*MATERIALES!$C$189)+(2*MATERIALES!$C$190)+(2*MATERIALES!$C$191)+(8*MATERIALES!$C$158)+(8*MATERIALES!$C$159)+((M22+(2*N22))*MATERIALES!$C$210)+((M22+(2*N22))*MATERIALES!$C$209)+(((M22*2)+(N22*1))*MATERIALES!$C$141)+(((M22*2)+(N22*1))*MATERIALES!$C$165)+(((((M22*4)+(N22*2))/0.1)*MATERIALES!$C$192)*2)+(0.25*MATERIALES!$C$167)+(2*MATERIALES!$C$187)+(((M22*5)*2)*MATERIALES!$C$147)+(4*MATERIALES!$C$148)</f>
        <v>5131.2861599999997</v>
      </c>
      <c r="Q22" s="75"/>
      <c r="R22" s="55">
        <f>(M22*(N22/2))*MATERIALES!$D$82</f>
        <v>424</v>
      </c>
      <c r="S22" s="59">
        <f t="shared" si="6"/>
        <v>5555.2861599999997</v>
      </c>
      <c r="T22" s="70">
        <f t="shared" si="7"/>
        <v>7518.6720079999996</v>
      </c>
      <c r="AT22" s="291"/>
      <c r="AU22" s="291"/>
      <c r="AV22" s="304"/>
    </row>
    <row r="23" spans="1:48" ht="15" customHeight="1">
      <c r="A23" s="68">
        <v>0.9</v>
      </c>
      <c r="B23" s="69">
        <v>2</v>
      </c>
      <c r="C23" s="59">
        <f>(((A23+(2*B23))*MATERIALES!$C$57)+((A23+(2*B23))*MATERIALES!$C$55)+(A23*MATERIALES!$C$59)+((((A23*4)+(B23*2))*MATERIALES!$C$73)*2)+(A23*MATERIALES!$C$58))*(MATERIALES!$F$2*MATERIALES!$J$15)</f>
        <v>0</v>
      </c>
      <c r="D23" s="59">
        <f>(1*MATERIALES!$C$204)+(1*MATERIALES!$C$205)+(3*MATERIALES!$C$207)+(2*MATERIALES!$C$189)+(2*MATERIALES!$C$190)+(2*MATERIALES!$C$191)+(8*MATERIALES!$C$158)+(8*MATERIALES!$C$159)+((A23+(2*B23))*MATERIALES!$C$210)+((A23+(2*B23))*MATERIALES!$C$209)+(((A23*4)+(B23*2))*MATERIALES!$C$141)+(((((A23*4)+(B23*2))/0.1)*MATERIALES!$C$192)*2)+(2*MATERIALES!$C$187)+(((A23*5)*2)*MATERIALES!$C$147)+(4*MATERIALES!$C$148)</f>
        <v>5094.9464800000005</v>
      </c>
      <c r="E23" s="75"/>
      <c r="F23" s="55">
        <f>(A23*B23)*MATERIALES!$D$82</f>
        <v>954</v>
      </c>
      <c r="G23" s="59">
        <f t="shared" si="4"/>
        <v>6048.9464800000005</v>
      </c>
      <c r="H23" s="70">
        <f t="shared" si="5"/>
        <v>8531.4304240000019</v>
      </c>
      <c r="M23" s="68">
        <v>0.9</v>
      </c>
      <c r="N23" s="69">
        <v>2</v>
      </c>
      <c r="O23" s="59">
        <f>(((M23+(2*N23))*MATERIALES!$C$57)+((M23+(2*N23))*MATERIALES!$C$55)+(M23*MATERIALES!$C$59)+(M23*MATERIALES!$C$58)+(((M23-0.2)*MATERIALES!$C$30)*((N23/2)/0.12))+((((M23*2)+(N23*1))*MATERIALES!$C$73)*2))*(MATERIALES!$F$2*MATERIALES!$J$15)</f>
        <v>0</v>
      </c>
      <c r="P23" s="59">
        <f>(1*MATERIALES!$C$204)+(1*MATERIALES!$C$205)+(3*MATERIALES!$C$207)+(2*MATERIALES!$C$189)+(2*MATERIALES!$C$190)+(2*MATERIALES!$C$191)+(8*MATERIALES!$C$158)+(8*MATERIALES!$C$159)+((M23+(2*N23))*MATERIALES!$C$210)+((M23+(2*N23))*MATERIALES!$C$209)+(((M23*2)+(N23*1))*MATERIALES!$C$141)+(((M23*2)+(N23*1))*MATERIALES!$C$165)+(((((M23*4)+(N23*2))/0.1)*MATERIALES!$C$192)*2)+(0.25*MATERIALES!$C$167)+(2*MATERIALES!$C$187)+(((M23*5)*2)*MATERIALES!$C$147)+(4*MATERIALES!$C$148)</f>
        <v>5163.1964800000005</v>
      </c>
      <c r="Q23" s="75"/>
      <c r="R23" s="55">
        <f>(M23*(N23/2))*MATERIALES!$D$82</f>
        <v>477</v>
      </c>
      <c r="S23" s="59">
        <f t="shared" si="6"/>
        <v>5640.1964800000005</v>
      </c>
      <c r="T23" s="70">
        <f t="shared" si="7"/>
        <v>7666.1554240000005</v>
      </c>
      <c r="AL23" s="289"/>
      <c r="AM23" s="32"/>
      <c r="AN23" s="287"/>
      <c r="AO23" s="4"/>
      <c r="AP23" s="290"/>
      <c r="AQ23" s="267"/>
      <c r="AR23" s="4"/>
      <c r="AS23" s="4"/>
      <c r="AT23" s="291"/>
      <c r="AU23" s="291"/>
      <c r="AV23" s="294"/>
    </row>
    <row r="24" spans="1:48" ht="15" customHeight="1">
      <c r="A24" s="68">
        <v>0.6</v>
      </c>
      <c r="B24" s="69">
        <v>2.1</v>
      </c>
      <c r="C24" s="59">
        <f>(((A24+(2*B24))*MATERIALES!$C$57)+((A24+(2*B24))*MATERIALES!$C$55)+(A24*MATERIALES!$C$59)+((((A24*4)+(B24*2))*MATERIALES!$C$73)*2)+(A24*MATERIALES!$C$58))*(MATERIALES!$F$2*MATERIALES!$J$15)</f>
        <v>0</v>
      </c>
      <c r="D24" s="59">
        <f>(1*MATERIALES!$C$204)+(1*MATERIALES!$C$205)+(3*MATERIALES!$C$207)+(2*MATERIALES!$C$189)+(2*MATERIALES!$C$190)+(2*MATERIALES!$C$191)+(8*MATERIALES!$C$158)+(8*MATERIALES!$C$159)+((A24+(2*B24))*MATERIALES!$C$210)+((A24+(2*B24))*MATERIALES!$C$209)+(((A24*4)+(B24*2))*MATERIALES!$C$141)+(((((A24*4)+(B24*2))/0.1)*MATERIALES!$C$192)*2)+(2*MATERIALES!$C$187)+(((A24*5)*2)*MATERIALES!$C$147)+(4*MATERIALES!$C$148)</f>
        <v>5024.0236800000002</v>
      </c>
      <c r="E24" s="75"/>
      <c r="F24" s="55">
        <f>(A24*B24)*MATERIALES!$D$82</f>
        <v>667.8</v>
      </c>
      <c r="G24" s="59">
        <f t="shared" si="4"/>
        <v>5691.8236800000004</v>
      </c>
      <c r="H24" s="70">
        <f t="shared" si="5"/>
        <v>7866.8307839999998</v>
      </c>
      <c r="M24" s="68">
        <v>0.6</v>
      </c>
      <c r="N24" s="69">
        <v>2.1</v>
      </c>
      <c r="O24" s="59">
        <f>(((M24+(2*N24))*MATERIALES!$C$57)+((M24+(2*N24))*MATERIALES!$C$55)+(M24*MATERIALES!$C$59)+(M24*MATERIALES!$C$58)+(((M24-0.2)*MATERIALES!$C$30)*((N24/2)/0.12))+((((M24*2)+(N24*1))*MATERIALES!$C$73)*2))*(MATERIALES!$F$2*MATERIALES!$J$15)</f>
        <v>0</v>
      </c>
      <c r="P24" s="59">
        <f>(1*MATERIALES!$C$204)+(1*MATERIALES!$C$205)+(3*MATERIALES!$C$207)+(2*MATERIALES!$C$189)+(2*MATERIALES!$C$190)+(2*MATERIALES!$C$191)+(8*MATERIALES!$C$158)+(8*MATERIALES!$C$159)+((M24+(2*N24))*MATERIALES!$C$210)+((M24+(2*N24))*MATERIALES!$C$209)+(((M24*2)+(N24*1))*MATERIALES!$C$141)+(((M24*2)+(N24*1))*MATERIALES!$C$165)+(((((M24*4)+(N24*2))/0.1)*MATERIALES!$C$192)*2)+(0.25*MATERIALES!$C$167)+(2*MATERIALES!$C$187)+(((M24*5)*2)*MATERIALES!$C$147)+(4*MATERIALES!$C$148)</f>
        <v>5092.2736800000002</v>
      </c>
      <c r="Q24" s="75"/>
      <c r="R24" s="55">
        <f>(M24*(N24/2))*MATERIALES!$D$82</f>
        <v>333.9</v>
      </c>
      <c r="S24" s="59">
        <f t="shared" si="6"/>
        <v>5426.1736799999999</v>
      </c>
      <c r="T24" s="70">
        <f t="shared" si="7"/>
        <v>7287.7557840000009</v>
      </c>
      <c r="AK24" s="291"/>
      <c r="AL24" s="294"/>
      <c r="AM24" s="293"/>
      <c r="AN24" s="296"/>
      <c r="AO24" s="295"/>
      <c r="AP24" s="297"/>
      <c r="AQ24" s="293"/>
      <c r="AR24" s="292"/>
      <c r="AS24" s="292"/>
      <c r="AT24" s="291"/>
      <c r="AU24" s="291"/>
    </row>
    <row r="25" spans="1:48" ht="15" customHeight="1">
      <c r="A25" s="68">
        <v>0.7</v>
      </c>
      <c r="B25" s="69">
        <v>2.1</v>
      </c>
      <c r="C25" s="59">
        <f>(((A25+(2*B25))*MATERIALES!$C$57)+((A25+(2*B25))*MATERIALES!$C$55)+(A25*MATERIALES!$C$59)+((((A25*4)+(B25*2))*MATERIALES!$C$73)*2)+(A25*MATERIALES!$C$58))*(MATERIALES!$F$2*MATERIALES!$J$15)</f>
        <v>0</v>
      </c>
      <c r="D25" s="59">
        <f>(1*MATERIALES!$C$204)+(1*MATERIALES!$C$205)+(3*MATERIALES!$C$207)+(2*MATERIALES!$C$189)+(2*MATERIALES!$C$190)+(2*MATERIALES!$C$191)+(8*MATERIALES!$C$158)+(8*MATERIALES!$C$159)+((A25+(2*B25))*MATERIALES!$C$210)+((A25+(2*B25))*MATERIALES!$C$209)+(((A25*4)+(B25*2))*MATERIALES!$C$141)+(((((A25*4)+(B25*2))/0.1)*MATERIALES!$C$192)*2)+(2*MATERIALES!$C$187)+(((A25*5)*2)*MATERIALES!$C$147)+(4*MATERIALES!$C$148)</f>
        <v>5055.9340000000002</v>
      </c>
      <c r="E25" s="75"/>
      <c r="F25" s="55">
        <f>(A25*B25)*MATERIALES!$D$82</f>
        <v>779.1</v>
      </c>
      <c r="G25" s="59">
        <f t="shared" si="4"/>
        <v>5835.0340000000006</v>
      </c>
      <c r="H25" s="70">
        <f t="shared" si="5"/>
        <v>8130.9142000000002</v>
      </c>
      <c r="M25" s="68">
        <v>0.7</v>
      </c>
      <c r="N25" s="69">
        <v>2.1</v>
      </c>
      <c r="O25" s="59">
        <f>(((M25+(2*N25))*MATERIALES!$C$57)+((M25+(2*N25))*MATERIALES!$C$55)+(M25*MATERIALES!$C$59)+(M25*MATERIALES!$C$58)+(((M25-0.2)*MATERIALES!$C$30)*((N25/2)/0.12))+((((M25*2)+(N25*1))*MATERIALES!$C$73)*2))*(MATERIALES!$F$2*MATERIALES!$J$15)</f>
        <v>0</v>
      </c>
      <c r="P25" s="59">
        <f>(1*MATERIALES!$C$204)+(1*MATERIALES!$C$205)+(3*MATERIALES!$C$207)+(2*MATERIALES!$C$189)+(2*MATERIALES!$C$190)+(2*MATERIALES!$C$191)+(8*MATERIALES!$C$158)+(8*MATERIALES!$C$159)+((M25+(2*N25))*MATERIALES!$C$210)+((M25+(2*N25))*MATERIALES!$C$209)+(((M25*2)+(N25*1))*MATERIALES!$C$141)+(((M25*2)+(N25*1))*MATERIALES!$C$165)+(((((M25*4)+(N25*2))/0.1)*MATERIALES!$C$192)*2)+(0.25*MATERIALES!$C$167)+(2*MATERIALES!$C$187)+(((M25*5)*2)*MATERIALES!$C$147)+(4*MATERIALES!$C$148)</f>
        <v>5124.1840000000002</v>
      </c>
      <c r="Q25" s="75"/>
      <c r="R25" s="55">
        <f>(M25*(N25/2))*MATERIALES!$D$82</f>
        <v>389.55</v>
      </c>
      <c r="S25" s="59">
        <f t="shared" si="6"/>
        <v>5513.7340000000004</v>
      </c>
      <c r="T25" s="70">
        <f t="shared" si="7"/>
        <v>7440.5392000000011</v>
      </c>
      <c r="AK25" s="291"/>
      <c r="AL25" s="294"/>
      <c r="AM25" s="293"/>
      <c r="AN25" s="296"/>
      <c r="AO25" s="295"/>
      <c r="AP25" s="297"/>
      <c r="AQ25" s="293"/>
      <c r="AR25" s="292"/>
      <c r="AS25" s="292"/>
      <c r="AT25" s="291"/>
      <c r="AU25" s="291"/>
      <c r="AV25" s="305"/>
    </row>
    <row r="26" spans="1:48" ht="15.75" customHeight="1">
      <c r="A26" s="68">
        <v>0.8</v>
      </c>
      <c r="B26" s="69">
        <v>2.1</v>
      </c>
      <c r="C26" s="59">
        <f>(((A26+(2*B26))*MATERIALES!$C$57)+((A26+(2*B26))*MATERIALES!$C$55)+(A26*MATERIALES!$C$59)+((((A26*4)+(B26*2))*MATERIALES!$C$73)*2)+(A26*MATERIALES!$C$58))*(MATERIALES!$F$2*MATERIALES!$J$15)</f>
        <v>0</v>
      </c>
      <c r="D26" s="59">
        <f>(1*MATERIALES!$C$204)+(1*MATERIALES!$C$205)+(3*MATERIALES!$C$207)+(2*MATERIALES!$C$189)+(2*MATERIALES!$C$190)+(2*MATERIALES!$C$191)+(8*MATERIALES!$C$158)+(8*MATERIALES!$C$159)+((A26+(2*B26))*MATERIALES!$C$210)+((A26+(2*B26))*MATERIALES!$C$209)+(((A26*4)+(B26*2))*MATERIALES!$C$141)+(((((A26*4)+(B26*2))/0.1)*MATERIALES!$C$192)*2)+(2*MATERIALES!$C$187)+(((A26*5)*2)*MATERIALES!$C$147)+(4*MATERIALES!$C$148)</f>
        <v>5087.8443200000002</v>
      </c>
      <c r="E26" s="75"/>
      <c r="F26" s="55">
        <f>(A26*B26)*MATERIALES!$D$82</f>
        <v>890.40000000000009</v>
      </c>
      <c r="G26" s="59">
        <f t="shared" si="4"/>
        <v>5978.2443199999998</v>
      </c>
      <c r="H26" s="70">
        <f t="shared" si="5"/>
        <v>8394.9976160000006</v>
      </c>
      <c r="M26" s="68">
        <v>0.8</v>
      </c>
      <c r="N26" s="69">
        <v>2.1</v>
      </c>
      <c r="O26" s="59">
        <f>(((M26+(2*N26))*MATERIALES!$C$57)+((M26+(2*N26))*MATERIALES!$C$55)+(M26*MATERIALES!$C$59)+(M26*MATERIALES!$C$58)+(((M26-0.2)*MATERIALES!$C$30)*((N26/2)/0.12))+((((M26*2)+(N26*1))*MATERIALES!$C$73)*2))*(MATERIALES!$F$2*MATERIALES!$J$15)</f>
        <v>0</v>
      </c>
      <c r="P26" s="59">
        <f>(1*MATERIALES!$C$204)+(1*MATERIALES!$C$205)+(3*MATERIALES!$C$207)+(2*MATERIALES!$C$189)+(2*MATERIALES!$C$190)+(2*MATERIALES!$C$191)+(8*MATERIALES!$C$158)+(8*MATERIALES!$C$159)+((M26+(2*N26))*MATERIALES!$C$210)+((M26+(2*N26))*MATERIALES!$C$209)+(((M26*2)+(N26*1))*MATERIALES!$C$141)+(((M26*2)+(N26*1))*MATERIALES!$C$165)+(((((M26*4)+(N26*2))/0.1)*MATERIALES!$C$192)*2)+(0.25*MATERIALES!$C$167)+(2*MATERIALES!$C$187)+(((M26*5)*2)*MATERIALES!$C$147)+(4*MATERIALES!$C$148)</f>
        <v>5156.0943200000011</v>
      </c>
      <c r="Q26" s="75"/>
      <c r="R26" s="55">
        <f>(M26*(N26/2))*MATERIALES!$D$82</f>
        <v>445.20000000000005</v>
      </c>
      <c r="S26" s="59">
        <f t="shared" si="6"/>
        <v>5601.2943200000009</v>
      </c>
      <c r="T26" s="70">
        <f t="shared" si="7"/>
        <v>7593.3226160000013</v>
      </c>
      <c r="AK26" s="291"/>
      <c r="AL26" s="294"/>
      <c r="AM26" s="293"/>
      <c r="AN26" s="296"/>
      <c r="AO26" s="295"/>
      <c r="AP26" s="297"/>
      <c r="AQ26" s="293"/>
      <c r="AR26" s="292"/>
      <c r="AS26" s="292"/>
      <c r="AT26" s="291"/>
      <c r="AU26" s="291"/>
      <c r="AV26" s="311"/>
    </row>
    <row r="27" spans="1:48" ht="15" customHeight="1" thickBot="1">
      <c r="A27" s="71">
        <v>0.9</v>
      </c>
      <c r="B27" s="72">
        <v>2.1</v>
      </c>
      <c r="C27" s="60">
        <f>(((A27+(2*B27))*MATERIALES!$C$57)+((A27+(2*B27))*MATERIALES!$C$55)+(A27*MATERIALES!$C$59)+((((A27*4)+(B27*2))*MATERIALES!$C$73)*2)+(A27*MATERIALES!$C$58))*(MATERIALES!$F$2*MATERIALES!$J$15)</f>
        <v>0</v>
      </c>
      <c r="D27" s="60">
        <f>(1*MATERIALES!$C$204)+(1*MATERIALES!$C$205)+(3*MATERIALES!$C$207)+(2*MATERIALES!$C$189)+(2*MATERIALES!$C$190)+(2*MATERIALES!$C$191)+(8*MATERIALES!$C$158)+(8*MATERIALES!$C$159)+((A27+(2*B27))*MATERIALES!$C$210)+((A27+(2*B27))*MATERIALES!$C$209)+(((A27*4)+(B27*2))*MATERIALES!$C$141)+(((((A27*4)+(B27*2))/0.1)*MATERIALES!$C$192)*2)+(2*MATERIALES!$C$187)+(((A27*5)*2)*MATERIALES!$C$147)+(4*MATERIALES!$C$148)</f>
        <v>5119.7546399999992</v>
      </c>
      <c r="E27" s="76"/>
      <c r="F27" s="56">
        <f>(A27*B27)*MATERIALES!$D$82</f>
        <v>1001.7</v>
      </c>
      <c r="G27" s="60">
        <f t="shared" si="4"/>
        <v>6121.454639999999</v>
      </c>
      <c r="H27" s="73">
        <f t="shared" si="5"/>
        <v>8659.0810320000001</v>
      </c>
      <c r="M27" s="71">
        <v>0.9</v>
      </c>
      <c r="N27" s="72">
        <v>2.1</v>
      </c>
      <c r="O27" s="60">
        <f>(((M27+(2*N27))*MATERIALES!$C$57)+((M27+(2*N27))*MATERIALES!$C$55)+(M27*MATERIALES!$C$59)+(M27*MATERIALES!$C$58)+(((M27-0.2)*MATERIALES!$C$30)*((N27/2)/0.12))+((((M27*2)+(N27*1))*MATERIALES!$C$73)*2))*(MATERIALES!$F$2*MATERIALES!$J$15)</f>
        <v>0</v>
      </c>
      <c r="P27" s="60">
        <f>(1*MATERIALES!$C$204)+(1*MATERIALES!$C$205)+(3*MATERIALES!$C$207)+(2*MATERIALES!$C$189)+(2*MATERIALES!$C$190)+(2*MATERIALES!$C$191)+(8*MATERIALES!$C$158)+(8*MATERIALES!$C$159)+((M27+(2*N27))*MATERIALES!$C$210)+((M27+(2*N27))*MATERIALES!$C$209)+(((M27*2)+(N27*1))*MATERIALES!$C$141)+(((M27*2)+(N27*1))*MATERIALES!$C$165)+(((((M27*4)+(N27*2))/0.1)*MATERIALES!$C$192)*2)+(0.25*MATERIALES!$C$167)+(2*MATERIALES!$C$187)+(((M27*5)*2)*MATERIALES!$C$147)+(4*MATERIALES!$C$148)</f>
        <v>5188.0046399999992</v>
      </c>
      <c r="Q27" s="76"/>
      <c r="R27" s="56">
        <f>(M27*(N27/2))*MATERIALES!$D$82</f>
        <v>500.85</v>
      </c>
      <c r="S27" s="60">
        <f t="shared" si="6"/>
        <v>5688.8546399999996</v>
      </c>
      <c r="T27" s="73">
        <f t="shared" si="7"/>
        <v>7746.1060319999988</v>
      </c>
      <c r="AK27" s="291"/>
      <c r="AL27" s="294"/>
      <c r="AM27" s="293"/>
      <c r="AN27" s="296"/>
      <c r="AO27" s="295"/>
      <c r="AP27" s="297"/>
      <c r="AQ27" s="293"/>
      <c r="AR27" s="292"/>
      <c r="AS27" s="292"/>
      <c r="AT27" s="291"/>
      <c r="AU27" s="291"/>
      <c r="AV27" s="294"/>
    </row>
    <row r="28" spans="1:48" ht="15.75" customHeight="1">
      <c r="AI28" s="1"/>
      <c r="AJ28" s="602">
        <f>+T64</f>
        <v>8215.9051680000011</v>
      </c>
      <c r="AK28" s="490"/>
      <c r="AL28" s="604">
        <f>+H106</f>
        <v>7676.7216544000012</v>
      </c>
      <c r="AM28" s="490"/>
      <c r="AN28" s="605">
        <f>+H64</f>
        <v>8034.7155359999997</v>
      </c>
      <c r="AO28" s="491"/>
      <c r="AP28" s="604">
        <f>+T8</f>
        <v>14961.126544000004</v>
      </c>
      <c r="AQ28" s="490"/>
      <c r="AR28" s="604">
        <f>+H92</f>
        <v>7277.0747808000015</v>
      </c>
      <c r="AS28" s="479"/>
      <c r="AT28" s="606" t="s">
        <v>702</v>
      </c>
      <c r="AV28" s="289"/>
    </row>
    <row r="29" spans="1:48" ht="15" customHeight="1" thickBot="1">
      <c r="AI29" s="1"/>
      <c r="AJ29" s="602">
        <f>+T193</f>
        <v>9515.9051680000011</v>
      </c>
      <c r="AK29" s="486"/>
      <c r="AL29" s="602">
        <f>+H235</f>
        <v>8456.7216544000003</v>
      </c>
      <c r="AM29" s="488"/>
      <c r="AN29" s="602">
        <f>+H193</f>
        <v>9334.7155359999997</v>
      </c>
      <c r="AO29" s="486"/>
      <c r="AP29" s="495"/>
      <c r="AQ29" s="487"/>
      <c r="AR29" s="602">
        <f>+H221</f>
        <v>8057.0747808000015</v>
      </c>
      <c r="AS29" s="480"/>
      <c r="AT29" s="606" t="s">
        <v>703</v>
      </c>
      <c r="AV29" s="294"/>
    </row>
    <row r="30" spans="1:48" ht="15" customHeight="1" thickBot="1">
      <c r="A30" s="32"/>
      <c r="B30" s="32"/>
      <c r="C30" s="801">
        <v>0.3</v>
      </c>
      <c r="D30" s="802"/>
      <c r="E30" s="803"/>
      <c r="F30" s="61">
        <v>1</v>
      </c>
      <c r="G30" s="32"/>
      <c r="H30" s="46" t="s">
        <v>163</v>
      </c>
      <c r="M30" s="32"/>
      <c r="N30" s="32"/>
      <c r="O30" s="801">
        <v>0.3</v>
      </c>
      <c r="P30" s="802"/>
      <c r="Q30" s="803"/>
      <c r="R30" s="61">
        <v>1</v>
      </c>
      <c r="S30" s="32"/>
      <c r="T30" s="46" t="s">
        <v>163</v>
      </c>
      <c r="AI30" s="1"/>
      <c r="AJ30" s="602">
        <f>+T321</f>
        <v>13107.765008000002</v>
      </c>
      <c r="AK30" s="486"/>
      <c r="AL30" s="602">
        <f>+H363</f>
        <v>10961.417334400001</v>
      </c>
      <c r="AM30" s="488"/>
      <c r="AN30" s="602">
        <f>+H321</f>
        <v>12555.120655999999</v>
      </c>
      <c r="AO30" s="486"/>
      <c r="AP30" s="495"/>
      <c r="AQ30" s="487"/>
      <c r="AR30" s="602">
        <f>+H349</f>
        <v>9360.0463008000006</v>
      </c>
      <c r="AS30" s="480"/>
      <c r="AT30" s="606" t="s">
        <v>692</v>
      </c>
    </row>
    <row r="31" spans="1:48" ht="15" customHeight="1" thickBot="1">
      <c r="A31" s="792" t="s">
        <v>204</v>
      </c>
      <c r="B31" s="793"/>
      <c r="C31" s="793"/>
      <c r="D31" s="793"/>
      <c r="E31" s="793"/>
      <c r="F31" s="793"/>
      <c r="G31" s="793"/>
      <c r="H31" s="794"/>
      <c r="M31" s="792" t="s">
        <v>210</v>
      </c>
      <c r="N31" s="793"/>
      <c r="O31" s="793"/>
      <c r="P31" s="793"/>
      <c r="Q31" s="793"/>
      <c r="R31" s="793"/>
      <c r="S31" s="793"/>
      <c r="T31" s="794"/>
      <c r="U31" s="64" t="s">
        <v>381</v>
      </c>
      <c r="AJ31" s="431"/>
      <c r="AK31" s="360"/>
      <c r="AL31" s="432"/>
      <c r="AM31" s="361"/>
      <c r="AN31" s="433"/>
      <c r="AO31" s="362"/>
      <c r="AP31" s="432"/>
      <c r="AQ31" s="361"/>
      <c r="AR31" s="432"/>
      <c r="AS31" s="432"/>
    </row>
    <row r="32" spans="1:48" ht="15" customHeight="1" thickBot="1">
      <c r="A32" s="36" t="s">
        <v>116</v>
      </c>
      <c r="B32" s="36" t="s">
        <v>117</v>
      </c>
      <c r="C32" s="36" t="s">
        <v>162</v>
      </c>
      <c r="D32" s="36" t="s">
        <v>119</v>
      </c>
      <c r="E32" s="36" t="s">
        <v>120</v>
      </c>
      <c r="F32" s="36" t="s">
        <v>118</v>
      </c>
      <c r="G32" s="36" t="s">
        <v>121</v>
      </c>
      <c r="H32" s="36" t="s">
        <v>122</v>
      </c>
      <c r="M32" s="36" t="s">
        <v>116</v>
      </c>
      <c r="N32" s="36" t="s">
        <v>117</v>
      </c>
      <c r="O32" s="36" t="s">
        <v>162</v>
      </c>
      <c r="P32" s="36" t="s">
        <v>119</v>
      </c>
      <c r="Q32" s="36" t="s">
        <v>120</v>
      </c>
      <c r="R32" s="36" t="s">
        <v>118</v>
      </c>
      <c r="S32" s="36" t="s">
        <v>121</v>
      </c>
      <c r="T32" s="36" t="s">
        <v>122</v>
      </c>
      <c r="AJ32" s="366" t="s">
        <v>644</v>
      </c>
      <c r="AK32" s="364"/>
      <c r="AL32" s="363" t="s">
        <v>637</v>
      </c>
      <c r="AM32" s="367"/>
      <c r="AN32" s="363" t="s">
        <v>638</v>
      </c>
      <c r="AO32" s="368"/>
      <c r="AP32" s="363" t="s">
        <v>639</v>
      </c>
      <c r="AQ32" s="367"/>
      <c r="AR32" s="363" t="s">
        <v>640</v>
      </c>
      <c r="AS32" s="363"/>
    </row>
    <row r="33" spans="1:48" ht="15" customHeight="1" thickBot="1">
      <c r="A33" s="795"/>
      <c r="B33" s="796"/>
      <c r="C33" s="796"/>
      <c r="D33" s="796"/>
      <c r="E33" s="796"/>
      <c r="F33" s="796"/>
      <c r="G33" s="796"/>
      <c r="H33" s="797"/>
      <c r="M33" s="795"/>
      <c r="N33" s="796"/>
      <c r="O33" s="796"/>
      <c r="P33" s="796"/>
      <c r="Q33" s="796"/>
      <c r="R33" s="796"/>
      <c r="S33" s="796"/>
      <c r="T33" s="797"/>
      <c r="AK33" s="291"/>
      <c r="AL33" s="305"/>
      <c r="AM33" s="298"/>
      <c r="AN33" s="306"/>
      <c r="AO33" s="307"/>
      <c r="AP33" s="308"/>
      <c r="AQ33" s="309"/>
      <c r="AR33" s="310"/>
      <c r="AS33" s="310"/>
      <c r="AV33" s="4"/>
    </row>
    <row r="34" spans="1:48" ht="15" customHeight="1">
      <c r="A34" s="65">
        <v>0.6</v>
      </c>
      <c r="B34" s="66">
        <v>2</v>
      </c>
      <c r="C34" s="58">
        <f>(((A34+(2*B34))*MATERIALES!$C$57)+((A34+(2*B34))*MATERIALES!$C$55)+(A34*MATERIALES!$C$59)+((((A34*2)+(B34*6))*MATERIALES!$C$73)*2)+((B34*2)*MATERIALES!$C$58))*(MATERIALES!$F$2*MATERIALES!$J$15)</f>
        <v>0</v>
      </c>
      <c r="D34" s="58">
        <f>(1*MATERIALES!$C$204)+(1*MATERIALES!$C$205)+(3*MATERIALES!$C$207)+(2*MATERIALES!$C$189)+(2*MATERIALES!$C$190)+(2*MATERIALES!$C$191)+(12*MATERIALES!$C$158)+(12*MATERIALES!$C$159)+((A34+(2*B34))*MATERIALES!$C$210)+((A34+(2*B34))*MATERIALES!$C$209)+(((A34*2)+(B34*6))*MATERIALES!$C$141)+(((((A34*2)+(B34*6))/0.1)*MATERIALES!$C$192)*2)+(2*MATERIALES!$C$187)+(((A34*5)*2)*MATERIALES!$C$147)+(4*MATERIALES!$C$148)</f>
        <v>5501.6769599999998</v>
      </c>
      <c r="E34" s="74"/>
      <c r="F34" s="54">
        <f>(A34*B34)*MATERIALES!$D$82</f>
        <v>636</v>
      </c>
      <c r="G34" s="58">
        <f>SUM(C34:F34)</f>
        <v>6137.6769599999998</v>
      </c>
      <c r="H34" s="67">
        <f>(SUM(C34:E34)*1.3)+(F34*2)</f>
        <v>8424.1800480000002</v>
      </c>
      <c r="M34" s="65">
        <v>0.6</v>
      </c>
      <c r="N34" s="66">
        <v>2</v>
      </c>
      <c r="O34" s="58">
        <f>(((M34+(2*N34))*MATERIALES!$C$57)+((M34+(2*N34))*MATERIALES!$C$55)+(M34*MATERIALES!$C$59)+((M34*4)*MATERIALES!$C$58)+((((M34*10)+(N34*2))*MATERIALES!$C$73)*2))*(MATERIALES!$F$2*MATERIALES!$J$15)</f>
        <v>0</v>
      </c>
      <c r="P34" s="58">
        <f>(1*MATERIALES!$C$204)+(1*MATERIALES!$C$205)+(3*MATERIALES!$C$207)+(2*MATERIALES!$C$189)+(2*MATERIALES!$C$190)+(2*MATERIALES!$C$191)+(20*MATERIALES!$C$158)+(20*MATERIALES!$C$159)+((M34+(2*N34))*MATERIALES!$C$210)+((M34+(2*N34))*MATERIALES!$C$209)+(((M34*10)+(N34*2))*MATERIALES!$C$141)+(((((M34*10)+(N34*2))/0.1)*MATERIALES!$C$192)*2)+(2*MATERIALES!$C$187)+(((M34*5)*2)*MATERIALES!$C$147)+(4*MATERIALES!$C$148)</f>
        <v>5414.2503999999999</v>
      </c>
      <c r="Q34" s="74"/>
      <c r="R34" s="54">
        <f>(M34*N34)*MATERIALES!$D$82</f>
        <v>636</v>
      </c>
      <c r="S34" s="58">
        <f>SUM(O34:R34)</f>
        <v>6050.2503999999999</v>
      </c>
      <c r="T34" s="67">
        <f>(SUM(O34:Q34)*1.3)+(R34*2)</f>
        <v>8310.5255199999992</v>
      </c>
      <c r="AM34" s="32"/>
      <c r="AN34" s="287"/>
      <c r="AO34" s="295"/>
      <c r="AP34" s="290"/>
      <c r="AQ34" s="293"/>
      <c r="AR34" s="4"/>
      <c r="AS34" s="4"/>
      <c r="AV34" s="292"/>
    </row>
    <row r="35" spans="1:48" ht="15" customHeight="1">
      <c r="A35" s="68">
        <v>0.7</v>
      </c>
      <c r="B35" s="69">
        <v>2</v>
      </c>
      <c r="C35" s="59">
        <f>(((A35+(2*B35))*MATERIALES!$C$57)+((A35+(2*B35))*MATERIALES!$C$55)+(A35*MATERIALES!$C$59)+((((A35*2)+(B35*6))*MATERIALES!$C$73)*2)+((B35*2)*MATERIALES!$C$58))*(MATERIALES!$F$2*MATERIALES!$J$15)</f>
        <v>0</v>
      </c>
      <c r="D35" s="59">
        <f>(1*MATERIALES!$C$204)+(1*MATERIALES!$C$205)+(3*MATERIALES!$C$207)+(2*MATERIALES!$C$189)+(2*MATERIALES!$C$190)+(2*MATERIALES!$C$191)+(12*MATERIALES!$C$158)+(12*MATERIALES!$C$159)+((A35+(2*B35))*MATERIALES!$C$210)+((A35+(2*B35))*MATERIALES!$C$209)+(((A35*2)+(B35*6))*MATERIALES!$C$141)+(((((A35*2)+(B35*6))/0.1)*MATERIALES!$C$192)*2)+(2*MATERIALES!$C$187)+(((A35*5)*2)*MATERIALES!$C$147)+(4*MATERIALES!$C$148)</f>
        <v>5520.5831199999993</v>
      </c>
      <c r="E35" s="75"/>
      <c r="F35" s="55">
        <f>(A35*B35)*MATERIALES!$D$82</f>
        <v>742</v>
      </c>
      <c r="G35" s="59">
        <f t="shared" ref="G35:G41" si="8">SUM(C35:F35)</f>
        <v>6262.5831199999993</v>
      </c>
      <c r="H35" s="70">
        <f t="shared" ref="H35:H41" si="9">(SUM(C35:E35)*1.3)+(F35*2)</f>
        <v>8660.7580559999988</v>
      </c>
      <c r="M35" s="68">
        <v>0.7</v>
      </c>
      <c r="N35" s="69">
        <v>2</v>
      </c>
      <c r="O35" s="59">
        <f>(((M35+(2*N35))*MATERIALES!$C$57)+((M35+(2*N35))*MATERIALES!$C$55)+(M35*MATERIALES!$C$59)+((M35*4)*MATERIALES!$C$58)+((((M35*10)+(N35*2))*MATERIALES!$C$73)*2))*(MATERIALES!$F$2*MATERIALES!$J$15)</f>
        <v>0</v>
      </c>
      <c r="P35" s="59">
        <f>(1*MATERIALES!$C$204)+(1*MATERIALES!$C$205)+(3*MATERIALES!$C$207)+(2*MATERIALES!$C$189)+(2*MATERIALES!$C$190)+(2*MATERIALES!$C$191)+(20*MATERIALES!$C$158)+(20*MATERIALES!$C$159)+((M35+(2*N35))*MATERIALES!$C$210)+((M35+(2*N35))*MATERIALES!$C$209)+(((M35*10)+(N35*2))*MATERIALES!$C$141)+(((((M35*10)+(N35*2))/0.1)*MATERIALES!$C$192)*2)+(2*MATERIALES!$C$187)+(((M35*5)*2)*MATERIALES!$C$147)+(4*MATERIALES!$C$148)</f>
        <v>5485.1731999999993</v>
      </c>
      <c r="Q35" s="75"/>
      <c r="R35" s="55">
        <f>(M35*N35)*MATERIALES!$D$82</f>
        <v>742</v>
      </c>
      <c r="S35" s="59">
        <f t="shared" ref="S35:S41" si="10">SUM(O35:R35)</f>
        <v>6227.1731999999993</v>
      </c>
      <c r="T35" s="70">
        <f t="shared" ref="T35:T41" si="11">(SUM(O35:Q35)*1.3)+(R35*2)</f>
        <v>8614.7251599999981</v>
      </c>
      <c r="AM35" s="32"/>
      <c r="AN35" s="287"/>
      <c r="AO35" s="295"/>
      <c r="AP35" s="290"/>
      <c r="AQ35" s="293"/>
      <c r="AR35" s="4"/>
      <c r="AS35" s="4"/>
      <c r="AU35" s="291"/>
      <c r="AV35" s="292"/>
    </row>
    <row r="36" spans="1:48" ht="15" customHeight="1">
      <c r="A36" s="68">
        <v>0.8</v>
      </c>
      <c r="B36" s="69">
        <v>2</v>
      </c>
      <c r="C36" s="59">
        <f>(((A36+(2*B36))*MATERIALES!$C$57)+((A36+(2*B36))*MATERIALES!$C$55)+(A36*MATERIALES!$C$59)+((((A36*2)+(B36*6))*MATERIALES!$C$73)*2)+((B36*2)*MATERIALES!$C$58))*(MATERIALES!$F$2*MATERIALES!$J$15)</f>
        <v>0</v>
      </c>
      <c r="D36" s="59">
        <f>(1*MATERIALES!$C$204)+(1*MATERIALES!$C$205)+(3*MATERIALES!$C$207)+(2*MATERIALES!$C$189)+(2*MATERIALES!$C$190)+(2*MATERIALES!$C$191)+(12*MATERIALES!$C$158)+(12*MATERIALES!$C$159)+((A36+(2*B36))*MATERIALES!$C$210)+((A36+(2*B36))*MATERIALES!$C$209)+(((A36*2)+(B36*6))*MATERIALES!$C$141)+(((((A36*2)+(B36*6))/0.1)*MATERIALES!$C$192)*2)+(2*MATERIALES!$C$187)+(((A36*5)*2)*MATERIALES!$C$147)+(4*MATERIALES!$C$148)</f>
        <v>5539.4892799999998</v>
      </c>
      <c r="E36" s="75"/>
      <c r="F36" s="55">
        <f>(A36*B36)*MATERIALES!$D$82</f>
        <v>848</v>
      </c>
      <c r="G36" s="59">
        <f t="shared" si="8"/>
        <v>6387.4892799999998</v>
      </c>
      <c r="H36" s="70">
        <f t="shared" si="9"/>
        <v>8897.3360639999992</v>
      </c>
      <c r="M36" s="68">
        <v>0.8</v>
      </c>
      <c r="N36" s="69">
        <v>2</v>
      </c>
      <c r="O36" s="59">
        <f>(((M36+(2*N36))*MATERIALES!$C$57)+((M36+(2*N36))*MATERIALES!$C$55)+(M36*MATERIALES!$C$59)+((M36*4)*MATERIALES!$C$58)+((((M36*10)+(N36*2))*MATERIALES!$C$73)*2))*(MATERIALES!$F$2*MATERIALES!$J$15)</f>
        <v>0</v>
      </c>
      <c r="P36" s="59">
        <f>(1*MATERIALES!$C$204)+(1*MATERIALES!$C$205)+(3*MATERIALES!$C$207)+(2*MATERIALES!$C$189)+(2*MATERIALES!$C$190)+(2*MATERIALES!$C$191)+(20*MATERIALES!$C$158)+(20*MATERIALES!$C$159)+((M36+(2*N36))*MATERIALES!$C$210)+((M36+(2*N36))*MATERIALES!$C$209)+(((M36*10)+(N36*2))*MATERIALES!$C$141)+(((((M36*10)+(N36*2))/0.1)*MATERIALES!$C$192)*2)+(2*MATERIALES!$C$187)+(((M36*5)*2)*MATERIALES!$C$147)+(4*MATERIALES!$C$148)</f>
        <v>5556.0959999999995</v>
      </c>
      <c r="Q36" s="75"/>
      <c r="R36" s="55">
        <f>(M36*N36)*MATERIALES!$D$82</f>
        <v>848</v>
      </c>
      <c r="S36" s="59">
        <f t="shared" si="10"/>
        <v>6404.0959999999995</v>
      </c>
      <c r="T36" s="70">
        <f t="shared" si="11"/>
        <v>8918.9248000000007</v>
      </c>
      <c r="AM36" s="32"/>
      <c r="AO36" s="295"/>
      <c r="AQ36" s="298"/>
      <c r="AU36" s="291"/>
      <c r="AV36" s="310"/>
    </row>
    <row r="37" spans="1:48" ht="15" customHeight="1">
      <c r="A37" s="68">
        <v>0.9</v>
      </c>
      <c r="B37" s="69">
        <v>2</v>
      </c>
      <c r="C37" s="59">
        <f>(((A37+(2*B37))*MATERIALES!$C$57)+((A37+(2*B37))*MATERIALES!$C$55)+(A37*MATERIALES!$C$59)+((((A37*2)+(B37*6))*MATERIALES!$C$73)*2)+((B37*2)*MATERIALES!$C$58))*(MATERIALES!$F$2*MATERIALES!$J$15)</f>
        <v>0</v>
      </c>
      <c r="D37" s="59">
        <f>(1*MATERIALES!$C$204)+(1*MATERIALES!$C$205)+(3*MATERIALES!$C$207)+(2*MATERIALES!$C$189)+(2*MATERIALES!$C$190)+(2*MATERIALES!$C$191)+(12*MATERIALES!$C$158)+(12*MATERIALES!$C$159)+((A37+(2*B37))*MATERIALES!$C$210)+((A37+(2*B37))*MATERIALES!$C$209)+(((A37*2)+(B37*6))*MATERIALES!$C$141)+(((((A37*2)+(B37*6))/0.1)*MATERIALES!$C$192)*2)+(2*MATERIALES!$C$187)+(((A37*5)*2)*MATERIALES!$C$147)+(4*MATERIALES!$C$148)</f>
        <v>5558.3954400000002</v>
      </c>
      <c r="E37" s="75"/>
      <c r="F37" s="55">
        <f>(A37*B37)*MATERIALES!$D$82</f>
        <v>954</v>
      </c>
      <c r="G37" s="59">
        <f t="shared" si="8"/>
        <v>6512.3954400000002</v>
      </c>
      <c r="H37" s="70">
        <f t="shared" si="9"/>
        <v>9133.9140719999996</v>
      </c>
      <c r="M37" s="68">
        <v>0.9</v>
      </c>
      <c r="N37" s="69">
        <v>2</v>
      </c>
      <c r="O37" s="59">
        <f>(((M37+(2*N37))*MATERIALES!$C$57)+((M37+(2*N37))*MATERIALES!$C$55)+(M37*MATERIALES!$C$59)+((M37*4)*MATERIALES!$C$58)+((((M37*10)+(N37*2))*MATERIALES!$C$73)*2))*(MATERIALES!$F$2*MATERIALES!$J$15)</f>
        <v>0</v>
      </c>
      <c r="P37" s="59">
        <f>(1*MATERIALES!$C$204)+(1*MATERIALES!$C$205)+(3*MATERIALES!$C$207)+(2*MATERIALES!$C$189)+(2*MATERIALES!$C$190)+(2*MATERIALES!$C$191)+(20*MATERIALES!$C$158)+(20*MATERIALES!$C$159)+((M37+(2*N37))*MATERIALES!$C$210)+((M37+(2*N37))*MATERIALES!$C$209)+(((M37*10)+(N37*2))*MATERIALES!$C$141)+(((((M37*10)+(N37*2))/0.1)*MATERIALES!$C$192)*2)+(2*MATERIALES!$C$187)+(((M37*5)*2)*MATERIALES!$C$147)+(4*MATERIALES!$C$148)</f>
        <v>5627.0187999999998</v>
      </c>
      <c r="Q37" s="75"/>
      <c r="R37" s="55">
        <f>(M37*N37)*MATERIALES!$D$82</f>
        <v>954</v>
      </c>
      <c r="S37" s="59">
        <f t="shared" si="10"/>
        <v>6581.0187999999998</v>
      </c>
      <c r="T37" s="70">
        <f t="shared" si="11"/>
        <v>9223.1244399999996</v>
      </c>
      <c r="AM37" s="32"/>
      <c r="AO37" s="295"/>
      <c r="AQ37" s="298"/>
      <c r="AT37" s="291"/>
      <c r="AU37" s="291"/>
      <c r="AV37" s="310"/>
    </row>
    <row r="38" spans="1:48" ht="18">
      <c r="A38" s="68">
        <v>0.6</v>
      </c>
      <c r="B38" s="69">
        <v>2.1</v>
      </c>
      <c r="C38" s="59">
        <f>(((A38+(2*B38))*MATERIALES!$C$57)+((A38+(2*B38))*MATERIALES!$C$55)+(A38*MATERIALES!$C$59)+((((A38*2)+(B38*6))*MATERIALES!$C$73)*2)+((B38*2)*MATERIALES!$C$58))*(MATERIALES!$F$2*MATERIALES!$J$15)</f>
        <v>0</v>
      </c>
      <c r="D38" s="59">
        <f>(1*MATERIALES!$C$204)+(1*MATERIALES!$C$205)+(3*MATERIALES!$C$207)+(2*MATERIALES!$C$189)+(2*MATERIALES!$C$190)+(2*MATERIALES!$C$191)+(12*MATERIALES!$C$158)+(12*MATERIALES!$C$159)+((A38+(2*B38))*MATERIALES!$C$210)+((A38+(2*B38))*MATERIALES!$C$209)+(((A38*2)+(B38*6))*MATERIALES!$C$141)+(((((A38*2)+(B38*6))/0.1)*MATERIALES!$C$192)*2)+(2*MATERIALES!$C$187)+(((A38*5)*2)*MATERIALES!$C$147)+(4*MATERIALES!$C$148)</f>
        <v>5552.4934400000002</v>
      </c>
      <c r="E38" s="75"/>
      <c r="F38" s="55">
        <f>(A38*B38)*MATERIALES!$D$82</f>
        <v>667.8</v>
      </c>
      <c r="G38" s="59">
        <f t="shared" si="8"/>
        <v>6220.2934400000004</v>
      </c>
      <c r="H38" s="70">
        <f t="shared" si="9"/>
        <v>8553.8414720000001</v>
      </c>
      <c r="M38" s="68">
        <v>0.6</v>
      </c>
      <c r="N38" s="69">
        <v>2.1</v>
      </c>
      <c r="O38" s="59">
        <f>(((M38+(2*N38))*MATERIALES!$C$57)+((M38+(2*N38))*MATERIALES!$C$55)+(M38*MATERIALES!$C$59)+((M38*4)*MATERIALES!$C$58)+((((M38*10)+(N38*2))*MATERIALES!$C$73)*2))*(MATERIALES!$F$2*MATERIALES!$J$15)</f>
        <v>0</v>
      </c>
      <c r="P38" s="59">
        <f>(1*MATERIALES!$C$204)+(1*MATERIALES!$C$205)+(3*MATERIALES!$C$207)+(2*MATERIALES!$C$189)+(2*MATERIALES!$C$190)+(2*MATERIALES!$C$191)+(20*MATERIALES!$C$158)+(20*MATERIALES!$C$159)+((M38+(2*N38))*MATERIALES!$C$210)+((M38+(2*N38))*MATERIALES!$C$209)+(((M38*10)+(N38*2))*MATERIALES!$C$141)+(((((M38*10)+(N38*2))/0.1)*MATERIALES!$C$192)*2)+(2*MATERIALES!$C$187)+(((M38*5)*2)*MATERIALES!$C$147)+(4*MATERIALES!$C$148)</f>
        <v>5439.0585599999995</v>
      </c>
      <c r="Q38" s="75"/>
      <c r="R38" s="55">
        <f>(M38*N38)*MATERIALES!$D$82</f>
        <v>667.8</v>
      </c>
      <c r="S38" s="59">
        <f t="shared" si="10"/>
        <v>6106.8585599999997</v>
      </c>
      <c r="T38" s="70">
        <f t="shared" si="11"/>
        <v>8406.3761279999999</v>
      </c>
      <c r="AM38" s="32"/>
      <c r="AO38" s="312"/>
      <c r="AQ38" s="32"/>
      <c r="AT38" s="291"/>
      <c r="AU38" s="291"/>
      <c r="AV38" s="4"/>
    </row>
    <row r="39" spans="1:48" ht="15.75" customHeight="1">
      <c r="A39" s="68">
        <v>0.7</v>
      </c>
      <c r="B39" s="69">
        <v>2.1</v>
      </c>
      <c r="C39" s="59">
        <f>(((A39+(2*B39))*MATERIALES!$C$57)+((A39+(2*B39))*MATERIALES!$C$55)+(A39*MATERIALES!$C$59)+((((A39*2)+(B39*6))*MATERIALES!$C$73)*2)+((B39*2)*MATERIALES!$C$58))*(MATERIALES!$F$2*MATERIALES!$J$15)</f>
        <v>0</v>
      </c>
      <c r="D39" s="59">
        <f>(1*MATERIALES!$C$204)+(1*MATERIALES!$C$205)+(3*MATERIALES!$C$207)+(2*MATERIALES!$C$189)+(2*MATERIALES!$C$190)+(2*MATERIALES!$C$191)+(12*MATERIALES!$C$158)+(12*MATERIALES!$C$159)+((A39+(2*B39))*MATERIALES!$C$210)+((A39+(2*B39))*MATERIALES!$C$209)+(((A39*2)+(B39*6))*MATERIALES!$C$141)+(((((A39*2)+(B39*6))/0.1)*MATERIALES!$C$192)*2)+(2*MATERIALES!$C$187)+(((A39*5)*2)*MATERIALES!$C$147)+(4*MATERIALES!$C$148)</f>
        <v>5571.3996000000006</v>
      </c>
      <c r="E39" s="75"/>
      <c r="F39" s="55">
        <f>(A39*B39)*MATERIALES!$D$82</f>
        <v>779.1</v>
      </c>
      <c r="G39" s="59">
        <f t="shared" si="8"/>
        <v>6350.499600000001</v>
      </c>
      <c r="H39" s="70">
        <f t="shared" si="9"/>
        <v>8801.0194800000008</v>
      </c>
      <c r="M39" s="68">
        <v>0.7</v>
      </c>
      <c r="N39" s="69">
        <v>2.1</v>
      </c>
      <c r="O39" s="59">
        <f>(((M39+(2*N39))*MATERIALES!$C$57)+((M39+(2*N39))*MATERIALES!$C$55)+(M39*MATERIALES!$C$59)+((M39*4)*MATERIALES!$C$58)+((((M39*10)+(N39*2))*MATERIALES!$C$73)*2))*(MATERIALES!$F$2*MATERIALES!$J$15)</f>
        <v>0</v>
      </c>
      <c r="P39" s="59">
        <f>(1*MATERIALES!$C$204)+(1*MATERIALES!$C$205)+(3*MATERIALES!$C$207)+(2*MATERIALES!$C$189)+(2*MATERIALES!$C$190)+(2*MATERIALES!$C$191)+(20*MATERIALES!$C$158)+(20*MATERIALES!$C$159)+((M39+(2*N39))*MATERIALES!$C$210)+((M39+(2*N39))*MATERIALES!$C$209)+(((M39*10)+(N39*2))*MATERIALES!$C$141)+(((((M39*10)+(N39*2))/0.1)*MATERIALES!$C$192)*2)+(2*MATERIALES!$C$187)+(((M39*5)*2)*MATERIALES!$C$147)+(4*MATERIALES!$C$148)</f>
        <v>5509.9813599999998</v>
      </c>
      <c r="Q39" s="75"/>
      <c r="R39" s="55">
        <f>(M39*N39)*MATERIALES!$D$82</f>
        <v>779.1</v>
      </c>
      <c r="S39" s="59">
        <f t="shared" si="10"/>
        <v>6289.0813600000001</v>
      </c>
      <c r="T39" s="70">
        <f t="shared" si="11"/>
        <v>8721.175768000001</v>
      </c>
      <c r="AT39" s="291"/>
      <c r="AV39" s="4"/>
    </row>
    <row r="40" spans="1:48" ht="15" customHeight="1">
      <c r="A40" s="68">
        <v>0.8</v>
      </c>
      <c r="B40" s="69">
        <v>2.1</v>
      </c>
      <c r="C40" s="59">
        <f>(((A40+(2*B40))*MATERIALES!$C$57)+((A40+(2*B40))*MATERIALES!$C$55)+(A40*MATERIALES!$C$59)+((((A40*2)+(B40*6))*MATERIALES!$C$73)*2)+((B40*2)*MATERIALES!$C$58))*(MATERIALES!$F$2*MATERIALES!$J$15)</f>
        <v>0</v>
      </c>
      <c r="D40" s="59">
        <f>(1*MATERIALES!$C$204)+(1*MATERIALES!$C$205)+(3*MATERIALES!$C$207)+(2*MATERIALES!$C$189)+(2*MATERIALES!$C$190)+(2*MATERIALES!$C$191)+(12*MATERIALES!$C$158)+(12*MATERIALES!$C$159)+((A40+(2*B40))*MATERIALES!$C$210)+((A40+(2*B40))*MATERIALES!$C$209)+(((A40*2)+(B40*6))*MATERIALES!$C$141)+(((((A40*2)+(B40*6))/0.1)*MATERIALES!$C$192)*2)+(2*MATERIALES!$C$187)+(((A40*5)*2)*MATERIALES!$C$147)+(4*MATERIALES!$C$148)</f>
        <v>5590.3057600000002</v>
      </c>
      <c r="E40" s="75"/>
      <c r="F40" s="55">
        <f>(A40*B40)*MATERIALES!$D$82</f>
        <v>890.40000000000009</v>
      </c>
      <c r="G40" s="59">
        <f t="shared" si="8"/>
        <v>6480.7057600000007</v>
      </c>
      <c r="H40" s="70">
        <f t="shared" si="9"/>
        <v>9048.1974880000016</v>
      </c>
      <c r="M40" s="68">
        <v>0.8</v>
      </c>
      <c r="N40" s="69">
        <v>2.1</v>
      </c>
      <c r="O40" s="59">
        <f>(((M40+(2*N40))*MATERIALES!$C$57)+((M40+(2*N40))*MATERIALES!$C$55)+(M40*MATERIALES!$C$59)+((M40*4)*MATERIALES!$C$58)+((((M40*10)+(N40*2))*MATERIALES!$C$73)*2))*(MATERIALES!$F$2*MATERIALES!$J$15)</f>
        <v>0</v>
      </c>
      <c r="P40" s="59">
        <f>(1*MATERIALES!$C$204)+(1*MATERIALES!$C$205)+(3*MATERIALES!$C$207)+(2*MATERIALES!$C$189)+(2*MATERIALES!$C$190)+(2*MATERIALES!$C$191)+(20*MATERIALES!$C$158)+(20*MATERIALES!$C$159)+((M40+(2*N40))*MATERIALES!$C$210)+((M40+(2*N40))*MATERIALES!$C$209)+(((M40*10)+(N40*2))*MATERIALES!$C$141)+(((((M40*10)+(N40*2))/0.1)*MATERIALES!$C$192)*2)+(2*MATERIALES!$C$187)+(((M40*5)*2)*MATERIALES!$C$147)+(4*MATERIALES!$C$148)</f>
        <v>5580.9041599999991</v>
      </c>
      <c r="Q40" s="75"/>
      <c r="R40" s="55">
        <f>(M40*N40)*MATERIALES!$D$82</f>
        <v>890.40000000000009</v>
      </c>
      <c r="S40" s="59">
        <f t="shared" si="10"/>
        <v>6471.3041599999997</v>
      </c>
      <c r="T40" s="70">
        <f t="shared" si="11"/>
        <v>9035.9754079999984</v>
      </c>
      <c r="AL40" s="313"/>
      <c r="AM40" s="288"/>
      <c r="AN40" s="314"/>
      <c r="AP40" s="315"/>
      <c r="AQ40" s="267"/>
      <c r="AR40" s="316"/>
      <c r="AS40" s="316"/>
      <c r="AT40" s="291"/>
      <c r="AV40" s="4"/>
    </row>
    <row r="41" spans="1:48" ht="16.5" customHeight="1" thickBot="1">
      <c r="A41" s="71">
        <v>0.9</v>
      </c>
      <c r="B41" s="72">
        <v>2.1</v>
      </c>
      <c r="C41" s="60">
        <f>(((A41+(2*B41))*MATERIALES!$C$57)+((A41+(2*B41))*MATERIALES!$C$55)+(A41*MATERIALES!$C$59)+((((A41*2)+(B41*6))*MATERIALES!$C$73)*2)+((B41*2)*MATERIALES!$C$58))*(MATERIALES!$F$2*MATERIALES!$J$15)</f>
        <v>0</v>
      </c>
      <c r="D41" s="60">
        <f>(1*MATERIALES!$C$204)+(1*MATERIALES!$C$205)+(3*MATERIALES!$C$207)+(2*MATERIALES!$C$189)+(2*MATERIALES!$C$190)+(2*MATERIALES!$C$191)+(12*MATERIALES!$C$158)+(12*MATERIALES!$C$159)+((A41+(2*B41))*MATERIALES!$C$210)+((A41+(2*B41))*MATERIALES!$C$209)+(((A41*2)+(B41*6))*MATERIALES!$C$141)+(((((A41*2)+(B41*6))/0.1)*MATERIALES!$C$192)*2)+(2*MATERIALES!$C$187)+(((A41*5)*2)*MATERIALES!$C$147)+(4*MATERIALES!$C$148)</f>
        <v>5609.2119199999997</v>
      </c>
      <c r="E41" s="76"/>
      <c r="F41" s="56">
        <f>(A41*B41)*MATERIALES!$D$82</f>
        <v>1001.7</v>
      </c>
      <c r="G41" s="60">
        <f t="shared" si="8"/>
        <v>6610.9119199999996</v>
      </c>
      <c r="H41" s="73">
        <f t="shared" si="9"/>
        <v>9295.3754960000006</v>
      </c>
      <c r="M41" s="71">
        <v>0.9</v>
      </c>
      <c r="N41" s="72">
        <v>2.1</v>
      </c>
      <c r="O41" s="60">
        <f>(((M41+(2*N41))*MATERIALES!$C$57)+((M41+(2*N41))*MATERIALES!$C$55)+(M41*MATERIALES!$C$59)+((M41*4)*MATERIALES!$C$58)+((((M41*10)+(N41*2))*MATERIALES!$C$73)*2))*(MATERIALES!$F$2*MATERIALES!$J$15)</f>
        <v>0</v>
      </c>
      <c r="P41" s="60">
        <f>(1*MATERIALES!$C$204)+(1*MATERIALES!$C$205)+(3*MATERIALES!$C$207)+(2*MATERIALES!$C$189)+(2*MATERIALES!$C$190)+(2*MATERIALES!$C$191)+(20*MATERIALES!$C$158)+(20*MATERIALES!$C$159)+((M41+(2*N41))*MATERIALES!$C$210)+((M41+(2*N41))*MATERIALES!$C$209)+(((M41*10)+(N41*2))*MATERIALES!$C$141)+(((((M41*10)+(N41*2))/0.1)*MATERIALES!$C$192)*2)+(2*MATERIALES!$C$187)+(((M41*5)*2)*MATERIALES!$C$147)+(4*MATERIALES!$C$148)</f>
        <v>5651.8269599999985</v>
      </c>
      <c r="Q41" s="76"/>
      <c r="R41" s="56">
        <f>(M41*N41)*MATERIALES!$D$82</f>
        <v>1001.7</v>
      </c>
      <c r="S41" s="60">
        <f t="shared" si="10"/>
        <v>6653.5269599999983</v>
      </c>
      <c r="T41" s="73">
        <f t="shared" si="11"/>
        <v>9350.7750479999977</v>
      </c>
      <c r="AL41" s="313"/>
      <c r="AM41" s="288"/>
      <c r="AN41" s="314"/>
      <c r="AP41" s="315"/>
      <c r="AQ41" s="267"/>
      <c r="AR41" s="316"/>
      <c r="AS41" s="316"/>
      <c r="AV41" s="4"/>
    </row>
    <row r="42" spans="1:48" ht="15" customHeight="1">
      <c r="AL42" s="313"/>
      <c r="AM42" s="288"/>
      <c r="AN42" s="314"/>
      <c r="AP42" s="315"/>
      <c r="AQ42" s="267"/>
      <c r="AR42" s="316"/>
      <c r="AS42" s="316"/>
      <c r="AV42" s="4"/>
    </row>
    <row r="43" spans="1:48" ht="15" customHeight="1" thickBot="1">
      <c r="C43" s="878" t="s">
        <v>221</v>
      </c>
      <c r="D43" s="878"/>
      <c r="E43" s="878"/>
      <c r="F43" s="878"/>
      <c r="G43" s="78"/>
      <c r="O43" s="878" t="s">
        <v>221</v>
      </c>
      <c r="P43" s="878"/>
      <c r="Q43" s="878"/>
      <c r="R43" s="878"/>
      <c r="Y43" s="878" t="s">
        <v>221</v>
      </c>
      <c r="Z43" s="878"/>
      <c r="AA43" s="878"/>
      <c r="AB43" s="878"/>
      <c r="AC43" s="78"/>
      <c r="AI43" s="1"/>
      <c r="AJ43" s="602">
        <f>+H78</f>
        <v>7482.2164448000012</v>
      </c>
      <c r="AK43" s="486"/>
      <c r="AL43" s="605">
        <f>+T22</f>
        <v>7518.6720079999996</v>
      </c>
      <c r="AM43" s="487"/>
      <c r="AN43" s="604">
        <f>+T36</f>
        <v>8918.9248000000007</v>
      </c>
      <c r="AO43" s="486"/>
      <c r="AP43" s="604">
        <f>+T92</f>
        <v>8021.9647360000008</v>
      </c>
      <c r="AQ43" s="488"/>
      <c r="AR43" s="604">
        <f>+T106</f>
        <v>8348.3267200000009</v>
      </c>
      <c r="AS43" s="479"/>
      <c r="AT43" s="606" t="s">
        <v>702</v>
      </c>
      <c r="AU43" s="1"/>
      <c r="AV43" s="481"/>
    </row>
    <row r="44" spans="1:48" ht="15" customHeight="1" thickBot="1">
      <c r="A44" s="32"/>
      <c r="B44" s="32"/>
      <c r="C44" s="801">
        <v>0.3</v>
      </c>
      <c r="D44" s="802"/>
      <c r="E44" s="803"/>
      <c r="F44" s="61">
        <v>1</v>
      </c>
      <c r="G44" s="32"/>
      <c r="H44" s="46" t="s">
        <v>163</v>
      </c>
      <c r="M44" s="32"/>
      <c r="N44" s="32"/>
      <c r="O44" s="801">
        <v>0.3</v>
      </c>
      <c r="P44" s="802"/>
      <c r="Q44" s="802"/>
      <c r="R44" s="803"/>
      <c r="S44" s="32"/>
      <c r="T44" s="46" t="s">
        <v>163</v>
      </c>
      <c r="W44" s="32"/>
      <c r="X44" s="32"/>
      <c r="Y44" s="801">
        <v>0.3</v>
      </c>
      <c r="Z44" s="802"/>
      <c r="AA44" s="803"/>
      <c r="AB44" s="61">
        <v>1</v>
      </c>
      <c r="AC44" s="32"/>
      <c r="AD44" s="46" t="s">
        <v>163</v>
      </c>
      <c r="AI44" s="1"/>
      <c r="AJ44" s="602">
        <f>+H207</f>
        <v>8262.2164448000003</v>
      </c>
      <c r="AK44" s="486"/>
      <c r="AL44" s="602">
        <f>+T151</f>
        <v>8818.6720079999996</v>
      </c>
      <c r="AM44" s="488"/>
      <c r="AN44" s="602">
        <f>+T165</f>
        <v>11518.924800000001</v>
      </c>
      <c r="AO44" s="486"/>
      <c r="AP44" s="602">
        <f>+T221</f>
        <v>10621.964736000002</v>
      </c>
      <c r="AQ44" s="487"/>
      <c r="AR44" s="602">
        <f>+T235</f>
        <v>10948.326720000001</v>
      </c>
      <c r="AS44" s="480"/>
      <c r="AT44" s="606" t="s">
        <v>703</v>
      </c>
      <c r="AU44" s="1"/>
      <c r="AV44" s="482"/>
    </row>
    <row r="45" spans="1:48" ht="15" customHeight="1" thickBot="1">
      <c r="A45" s="792" t="s">
        <v>212</v>
      </c>
      <c r="B45" s="793"/>
      <c r="C45" s="793"/>
      <c r="D45" s="793"/>
      <c r="E45" s="793"/>
      <c r="F45" s="793"/>
      <c r="G45" s="793"/>
      <c r="H45" s="794"/>
      <c r="M45" s="792" t="s">
        <v>219</v>
      </c>
      <c r="N45" s="793"/>
      <c r="O45" s="793"/>
      <c r="P45" s="793"/>
      <c r="Q45" s="793"/>
      <c r="R45" s="793"/>
      <c r="S45" s="793"/>
      <c r="T45" s="794"/>
      <c r="W45" s="792" t="s">
        <v>410</v>
      </c>
      <c r="X45" s="793"/>
      <c r="Y45" s="793"/>
      <c r="Z45" s="793"/>
      <c r="AA45" s="793"/>
      <c r="AB45" s="793"/>
      <c r="AC45" s="793"/>
      <c r="AD45" s="794"/>
      <c r="AI45" s="1"/>
      <c r="AJ45" s="602">
        <f>+H335</f>
        <v>9565.1879648000013</v>
      </c>
      <c r="AK45" s="486"/>
      <c r="AL45" s="602">
        <f>+T279</f>
        <v>10465.898248</v>
      </c>
      <c r="AM45" s="488"/>
      <c r="AN45" s="602">
        <f>+T293</f>
        <v>17173.1456</v>
      </c>
      <c r="AO45" s="486"/>
      <c r="AP45" s="495"/>
      <c r="AQ45" s="487"/>
      <c r="AR45" s="495"/>
      <c r="AS45" s="480"/>
      <c r="AT45" s="606" t="s">
        <v>692</v>
      </c>
      <c r="AU45" s="483"/>
      <c r="AV45" s="484"/>
    </row>
    <row r="46" spans="1:48" ht="15" customHeight="1" thickBot="1">
      <c r="A46" s="36" t="s">
        <v>116</v>
      </c>
      <c r="B46" s="36" t="s">
        <v>117</v>
      </c>
      <c r="C46" s="36" t="s">
        <v>162</v>
      </c>
      <c r="D46" s="36" t="s">
        <v>119</v>
      </c>
      <c r="E46" s="36" t="s">
        <v>120</v>
      </c>
      <c r="F46" s="36" t="s">
        <v>118</v>
      </c>
      <c r="G46" s="36" t="s">
        <v>121</v>
      </c>
      <c r="H46" s="36" t="s">
        <v>122</v>
      </c>
      <c r="M46" s="36" t="s">
        <v>116</v>
      </c>
      <c r="N46" s="36" t="s">
        <v>117</v>
      </c>
      <c r="O46" s="36" t="s">
        <v>162</v>
      </c>
      <c r="P46" s="36" t="s">
        <v>119</v>
      </c>
      <c r="Q46" s="36" t="s">
        <v>120</v>
      </c>
      <c r="R46" s="36" t="s">
        <v>217</v>
      </c>
      <c r="S46" s="36" t="s">
        <v>121</v>
      </c>
      <c r="T46" s="36" t="s">
        <v>122</v>
      </c>
      <c r="W46" s="36" t="s">
        <v>116</v>
      </c>
      <c r="X46" s="36" t="s">
        <v>117</v>
      </c>
      <c r="Y46" s="36" t="s">
        <v>162</v>
      </c>
      <c r="Z46" s="36" t="s">
        <v>119</v>
      </c>
      <c r="AA46" s="36" t="s">
        <v>120</v>
      </c>
      <c r="AB46" s="36" t="s">
        <v>118</v>
      </c>
      <c r="AC46" s="36" t="s">
        <v>121</v>
      </c>
      <c r="AD46" s="36" t="s">
        <v>122</v>
      </c>
      <c r="AL46" s="313"/>
      <c r="AM46" s="288"/>
      <c r="AN46" s="314"/>
      <c r="AP46" s="315"/>
      <c r="AQ46" s="267"/>
      <c r="AR46" s="316"/>
      <c r="AS46" s="316"/>
      <c r="AU46" s="324"/>
      <c r="AV46" s="291"/>
    </row>
    <row r="47" spans="1:48" ht="15" customHeight="1" thickBot="1">
      <c r="A47" s="795"/>
      <c r="B47" s="796"/>
      <c r="C47" s="796"/>
      <c r="D47" s="796"/>
      <c r="E47" s="796"/>
      <c r="F47" s="796"/>
      <c r="G47" s="796"/>
      <c r="H47" s="797"/>
      <c r="M47" s="795"/>
      <c r="N47" s="796"/>
      <c r="O47" s="796"/>
      <c r="P47" s="796"/>
      <c r="Q47" s="796"/>
      <c r="R47" s="796"/>
      <c r="S47" s="796"/>
      <c r="T47" s="797"/>
      <c r="W47" s="795"/>
      <c r="X47" s="796"/>
      <c r="Y47" s="796"/>
      <c r="Z47" s="796"/>
      <c r="AA47" s="796"/>
      <c r="AB47" s="796"/>
      <c r="AC47" s="796"/>
      <c r="AD47" s="797"/>
      <c r="AJ47" s="363" t="s">
        <v>641</v>
      </c>
      <c r="AK47" s="364"/>
      <c r="AL47" s="363" t="s">
        <v>642</v>
      </c>
      <c r="AM47" s="365"/>
      <c r="AN47" s="363" t="s">
        <v>643</v>
      </c>
      <c r="AO47" s="295"/>
      <c r="AP47" s="317"/>
      <c r="AQ47" s="293"/>
      <c r="AR47" s="318"/>
      <c r="AS47" s="318"/>
      <c r="AU47" s="329"/>
      <c r="AV47" s="291"/>
    </row>
    <row r="48" spans="1:48" ht="15" customHeight="1">
      <c r="A48" s="158">
        <v>0.6</v>
      </c>
      <c r="B48" s="159">
        <v>2</v>
      </c>
      <c r="C48" s="74">
        <f>((((A48+(2*B48))*MATERIALES!$C$57)+((A48+(2*B48))*MATERIALES!$C$55)+(A48*MATERIALES!$C$59)+((((A48*2)+(B48*4))*MATERIALES!$C$73)*2))*(MATERIALES!$F$2*MATERIALES!$J$15))+(1*MATERIALES!$D$243)</f>
        <v>3927.27</v>
      </c>
      <c r="D48" s="74">
        <f>(1*MATERIALES!$C$204)+(1*MATERIALES!$C$205)+(3*MATERIALES!$C$207)+(2*MATERIALES!$C$189)+(2*MATERIALES!$C$190)+(2*MATERIALES!$C$191)+(8*MATERIALES!$C$158)+(8*MATERIALES!$C$159)+((A48+(2*B48))*MATERIALES!$C$210)+((A48+(2*B48))*MATERIALES!$C$209)+(((A48*2)+(B48*2))*MATERIALES!$C$165)+(((A48*2)+(B48*2))*MATERIALES!$C$141)+(0.5*MATERIALES!$C$167)+(((((A48*2)+(B48*4))/0.1)*MATERIALES!$C$192)*2)+(2*MATERIALES!$C$187)+(((A48*5)*2)*MATERIALES!$C$147)+(4*MATERIALES!$C$148)</f>
        <v>5343.3827200000005</v>
      </c>
      <c r="E48" s="74"/>
      <c r="F48" s="111">
        <f>((A48/2)*B48)*MATERIALES!$D$82</f>
        <v>318</v>
      </c>
      <c r="G48" s="74">
        <f>SUM(C48:F48)</f>
        <v>9588.65272</v>
      </c>
      <c r="H48" s="160">
        <f>(SUM(C48:E48)*1.3)+(F48*2)</f>
        <v>12687.848536000001</v>
      </c>
      <c r="I48" s="77"/>
      <c r="K48" s="77"/>
      <c r="L48" s="77"/>
      <c r="M48" s="65">
        <v>0.6</v>
      </c>
      <c r="N48" s="66">
        <v>2</v>
      </c>
      <c r="O48" s="58">
        <f>(((M48+(2*N48))*MATERIALES!$C$57)+((M48+(2*N48))*MATERIALES!$C$55)+(M48*MATERIALES!$C$59)+((((M48*2)+(N48*2))*MATERIALES!$C$73)*2))*(MATERIALES!$F$2*MATERIALES!$J$15)</f>
        <v>0</v>
      </c>
      <c r="P48" s="58">
        <f>(1*MATERIALES!$C$204)+(1*MATERIALES!$C$205)+(3*MATERIALES!$C$207)+(2*MATERIALES!$C$189)+(2*MATERIALES!$C$190)+(2*MATERIALES!$C$191)+(4*MATERIALES!$C$158)+(4*MATERIALES!$C$159)+((M48+(2*N48))*MATERIALES!$C$210)+((M48+(2*N48))*MATERIALES!$C$209)+(((M48*2)+(N48*2))*MATERIALES!$C$165)+(0.5*MATERIALES!$C$167)+(((((M48*2)+(N48*2))/0.1)*MATERIALES!$C$192)*2)+(2*MATERIALES!$C$187)+(((M48*5)*2)*MATERIALES!$C$147)+(4*MATERIALES!$C$148)</f>
        <v>4997.3705600000003</v>
      </c>
      <c r="Q48" s="74"/>
      <c r="R48" s="54">
        <f>(1*MATERIALES!$D$243)</f>
        <v>3927.27</v>
      </c>
      <c r="S48" s="58">
        <f>SUM(O48:R48)</f>
        <v>8924.6405599999998</v>
      </c>
      <c r="T48" s="67">
        <f>(SUM(O48:R48)*1.3)</f>
        <v>11602.032728</v>
      </c>
      <c r="U48" s="77"/>
      <c r="W48" s="65">
        <v>0.6</v>
      </c>
      <c r="X48" s="66">
        <v>2</v>
      </c>
      <c r="Y48" s="58">
        <f>(((W48+(2*X48))*MATERIALES!$C$57)+((W48+(2*X48))*MATERIALES!$C$55)+(W48*MATERIALES!$C$59)+((((W48*2)+(X48*4))*MATERIALES!$C$73)*2)+((((W48/2)-0.2)*MATERIALES!$C$30)*(X48/0.12)))*MATERIALES!$F$2</f>
        <v>8723.7695999999996</v>
      </c>
      <c r="Z48" s="58">
        <f>(1*MATERIALES!$C$204)+(1*MATERIALES!$C$205)+(3*MATERIALES!$C$207)+(2*MATERIALES!$C$189)+(2*MATERIALES!$C$190)+(2*MATERIALES!$C$191)+(8*MATERIALES!$C$158)+(8*MATERIALES!$C$159)+((W48+(2*X48))*MATERIALES!$C$210)+((W48+(2*X48))*MATERIALES!$C$209)+(((W48*2)+(X48*2))*MATERIALES!$C$165)+(((W48*2)+(X48*2))*MATERIALES!$C$141)+(0.5*MATERIALES!$C$167)+(((((W48*2)+(X48*4))/0.1)*MATERIALES!$C$192)*2)+(2*MATERIALES!$C$187)+(((W48*5)*2)*MATERIALES!$C$147)+(4*MATERIALES!$C$148)</f>
        <v>5343.3827200000005</v>
      </c>
      <c r="AA48" s="58">
        <f>(0.5*MATERIALES!$D$254)</f>
        <v>557</v>
      </c>
      <c r="AB48" s="54">
        <f>((W48/2)*X48)*MATERIALES!$D$82</f>
        <v>318</v>
      </c>
      <c r="AC48" s="58">
        <f>SUM(Y48:AB48)</f>
        <v>14942.152320000001</v>
      </c>
      <c r="AD48" s="67">
        <f>(SUM(Y48:AA48)*1.3)+(AB48*2)</f>
        <v>19647.398016000003</v>
      </c>
      <c r="AK48" s="291"/>
      <c r="AM48" s="293"/>
      <c r="AO48" s="295"/>
      <c r="AP48" s="317"/>
      <c r="AQ48" s="293"/>
      <c r="AR48" s="318"/>
      <c r="AS48" s="318"/>
      <c r="AT48" s="303"/>
      <c r="AU48" s="292"/>
      <c r="AV48" s="291"/>
    </row>
    <row r="49" spans="1:48" ht="15" customHeight="1">
      <c r="A49" s="161">
        <v>0.7</v>
      </c>
      <c r="B49" s="162">
        <v>2</v>
      </c>
      <c r="C49" s="75">
        <f>((((A49+(2*B49))*MATERIALES!$C$57)+((A49+(2*B49))*MATERIALES!$C$55)+(A49*MATERIALES!$C$59)+((((A49*2)+(B49*4))*MATERIALES!$C$73)*2))*(MATERIALES!$F$2*MATERIALES!$J$15))+(1*MATERIALES!$D$243)</f>
        <v>3927.27</v>
      </c>
      <c r="D49" s="75">
        <f>(1*MATERIALES!$C$204)+(1*MATERIALES!$C$205)+(3*MATERIALES!$C$207)+(2*MATERIALES!$C$189)+(2*MATERIALES!$C$190)+(2*MATERIALES!$C$191)+(8*MATERIALES!$C$158)+(8*MATERIALES!$C$159)+((A49+(2*B49))*MATERIALES!$C$210)+((A49+(2*B49))*MATERIALES!$C$209)+(((A49*2)+(B49*2))*MATERIALES!$C$165)+(((A49*2)+(B49*2))*MATERIALES!$C$141)+(0.5*MATERIALES!$C$167)+(((((A49*2)+(B49*4))/0.1)*MATERIALES!$C$192)*2)+(2*MATERIALES!$C$187)+(((A49*5)*2)*MATERIALES!$C$147)+(4*MATERIALES!$C$148)</f>
        <v>5366.5570399999988</v>
      </c>
      <c r="E49" s="75"/>
      <c r="F49" s="112">
        <f>((A49/2)*B49)*MATERIALES!$D$82</f>
        <v>371</v>
      </c>
      <c r="G49" s="75">
        <f t="shared" ref="G49:G55" si="12">SUM(C49:F49)</f>
        <v>9664.8270399999983</v>
      </c>
      <c r="H49" s="163">
        <f t="shared" ref="H49:H55" si="13">(SUM(C49:E49)*1.3)+(F49*2)</f>
        <v>12823.975151999999</v>
      </c>
      <c r="I49" s="77"/>
      <c r="K49" s="77"/>
      <c r="L49" s="77"/>
      <c r="M49" s="68">
        <v>0.7</v>
      </c>
      <c r="N49" s="69">
        <v>2</v>
      </c>
      <c r="O49" s="59">
        <f>(((M49+(2*N49))*MATERIALES!$C$57)+((M49+(2*N49))*MATERIALES!$C$55)+(M49*MATERIALES!$C$59)+((((M49*2)+(N49*2))*MATERIALES!$C$73)*2))*(MATERIALES!$F$2*MATERIALES!$J$15)</f>
        <v>0</v>
      </c>
      <c r="P49" s="59">
        <f>(1*MATERIALES!$C$204)+(1*MATERIALES!$C$205)+(3*MATERIALES!$C$207)+(2*MATERIALES!$C$189)+(2*MATERIALES!$C$190)+(2*MATERIALES!$C$191)+(4*MATERIALES!$C$158)+(4*MATERIALES!$C$159)+((M49+(2*N49))*MATERIALES!$C$210)+((M49+(2*N49))*MATERIALES!$C$209)+(((M49*2)+(N49*2))*MATERIALES!$C$165)+(0.5*MATERIALES!$C$167)+(((((M49*2)+(N49*2))/0.1)*MATERIALES!$C$192)*2)+(2*MATERIALES!$C$187)+(((M49*5)*2)*MATERIALES!$C$147)+(4*MATERIALES!$C$148)</f>
        <v>5016.2767199999989</v>
      </c>
      <c r="Q49" s="75"/>
      <c r="R49" s="55">
        <f>(1*MATERIALES!$D$243)</f>
        <v>3927.27</v>
      </c>
      <c r="S49" s="59">
        <f t="shared" ref="S49:S55" si="14">SUM(O49:R49)</f>
        <v>8943.5467199999985</v>
      </c>
      <c r="T49" s="70">
        <f t="shared" ref="T49:T55" si="15">(SUM(O49:R49)*1.3)</f>
        <v>11626.610735999999</v>
      </c>
      <c r="U49" s="77"/>
      <c r="W49" s="68">
        <v>0.7</v>
      </c>
      <c r="X49" s="69">
        <v>2</v>
      </c>
      <c r="Y49" s="59">
        <f>(((W49+(2*X49))*MATERIALES!$C$57)+((W49+(2*X49))*MATERIALES!$C$55)+(W49*MATERIALES!$C$59)+((((W49*2)+(X49*4))*MATERIALES!$C$73)*2)+((((W49/2)-0.2)*MATERIALES!$C$30)*(X49/0.12)))*MATERIALES!$F$2</f>
        <v>9512.1935999999987</v>
      </c>
      <c r="Z49" s="59">
        <f>(1*MATERIALES!$C$204)+(1*MATERIALES!$C$205)+(3*MATERIALES!$C$207)+(2*MATERIALES!$C$189)+(2*MATERIALES!$C$190)+(2*MATERIALES!$C$191)+(8*MATERIALES!$C$158)+(8*MATERIALES!$C$159)+((W49+(2*X49))*MATERIALES!$C$210)+((W49+(2*X49))*MATERIALES!$C$209)+(((W49*2)+(X49*2))*MATERIALES!$C$165)+(((W49*2)+(X49*2))*MATERIALES!$C$141)+(0.5*MATERIALES!$C$167)+(((((W49*2)+(X49*4))/0.1)*MATERIALES!$C$192)*2)+(2*MATERIALES!$C$187)+(((W49*5)*2)*MATERIALES!$C$147)+(4*MATERIALES!$C$148)</f>
        <v>5366.5570399999988</v>
      </c>
      <c r="AA49" s="59">
        <f>(0.5*MATERIALES!$D$254)</f>
        <v>557</v>
      </c>
      <c r="AB49" s="55">
        <f>((W49/2)*X49)*MATERIALES!$D$82</f>
        <v>371</v>
      </c>
      <c r="AC49" s="59">
        <f t="shared" ref="AC49:AC55" si="16">SUM(Y49:AB49)</f>
        <v>15806.750639999998</v>
      </c>
      <c r="AD49" s="70">
        <f t="shared" ref="AD49:AD55" si="17">(SUM(Y49:AA49)*1.3)+(AB49*2)</f>
        <v>20808.475832</v>
      </c>
      <c r="AK49" s="319"/>
      <c r="AM49" s="309"/>
      <c r="AO49" s="307"/>
      <c r="AP49" s="317"/>
      <c r="AQ49" s="309"/>
      <c r="AR49" s="320"/>
      <c r="AS49" s="320"/>
      <c r="AT49" s="324"/>
      <c r="AU49" s="292"/>
      <c r="AV49" s="291"/>
    </row>
    <row r="50" spans="1:48" ht="15" customHeight="1">
      <c r="A50" s="161">
        <v>0.8</v>
      </c>
      <c r="B50" s="162">
        <v>2</v>
      </c>
      <c r="C50" s="75">
        <f>((((A50+(2*B50))*MATERIALES!$C$57)+((A50+(2*B50))*MATERIALES!$C$55)+(A50*MATERIALES!$C$59)+((((A50*2)+(B50*4))*MATERIALES!$C$73)*2))*(MATERIALES!$F$2*MATERIALES!$J$15))+(1*MATERIALES!$D$243)</f>
        <v>3927.27</v>
      </c>
      <c r="D50" s="75">
        <f>(1*MATERIALES!$C$204)+(1*MATERIALES!$C$205)+(3*MATERIALES!$C$207)+(2*MATERIALES!$C$189)+(2*MATERIALES!$C$190)+(2*MATERIALES!$C$191)+(8*MATERIALES!$C$158)+(8*MATERIALES!$C$159)+((A50+(2*B50))*MATERIALES!$C$210)+((A50+(2*B50))*MATERIALES!$C$209)+(((A50*2)+(B50*2))*MATERIALES!$C$165)+(((A50*2)+(B50*2))*MATERIALES!$C$141)+(0.5*MATERIALES!$C$167)+(((((A50*2)+(B50*4))/0.1)*MATERIALES!$C$192)*2)+(2*MATERIALES!$C$187)+(((A50*5)*2)*MATERIALES!$C$147)+(4*MATERIALES!$C$148)</f>
        <v>5389.7313600000016</v>
      </c>
      <c r="E50" s="75"/>
      <c r="F50" s="112">
        <f>((A50/2)*B50)*MATERIALES!$D$82</f>
        <v>424</v>
      </c>
      <c r="G50" s="75">
        <f t="shared" si="12"/>
        <v>9741.001360000002</v>
      </c>
      <c r="H50" s="163">
        <f t="shared" si="13"/>
        <v>12960.101768000002</v>
      </c>
      <c r="I50" s="77"/>
      <c r="K50" s="77"/>
      <c r="L50" s="77"/>
      <c r="M50" s="68">
        <v>0.8</v>
      </c>
      <c r="N50" s="69">
        <v>2</v>
      </c>
      <c r="O50" s="59">
        <f>(((M50+(2*N50))*MATERIALES!$C$57)+((M50+(2*N50))*MATERIALES!$C$55)+(M50*MATERIALES!$C$59)+((((M50*2)+(N50*2))*MATERIALES!$C$73)*2))*(MATERIALES!$F$2*MATERIALES!$J$15)</f>
        <v>0</v>
      </c>
      <c r="P50" s="59">
        <f>(1*MATERIALES!$C$204)+(1*MATERIALES!$C$205)+(3*MATERIALES!$C$207)+(2*MATERIALES!$C$189)+(2*MATERIALES!$C$190)+(2*MATERIALES!$C$191)+(4*MATERIALES!$C$158)+(4*MATERIALES!$C$159)+((M50+(2*N50))*MATERIALES!$C$210)+((M50+(2*N50))*MATERIALES!$C$209)+(((M50*2)+(N50*2))*MATERIALES!$C$165)+(0.5*MATERIALES!$C$167)+(((((M50*2)+(N50*2))/0.1)*MATERIALES!$C$192)*2)+(2*MATERIALES!$C$187)+(((M50*5)*2)*MATERIALES!$C$147)+(4*MATERIALES!$C$148)</f>
        <v>5035.1828800000003</v>
      </c>
      <c r="Q50" s="75"/>
      <c r="R50" s="55">
        <f>(1*MATERIALES!$D$243)</f>
        <v>3927.27</v>
      </c>
      <c r="S50" s="59">
        <f t="shared" si="14"/>
        <v>8962.4528800000007</v>
      </c>
      <c r="T50" s="70">
        <f t="shared" si="15"/>
        <v>11651.188744000001</v>
      </c>
      <c r="U50" s="77"/>
      <c r="W50" s="68">
        <v>0.8</v>
      </c>
      <c r="X50" s="69">
        <v>2</v>
      </c>
      <c r="Y50" s="59">
        <f>(((W50+(2*X50))*MATERIALES!$C$57)+((W50+(2*X50))*MATERIALES!$C$55)+(W50*MATERIALES!$C$59)+((((W50*2)+(X50*4))*MATERIALES!$C$73)*2)+((((W50/2)-0.2)*MATERIALES!$C$30)*(X50/0.12)))*MATERIALES!$F$2</f>
        <v>10300.617600000001</v>
      </c>
      <c r="Z50" s="59">
        <f>(1*MATERIALES!$C$204)+(1*MATERIALES!$C$205)+(3*MATERIALES!$C$207)+(2*MATERIALES!$C$189)+(2*MATERIALES!$C$190)+(2*MATERIALES!$C$191)+(8*MATERIALES!$C$158)+(8*MATERIALES!$C$159)+((W50+(2*X50))*MATERIALES!$C$210)+((W50+(2*X50))*MATERIALES!$C$209)+(((W50*2)+(X50*2))*MATERIALES!$C$165)+(((W50*2)+(X50*2))*MATERIALES!$C$141)+(0.5*MATERIALES!$C$167)+(((((W50*2)+(X50*4))/0.1)*MATERIALES!$C$192)*2)+(2*MATERIALES!$C$187)+(((W50*5)*2)*MATERIALES!$C$147)+(4*MATERIALES!$C$148)</f>
        <v>5389.7313600000016</v>
      </c>
      <c r="AA50" s="59">
        <f>(0.5*MATERIALES!$D$254)</f>
        <v>557</v>
      </c>
      <c r="AB50" s="55">
        <f>((W50/2)*X50)*MATERIALES!$D$82</f>
        <v>424</v>
      </c>
      <c r="AC50" s="59">
        <f t="shared" si="16"/>
        <v>16671.348960000003</v>
      </c>
      <c r="AD50" s="70">
        <f t="shared" si="17"/>
        <v>21969.553648000005</v>
      </c>
      <c r="AK50" s="319"/>
      <c r="AL50" s="311"/>
      <c r="AM50" s="309"/>
      <c r="AN50" s="311"/>
      <c r="AO50" s="307"/>
      <c r="AP50" s="317"/>
      <c r="AQ50" s="309"/>
      <c r="AR50" s="320"/>
      <c r="AS50" s="320"/>
      <c r="AT50" s="329"/>
      <c r="AU50" s="292"/>
    </row>
    <row r="51" spans="1:48" ht="15" customHeight="1">
      <c r="A51" s="161">
        <v>0.9</v>
      </c>
      <c r="B51" s="162">
        <v>2</v>
      </c>
      <c r="C51" s="75">
        <f>((((A51+(2*B51))*MATERIALES!$C$57)+((A51+(2*B51))*MATERIALES!$C$55)+(A51*MATERIALES!$C$59)+((((A51*2)+(B51*4))*MATERIALES!$C$73)*2))*(MATERIALES!$F$2*MATERIALES!$J$15))+(1*MATERIALES!$D$243)</f>
        <v>3927.27</v>
      </c>
      <c r="D51" s="75">
        <f>(1*MATERIALES!$C$204)+(1*MATERIALES!$C$205)+(3*MATERIALES!$C$207)+(2*MATERIALES!$C$189)+(2*MATERIALES!$C$190)+(2*MATERIALES!$C$191)+(8*MATERIALES!$C$158)+(8*MATERIALES!$C$159)+((A51+(2*B51))*MATERIALES!$C$210)+((A51+(2*B51))*MATERIALES!$C$209)+(((A51*2)+(B51*2))*MATERIALES!$C$165)+(((A51*2)+(B51*2))*MATERIALES!$C$141)+(0.5*MATERIALES!$C$167)+(((((A51*2)+(B51*4))/0.1)*MATERIALES!$C$192)*2)+(2*MATERIALES!$C$187)+(((A51*5)*2)*MATERIALES!$C$147)+(4*MATERIALES!$C$148)</f>
        <v>5412.9056800000008</v>
      </c>
      <c r="E51" s="75"/>
      <c r="F51" s="112">
        <f>((A51/2)*B51)*MATERIALES!$D$82</f>
        <v>477</v>
      </c>
      <c r="G51" s="75">
        <f t="shared" si="12"/>
        <v>9817.1756800000003</v>
      </c>
      <c r="H51" s="163">
        <f t="shared" si="13"/>
        <v>13096.228384</v>
      </c>
      <c r="I51" s="77"/>
      <c r="K51" s="77"/>
      <c r="L51" s="77"/>
      <c r="M51" s="68">
        <v>0.9</v>
      </c>
      <c r="N51" s="69">
        <v>2</v>
      </c>
      <c r="O51" s="59">
        <f>(((M51+(2*N51))*MATERIALES!$C$57)+((M51+(2*N51))*MATERIALES!$C$55)+(M51*MATERIALES!$C$59)+((((M51*2)+(N51*2))*MATERIALES!$C$73)*2))*(MATERIALES!$F$2*MATERIALES!$J$15)</f>
        <v>0</v>
      </c>
      <c r="P51" s="59">
        <f>(1*MATERIALES!$C$204)+(1*MATERIALES!$C$205)+(3*MATERIALES!$C$207)+(2*MATERIALES!$C$189)+(2*MATERIALES!$C$190)+(2*MATERIALES!$C$191)+(4*MATERIALES!$C$158)+(4*MATERIALES!$C$159)+((M51+(2*N51))*MATERIALES!$C$210)+((M51+(2*N51))*MATERIALES!$C$209)+(((M51*2)+(N51*2))*MATERIALES!$C$165)+(0.5*MATERIALES!$C$167)+(((((M51*2)+(N51*2))/0.1)*MATERIALES!$C$192)*2)+(2*MATERIALES!$C$187)+(((M51*5)*2)*MATERIALES!$C$147)+(4*MATERIALES!$C$148)</f>
        <v>5054.0890399999998</v>
      </c>
      <c r="Q51" s="75"/>
      <c r="R51" s="55">
        <f>(1*MATERIALES!$D$243)</f>
        <v>3927.27</v>
      </c>
      <c r="S51" s="59">
        <f t="shared" si="14"/>
        <v>8981.3590399999994</v>
      </c>
      <c r="T51" s="70">
        <f t="shared" si="15"/>
        <v>11675.766752</v>
      </c>
      <c r="U51" s="77"/>
      <c r="W51" s="68">
        <v>0.9</v>
      </c>
      <c r="X51" s="69">
        <v>2</v>
      </c>
      <c r="Y51" s="59">
        <f>(((W51+(2*X51))*MATERIALES!$C$57)+((W51+(2*X51))*MATERIALES!$C$55)+(W51*MATERIALES!$C$59)+((((W51*2)+(X51*4))*MATERIALES!$C$73)*2)+((((W51/2)-0.2)*MATERIALES!$C$30)*(X51/0.12)))*MATERIALES!$F$2</f>
        <v>11089.0416</v>
      </c>
      <c r="Z51" s="59">
        <f>(1*MATERIALES!$C$204)+(1*MATERIALES!$C$205)+(3*MATERIALES!$C$207)+(2*MATERIALES!$C$189)+(2*MATERIALES!$C$190)+(2*MATERIALES!$C$191)+(8*MATERIALES!$C$158)+(8*MATERIALES!$C$159)+((W51+(2*X51))*MATERIALES!$C$210)+((W51+(2*X51))*MATERIALES!$C$209)+(((W51*2)+(X51*2))*MATERIALES!$C$165)+(((W51*2)+(X51*2))*MATERIALES!$C$141)+(0.5*MATERIALES!$C$167)+(((((W51*2)+(X51*4))/0.1)*MATERIALES!$C$192)*2)+(2*MATERIALES!$C$187)+(((W51*5)*2)*MATERIALES!$C$147)+(4*MATERIALES!$C$148)</f>
        <v>5412.9056800000008</v>
      </c>
      <c r="AA51" s="59">
        <f>(0.5*MATERIALES!$D$254)</f>
        <v>557</v>
      </c>
      <c r="AB51" s="55">
        <f>((W51/2)*X51)*MATERIALES!$D$82</f>
        <v>477</v>
      </c>
      <c r="AC51" s="59">
        <f t="shared" si="16"/>
        <v>17535.94728</v>
      </c>
      <c r="AD51" s="70">
        <f t="shared" si="17"/>
        <v>23130.631464000002</v>
      </c>
      <c r="AL51" s="296"/>
      <c r="AM51" s="293"/>
      <c r="AN51" s="297"/>
      <c r="AO51" s="295"/>
      <c r="AP51" s="317"/>
      <c r="AQ51" s="293"/>
      <c r="AR51" s="316"/>
      <c r="AS51" s="316"/>
      <c r="AT51" s="292"/>
      <c r="AU51" s="292"/>
    </row>
    <row r="52" spans="1:48" ht="15.75" customHeight="1">
      <c r="A52" s="161">
        <v>0.6</v>
      </c>
      <c r="B52" s="162">
        <v>2.1</v>
      </c>
      <c r="C52" s="75">
        <f>((((A52+(2*B52))*MATERIALES!$C$57)+((A52+(2*B52))*MATERIALES!$C$55)+(A52*MATERIALES!$C$59)+((((A52*2)+(B52*4))*MATERIALES!$C$73)*2))*(MATERIALES!$F$2*MATERIALES!$J$15))+(1*MATERIALES!$D$243)</f>
        <v>3927.27</v>
      </c>
      <c r="D52" s="75">
        <f>(1*MATERIALES!$C$204)+(1*MATERIALES!$C$205)+(3*MATERIALES!$C$207)+(2*MATERIALES!$C$189)+(2*MATERIALES!$C$190)+(2*MATERIALES!$C$191)+(8*MATERIALES!$C$158)+(8*MATERIALES!$C$159)+((A52+(2*B52))*MATERIALES!$C$210)+((A52+(2*B52))*MATERIALES!$C$209)+(((A52*2)+(B52*2))*MATERIALES!$C$165)+(((A52*2)+(B52*2))*MATERIALES!$C$141)+(0.5*MATERIALES!$C$167)+(((((A52*2)+(B52*4))/0.1)*MATERIALES!$C$192)*2)+(2*MATERIALES!$C$187)+(((A52*5)*2)*MATERIALES!$C$147)+(4*MATERIALES!$C$148)</f>
        <v>5381.1950400000005</v>
      </c>
      <c r="E52" s="75"/>
      <c r="F52" s="112">
        <f>((A52/2)*B52)*MATERIALES!$D$82</f>
        <v>333.9</v>
      </c>
      <c r="G52" s="75">
        <f t="shared" si="12"/>
        <v>9642.3650400000006</v>
      </c>
      <c r="H52" s="163">
        <f t="shared" si="13"/>
        <v>12768.804552000001</v>
      </c>
      <c r="I52" s="77"/>
      <c r="K52" s="77"/>
      <c r="L52" s="77"/>
      <c r="M52" s="68">
        <v>0.6</v>
      </c>
      <c r="N52" s="69">
        <v>2.1</v>
      </c>
      <c r="O52" s="59">
        <f>(((M52+(2*N52))*MATERIALES!$C$57)+((M52+(2*N52))*MATERIALES!$C$55)+(M52*MATERIALES!$C$59)+((((M52*2)+(N52*2))*MATERIALES!$C$73)*2))*(MATERIALES!$F$2*MATERIALES!$J$15)</f>
        <v>0</v>
      </c>
      <c r="P52" s="59">
        <f>(1*MATERIALES!$C$204)+(1*MATERIALES!$C$205)+(3*MATERIALES!$C$207)+(2*MATERIALES!$C$189)+(2*MATERIALES!$C$190)+(2*MATERIALES!$C$191)+(4*MATERIALES!$C$158)+(4*MATERIALES!$C$159)+((M52+(2*N52))*MATERIALES!$C$210)+((M52+(2*N52))*MATERIALES!$C$209)+(((M52*2)+(N52*2))*MATERIALES!$C$165)+(0.5*MATERIALES!$C$167)+(((((M52*2)+(N52*2))/0.1)*MATERIALES!$C$192)*2)+(2*MATERIALES!$C$187)+(((M52*5)*2)*MATERIALES!$C$147)+(4*MATERIALES!$C$148)</f>
        <v>5022.1787199999999</v>
      </c>
      <c r="Q52" s="75"/>
      <c r="R52" s="55">
        <f>(1*MATERIALES!$D$243)</f>
        <v>3927.27</v>
      </c>
      <c r="S52" s="59">
        <f t="shared" si="14"/>
        <v>8949.4487200000003</v>
      </c>
      <c r="T52" s="70">
        <f t="shared" si="15"/>
        <v>11634.283336</v>
      </c>
      <c r="U52" s="77"/>
      <c r="W52" s="68">
        <v>0.6</v>
      </c>
      <c r="X52" s="69">
        <v>2.1</v>
      </c>
      <c r="Y52" s="59">
        <f>(((W52+(2*X52))*MATERIALES!$C$57)+((W52+(2*X52))*MATERIALES!$C$55)+(W52*MATERIALES!$C$59)+((((W52*2)+(X52*4))*MATERIALES!$C$73)*2)+((((W52/2)-0.2)*MATERIALES!$C$30)*(X52/0.12)))*MATERIALES!$F$2</f>
        <v>9085.2652799999996</v>
      </c>
      <c r="Z52" s="59">
        <f>(1*MATERIALES!$C$204)+(1*MATERIALES!$C$205)+(3*MATERIALES!$C$207)+(2*MATERIALES!$C$189)+(2*MATERIALES!$C$190)+(2*MATERIALES!$C$191)+(8*MATERIALES!$C$158)+(8*MATERIALES!$C$159)+((W52+(2*X52))*MATERIALES!$C$210)+((W52+(2*X52))*MATERIALES!$C$209)+(((W52*2)+(X52*2))*MATERIALES!$C$165)+(((W52*2)+(X52*2))*MATERIALES!$C$141)+(0.5*MATERIALES!$C$167)+(((((W52*2)+(X52*4))/0.1)*MATERIALES!$C$192)*2)+(2*MATERIALES!$C$187)+(((W52*5)*2)*MATERIALES!$C$147)+(4*MATERIALES!$C$148)</f>
        <v>5381.1950400000005</v>
      </c>
      <c r="AA52" s="59">
        <f>(0.5*MATERIALES!$D$254)</f>
        <v>557</v>
      </c>
      <c r="AB52" s="55">
        <f>((W52/2)*X52)*MATERIALES!$D$82</f>
        <v>333.9</v>
      </c>
      <c r="AC52" s="59">
        <f t="shared" si="16"/>
        <v>15357.36032</v>
      </c>
      <c r="AD52" s="70">
        <f t="shared" si="17"/>
        <v>20198.298416000001</v>
      </c>
      <c r="AL52" s="287"/>
      <c r="AM52" s="293"/>
      <c r="AN52" s="290"/>
      <c r="AO52" s="295"/>
      <c r="AP52" s="317"/>
      <c r="AQ52" s="293"/>
      <c r="AR52" s="316"/>
      <c r="AS52" s="316"/>
      <c r="AT52" s="292"/>
      <c r="AU52" s="4"/>
    </row>
    <row r="53" spans="1:48" ht="15.75" customHeight="1">
      <c r="A53" s="161">
        <v>0.7</v>
      </c>
      <c r="B53" s="162">
        <v>2.1</v>
      </c>
      <c r="C53" s="75">
        <f>((((A53+(2*B53))*MATERIALES!$C$57)+((A53+(2*B53))*MATERIALES!$C$55)+(A53*MATERIALES!$C$59)+((((A53*2)+(B53*4))*MATERIALES!$C$73)*2))*(MATERIALES!$F$2*MATERIALES!$J$15))+(1*MATERIALES!$D$243)</f>
        <v>3927.27</v>
      </c>
      <c r="D53" s="75">
        <f>(1*MATERIALES!$C$204)+(1*MATERIALES!$C$205)+(3*MATERIALES!$C$207)+(2*MATERIALES!$C$189)+(2*MATERIALES!$C$190)+(2*MATERIALES!$C$191)+(8*MATERIALES!$C$158)+(8*MATERIALES!$C$159)+((A53+(2*B53))*MATERIALES!$C$210)+((A53+(2*B53))*MATERIALES!$C$209)+(((A53*2)+(B53*2))*MATERIALES!$C$165)+(((A53*2)+(B53*2))*MATERIALES!$C$141)+(0.5*MATERIALES!$C$167)+(((((A53*2)+(B53*4))/0.1)*MATERIALES!$C$192)*2)+(2*MATERIALES!$C$187)+(((A53*5)*2)*MATERIALES!$C$147)+(4*MATERIALES!$C$148)</f>
        <v>5404.3693600000015</v>
      </c>
      <c r="E53" s="75"/>
      <c r="F53" s="112">
        <f>((A53/2)*B53)*MATERIALES!$D$82</f>
        <v>389.55</v>
      </c>
      <c r="G53" s="75">
        <f t="shared" si="12"/>
        <v>9721.1893600000003</v>
      </c>
      <c r="H53" s="163">
        <f t="shared" si="13"/>
        <v>12910.231168000002</v>
      </c>
      <c r="I53" s="77"/>
      <c r="K53" s="77"/>
      <c r="L53" s="77"/>
      <c r="M53" s="68">
        <v>0.7</v>
      </c>
      <c r="N53" s="69">
        <v>2.1</v>
      </c>
      <c r="O53" s="59">
        <f>(((M53+(2*N53))*MATERIALES!$C$57)+((M53+(2*N53))*MATERIALES!$C$55)+(M53*MATERIALES!$C$59)+((((M53*2)+(N53*2))*MATERIALES!$C$73)*2))*(MATERIALES!$F$2*MATERIALES!$J$15)</f>
        <v>0</v>
      </c>
      <c r="P53" s="59">
        <f>(1*MATERIALES!$C$204)+(1*MATERIALES!$C$205)+(3*MATERIALES!$C$207)+(2*MATERIALES!$C$189)+(2*MATERIALES!$C$190)+(2*MATERIALES!$C$191)+(4*MATERIALES!$C$158)+(4*MATERIALES!$C$159)+((M53+(2*N53))*MATERIALES!$C$210)+((M53+(2*N53))*MATERIALES!$C$209)+(((M53*2)+(N53*2))*MATERIALES!$C$165)+(0.5*MATERIALES!$C$167)+(((((M53*2)+(N53*2))/0.1)*MATERIALES!$C$192)*2)+(2*MATERIALES!$C$187)+(((M53*5)*2)*MATERIALES!$C$147)+(4*MATERIALES!$C$148)</f>
        <v>5041.0848800000003</v>
      </c>
      <c r="Q53" s="75"/>
      <c r="R53" s="55">
        <f>(1*MATERIALES!$D$243)</f>
        <v>3927.27</v>
      </c>
      <c r="S53" s="59">
        <f t="shared" si="14"/>
        <v>8968.3548800000008</v>
      </c>
      <c r="T53" s="70">
        <f t="shared" si="15"/>
        <v>11658.861344000001</v>
      </c>
      <c r="U53" s="77"/>
      <c r="W53" s="68">
        <v>0.7</v>
      </c>
      <c r="X53" s="69">
        <v>2.1</v>
      </c>
      <c r="Y53" s="59">
        <f>(((W53+(2*X53))*MATERIALES!$C$57)+((W53+(2*X53))*MATERIALES!$C$55)+(W53*MATERIALES!$C$59)+((((W53*2)+(X53*4))*MATERIALES!$C$73)*2)+((((W53/2)-0.2)*MATERIALES!$C$30)*(X53/0.12)))*MATERIALES!$F$2</f>
        <v>9900.6616799999993</v>
      </c>
      <c r="Z53" s="59">
        <f>(1*MATERIALES!$C$204)+(1*MATERIALES!$C$205)+(3*MATERIALES!$C$207)+(2*MATERIALES!$C$189)+(2*MATERIALES!$C$190)+(2*MATERIALES!$C$191)+(8*MATERIALES!$C$158)+(8*MATERIALES!$C$159)+((W53+(2*X53))*MATERIALES!$C$210)+((W53+(2*X53))*MATERIALES!$C$209)+(((W53*2)+(X53*2))*MATERIALES!$C$165)+(((W53*2)+(X53*2))*MATERIALES!$C$141)+(0.5*MATERIALES!$C$167)+(((((W53*2)+(X53*4))/0.1)*MATERIALES!$C$192)*2)+(2*MATERIALES!$C$187)+(((W53*5)*2)*MATERIALES!$C$147)+(4*MATERIALES!$C$148)</f>
        <v>5404.3693600000015</v>
      </c>
      <c r="AA53" s="59">
        <f>(0.5*MATERIALES!$D$254)</f>
        <v>557</v>
      </c>
      <c r="AB53" s="55">
        <f>((W53/2)*X53)*MATERIALES!$D$82</f>
        <v>389.55</v>
      </c>
      <c r="AC53" s="59">
        <f t="shared" si="16"/>
        <v>16251.581040000001</v>
      </c>
      <c r="AD53" s="70">
        <f t="shared" si="17"/>
        <v>21399.740352000001</v>
      </c>
      <c r="AL53" s="296"/>
      <c r="AM53" s="298"/>
      <c r="AN53" s="297"/>
      <c r="AO53" s="295"/>
      <c r="AP53" s="317"/>
      <c r="AQ53" s="298"/>
      <c r="AR53" s="4"/>
      <c r="AS53" s="4"/>
      <c r="AT53" s="292"/>
      <c r="AU53" s="4"/>
    </row>
    <row r="54" spans="1:48" ht="15.75" customHeight="1">
      <c r="A54" s="161">
        <v>0.8</v>
      </c>
      <c r="B54" s="162">
        <v>2.1</v>
      </c>
      <c r="C54" s="75">
        <f>((((A54+(2*B54))*MATERIALES!$C$57)+((A54+(2*B54))*MATERIALES!$C$55)+(A54*MATERIALES!$C$59)+((((A54*2)+(B54*4))*MATERIALES!$C$73)*2))*(MATERIALES!$F$2*MATERIALES!$J$15))+(1*MATERIALES!$D$243)</f>
        <v>3927.27</v>
      </c>
      <c r="D54" s="75">
        <f>(1*MATERIALES!$C$204)+(1*MATERIALES!$C$205)+(3*MATERIALES!$C$207)+(2*MATERIALES!$C$189)+(2*MATERIALES!$C$190)+(2*MATERIALES!$C$191)+(8*MATERIALES!$C$158)+(8*MATERIALES!$C$159)+((A54+(2*B54))*MATERIALES!$C$210)+((A54+(2*B54))*MATERIALES!$C$209)+(((A54*2)+(B54*2))*MATERIALES!$C$165)+(((A54*2)+(B54*2))*MATERIALES!$C$141)+(0.5*MATERIALES!$C$167)+(((((A54*2)+(B54*4))/0.1)*MATERIALES!$C$192)*2)+(2*MATERIALES!$C$187)+(((A54*5)*2)*MATERIALES!$C$147)+(4*MATERIALES!$C$148)</f>
        <v>5427.5436800000007</v>
      </c>
      <c r="E54" s="75"/>
      <c r="F54" s="112">
        <f>((A54/2)*B54)*MATERIALES!$D$82</f>
        <v>445.20000000000005</v>
      </c>
      <c r="G54" s="75">
        <f t="shared" si="12"/>
        <v>9800.0136800000018</v>
      </c>
      <c r="H54" s="163">
        <f t="shared" si="13"/>
        <v>13051.657784000001</v>
      </c>
      <c r="I54" s="77"/>
      <c r="K54" s="77"/>
      <c r="L54" s="77"/>
      <c r="M54" s="68">
        <v>0.8</v>
      </c>
      <c r="N54" s="69">
        <v>2.1</v>
      </c>
      <c r="O54" s="59">
        <f>(((M54+(2*N54))*MATERIALES!$C$57)+((M54+(2*N54))*MATERIALES!$C$55)+(M54*MATERIALES!$C$59)+((((M54*2)+(N54*2))*MATERIALES!$C$73)*2))*(MATERIALES!$F$2*MATERIALES!$J$15)</f>
        <v>0</v>
      </c>
      <c r="P54" s="59">
        <f>(1*MATERIALES!$C$204)+(1*MATERIALES!$C$205)+(3*MATERIALES!$C$207)+(2*MATERIALES!$C$189)+(2*MATERIALES!$C$190)+(2*MATERIALES!$C$191)+(4*MATERIALES!$C$158)+(4*MATERIALES!$C$159)+((M54+(2*N54))*MATERIALES!$C$210)+((M54+(2*N54))*MATERIALES!$C$209)+(((M54*2)+(N54*2))*MATERIALES!$C$165)+(0.5*MATERIALES!$C$167)+(((((M54*2)+(N54*2))/0.1)*MATERIALES!$C$192)*2)+(2*MATERIALES!$C$187)+(((M54*5)*2)*MATERIALES!$C$147)+(4*MATERIALES!$C$148)</f>
        <v>5059.9910399999999</v>
      </c>
      <c r="Q54" s="75"/>
      <c r="R54" s="55">
        <f>(1*MATERIALES!$D$243)</f>
        <v>3927.27</v>
      </c>
      <c r="S54" s="59">
        <f t="shared" si="14"/>
        <v>8987.2610399999994</v>
      </c>
      <c r="T54" s="70">
        <f t="shared" si="15"/>
        <v>11683.439351999999</v>
      </c>
      <c r="U54" s="77"/>
      <c r="W54" s="68">
        <v>0.8</v>
      </c>
      <c r="X54" s="69">
        <v>2.1</v>
      </c>
      <c r="Y54" s="59">
        <f>(((W54+(2*X54))*MATERIALES!$C$57)+((W54+(2*X54))*MATERIALES!$C$55)+(W54*MATERIALES!$C$59)+((((W54*2)+(X54*4))*MATERIALES!$C$73)*2)+((((W54/2)-0.2)*MATERIALES!$C$30)*(X54/0.12)))*MATERIALES!$F$2</f>
        <v>10716.058080000003</v>
      </c>
      <c r="Z54" s="59">
        <f>(1*MATERIALES!$C$204)+(1*MATERIALES!$C$205)+(3*MATERIALES!$C$207)+(2*MATERIALES!$C$189)+(2*MATERIALES!$C$190)+(2*MATERIALES!$C$191)+(8*MATERIALES!$C$158)+(8*MATERIALES!$C$159)+((W54+(2*X54))*MATERIALES!$C$210)+((W54+(2*X54))*MATERIALES!$C$209)+(((W54*2)+(X54*2))*MATERIALES!$C$165)+(((W54*2)+(X54*2))*MATERIALES!$C$141)+(0.5*MATERIALES!$C$167)+(((((W54*2)+(X54*4))/0.1)*MATERIALES!$C$192)*2)+(2*MATERIALES!$C$187)+(((W54*5)*2)*MATERIALES!$C$147)+(4*MATERIALES!$C$148)</f>
        <v>5427.5436800000007</v>
      </c>
      <c r="AA54" s="59">
        <f>(0.5*MATERIALES!$D$254)</f>
        <v>557</v>
      </c>
      <c r="AB54" s="55">
        <f>((W54/2)*X54)*MATERIALES!$D$82</f>
        <v>445.20000000000005</v>
      </c>
      <c r="AC54" s="59">
        <f t="shared" si="16"/>
        <v>17145.801760000006</v>
      </c>
      <c r="AD54" s="70">
        <f t="shared" si="17"/>
        <v>22601.182288000007</v>
      </c>
      <c r="AM54" s="298"/>
      <c r="AO54" s="295"/>
      <c r="AP54" s="317"/>
      <c r="AQ54" s="298"/>
      <c r="AR54" s="4"/>
      <c r="AS54" s="4"/>
      <c r="AT54" s="292"/>
      <c r="AU54" s="4"/>
    </row>
    <row r="55" spans="1:48" ht="15.75" thickBot="1">
      <c r="A55" s="164">
        <v>0.9</v>
      </c>
      <c r="B55" s="165">
        <v>2.1</v>
      </c>
      <c r="C55" s="76">
        <f>((((A55+(2*B55))*MATERIALES!$C$57)+((A55+(2*B55))*MATERIALES!$C$55)+(A55*MATERIALES!$C$59)+((((A55*2)+(B55*4))*MATERIALES!$C$73)*2))*(MATERIALES!$F$2*MATERIALES!$J$15))+(1*MATERIALES!$D$243)</f>
        <v>3927.27</v>
      </c>
      <c r="D55" s="76">
        <f>(1*MATERIALES!$C$204)+(1*MATERIALES!$C$205)+(3*MATERIALES!$C$207)+(2*MATERIALES!$C$189)+(2*MATERIALES!$C$190)+(2*MATERIALES!$C$191)+(8*MATERIALES!$C$158)+(8*MATERIALES!$C$159)+((A55+(2*B55))*MATERIALES!$C$210)+((A55+(2*B55))*MATERIALES!$C$209)+(((A55*2)+(B55*2))*MATERIALES!$C$165)+(((A55*2)+(B55*2))*MATERIALES!$C$141)+(0.5*MATERIALES!$C$167)+(((((A55*2)+(B55*4))/0.1)*MATERIALES!$C$192)*2)+(2*MATERIALES!$C$187)+(((A55*5)*2)*MATERIALES!$C$147)+(4*MATERIALES!$C$148)</f>
        <v>5450.7179999999989</v>
      </c>
      <c r="E55" s="76"/>
      <c r="F55" s="113">
        <f>((A55/2)*B55)*MATERIALES!$D$82</f>
        <v>500.85</v>
      </c>
      <c r="G55" s="76">
        <f t="shared" si="12"/>
        <v>9878.8379999999997</v>
      </c>
      <c r="H55" s="166">
        <f t="shared" si="13"/>
        <v>13193.0844</v>
      </c>
      <c r="I55" s="77"/>
      <c r="K55" s="77"/>
      <c r="L55" s="77"/>
      <c r="M55" s="71">
        <v>0.9</v>
      </c>
      <c r="N55" s="72">
        <v>2.1</v>
      </c>
      <c r="O55" s="60">
        <f>(((M55+(2*N55))*MATERIALES!$C$57)+((M55+(2*N55))*MATERIALES!$C$55)+(M55*MATERIALES!$C$59)+((((M55*2)+(N55*2))*MATERIALES!$C$73)*2))*(MATERIALES!$F$2*MATERIALES!$J$15)</f>
        <v>0</v>
      </c>
      <c r="P55" s="60">
        <f>(1*MATERIALES!$C$204)+(1*MATERIALES!$C$205)+(3*MATERIALES!$C$207)+(2*MATERIALES!$C$189)+(2*MATERIALES!$C$190)+(2*MATERIALES!$C$191)+(4*MATERIALES!$C$158)+(4*MATERIALES!$C$159)+((M55+(2*N55))*MATERIALES!$C$210)+((M55+(2*N55))*MATERIALES!$C$209)+(((M55*2)+(N55*2))*MATERIALES!$C$165)+(0.5*MATERIALES!$C$167)+(((((M55*2)+(N55*2))/0.1)*MATERIALES!$C$192)*2)+(2*MATERIALES!$C$187)+(((M55*5)*2)*MATERIALES!$C$147)+(4*MATERIALES!$C$148)</f>
        <v>5078.8971999999985</v>
      </c>
      <c r="Q55" s="76"/>
      <c r="R55" s="56">
        <f>(1*MATERIALES!$D$243)</f>
        <v>3927.27</v>
      </c>
      <c r="S55" s="60">
        <f t="shared" si="14"/>
        <v>9006.167199999998</v>
      </c>
      <c r="T55" s="73">
        <f t="shared" si="15"/>
        <v>11708.017359999998</v>
      </c>
      <c r="U55" s="77"/>
      <c r="W55" s="71">
        <v>0.9</v>
      </c>
      <c r="X55" s="72">
        <v>2.1</v>
      </c>
      <c r="Y55" s="60">
        <f>(((W55+(2*X55))*MATERIALES!$C$57)+((W55+(2*X55))*MATERIALES!$C$55)+(W55*MATERIALES!$C$59)+((((W55*2)+(X55*4))*MATERIALES!$C$73)*2)+((((W55/2)-0.2)*MATERIALES!$C$30)*(X55/0.12)))*MATERIALES!$F$2</f>
        <v>11531.45448</v>
      </c>
      <c r="Z55" s="60">
        <f>(1*MATERIALES!$C$204)+(1*MATERIALES!$C$205)+(3*MATERIALES!$C$207)+(2*MATERIALES!$C$189)+(2*MATERIALES!$C$190)+(2*MATERIALES!$C$191)+(8*MATERIALES!$C$158)+(8*MATERIALES!$C$159)+((W55+(2*X55))*MATERIALES!$C$210)+((W55+(2*X55))*MATERIALES!$C$209)+(((W55*2)+(X55*2))*MATERIALES!$C$165)+(((W55*2)+(X55*2))*MATERIALES!$C$141)+(0.5*MATERIALES!$C$167)+(((((W55*2)+(X55*4))/0.1)*MATERIALES!$C$192)*2)+(2*MATERIALES!$C$187)+(((W55*5)*2)*MATERIALES!$C$147)+(4*MATERIALES!$C$148)</f>
        <v>5450.7179999999989</v>
      </c>
      <c r="AA55" s="60">
        <f>(0.5*MATERIALES!$D$254)</f>
        <v>557</v>
      </c>
      <c r="AB55" s="56">
        <f>((W55/2)*X55)*MATERIALES!$D$82</f>
        <v>500.85</v>
      </c>
      <c r="AC55" s="60">
        <f t="shared" si="16"/>
        <v>18040.02248</v>
      </c>
      <c r="AD55" s="73">
        <f t="shared" si="17"/>
        <v>23802.624224000003</v>
      </c>
      <c r="AM55" s="32"/>
      <c r="AO55" s="321"/>
      <c r="AQ55" s="32"/>
      <c r="AR55" s="4"/>
      <c r="AS55" s="4"/>
      <c r="AT55" s="4"/>
      <c r="AU55" s="4"/>
    </row>
    <row r="56" spans="1:48" ht="15" customHeight="1">
      <c r="U56" s="77"/>
      <c r="AQ56" s="322"/>
      <c r="AR56" s="323"/>
      <c r="AS56" s="323"/>
      <c r="AT56" s="4"/>
    </row>
    <row r="57" spans="1:48" ht="15.75" customHeight="1" thickBot="1">
      <c r="AK57" s="324"/>
      <c r="AL57" s="304"/>
      <c r="AM57" s="325"/>
      <c r="AN57" s="313"/>
      <c r="AO57" s="326"/>
      <c r="AP57" s="4"/>
      <c r="AQ57" s="327"/>
      <c r="AR57" s="324"/>
      <c r="AS57" s="324"/>
      <c r="AT57" s="4"/>
    </row>
    <row r="58" spans="1:48" ht="15.75" customHeight="1" thickBot="1">
      <c r="A58" s="32"/>
      <c r="B58" s="32"/>
      <c r="C58" s="801">
        <v>0.3</v>
      </c>
      <c r="D58" s="802"/>
      <c r="E58" s="803"/>
      <c r="F58" s="61">
        <v>1</v>
      </c>
      <c r="G58" s="32"/>
      <c r="H58" s="46" t="s">
        <v>163</v>
      </c>
      <c r="M58" s="32"/>
      <c r="N58" s="32"/>
      <c r="O58" s="801">
        <v>0.3</v>
      </c>
      <c r="P58" s="802"/>
      <c r="Q58" s="803"/>
      <c r="R58" s="61">
        <v>1</v>
      </c>
      <c r="S58" s="32"/>
      <c r="T58" s="46" t="s">
        <v>163</v>
      </c>
      <c r="AI58" s="1"/>
      <c r="AJ58" s="602">
        <f>+T120</f>
        <v>7655.7445279999993</v>
      </c>
      <c r="AK58" s="489"/>
      <c r="AL58" s="602">
        <f>+H120</f>
        <v>7348.4841760000008</v>
      </c>
      <c r="AM58" s="489"/>
      <c r="AN58" s="602">
        <f>+T50</f>
        <v>11651.188744000001</v>
      </c>
      <c r="AO58" s="12"/>
      <c r="AP58" s="294"/>
      <c r="AQ58" s="267"/>
      <c r="AR58" s="485"/>
      <c r="AS58" s="328"/>
      <c r="AT58" s="475" t="s">
        <v>702</v>
      </c>
    </row>
    <row r="59" spans="1:48" ht="15" customHeight="1" thickBot="1">
      <c r="A59" s="792" t="s">
        <v>223</v>
      </c>
      <c r="B59" s="793"/>
      <c r="C59" s="793"/>
      <c r="D59" s="793"/>
      <c r="E59" s="793"/>
      <c r="F59" s="793"/>
      <c r="G59" s="793"/>
      <c r="H59" s="794"/>
      <c r="M59" s="792" t="s">
        <v>220</v>
      </c>
      <c r="N59" s="793"/>
      <c r="O59" s="793"/>
      <c r="P59" s="793"/>
      <c r="Q59" s="793"/>
      <c r="R59" s="793"/>
      <c r="S59" s="793"/>
      <c r="T59" s="794"/>
      <c r="AI59" s="1"/>
      <c r="AJ59" s="602">
        <f>+T249</f>
        <v>8955.7445279999993</v>
      </c>
      <c r="AK59" s="486"/>
      <c r="AL59" s="602">
        <f>+H249</f>
        <v>8128.4841760000008</v>
      </c>
      <c r="AM59" s="488"/>
      <c r="AN59" s="495"/>
      <c r="AO59" s="477"/>
      <c r="AP59" s="480"/>
      <c r="AQ59" s="478"/>
      <c r="AR59" s="480"/>
      <c r="AS59" s="480"/>
      <c r="AT59" s="475" t="s">
        <v>703</v>
      </c>
    </row>
    <row r="60" spans="1:48" ht="15.75" customHeight="1" thickBot="1">
      <c r="A60" s="36" t="s">
        <v>116</v>
      </c>
      <c r="B60" s="36" t="s">
        <v>117</v>
      </c>
      <c r="C60" s="36" t="s">
        <v>162</v>
      </c>
      <c r="D60" s="36" t="s">
        <v>119</v>
      </c>
      <c r="E60" s="36" t="s">
        <v>120</v>
      </c>
      <c r="F60" s="36" t="s">
        <v>118</v>
      </c>
      <c r="G60" s="36" t="s">
        <v>121</v>
      </c>
      <c r="H60" s="36" t="s">
        <v>122</v>
      </c>
      <c r="M60" s="36" t="s">
        <v>116</v>
      </c>
      <c r="N60" s="36" t="s">
        <v>117</v>
      </c>
      <c r="O60" s="36" t="s">
        <v>162</v>
      </c>
      <c r="P60" s="36" t="s">
        <v>119</v>
      </c>
      <c r="Q60" s="36" t="s">
        <v>120</v>
      </c>
      <c r="R60" s="36" t="s">
        <v>118</v>
      </c>
      <c r="S60" s="36" t="s">
        <v>121</v>
      </c>
      <c r="T60" s="36" t="s">
        <v>122</v>
      </c>
      <c r="AI60" s="1"/>
      <c r="AJ60" s="488"/>
      <c r="AK60" s="488"/>
      <c r="AL60" s="488"/>
      <c r="AM60" s="488"/>
      <c r="AN60" s="495"/>
      <c r="AO60" s="477"/>
      <c r="AP60" s="480"/>
      <c r="AQ60" s="478"/>
      <c r="AR60" s="480"/>
      <c r="AS60" s="480"/>
      <c r="AT60" s="475" t="s">
        <v>692</v>
      </c>
    </row>
    <row r="61" spans="1:48" ht="15.75" thickBot="1">
      <c r="A61" s="795"/>
      <c r="B61" s="796"/>
      <c r="C61" s="796"/>
      <c r="D61" s="796"/>
      <c r="E61" s="796"/>
      <c r="F61" s="796"/>
      <c r="G61" s="796"/>
      <c r="H61" s="797"/>
      <c r="M61" s="795"/>
      <c r="N61" s="796"/>
      <c r="O61" s="796"/>
      <c r="P61" s="796"/>
      <c r="Q61" s="796"/>
      <c r="R61" s="796"/>
      <c r="S61" s="796"/>
      <c r="T61" s="797"/>
      <c r="AI61" s="1"/>
      <c r="AJ61" s="12"/>
      <c r="AK61" s="12"/>
      <c r="AL61" s="12"/>
      <c r="AM61" s="12"/>
      <c r="AN61" s="12"/>
      <c r="AO61" s="1"/>
      <c r="AP61" s="1"/>
    </row>
    <row r="62" spans="1:48">
      <c r="A62" s="65">
        <v>0.6</v>
      </c>
      <c r="B62" s="66">
        <v>2</v>
      </c>
      <c r="C62" s="58">
        <f>(((A62+(2*B62))*MATERIALES!$C$57)+((A62+(2*B62))*MATERIALES!$C$55)+(A62*MATERIALES!$C$59)+((A62*3)*MATERIALES!$C$58)+(((A62-0.2)*MATERIALES!$C$30)*((B62/2)/0.12))+((((A62*8)+(B62*2))*MATERIALES!$C$73)*1))*(MATERIALES!$F$2*MATERIALES!$J$15)</f>
        <v>0</v>
      </c>
      <c r="D62" s="58">
        <f>(1*MATERIALES!$C$204)+(1*MATERIALES!$C$205)+(3*MATERIALES!$C$207)+(2*MATERIALES!$C$189)+(2*MATERIALES!$C$190)+(2*MATERIALES!$C$191)+(16*MATERIALES!$C$158)+(16*MATERIALES!$C$159)+((A62+(2*B62))*MATERIALES!$C$210)+((A62+(2*B62))*MATERIALES!$C$209)+(((A62*6)+(B62*1))*MATERIALES!$C$141)+(((A62*2)+(B62*1))*MATERIALES!$C$165)+(((((A62*8)+(B62*2))/0.1)*MATERIALES!$C$192)*2)+(0.5*MATERIALES!$C$167)+(2*MATERIALES!$C$187)+(((A62*5)*2)*MATERIALES!$C$147)+(4*MATERIALES!$C$148)</f>
        <v>5412.4054400000005</v>
      </c>
      <c r="E62" s="74"/>
      <c r="F62" s="54">
        <f>(A62*(B62/2))*MATERIALES!$D$82</f>
        <v>318</v>
      </c>
      <c r="G62" s="58">
        <f>SUM(C62:F62)</f>
        <v>5730.4054400000005</v>
      </c>
      <c r="H62" s="67">
        <f>(SUM(C62:E62)*1.3)+(F62*2)</f>
        <v>7672.1270720000011</v>
      </c>
      <c r="M62" s="65">
        <v>0.6</v>
      </c>
      <c r="N62" s="66">
        <v>2</v>
      </c>
      <c r="O62" s="58">
        <f>(((M62+(2*N62))*MATERIALES!$C$57)+((M62+(2*N62))*MATERIALES!$C$55)+(M62*MATERIALES!$C$59)+((M62+N62)*MATERIALES!$C$58)+(((M62-0.2)*MATERIALES!$C$30)*((N62/2)/0.12))+((((M62*4)+(N62*6))*MATERIALES!$C$73)*2))*(MATERIALES!$F$2*MATERIALES!$J$15)</f>
        <v>0</v>
      </c>
      <c r="P62" s="58">
        <f>(1*MATERIALES!$C$204)+(1*MATERIALES!$C$205)+(3*MATERIALES!$C$207)+(2*MATERIALES!$C$189)+(2*MATERIALES!$C$190)+(2*MATERIALES!$C$191)+(16*MATERIALES!$C$158)+(16*MATERIALES!$C$159)+((M62+(2*N62))*MATERIALES!$C$210)+((M62+(2*N62))*MATERIALES!$C$209)+(((M62*2)+((N62/2)*6))*MATERIALES!$C$141)+(((M62*2)+(N62*1))*MATERIALES!$C$165)+(((((M62*4)+(N62*2)+((N62/2)*6))/0.1)*MATERIALES!$C$192)*2)+(2*MATERIALES!$C$187)+(0.5*MATERIALES!$C$167)+(((M62*5)*2)*MATERIALES!$C$147)+(4*MATERIALES!$C$148)</f>
        <v>5603.7987200000007</v>
      </c>
      <c r="Q62" s="74"/>
      <c r="R62" s="54">
        <f>(M62*(N62/2))*MATERIALES!$D$82</f>
        <v>318</v>
      </c>
      <c r="S62" s="58">
        <f>SUM(O62:R62)</f>
        <v>5921.7987200000007</v>
      </c>
      <c r="T62" s="67">
        <f>(SUM(O62:Q62)*1.3)+(R62*2)</f>
        <v>7920.9383360000011</v>
      </c>
    </row>
    <row r="63" spans="1:48">
      <c r="A63" s="68">
        <v>0.7</v>
      </c>
      <c r="B63" s="69">
        <v>2</v>
      </c>
      <c r="C63" s="59">
        <f>(((A63+(2*B63))*MATERIALES!$C$57)+((A63+(2*B63))*MATERIALES!$C$55)+(A63*MATERIALES!$C$59)+((A63*3)*MATERIALES!$C$58)+(((A63-0.2)*MATERIALES!$C$30)*((B63/2)/0.12))+((((A63*8)+(B63*2))*MATERIALES!$C$73)*1))*(MATERIALES!$F$2*MATERIALES!$J$15)</f>
        <v>0</v>
      </c>
      <c r="D63" s="59">
        <f>(1*MATERIALES!$C$204)+(1*MATERIALES!$C$205)+(3*MATERIALES!$C$207)+(2*MATERIALES!$C$189)+(2*MATERIALES!$C$190)+(2*MATERIALES!$C$191)+(16*MATERIALES!$C$158)+(16*MATERIALES!$C$159)+((A63+(2*B63))*MATERIALES!$C$210)+((A63+(2*B63))*MATERIALES!$C$209)+(((A63*6)+(B63*1))*MATERIALES!$C$141)+(((A63*2)+(B63*1))*MATERIALES!$C$165)+(((((A63*8)+(B63*2))/0.1)*MATERIALES!$C$192)*2)+(0.5*MATERIALES!$C$167)+(2*MATERIALES!$C$187)+(((A63*5)*2)*MATERIALES!$C$147)+(4*MATERIALES!$C$148)</f>
        <v>5470.3240799999985</v>
      </c>
      <c r="E63" s="75"/>
      <c r="F63" s="55">
        <f>(A63*(B63/2))*MATERIALES!$D$82</f>
        <v>371</v>
      </c>
      <c r="G63" s="59">
        <f t="shared" ref="G63:G69" si="18">SUM(C63:F63)</f>
        <v>5841.3240799999985</v>
      </c>
      <c r="H63" s="70">
        <f t="shared" ref="H63:H69" si="19">(SUM(C63:E63)*1.3)+(F63*2)</f>
        <v>7853.4213039999986</v>
      </c>
      <c r="M63" s="68">
        <v>0.7</v>
      </c>
      <c r="N63" s="69">
        <v>2</v>
      </c>
      <c r="O63" s="59">
        <f>(((M63+(2*N63))*MATERIALES!$C$57)+((M63+(2*N63))*MATERIALES!$C$55)+(M63*MATERIALES!$C$59)+((M63+N63)*MATERIALES!$C$58)+(((M63-0.2)*MATERIALES!$C$30)*((N63/2)/0.12))+((((M63*4)+(N63*6))*MATERIALES!$C$73)*2))*(MATERIALES!$F$2*MATERIALES!$J$15)</f>
        <v>0</v>
      </c>
      <c r="P63" s="59">
        <f>(1*MATERIALES!$C$204)+(1*MATERIALES!$C$205)+(3*MATERIALES!$C$207)+(2*MATERIALES!$C$189)+(2*MATERIALES!$C$190)+(2*MATERIALES!$C$191)+(16*MATERIALES!$C$158)+(16*MATERIALES!$C$159)+((M63+(2*N63))*MATERIALES!$C$210)+((M63+(2*N63))*MATERIALES!$C$209)+(((M63*2)+((N63/2)*6))*MATERIALES!$C$141)+(((M63*2)+(N63*1))*MATERIALES!$C$165)+(((((M63*4)+(N63*2)+((N63/2)*6))/0.1)*MATERIALES!$C$192)*2)+(2*MATERIALES!$C$187)+(0.5*MATERIALES!$C$167)+(((M63*5)*2)*MATERIALES!$C$147)+(4*MATERIALES!$C$148)</f>
        <v>5635.7090399999988</v>
      </c>
      <c r="Q63" s="75"/>
      <c r="R63" s="55">
        <f>(M63*(N63/2))*MATERIALES!$D$82</f>
        <v>371</v>
      </c>
      <c r="S63" s="59">
        <f t="shared" ref="S63:S69" si="20">SUM(O63:R63)</f>
        <v>6006.7090399999988</v>
      </c>
      <c r="T63" s="70">
        <f t="shared" ref="T63:T69" si="21">(SUM(O63:Q63)*1.3)+(R63*2)</f>
        <v>8068.4217519999984</v>
      </c>
    </row>
    <row r="64" spans="1:48">
      <c r="A64" s="68">
        <v>0.8</v>
      </c>
      <c r="B64" s="69">
        <v>2</v>
      </c>
      <c r="C64" s="59">
        <f>(((A64+(2*B64))*MATERIALES!$C$57)+((A64+(2*B64))*MATERIALES!$C$55)+(A64*MATERIALES!$C$59)+((A64*3)*MATERIALES!$C$58)+(((A64-0.2)*MATERIALES!$C$30)*((B64/2)/0.12))+((((A64*8)+(B64*2))*MATERIALES!$C$73)*1))*(MATERIALES!$F$2*MATERIALES!$J$15)</f>
        <v>0</v>
      </c>
      <c r="D64" s="59">
        <f>(1*MATERIALES!$C$204)+(1*MATERIALES!$C$205)+(3*MATERIALES!$C$207)+(2*MATERIALES!$C$189)+(2*MATERIALES!$C$190)+(2*MATERIALES!$C$191)+(16*MATERIALES!$C$158)+(16*MATERIALES!$C$159)+((A64+(2*B64))*MATERIALES!$C$210)+((A64+(2*B64))*MATERIALES!$C$209)+(((A64*6)+(B64*1))*MATERIALES!$C$141)+(((A64*2)+(B64*1))*MATERIALES!$C$165)+(((((A64*8)+(B64*2))/0.1)*MATERIALES!$C$192)*2)+(0.5*MATERIALES!$C$167)+(2*MATERIALES!$C$187)+(((A64*5)*2)*MATERIALES!$C$147)+(4*MATERIALES!$C$148)</f>
        <v>5528.2427199999993</v>
      </c>
      <c r="E64" s="75"/>
      <c r="F64" s="55">
        <f>(A64*(B64/2))*MATERIALES!$D$82</f>
        <v>424</v>
      </c>
      <c r="G64" s="59">
        <f t="shared" si="18"/>
        <v>5952.2427199999993</v>
      </c>
      <c r="H64" s="70">
        <f t="shared" si="19"/>
        <v>8034.7155359999997</v>
      </c>
      <c r="M64" s="68">
        <v>0.8</v>
      </c>
      <c r="N64" s="69">
        <v>2</v>
      </c>
      <c r="O64" s="59">
        <f>(((M64+(2*N64))*MATERIALES!$C$57)+((M64+(2*N64))*MATERIALES!$C$55)+(M64*MATERIALES!$C$59)+((M64+N64)*MATERIALES!$C$58)+(((M64-0.2)*MATERIALES!$C$30)*((N64/2)/0.12))+((((M64*4)+(N64*6))*MATERIALES!$C$73)*2))*(MATERIALES!$F$2*MATERIALES!$J$15)</f>
        <v>0</v>
      </c>
      <c r="P64" s="59">
        <f>(1*MATERIALES!$C$204)+(1*MATERIALES!$C$205)+(3*MATERIALES!$C$207)+(2*MATERIALES!$C$189)+(2*MATERIALES!$C$190)+(2*MATERIALES!$C$191)+(16*MATERIALES!$C$158)+(16*MATERIALES!$C$159)+((M64+(2*N64))*MATERIALES!$C$210)+((M64+(2*N64))*MATERIALES!$C$209)+(((M64*2)+((N64/2)*6))*MATERIALES!$C$141)+(((M64*2)+(N64*1))*MATERIALES!$C$165)+(((((M64*4)+(N64*2)+((N64/2)*6))/0.1)*MATERIALES!$C$192)*2)+(2*MATERIALES!$C$187)+(0.5*MATERIALES!$C$167)+(((M64*5)*2)*MATERIALES!$C$147)+(4*MATERIALES!$C$148)</f>
        <v>5667.6193599999997</v>
      </c>
      <c r="Q64" s="75"/>
      <c r="R64" s="55">
        <f>(M64*(N64/2))*MATERIALES!$D$82</f>
        <v>424</v>
      </c>
      <c r="S64" s="59">
        <f t="shared" si="20"/>
        <v>6091.6193599999997</v>
      </c>
      <c r="T64" s="70">
        <f t="shared" si="21"/>
        <v>8215.9051680000011</v>
      </c>
    </row>
    <row r="65" spans="1:20">
      <c r="A65" s="68">
        <v>0.9</v>
      </c>
      <c r="B65" s="69">
        <v>2</v>
      </c>
      <c r="C65" s="59">
        <f>(((A65+(2*B65))*MATERIALES!$C$57)+((A65+(2*B65))*MATERIALES!$C$55)+(A65*MATERIALES!$C$59)+((A65*3)*MATERIALES!$C$58)+(((A65-0.2)*MATERIALES!$C$30)*((B65/2)/0.12))+((((A65*8)+(B65*2))*MATERIALES!$C$73)*1))*(MATERIALES!$F$2*MATERIALES!$J$15)</f>
        <v>0</v>
      </c>
      <c r="D65" s="59">
        <f>(1*MATERIALES!$C$204)+(1*MATERIALES!$C$205)+(3*MATERIALES!$C$207)+(2*MATERIALES!$C$189)+(2*MATERIALES!$C$190)+(2*MATERIALES!$C$191)+(16*MATERIALES!$C$158)+(16*MATERIALES!$C$159)+((A65+(2*B65))*MATERIALES!$C$210)+((A65+(2*B65))*MATERIALES!$C$209)+(((A65*6)+(B65*1))*MATERIALES!$C$141)+(((A65*2)+(B65*1))*MATERIALES!$C$165)+(((((A65*8)+(B65*2))/0.1)*MATERIALES!$C$192)*2)+(0.5*MATERIALES!$C$167)+(2*MATERIALES!$C$187)+(((A65*5)*2)*MATERIALES!$C$147)+(4*MATERIALES!$C$148)</f>
        <v>5586.1613600000001</v>
      </c>
      <c r="E65" s="75"/>
      <c r="F65" s="55">
        <f>(A65*(B65/2))*MATERIALES!$D$82</f>
        <v>477</v>
      </c>
      <c r="G65" s="59">
        <f t="shared" si="18"/>
        <v>6063.1613600000001</v>
      </c>
      <c r="H65" s="70">
        <f t="shared" si="19"/>
        <v>8216.0097679999999</v>
      </c>
      <c r="M65" s="68">
        <v>0.9</v>
      </c>
      <c r="N65" s="69">
        <v>2</v>
      </c>
      <c r="O65" s="59">
        <f>(((M65+(2*N65))*MATERIALES!$C$57)+((M65+(2*N65))*MATERIALES!$C$55)+(M65*MATERIALES!$C$59)+((M65+N65)*MATERIALES!$C$58)+(((M65-0.2)*MATERIALES!$C$30)*((N65/2)/0.12))+((((M65*4)+(N65*6))*MATERIALES!$C$73)*2))*(MATERIALES!$F$2*MATERIALES!$J$15)</f>
        <v>0</v>
      </c>
      <c r="P65" s="59">
        <f>(1*MATERIALES!$C$204)+(1*MATERIALES!$C$205)+(3*MATERIALES!$C$207)+(2*MATERIALES!$C$189)+(2*MATERIALES!$C$190)+(2*MATERIALES!$C$191)+(16*MATERIALES!$C$158)+(16*MATERIALES!$C$159)+((M65+(2*N65))*MATERIALES!$C$210)+((M65+(2*N65))*MATERIALES!$C$209)+(((M65*2)+((N65/2)*6))*MATERIALES!$C$141)+(((M65*2)+(N65*1))*MATERIALES!$C$165)+(((((M65*4)+(N65*2)+((N65/2)*6))/0.1)*MATERIALES!$C$192)*2)+(2*MATERIALES!$C$187)+(0.5*MATERIALES!$C$167)+(((M65*5)*2)*MATERIALES!$C$147)+(4*MATERIALES!$C$148)</f>
        <v>5699.5296799999996</v>
      </c>
      <c r="Q65" s="75"/>
      <c r="R65" s="55">
        <f>(M65*(N65/2))*MATERIALES!$D$82</f>
        <v>477</v>
      </c>
      <c r="S65" s="59">
        <f t="shared" si="20"/>
        <v>6176.5296799999996</v>
      </c>
      <c r="T65" s="70">
        <f t="shared" si="21"/>
        <v>8363.3885840000003</v>
      </c>
    </row>
    <row r="66" spans="1:20">
      <c r="A66" s="68">
        <v>0.6</v>
      </c>
      <c r="B66" s="69">
        <v>2.1</v>
      </c>
      <c r="C66" s="59">
        <f>(((A66+(2*B66))*MATERIALES!$C$57)+((A66+(2*B66))*MATERIALES!$C$55)+(A66*MATERIALES!$C$59)+((A66*3)*MATERIALES!$C$58)+(((A66-0.2)*MATERIALES!$C$30)*((B66/2)/0.12))+((((A66*8)+(B66*2))*MATERIALES!$C$73)*1))*(MATERIALES!$F$2*MATERIALES!$J$15)</f>
        <v>0</v>
      </c>
      <c r="D66" s="59">
        <f>(1*MATERIALES!$C$204)+(1*MATERIALES!$C$205)+(3*MATERIALES!$C$207)+(2*MATERIALES!$C$189)+(2*MATERIALES!$C$190)+(2*MATERIALES!$C$191)+(16*MATERIALES!$C$158)+(16*MATERIALES!$C$159)+((A66+(2*B66))*MATERIALES!$C$210)+((A66+(2*B66))*MATERIALES!$C$209)+(((A66*6)+(B66*1))*MATERIALES!$C$141)+(((A66*2)+(B66*1))*MATERIALES!$C$165)+(((((A66*8)+(B66*2))/0.1)*MATERIALES!$C$192)*2)+(0.5*MATERIALES!$C$167)+(2*MATERIALES!$C$187)+(((A66*5)*2)*MATERIALES!$C$147)+(4*MATERIALES!$C$148)</f>
        <v>5437.2136</v>
      </c>
      <c r="E66" s="75"/>
      <c r="F66" s="55">
        <f>(A66*(B66/2))*MATERIALES!$D$82</f>
        <v>333.9</v>
      </c>
      <c r="G66" s="59">
        <f t="shared" si="18"/>
        <v>5771.1135999999997</v>
      </c>
      <c r="H66" s="70">
        <f t="shared" si="19"/>
        <v>7736.1776800000007</v>
      </c>
      <c r="M66" s="68">
        <v>0.6</v>
      </c>
      <c r="N66" s="69">
        <v>2.1</v>
      </c>
      <c r="O66" s="59">
        <f>(((M66+(2*N66))*MATERIALES!$C$57)+((M66+(2*N66))*MATERIALES!$C$55)+(M66*MATERIALES!$C$59)+((M66+N66)*MATERIALES!$C$58)+(((M66-0.2)*MATERIALES!$C$30)*((N66/2)/0.12))+((((M66*4)+(N66*6))*MATERIALES!$C$73)*2))*(MATERIALES!$F$2*MATERIALES!$J$15)</f>
        <v>0</v>
      </c>
      <c r="P66" s="59">
        <f>(1*MATERIALES!$C$204)+(1*MATERIALES!$C$205)+(3*MATERIALES!$C$207)+(2*MATERIALES!$C$189)+(2*MATERIALES!$C$190)+(2*MATERIALES!$C$191)+(16*MATERIALES!$C$158)+(16*MATERIALES!$C$159)+((M66+(2*N66))*MATERIALES!$C$210)+((M66+(2*N66))*MATERIALES!$C$209)+(((M66*2)+((N66/2)*6))*MATERIALES!$C$141)+(((M66*2)+(N66*1))*MATERIALES!$C$165)+(((((M66*4)+(N66*2)+((N66/2)*6))/0.1)*MATERIALES!$C$192)*2)+(2*MATERIALES!$C$187)+(0.5*MATERIALES!$C$167)+(((M66*5)*2)*MATERIALES!$C$147)+(4*MATERIALES!$C$148)</f>
        <v>5645.9790399999993</v>
      </c>
      <c r="Q66" s="75"/>
      <c r="R66" s="55">
        <f>(M66*(N66/2))*MATERIALES!$D$82</f>
        <v>333.9</v>
      </c>
      <c r="S66" s="59">
        <f t="shared" si="20"/>
        <v>5979.8790399999989</v>
      </c>
      <c r="T66" s="70">
        <f t="shared" si="21"/>
        <v>8007.5727519999991</v>
      </c>
    </row>
    <row r="67" spans="1:20">
      <c r="A67" s="68">
        <v>0.7</v>
      </c>
      <c r="B67" s="69">
        <v>2.1</v>
      </c>
      <c r="C67" s="59">
        <f>(((A67+(2*B67))*MATERIALES!$C$57)+((A67+(2*B67))*MATERIALES!$C$55)+(A67*MATERIALES!$C$59)+((A67*3)*MATERIALES!$C$58)+(((A67-0.2)*MATERIALES!$C$30)*((B67/2)/0.12))+((((A67*8)+(B67*2))*MATERIALES!$C$73)*1))*(MATERIALES!$F$2*MATERIALES!$J$15)</f>
        <v>0</v>
      </c>
      <c r="D67" s="59">
        <f>(1*MATERIALES!$C$204)+(1*MATERIALES!$C$205)+(3*MATERIALES!$C$207)+(2*MATERIALES!$C$189)+(2*MATERIALES!$C$190)+(2*MATERIALES!$C$191)+(16*MATERIALES!$C$158)+(16*MATERIALES!$C$159)+((A67+(2*B67))*MATERIALES!$C$210)+((A67+(2*B67))*MATERIALES!$C$209)+(((A67*6)+(B67*1))*MATERIALES!$C$141)+(((A67*2)+(B67*1))*MATERIALES!$C$165)+(((((A67*8)+(B67*2))/0.1)*MATERIALES!$C$192)*2)+(0.5*MATERIALES!$C$167)+(2*MATERIALES!$C$187)+(((A67*5)*2)*MATERIALES!$C$147)+(4*MATERIALES!$C$148)</f>
        <v>5495.1322399999999</v>
      </c>
      <c r="E67" s="75"/>
      <c r="F67" s="55">
        <f>(A67*(B67/2))*MATERIALES!$D$82</f>
        <v>389.55</v>
      </c>
      <c r="G67" s="59">
        <f t="shared" si="18"/>
        <v>5884.6822400000001</v>
      </c>
      <c r="H67" s="70">
        <f t="shared" si="19"/>
        <v>7922.7719120000002</v>
      </c>
      <c r="M67" s="68">
        <v>0.7</v>
      </c>
      <c r="N67" s="69">
        <v>2.1</v>
      </c>
      <c r="O67" s="59">
        <f>(((M67+(2*N67))*MATERIALES!$C$57)+((M67+(2*N67))*MATERIALES!$C$55)+(M67*MATERIALES!$C$59)+((M67+N67)*MATERIALES!$C$58)+(((M67-0.2)*MATERIALES!$C$30)*((N67/2)/0.12))+((((M67*4)+(N67*6))*MATERIALES!$C$73)*2))*(MATERIALES!$F$2*MATERIALES!$J$15)</f>
        <v>0</v>
      </c>
      <c r="P67" s="59">
        <f>(1*MATERIALES!$C$204)+(1*MATERIALES!$C$205)+(3*MATERIALES!$C$207)+(2*MATERIALES!$C$189)+(2*MATERIALES!$C$190)+(2*MATERIALES!$C$191)+(16*MATERIALES!$C$158)+(16*MATERIALES!$C$159)+((M67+(2*N67))*MATERIALES!$C$210)+((M67+(2*N67))*MATERIALES!$C$209)+(((M67*2)+((N67/2)*6))*MATERIALES!$C$141)+(((M67*2)+(N67*1))*MATERIALES!$C$165)+(((((M67*4)+(N67*2)+((N67/2)*6))/0.1)*MATERIALES!$C$192)*2)+(2*MATERIALES!$C$187)+(0.5*MATERIALES!$C$167)+(((M67*5)*2)*MATERIALES!$C$147)+(4*MATERIALES!$C$148)</f>
        <v>5677.8893600000001</v>
      </c>
      <c r="Q67" s="75"/>
      <c r="R67" s="55">
        <f>(M67*(N67/2))*MATERIALES!$D$82</f>
        <v>389.55</v>
      </c>
      <c r="S67" s="59">
        <f t="shared" si="20"/>
        <v>6067.4393600000003</v>
      </c>
      <c r="T67" s="70">
        <f t="shared" si="21"/>
        <v>8160.3561680000012</v>
      </c>
    </row>
    <row r="68" spans="1:20">
      <c r="A68" s="68">
        <v>0.8</v>
      </c>
      <c r="B68" s="69">
        <v>2.1</v>
      </c>
      <c r="C68" s="59">
        <f>(((A68+(2*B68))*MATERIALES!$C$57)+((A68+(2*B68))*MATERIALES!$C$55)+(A68*MATERIALES!$C$59)+((A68*3)*MATERIALES!$C$58)+(((A68-0.2)*MATERIALES!$C$30)*((B68/2)/0.12))+((((A68*8)+(B68*2))*MATERIALES!$C$73)*1))*(MATERIALES!$F$2*MATERIALES!$J$15)</f>
        <v>0</v>
      </c>
      <c r="D68" s="59">
        <f>(1*MATERIALES!$C$204)+(1*MATERIALES!$C$205)+(3*MATERIALES!$C$207)+(2*MATERIALES!$C$189)+(2*MATERIALES!$C$190)+(2*MATERIALES!$C$191)+(16*MATERIALES!$C$158)+(16*MATERIALES!$C$159)+((A68+(2*B68))*MATERIALES!$C$210)+((A68+(2*B68))*MATERIALES!$C$209)+(((A68*6)+(B68*1))*MATERIALES!$C$141)+(((A68*2)+(B68*1))*MATERIALES!$C$165)+(((((A68*8)+(B68*2))/0.1)*MATERIALES!$C$192)*2)+(0.5*MATERIALES!$C$167)+(2*MATERIALES!$C$187)+(((A68*5)*2)*MATERIALES!$C$147)+(4*MATERIALES!$C$148)</f>
        <v>5553.0508799999998</v>
      </c>
      <c r="E68" s="75"/>
      <c r="F68" s="55">
        <f>(A68*(B68/2))*MATERIALES!$D$82</f>
        <v>445.20000000000005</v>
      </c>
      <c r="G68" s="59">
        <f t="shared" si="18"/>
        <v>5998.2508799999996</v>
      </c>
      <c r="H68" s="70">
        <f t="shared" si="19"/>
        <v>8109.3661439999996</v>
      </c>
      <c r="M68" s="68">
        <v>0.8</v>
      </c>
      <c r="N68" s="69">
        <v>2.1</v>
      </c>
      <c r="O68" s="59">
        <f>(((M68+(2*N68))*MATERIALES!$C$57)+((M68+(2*N68))*MATERIALES!$C$55)+(M68*MATERIALES!$C$59)+((M68+N68)*MATERIALES!$C$58)+(((M68-0.2)*MATERIALES!$C$30)*((N68/2)/0.12))+((((M68*4)+(N68*6))*MATERIALES!$C$73)*2))*(MATERIALES!$F$2*MATERIALES!$J$15)</f>
        <v>0</v>
      </c>
      <c r="P68" s="59">
        <f>(1*MATERIALES!$C$204)+(1*MATERIALES!$C$205)+(3*MATERIALES!$C$207)+(2*MATERIALES!$C$189)+(2*MATERIALES!$C$190)+(2*MATERIALES!$C$191)+(16*MATERIALES!$C$158)+(16*MATERIALES!$C$159)+((M68+(2*N68))*MATERIALES!$C$210)+((M68+(2*N68))*MATERIALES!$C$209)+(((M68*2)+((N68/2)*6))*MATERIALES!$C$141)+(((M68*2)+(N68*1))*MATERIALES!$C$165)+(((((M68*4)+(N68*2)+((N68/2)*6))/0.1)*MATERIALES!$C$192)*2)+(2*MATERIALES!$C$187)+(0.5*MATERIALES!$C$167)+(((M68*5)*2)*MATERIALES!$C$147)+(4*MATERIALES!$C$148)</f>
        <v>5709.7996800000001</v>
      </c>
      <c r="Q68" s="75"/>
      <c r="R68" s="55">
        <f>(M68*(N68/2))*MATERIALES!$D$82</f>
        <v>445.20000000000005</v>
      </c>
      <c r="S68" s="59">
        <f t="shared" si="20"/>
        <v>6154.9996799999999</v>
      </c>
      <c r="T68" s="70">
        <f t="shared" si="21"/>
        <v>8313.1395840000005</v>
      </c>
    </row>
    <row r="69" spans="1:20" ht="15.75" thickBot="1">
      <c r="A69" s="71">
        <v>0.9</v>
      </c>
      <c r="B69" s="72">
        <v>2.1</v>
      </c>
      <c r="C69" s="60">
        <f>(((A69+(2*B69))*MATERIALES!$C$57)+((A69+(2*B69))*MATERIALES!$C$55)+(A69*MATERIALES!$C$59)+((A69*3)*MATERIALES!$C$58)+(((A69-0.2)*MATERIALES!$C$30)*((B69/2)/0.12))+((((A69*8)+(B69*2))*MATERIALES!$C$73)*1))*(MATERIALES!$F$2*MATERIALES!$J$15)</f>
        <v>0</v>
      </c>
      <c r="D69" s="60">
        <f>(1*MATERIALES!$C$204)+(1*MATERIALES!$C$205)+(3*MATERIALES!$C$207)+(2*MATERIALES!$C$189)+(2*MATERIALES!$C$190)+(2*MATERIALES!$C$191)+(16*MATERIALES!$C$158)+(16*MATERIALES!$C$159)+((A69+(2*B69))*MATERIALES!$C$210)+((A69+(2*B69))*MATERIALES!$C$209)+(((A69*6)+(B69*1))*MATERIALES!$C$141)+(((A69*2)+(B69*1))*MATERIALES!$C$165)+(((((A69*8)+(B69*2))/0.1)*MATERIALES!$C$192)*2)+(0.5*MATERIALES!$C$167)+(2*MATERIALES!$C$187)+(((A69*5)*2)*MATERIALES!$C$147)+(4*MATERIALES!$C$148)</f>
        <v>5610.9695199999987</v>
      </c>
      <c r="E69" s="76"/>
      <c r="F69" s="56">
        <f>(A69*(B69/2))*MATERIALES!$D$82</f>
        <v>500.85</v>
      </c>
      <c r="G69" s="60">
        <f t="shared" si="18"/>
        <v>6111.8195199999991</v>
      </c>
      <c r="H69" s="73">
        <f t="shared" si="19"/>
        <v>8295.9603759999991</v>
      </c>
      <c r="M69" s="71">
        <v>0.9</v>
      </c>
      <c r="N69" s="72">
        <v>2.1</v>
      </c>
      <c r="O69" s="60">
        <f>(((M69+(2*N69))*MATERIALES!$C$57)+((M69+(2*N69))*MATERIALES!$C$55)+(M69*MATERIALES!$C$59)+((M69+N69)*MATERIALES!$C$58)+(((M69-0.2)*MATERIALES!$C$30)*((N69/2)/0.12))+((((M69*4)+(N69*6))*MATERIALES!$C$73)*2))*(MATERIALES!$F$2*MATERIALES!$J$15)</f>
        <v>0</v>
      </c>
      <c r="P69" s="60">
        <f>(1*MATERIALES!$C$204)+(1*MATERIALES!$C$205)+(3*MATERIALES!$C$207)+(2*MATERIALES!$C$189)+(2*MATERIALES!$C$190)+(2*MATERIALES!$C$191)+(16*MATERIALES!$C$158)+(16*MATERIALES!$C$159)+((M69+(2*N69))*MATERIALES!$C$210)+((M69+(2*N69))*MATERIALES!$C$209)+(((M69*2)+((N69/2)*6))*MATERIALES!$C$141)+(((M69*2)+(N69*1))*MATERIALES!$C$165)+(((((M69*4)+(N69*2)+((N69/2)*6))/0.1)*MATERIALES!$C$192)*2)+(2*MATERIALES!$C$187)+(0.5*MATERIALES!$C$167)+(((M69*5)*2)*MATERIALES!$C$147)+(4*MATERIALES!$C$148)</f>
        <v>5741.7099999999991</v>
      </c>
      <c r="Q69" s="76"/>
      <c r="R69" s="56">
        <f>(M69*(N69/2))*MATERIALES!$D$82</f>
        <v>500.85</v>
      </c>
      <c r="S69" s="60">
        <f t="shared" si="20"/>
        <v>6242.5599999999995</v>
      </c>
      <c r="T69" s="73">
        <f t="shared" si="21"/>
        <v>8465.9229999999989</v>
      </c>
    </row>
    <row r="71" spans="1:20" ht="15.75" thickBot="1"/>
    <row r="72" spans="1:20" ht="15.75" thickBot="1">
      <c r="A72" s="32"/>
      <c r="B72" s="32"/>
      <c r="C72" s="801">
        <v>0.3</v>
      </c>
      <c r="D72" s="802"/>
      <c r="E72" s="803"/>
      <c r="F72" s="61">
        <v>1</v>
      </c>
      <c r="G72" s="32"/>
      <c r="H72" s="46" t="s">
        <v>163</v>
      </c>
      <c r="M72" s="32"/>
      <c r="N72" s="32"/>
      <c r="O72" s="801">
        <v>0.3</v>
      </c>
      <c r="P72" s="802"/>
      <c r="Q72" s="803"/>
      <c r="R72" s="61">
        <v>1</v>
      </c>
      <c r="S72" s="32"/>
      <c r="T72" s="46" t="s">
        <v>163</v>
      </c>
    </row>
    <row r="73" spans="1:20" ht="15.75" thickBot="1">
      <c r="A73" s="792" t="s">
        <v>224</v>
      </c>
      <c r="B73" s="793"/>
      <c r="C73" s="793"/>
      <c r="D73" s="793"/>
      <c r="E73" s="793"/>
      <c r="F73" s="793"/>
      <c r="G73" s="793"/>
      <c r="H73" s="794"/>
      <c r="M73" s="792" t="s">
        <v>227</v>
      </c>
      <c r="N73" s="793"/>
      <c r="O73" s="793"/>
      <c r="P73" s="793"/>
      <c r="Q73" s="793"/>
      <c r="R73" s="793"/>
      <c r="S73" s="793"/>
      <c r="T73" s="794"/>
    </row>
    <row r="74" spans="1:20" ht="15.75" thickBot="1">
      <c r="A74" s="36" t="s">
        <v>116</v>
      </c>
      <c r="B74" s="36" t="s">
        <v>117</v>
      </c>
      <c r="C74" s="36" t="s">
        <v>162</v>
      </c>
      <c r="D74" s="36" t="s">
        <v>119</v>
      </c>
      <c r="E74" s="36" t="s">
        <v>120</v>
      </c>
      <c r="F74" s="36" t="s">
        <v>118</v>
      </c>
      <c r="G74" s="36" t="s">
        <v>121</v>
      </c>
      <c r="H74" s="36" t="s">
        <v>122</v>
      </c>
      <c r="M74" s="36" t="s">
        <v>116</v>
      </c>
      <c r="N74" s="36" t="s">
        <v>117</v>
      </c>
      <c r="O74" s="36" t="s">
        <v>162</v>
      </c>
      <c r="P74" s="36" t="s">
        <v>119</v>
      </c>
      <c r="Q74" s="36" t="s">
        <v>120</v>
      </c>
      <c r="R74" s="36" t="s">
        <v>118</v>
      </c>
      <c r="S74" s="36" t="s">
        <v>121</v>
      </c>
      <c r="T74" s="36" t="s">
        <v>122</v>
      </c>
    </row>
    <row r="75" spans="1:20" ht="15.75" thickBot="1">
      <c r="A75" s="795"/>
      <c r="B75" s="796"/>
      <c r="C75" s="796"/>
      <c r="D75" s="796"/>
      <c r="E75" s="796"/>
      <c r="F75" s="796"/>
      <c r="G75" s="796"/>
      <c r="H75" s="797"/>
      <c r="M75" s="795"/>
      <c r="N75" s="796"/>
      <c r="O75" s="796"/>
      <c r="P75" s="796"/>
      <c r="Q75" s="796"/>
      <c r="R75" s="796"/>
      <c r="S75" s="796"/>
      <c r="T75" s="797"/>
    </row>
    <row r="76" spans="1:20">
      <c r="A76" s="65">
        <v>0.6</v>
      </c>
      <c r="B76" s="66">
        <v>2</v>
      </c>
      <c r="C76" s="58">
        <f>(((A76+(2*B76))*MATERIALES!$C$57)+((A76+(2*B76))*MATERIALES!$C$55)+(A76*MATERIALES!$C$59)+((A76*2)*MATERIALES!$C$58)+((((A76*6)+(B76*2))*MATERIALES!$C$73)*2)+(((A76-0.2)*MATERIALES!$C$30)*((B76-0.12)/0.12)))*(MATERIALES!$F$2*MATERIALES!$J$15)</f>
        <v>0</v>
      </c>
      <c r="D76" s="58">
        <f>(1*MATERIALES!$C$204)+(1*MATERIALES!$C$205)+(3*MATERIALES!$C$207)+(2*MATERIALES!$C$189)+(2*MATERIALES!$C$190)+(2*MATERIALES!$C$191)+(12*MATERIALES!$C$158)+(12*MATERIALES!$C$159)+((A76+(2*B76))*MATERIALES!$C$210)+((A76+(2*B76))*MATERIALES!$C$209)+(((A76*2)*(0.6*2))*MATERIALES!$C$141)+(((A76*4)+(B76*2))*MATERIALES!$C$165)+(0.5*MATERIALES!$C$167)+(((((A76*6)+(B76*2))/0.1)*MATERIALES!$C$192)*2)+(2*MATERIALES!$C$640)+(((A76*5)*2)*MATERIALES!$C$147)+(4*MATERIALES!$C$148)</f>
        <v>5272.6302720000003</v>
      </c>
      <c r="E76" s="74"/>
      <c r="F76" s="54">
        <f>(A76*0.6)*MATERIALES!$D$82</f>
        <v>190.79999999999998</v>
      </c>
      <c r="G76" s="58">
        <f>SUM(C76:F76)</f>
        <v>5463.4302720000005</v>
      </c>
      <c r="H76" s="67">
        <f>(SUM(C76:E76)*1.3)+(F76*2)</f>
        <v>7236.0193536000006</v>
      </c>
      <c r="M76" s="65">
        <v>0.6</v>
      </c>
      <c r="N76" s="66">
        <v>2</v>
      </c>
      <c r="O76" s="58">
        <f>(((M76+(2*N76))*MATERIALES!$C$57)+((M76+(2*N76))*MATERIALES!$C$55)+(M76*MATERIALES!$C$59)+((M76+(N76*2))*MATERIALES!$C$58)+(((M76-0.2)*MATERIALES!$C$30)*((N76/3)/0.12))+((((M76*4)+(N76*6))*MATERIALES!$C$73)*2))*(MATERIALES!$F$2*MATERIALES!$J$15)</f>
        <v>0</v>
      </c>
      <c r="P76" s="58">
        <f>(1*MATERIALES!$C$204)+(1*MATERIALES!$C$205)+(3*MATERIALES!$C$207)+(2*MATERIALES!$C$189)+(2*MATERIALES!$C$190)+(2*MATERIALES!$C$191)+(16*MATERIALES!$C$158)+(16*MATERIALES!$C$159)+((M76+(2*N76))*MATERIALES!$C$210)+((M76+(2*N76))*MATERIALES!$C$209)+(((M76*2)+(N76*6))*MATERIALES!$C$141)+((((((M76*4)+(N76*6))/0.1))*MATERIALES!$C$192)*2)+(2*MATERIALES!$C$187)+(((M76*2)+((N76/3)*2))*MATERIALES!$C$165)+(0.25*MATERIALES!$C$167)+(((M76*5)*2)*MATERIALES!$C$147)+(4*MATERIALES!$C$148)</f>
        <v>5736.7263199999998</v>
      </c>
      <c r="Q76" s="74"/>
      <c r="R76" s="54">
        <f>(M76*N76)*MATERIALES!$D$82</f>
        <v>636</v>
      </c>
      <c r="S76" s="58">
        <f>SUM(O76:R76)</f>
        <v>6372.7263199999998</v>
      </c>
      <c r="T76" s="67">
        <f>(SUM(O76:Q76)*1.3)+(R76*2)</f>
        <v>8729.7442159999991</v>
      </c>
    </row>
    <row r="77" spans="1:20">
      <c r="A77" s="68">
        <v>0.7</v>
      </c>
      <c r="B77" s="69">
        <v>2</v>
      </c>
      <c r="C77" s="59">
        <f>(((A77+(2*B77))*MATERIALES!$C$57)+((A77+(2*B77))*MATERIALES!$C$55)+(A77*MATERIALES!$C$59)+((A77*2)*MATERIALES!$C$58)+((((A77*6)+(B77*2))*MATERIALES!$C$73)*2)+(((A77-0.2)*MATERIALES!$C$30)*((B77-0.12)/0.12)))*(MATERIALES!$F$2*MATERIALES!$J$15)</f>
        <v>0</v>
      </c>
      <c r="D77" s="59">
        <f>(1*MATERIALES!$C$204)+(1*MATERIALES!$C$205)+(3*MATERIALES!$C$207)+(2*MATERIALES!$C$189)+(2*MATERIALES!$C$190)+(2*MATERIALES!$C$191)+(12*MATERIALES!$C$158)+(12*MATERIALES!$C$159)+((A77+(2*B77))*MATERIALES!$C$210)+((A77+(2*B77))*MATERIALES!$C$209)+(((A77*2)*(0.6*2))*MATERIALES!$C$141)+(((A77*4)+(B77*2))*MATERIALES!$C$165)+(0.5*MATERIALES!$C$167)+(((((A77*6)+(B77*2))/0.1)*MATERIALES!$C$192)*2)+(2*MATERIALES!$C$640)+(((A77*5)*2)*MATERIALES!$C$147)+(4*MATERIALES!$C$148)</f>
        <v>5318.3983840000001</v>
      </c>
      <c r="E77" s="75"/>
      <c r="F77" s="55">
        <f>(A77*0.6)*MATERIALES!$D$82</f>
        <v>222.6</v>
      </c>
      <c r="G77" s="59">
        <f t="shared" ref="G77:G83" si="22">SUM(C77:F77)</f>
        <v>5540.9983840000004</v>
      </c>
      <c r="H77" s="70">
        <f t="shared" ref="H77:H83" si="23">(SUM(C77:E77)*1.3)+(F77*2)</f>
        <v>7359.1178992000005</v>
      </c>
      <c r="M77" s="68">
        <v>0.7</v>
      </c>
      <c r="N77" s="69">
        <v>2</v>
      </c>
      <c r="O77" s="59">
        <f>(((M77+(2*N77))*MATERIALES!$C$57)+((M77+(2*N77))*MATERIALES!$C$55)+(M77*MATERIALES!$C$59)+((M77+(N77*2))*MATERIALES!$C$58)+(((M77-0.2)*MATERIALES!$C$30)*((N77/3)/0.12))+((((M77*4)+(N77*6))*MATERIALES!$C$73)*2))*(MATERIALES!$F$2*MATERIALES!$J$15)</f>
        <v>0</v>
      </c>
      <c r="P77" s="59">
        <f>(1*MATERIALES!$C$204)+(1*MATERIALES!$C$205)+(3*MATERIALES!$C$207)+(2*MATERIALES!$C$189)+(2*MATERIALES!$C$190)+(2*MATERIALES!$C$191)+(16*MATERIALES!$C$158)+(16*MATERIALES!$C$159)+((M77+(2*N77))*MATERIALES!$C$210)+((M77+(2*N77))*MATERIALES!$C$209)+(((M77*2)+(N77*6))*MATERIALES!$C$141)+((((((M77*4)+(N77*6))/0.1))*MATERIALES!$C$192)*2)+(2*MATERIALES!$C$187)+(((M77*2)+((N77/3)*2))*MATERIALES!$C$165)+(0.25*MATERIALES!$C$167)+(((M77*5)*2)*MATERIALES!$C$147)+(4*MATERIALES!$C$148)</f>
        <v>5768.6366399999988</v>
      </c>
      <c r="Q77" s="75"/>
      <c r="R77" s="55">
        <f>(M77*N77)*MATERIALES!$D$82</f>
        <v>742</v>
      </c>
      <c r="S77" s="59">
        <f t="shared" ref="S77:S83" si="24">SUM(O77:R77)</f>
        <v>6510.6366399999988</v>
      </c>
      <c r="T77" s="70">
        <f t="shared" ref="T77:T83" si="25">(SUM(O77:Q77)*1.3)+(R77*2)</f>
        <v>8983.2276319999983</v>
      </c>
    </row>
    <row r="78" spans="1:20">
      <c r="A78" s="68">
        <v>0.8</v>
      </c>
      <c r="B78" s="69">
        <v>2</v>
      </c>
      <c r="C78" s="59">
        <f>(((A78+(2*B78))*MATERIALES!$C$57)+((A78+(2*B78))*MATERIALES!$C$55)+(A78*MATERIALES!$C$59)+((A78*2)*MATERIALES!$C$58)+((((A78*6)+(B78*2))*MATERIALES!$C$73)*2)+(((A78-0.2)*MATERIALES!$C$30)*((B78-0.12)/0.12)))*(MATERIALES!$F$2*MATERIALES!$J$15)</f>
        <v>0</v>
      </c>
      <c r="D78" s="59">
        <f>(1*MATERIALES!$C$204)+(1*MATERIALES!$C$205)+(3*MATERIALES!$C$207)+(2*MATERIALES!$C$189)+(2*MATERIALES!$C$190)+(2*MATERIALES!$C$191)+(12*MATERIALES!$C$158)+(12*MATERIALES!$C$159)+((A78+(2*B78))*MATERIALES!$C$210)+((A78+(2*B78))*MATERIALES!$C$209)+(((A78*2)*(0.6*2))*MATERIALES!$C$141)+(((A78*4)+(B78*2))*MATERIALES!$C$165)+(0.5*MATERIALES!$C$167)+(((((A78*6)+(B78*2))/0.1)*MATERIALES!$C$192)*2)+(2*MATERIALES!$C$640)+(((A78*5)*2)*MATERIALES!$C$147)+(4*MATERIALES!$C$148)</f>
        <v>5364.1664960000007</v>
      </c>
      <c r="E78" s="75"/>
      <c r="F78" s="55">
        <f>(A78*0.6)*MATERIALES!$D$82</f>
        <v>254.39999999999998</v>
      </c>
      <c r="G78" s="59">
        <f t="shared" si="22"/>
        <v>5618.5664960000004</v>
      </c>
      <c r="H78" s="70">
        <f t="shared" si="23"/>
        <v>7482.2164448000012</v>
      </c>
      <c r="M78" s="68">
        <v>0.8</v>
      </c>
      <c r="N78" s="69">
        <v>2</v>
      </c>
      <c r="O78" s="59">
        <f>(((M78+(2*N78))*MATERIALES!$C$57)+((M78+(2*N78))*MATERIALES!$C$55)+(M78*MATERIALES!$C$59)+((M78+(N78*2))*MATERIALES!$C$58)+(((M78-0.2)*MATERIALES!$C$30)*((N78/3)/0.12))+((((M78*4)+(N78*6))*MATERIALES!$C$73)*2))*(MATERIALES!$F$2*MATERIALES!$J$15)</f>
        <v>0</v>
      </c>
      <c r="P78" s="59">
        <f>(1*MATERIALES!$C$204)+(1*MATERIALES!$C$205)+(3*MATERIALES!$C$207)+(2*MATERIALES!$C$189)+(2*MATERIALES!$C$190)+(2*MATERIALES!$C$191)+(16*MATERIALES!$C$158)+(16*MATERIALES!$C$159)+((M78+(2*N78))*MATERIALES!$C$210)+((M78+(2*N78))*MATERIALES!$C$209)+(((M78*2)+(N78*6))*MATERIALES!$C$141)+((((((M78*4)+(N78*6))/0.1))*MATERIALES!$C$192)*2)+(2*MATERIALES!$C$187)+(((M78*2)+((N78/3)*2))*MATERIALES!$C$165)+(0.25*MATERIALES!$C$167)+(((M78*5)*2)*MATERIALES!$C$147)+(4*MATERIALES!$C$148)</f>
        <v>5800.5469599999997</v>
      </c>
      <c r="Q78" s="75"/>
      <c r="R78" s="55">
        <f>(M78*N78)*MATERIALES!$D$82</f>
        <v>848</v>
      </c>
      <c r="S78" s="59">
        <f t="shared" si="24"/>
        <v>6648.5469599999997</v>
      </c>
      <c r="T78" s="70">
        <f t="shared" si="25"/>
        <v>9236.711048000001</v>
      </c>
    </row>
    <row r="79" spans="1:20">
      <c r="A79" s="68">
        <v>0.9</v>
      </c>
      <c r="B79" s="69">
        <v>2</v>
      </c>
      <c r="C79" s="59">
        <f>(((A79+(2*B79))*MATERIALES!$C$57)+((A79+(2*B79))*MATERIALES!$C$55)+(A79*MATERIALES!$C$59)+((A79*2)*MATERIALES!$C$58)+((((A79*6)+(B79*2))*MATERIALES!$C$73)*2)+(((A79-0.2)*MATERIALES!$C$30)*((B79-0.12)/0.12)))*(MATERIALES!$F$2*MATERIALES!$J$15)</f>
        <v>0</v>
      </c>
      <c r="D79" s="59">
        <f>(1*MATERIALES!$C$204)+(1*MATERIALES!$C$205)+(3*MATERIALES!$C$207)+(2*MATERIALES!$C$189)+(2*MATERIALES!$C$190)+(2*MATERIALES!$C$191)+(12*MATERIALES!$C$158)+(12*MATERIALES!$C$159)+((A79+(2*B79))*MATERIALES!$C$210)+((A79+(2*B79))*MATERIALES!$C$209)+(((A79*2)*(0.6*2))*MATERIALES!$C$141)+(((A79*4)+(B79*2))*MATERIALES!$C$165)+(0.5*MATERIALES!$C$167)+(((((A79*6)+(B79*2))/0.1)*MATERIALES!$C$192)*2)+(2*MATERIALES!$C$640)+(((A79*5)*2)*MATERIALES!$C$147)+(4*MATERIALES!$C$148)</f>
        <v>5409.9346080000005</v>
      </c>
      <c r="E79" s="75"/>
      <c r="F79" s="55">
        <f>(A79*0.6)*MATERIALES!$D$82</f>
        <v>286.20000000000005</v>
      </c>
      <c r="G79" s="59">
        <f t="shared" si="22"/>
        <v>5696.1346080000003</v>
      </c>
      <c r="H79" s="70">
        <f t="shared" si="23"/>
        <v>7605.3149904000002</v>
      </c>
      <c r="M79" s="68">
        <v>0.9</v>
      </c>
      <c r="N79" s="69">
        <v>2</v>
      </c>
      <c r="O79" s="59">
        <f>(((M79+(2*N79))*MATERIALES!$C$57)+((M79+(2*N79))*MATERIALES!$C$55)+(M79*MATERIALES!$C$59)+((M79+(N79*2))*MATERIALES!$C$58)+(((M79-0.2)*MATERIALES!$C$30)*((N79/3)/0.12))+((((M79*4)+(N79*6))*MATERIALES!$C$73)*2))*(MATERIALES!$F$2*MATERIALES!$J$15)</f>
        <v>0</v>
      </c>
      <c r="P79" s="59">
        <f>(1*MATERIALES!$C$204)+(1*MATERIALES!$C$205)+(3*MATERIALES!$C$207)+(2*MATERIALES!$C$189)+(2*MATERIALES!$C$190)+(2*MATERIALES!$C$191)+(16*MATERIALES!$C$158)+(16*MATERIALES!$C$159)+((M79+(2*N79))*MATERIALES!$C$210)+((M79+(2*N79))*MATERIALES!$C$209)+(((M79*2)+(N79*6))*MATERIALES!$C$141)+((((((M79*4)+(N79*6))/0.1))*MATERIALES!$C$192)*2)+(2*MATERIALES!$C$187)+(((M79*2)+((N79/3)*2))*MATERIALES!$C$165)+(0.25*MATERIALES!$C$167)+(((M79*5)*2)*MATERIALES!$C$147)+(4*MATERIALES!$C$148)</f>
        <v>5832.4572800000005</v>
      </c>
      <c r="Q79" s="75"/>
      <c r="R79" s="55">
        <f>(M79*N79)*MATERIALES!$D$82</f>
        <v>954</v>
      </c>
      <c r="S79" s="59">
        <f t="shared" si="24"/>
        <v>6786.4572800000005</v>
      </c>
      <c r="T79" s="70">
        <f t="shared" si="25"/>
        <v>9490.1944640000002</v>
      </c>
    </row>
    <row r="80" spans="1:20">
      <c r="A80" s="68">
        <v>0.6</v>
      </c>
      <c r="B80" s="69">
        <v>2.1</v>
      </c>
      <c r="C80" s="59">
        <f>(((A80+(2*B80))*MATERIALES!$C$57)+((A80+(2*B80))*MATERIALES!$C$55)+(A80*MATERIALES!$C$59)+((A80*2)*MATERIALES!$C$58)+((((A80*6)+(B80*2))*MATERIALES!$C$73)*2)+(((A80-0.2)*MATERIALES!$C$30)*((B80-0.12)/0.12)))*(MATERIALES!$F$2*MATERIALES!$J$15)</f>
        <v>0</v>
      </c>
      <c r="D80" s="59">
        <f>(1*MATERIALES!$C$204)+(1*MATERIALES!$C$205)+(3*MATERIALES!$C$207)+(2*MATERIALES!$C$189)+(2*MATERIALES!$C$190)+(2*MATERIALES!$C$191)+(12*MATERIALES!$C$158)+(12*MATERIALES!$C$159)+((A80+(2*B80))*MATERIALES!$C$210)+((A80+(2*B80))*MATERIALES!$C$209)+(((A80*2)*(0.6*2))*MATERIALES!$C$141)+(((A80*4)+(B80*2))*MATERIALES!$C$165)+(0.5*MATERIALES!$C$167)+(((((A80*6)+(B80*2))/0.1)*MATERIALES!$C$192)*2)+(2*MATERIALES!$C$640)+(((A80*5)*2)*MATERIALES!$C$147)+(4*MATERIALES!$C$148)</f>
        <v>5297.4384320000008</v>
      </c>
      <c r="E80" s="75"/>
      <c r="F80" s="55">
        <f>(A80*0.6)*MATERIALES!$D$82</f>
        <v>190.79999999999998</v>
      </c>
      <c r="G80" s="59">
        <f t="shared" si="22"/>
        <v>5488.238432000001</v>
      </c>
      <c r="H80" s="70">
        <f t="shared" si="23"/>
        <v>7268.2699616000018</v>
      </c>
      <c r="M80" s="68">
        <v>0.6</v>
      </c>
      <c r="N80" s="69">
        <v>2.1</v>
      </c>
      <c r="O80" s="59">
        <f>(((M80+(2*N80))*MATERIALES!$C$57)+((M80+(2*N80))*MATERIALES!$C$55)+(M80*MATERIALES!$C$59)+((M80+(N80*2))*MATERIALES!$C$58)+(((M80-0.2)*MATERIALES!$C$30)*((N80/3)/0.12))+((((M80*4)+(N80*6))*MATERIALES!$C$73)*2))*(MATERIALES!$F$2*MATERIALES!$J$15)</f>
        <v>0</v>
      </c>
      <c r="P80" s="59">
        <f>(1*MATERIALES!$C$204)+(1*MATERIALES!$C$205)+(3*MATERIALES!$C$207)+(2*MATERIALES!$C$189)+(2*MATERIALES!$C$190)+(2*MATERIALES!$C$191)+(16*MATERIALES!$C$158)+(16*MATERIALES!$C$159)+((M80+(2*N80))*MATERIALES!$C$210)+((M80+(2*N80))*MATERIALES!$C$209)+(((M80*2)+(N80*6))*MATERIALES!$C$141)+((((((M80*4)+(N80*6))/0.1))*MATERIALES!$C$192)*2)+(2*MATERIALES!$C$187)+(((M80*2)+((N80/3)*2))*MATERIALES!$C$165)+(0.25*MATERIALES!$C$167)+(((M80*5)*2)*MATERIALES!$C$147)+(4*MATERIALES!$C$148)</f>
        <v>5788.9655199999997</v>
      </c>
      <c r="Q80" s="75"/>
      <c r="R80" s="55">
        <f>(M80*N80)*MATERIALES!$D$82</f>
        <v>667.8</v>
      </c>
      <c r="S80" s="59">
        <f t="shared" si="24"/>
        <v>6456.7655199999999</v>
      </c>
      <c r="T80" s="70">
        <f t="shared" si="25"/>
        <v>8861.2551760000006</v>
      </c>
    </row>
    <row r="81" spans="1:21">
      <c r="A81" s="68">
        <v>0.7</v>
      </c>
      <c r="B81" s="69">
        <v>2.1</v>
      </c>
      <c r="C81" s="59">
        <f>(((A81+(2*B81))*MATERIALES!$C$57)+((A81+(2*B81))*MATERIALES!$C$55)+(A81*MATERIALES!$C$59)+((A81*2)*MATERIALES!$C$58)+((((A81*6)+(B81*2))*MATERIALES!$C$73)*2)+(((A81-0.2)*MATERIALES!$C$30)*((B81-0.12)/0.12)))*(MATERIALES!$F$2*MATERIALES!$J$15)</f>
        <v>0</v>
      </c>
      <c r="D81" s="59">
        <f>(1*MATERIALES!$C$204)+(1*MATERIALES!$C$205)+(3*MATERIALES!$C$207)+(2*MATERIALES!$C$189)+(2*MATERIALES!$C$190)+(2*MATERIALES!$C$191)+(12*MATERIALES!$C$158)+(12*MATERIALES!$C$159)+((A81+(2*B81))*MATERIALES!$C$210)+((A81+(2*B81))*MATERIALES!$C$209)+(((A81*2)*(0.6*2))*MATERIALES!$C$141)+(((A81*4)+(B81*2))*MATERIALES!$C$165)+(0.5*MATERIALES!$C$167)+(((((A81*6)+(B81*2))/0.1)*MATERIALES!$C$192)*2)+(2*MATERIALES!$C$640)+(((A81*5)*2)*MATERIALES!$C$147)+(4*MATERIALES!$C$148)</f>
        <v>5343.2065440000006</v>
      </c>
      <c r="E81" s="75"/>
      <c r="F81" s="55">
        <f>(A81*0.6)*MATERIALES!$D$82</f>
        <v>222.6</v>
      </c>
      <c r="G81" s="59">
        <f t="shared" si="22"/>
        <v>5565.8065440000009</v>
      </c>
      <c r="H81" s="70">
        <f t="shared" si="23"/>
        <v>7391.3685072000007</v>
      </c>
      <c r="M81" s="68">
        <v>0.7</v>
      </c>
      <c r="N81" s="69">
        <v>2.1</v>
      </c>
      <c r="O81" s="59">
        <f>(((M81+(2*N81))*MATERIALES!$C$57)+((M81+(2*N81))*MATERIALES!$C$55)+(M81*MATERIALES!$C$59)+((M81+(N81*2))*MATERIALES!$C$58)+(((M81-0.2)*MATERIALES!$C$30)*((N81/3)/0.12))+((((M81*4)+(N81*6))*MATERIALES!$C$73)*2))*(MATERIALES!$F$2*MATERIALES!$J$15)</f>
        <v>0</v>
      </c>
      <c r="P81" s="59">
        <f>(1*MATERIALES!$C$204)+(1*MATERIALES!$C$205)+(3*MATERIALES!$C$207)+(2*MATERIALES!$C$189)+(2*MATERIALES!$C$190)+(2*MATERIALES!$C$191)+(16*MATERIALES!$C$158)+(16*MATERIALES!$C$159)+((M81+(2*N81))*MATERIALES!$C$210)+((M81+(2*N81))*MATERIALES!$C$209)+(((M81*2)+(N81*6))*MATERIALES!$C$141)+((((((M81*4)+(N81*6))/0.1))*MATERIALES!$C$192)*2)+(2*MATERIALES!$C$187)+(((M81*2)+((N81/3)*2))*MATERIALES!$C$165)+(0.25*MATERIALES!$C$167)+(((M81*5)*2)*MATERIALES!$C$147)+(4*MATERIALES!$C$148)</f>
        <v>5820.8758400000006</v>
      </c>
      <c r="Q81" s="75"/>
      <c r="R81" s="55">
        <f>(M81*N81)*MATERIALES!$D$82</f>
        <v>779.1</v>
      </c>
      <c r="S81" s="59">
        <f t="shared" si="24"/>
        <v>6599.975840000001</v>
      </c>
      <c r="T81" s="70">
        <f t="shared" si="25"/>
        <v>9125.3385920000019</v>
      </c>
    </row>
    <row r="82" spans="1:21">
      <c r="A82" s="68">
        <v>0.8</v>
      </c>
      <c r="B82" s="69">
        <v>2.1</v>
      </c>
      <c r="C82" s="59">
        <f>(((A82+(2*B82))*MATERIALES!$C$57)+((A82+(2*B82))*MATERIALES!$C$55)+(A82*MATERIALES!$C$59)+((A82*2)*MATERIALES!$C$58)+((((A82*6)+(B82*2))*MATERIALES!$C$73)*2)+(((A82-0.2)*MATERIALES!$C$30)*((B82-0.12)/0.12)))*(MATERIALES!$F$2*MATERIALES!$J$15)</f>
        <v>0</v>
      </c>
      <c r="D82" s="59">
        <f>(1*MATERIALES!$C$204)+(1*MATERIALES!$C$205)+(3*MATERIALES!$C$207)+(2*MATERIALES!$C$189)+(2*MATERIALES!$C$190)+(2*MATERIALES!$C$191)+(12*MATERIALES!$C$158)+(12*MATERIALES!$C$159)+((A82+(2*B82))*MATERIALES!$C$210)+((A82+(2*B82))*MATERIALES!$C$209)+(((A82*2)*(0.6*2))*MATERIALES!$C$141)+(((A82*4)+(B82*2))*MATERIALES!$C$165)+(0.5*MATERIALES!$C$167)+(((((A82*6)+(B82*2))/0.1)*MATERIALES!$C$192)*2)+(2*MATERIALES!$C$640)+(((A82*5)*2)*MATERIALES!$C$147)+(4*MATERIALES!$C$148)</f>
        <v>5388.9746560000003</v>
      </c>
      <c r="E82" s="75"/>
      <c r="F82" s="55">
        <f>(A82*0.6)*MATERIALES!$D$82</f>
        <v>254.39999999999998</v>
      </c>
      <c r="G82" s="59">
        <f t="shared" si="22"/>
        <v>5643.374656</v>
      </c>
      <c r="H82" s="70">
        <f t="shared" si="23"/>
        <v>7514.4670528000006</v>
      </c>
      <c r="M82" s="68">
        <v>0.8</v>
      </c>
      <c r="N82" s="69">
        <v>2.1</v>
      </c>
      <c r="O82" s="59">
        <f>(((M82+(2*N82))*MATERIALES!$C$57)+((M82+(2*N82))*MATERIALES!$C$55)+(M82*MATERIALES!$C$59)+((M82+(N82*2))*MATERIALES!$C$58)+(((M82-0.2)*MATERIALES!$C$30)*((N82/3)/0.12))+((((M82*4)+(N82*6))*MATERIALES!$C$73)*2))*(MATERIALES!$F$2*MATERIALES!$J$15)</f>
        <v>0</v>
      </c>
      <c r="P82" s="59">
        <f>(1*MATERIALES!$C$204)+(1*MATERIALES!$C$205)+(3*MATERIALES!$C$207)+(2*MATERIALES!$C$189)+(2*MATERIALES!$C$190)+(2*MATERIALES!$C$191)+(16*MATERIALES!$C$158)+(16*MATERIALES!$C$159)+((M82+(2*N82))*MATERIALES!$C$210)+((M82+(2*N82))*MATERIALES!$C$209)+(((M82*2)+(N82*6))*MATERIALES!$C$141)+((((((M82*4)+(N82*6))/0.1))*MATERIALES!$C$192)*2)+(2*MATERIALES!$C$187)+(((M82*2)+((N82/3)*2))*MATERIALES!$C$165)+(0.25*MATERIALES!$C$167)+(((M82*5)*2)*MATERIALES!$C$147)+(4*MATERIALES!$C$148)</f>
        <v>5852.7861599999997</v>
      </c>
      <c r="Q82" s="75"/>
      <c r="R82" s="55">
        <f>(M82*N82)*MATERIALES!$D$82</f>
        <v>890.40000000000009</v>
      </c>
      <c r="S82" s="59">
        <f t="shared" si="24"/>
        <v>6743.1861599999993</v>
      </c>
      <c r="T82" s="70">
        <f t="shared" si="25"/>
        <v>9389.4220079999996</v>
      </c>
    </row>
    <row r="83" spans="1:21" ht="15.75" thickBot="1">
      <c r="A83" s="71">
        <v>0.9</v>
      </c>
      <c r="B83" s="72">
        <v>2.1</v>
      </c>
      <c r="C83" s="60">
        <f>(((A83+(2*B83))*MATERIALES!$C$57)+((A83+(2*B83))*MATERIALES!$C$55)+(A83*MATERIALES!$C$59)+((A83*2)*MATERIALES!$C$58)+((((A83*6)+(B83*2))*MATERIALES!$C$73)*2)+(((A83-0.2)*MATERIALES!$C$30)*((B83-0.12)/0.12)))*(MATERIALES!$F$2*MATERIALES!$J$15)</f>
        <v>0</v>
      </c>
      <c r="D83" s="60">
        <f>(1*MATERIALES!$C$204)+(1*MATERIALES!$C$205)+(3*MATERIALES!$C$207)+(2*MATERIALES!$C$189)+(2*MATERIALES!$C$190)+(2*MATERIALES!$C$191)+(12*MATERIALES!$C$158)+(12*MATERIALES!$C$159)+((A83+(2*B83))*MATERIALES!$C$210)+((A83+(2*B83))*MATERIALES!$C$209)+(((A83*2)*(0.6*2))*MATERIALES!$C$141)+(((A83*4)+(B83*2))*MATERIALES!$C$165)+(0.5*MATERIALES!$C$167)+(((((A83*6)+(B83*2))/0.1)*MATERIALES!$C$192)*2)+(2*MATERIALES!$C$640)+(((A83*5)*2)*MATERIALES!$C$147)+(4*MATERIALES!$C$148)</f>
        <v>5434.7427680000001</v>
      </c>
      <c r="E83" s="76"/>
      <c r="F83" s="56">
        <f>(A83*0.6)*MATERIALES!$D$82</f>
        <v>286.20000000000005</v>
      </c>
      <c r="G83" s="60">
        <f t="shared" si="22"/>
        <v>5720.9427679999999</v>
      </c>
      <c r="H83" s="73">
        <f t="shared" si="23"/>
        <v>7637.5655984000005</v>
      </c>
      <c r="M83" s="71">
        <v>0.9</v>
      </c>
      <c r="N83" s="72">
        <v>2.1</v>
      </c>
      <c r="O83" s="60">
        <f>(((M83+(2*N83))*MATERIALES!$C$57)+((M83+(2*N83))*MATERIALES!$C$55)+(M83*MATERIALES!$C$59)+((M83+(N83*2))*MATERIALES!$C$58)+(((M83-0.2)*MATERIALES!$C$30)*((N83/3)/0.12))+((((M83*4)+(N83*6))*MATERIALES!$C$73)*2))*(MATERIALES!$F$2*MATERIALES!$J$15)</f>
        <v>0</v>
      </c>
      <c r="P83" s="60">
        <f>(1*MATERIALES!$C$204)+(1*MATERIALES!$C$205)+(3*MATERIALES!$C$207)+(2*MATERIALES!$C$189)+(2*MATERIALES!$C$190)+(2*MATERIALES!$C$191)+(16*MATERIALES!$C$158)+(16*MATERIALES!$C$159)+((M83+(2*N83))*MATERIALES!$C$210)+((M83+(2*N83))*MATERIALES!$C$209)+(((M83*2)+(N83*6))*MATERIALES!$C$141)+((((((M83*4)+(N83*6))/0.1))*MATERIALES!$C$192)*2)+(2*MATERIALES!$C$187)+(((M83*2)+((N83/3)*2))*MATERIALES!$C$165)+(0.25*MATERIALES!$C$167)+(((M83*5)*2)*MATERIALES!$C$147)+(4*MATERIALES!$C$148)</f>
        <v>5884.6964799999996</v>
      </c>
      <c r="Q83" s="76"/>
      <c r="R83" s="56">
        <f>(M83*N83)*MATERIALES!$D$82</f>
        <v>1001.7</v>
      </c>
      <c r="S83" s="60">
        <f t="shared" si="24"/>
        <v>6886.3964799999994</v>
      </c>
      <c r="T83" s="73">
        <f t="shared" si="25"/>
        <v>9653.505423999999</v>
      </c>
    </row>
    <row r="85" spans="1:21" ht="15.75" thickBot="1">
      <c r="O85" s="78"/>
    </row>
    <row r="86" spans="1:21" ht="15.75" thickBot="1">
      <c r="A86" s="32"/>
      <c r="B86" s="32"/>
      <c r="C86" s="801">
        <v>0.3</v>
      </c>
      <c r="D86" s="802"/>
      <c r="E86" s="803"/>
      <c r="F86" s="61">
        <v>1</v>
      </c>
      <c r="G86" s="32"/>
      <c r="H86" s="46" t="s">
        <v>163</v>
      </c>
      <c r="M86" s="32"/>
      <c r="N86" s="32"/>
      <c r="O86" s="801">
        <v>0.3</v>
      </c>
      <c r="P86" s="802"/>
      <c r="Q86" s="802"/>
      <c r="R86" s="803"/>
      <c r="S86" s="32"/>
      <c r="T86" s="46" t="s">
        <v>163</v>
      </c>
    </row>
    <row r="87" spans="1:21" ht="15.75" thickBot="1">
      <c r="A87" s="792" t="s">
        <v>225</v>
      </c>
      <c r="B87" s="793"/>
      <c r="C87" s="793"/>
      <c r="D87" s="793"/>
      <c r="E87" s="793"/>
      <c r="F87" s="793"/>
      <c r="G87" s="793"/>
      <c r="H87" s="794"/>
      <c r="M87" s="792" t="s">
        <v>222</v>
      </c>
      <c r="N87" s="793"/>
      <c r="O87" s="793"/>
      <c r="P87" s="793"/>
      <c r="Q87" s="793"/>
      <c r="R87" s="793"/>
      <c r="S87" s="793"/>
      <c r="T87" s="794"/>
      <c r="U87" s="882" t="s">
        <v>254</v>
      </c>
    </row>
    <row r="88" spans="1:21" ht="15.75" thickBot="1">
      <c r="A88" s="36" t="s">
        <v>116</v>
      </c>
      <c r="B88" s="36" t="s">
        <v>117</v>
      </c>
      <c r="C88" s="36" t="s">
        <v>162</v>
      </c>
      <c r="D88" s="36" t="s">
        <v>119</v>
      </c>
      <c r="E88" s="36" t="s">
        <v>120</v>
      </c>
      <c r="F88" s="36" t="s">
        <v>118</v>
      </c>
      <c r="G88" s="36" t="s">
        <v>121</v>
      </c>
      <c r="H88" s="36" t="s">
        <v>122</v>
      </c>
      <c r="M88" s="36" t="s">
        <v>116</v>
      </c>
      <c r="N88" s="36" t="s">
        <v>117</v>
      </c>
      <c r="O88" s="36" t="s">
        <v>162</v>
      </c>
      <c r="P88" s="36" t="s">
        <v>119</v>
      </c>
      <c r="Q88" s="36" t="s">
        <v>120</v>
      </c>
      <c r="R88" s="36" t="s">
        <v>118</v>
      </c>
      <c r="S88" s="36" t="s">
        <v>121</v>
      </c>
      <c r="T88" s="36" t="s">
        <v>122</v>
      </c>
      <c r="U88" s="883"/>
    </row>
    <row r="89" spans="1:21" ht="15.75" thickBot="1">
      <c r="A89" s="795"/>
      <c r="B89" s="796"/>
      <c r="C89" s="796"/>
      <c r="D89" s="796"/>
      <c r="E89" s="796"/>
      <c r="F89" s="796"/>
      <c r="G89" s="796"/>
      <c r="H89" s="797"/>
      <c r="M89" s="795"/>
      <c r="N89" s="796"/>
      <c r="O89" s="796"/>
      <c r="P89" s="796"/>
      <c r="Q89" s="796"/>
      <c r="R89" s="796"/>
      <c r="S89" s="796"/>
      <c r="T89" s="797"/>
      <c r="U89" s="883"/>
    </row>
    <row r="90" spans="1:21">
      <c r="A90" s="65">
        <v>0.6</v>
      </c>
      <c r="B90" s="66">
        <v>2</v>
      </c>
      <c r="C90" s="58">
        <f>(((A90+(2*B90))*MATERIALES!$C$57)+((A90+(2*B90))*MATERIALES!$C$55)+(A90*MATERIALES!$C$59)+((A90*1)*MATERIALES!$C$58)+((((A90*4)+(B90*2))*MATERIALES!$C$73)*2)+(((A90-0.2)*MATERIALES!$C$30)*((B90-0.36)/0.12)))*(MATERIALES!$F$2*MATERIALES!$J$15)</f>
        <v>0</v>
      </c>
      <c r="D90" s="58">
        <f>(1*MATERIALES!$C$204)+(1*MATERIALES!$C$205)+(3*MATERIALES!$C$207)+(2*MATERIALES!$C$189)+(2*MATERIALES!$C$190)+(2*MATERIALES!$C$191)+(8*MATERIALES!$C$158)+(8*MATERIALES!$C$159)+((A90+(2*B90))*MATERIALES!$C$210)+((A90+(2*B90))*MATERIALES!$C$209)+(((A90*2)*(0.6*2))*MATERIALES!$C$141)+(((A90*2)+(B90*2))*MATERIALES!$C$165)+(0.5*MATERIALES!$C$167)+(2*MATERIALES!$C$187)+(((((A90*4)+(B90*2))/0.1)*MATERIALES!$C$192)*2)+(((A90*5)*2)*MATERIALES!$C$147)+(4*MATERIALES!$C$148)</f>
        <v>5140.8373120000006</v>
      </c>
      <c r="E90" s="74"/>
      <c r="F90" s="54">
        <f>(A90*0.6)*MATERIALES!$D$82</f>
        <v>190.79999999999998</v>
      </c>
      <c r="G90" s="58">
        <f>SUM(C90:F90)</f>
        <v>5331.6373120000007</v>
      </c>
      <c r="H90" s="67">
        <f>(SUM(C90:E90)*1.3)+(F90*2)</f>
        <v>7064.688505600001</v>
      </c>
      <c r="M90" s="65">
        <v>0.6</v>
      </c>
      <c r="N90" s="66">
        <v>2</v>
      </c>
      <c r="O90" s="58">
        <f>(((M90+(2*N90))*MATERIALES!$C$57)+((M90+(2*N90))*MATERIALES!$C$55)+(M90*MATERIALES!$C$59)+(((M90*2)+(N90*2))*MATERIALES!$C$31)+(((M90*2)+(N90))*MATERIALES!$C$32))*(MATERIALES!$F$2*MATERIALES!$J$15)</f>
        <v>0</v>
      </c>
      <c r="P90" s="58">
        <f>(1*MATERIALES!$C$204)+(1*MATERIALES!$C$205)+(3*MATERIALES!$C$207)+(2*MATERIALES!$C$189)+(2*MATERIALES!$C$190)+(2*MATERIALES!$C$191)+(10*MATERIALES!$C$158)+(10*MATERIALES!$C$159)+((M90+(2*N90))*MATERIALES!$C$210)+((M90+(2*N90))*MATERIALES!$C$209)+(((M90*6)+(N90*4))*MATERIALES!$C$166)+(2*MATERIALES!$C$187)+(((M90*5)*2)*MATERIALES!$C$147)+(4*MATERIALES!$C$148)</f>
        <v>4831.7214400000003</v>
      </c>
      <c r="Q90" s="74"/>
      <c r="R90" s="54">
        <f>(M90*N90)*MATERIALES!$D$82</f>
        <v>636</v>
      </c>
      <c r="S90" s="58">
        <f>SUM(O90:R90)</f>
        <v>5467.7214400000003</v>
      </c>
      <c r="T90" s="67">
        <f>(SUM(O90:Q90)*1.3)+(R90*2)</f>
        <v>7553.2378720000006</v>
      </c>
      <c r="U90" s="787"/>
    </row>
    <row r="91" spans="1:21">
      <c r="A91" s="68">
        <v>0.7</v>
      </c>
      <c r="B91" s="69">
        <v>2</v>
      </c>
      <c r="C91" s="59">
        <f>(((A91+(2*B91))*MATERIALES!$C$57)+((A91+(2*B91))*MATERIALES!$C$55)+(A91*MATERIALES!$C$59)+((A91*1)*MATERIALES!$C$58)+((((A91*4)+(B91*2))*MATERIALES!$C$73)*2)+(((A91-0.2)*MATERIALES!$C$30)*((B91-0.36)/0.12)))*(MATERIALES!$F$2*MATERIALES!$J$15)</f>
        <v>0</v>
      </c>
      <c r="D91" s="59">
        <f>(1*MATERIALES!$C$204)+(1*MATERIALES!$C$205)+(3*MATERIALES!$C$207)+(2*MATERIALES!$C$189)+(2*MATERIALES!$C$190)+(2*MATERIALES!$C$191)+(8*MATERIALES!$C$158)+(8*MATERIALES!$C$159)+((A91+(2*B91))*MATERIALES!$C$210)+((A91+(2*B91))*MATERIALES!$C$209)+(((A91*2)*(0.6*2))*MATERIALES!$C$141)+(((A91*2)+(B91*2))*MATERIALES!$C$165)+(0.5*MATERIALES!$C$167)+(2*MATERIALES!$C$187)+(((((A91*4)+(B91*2))/0.1)*MATERIALES!$C$192)*2)+(((A91*5)*2)*MATERIALES!$C$147)+(4*MATERIALES!$C$148)</f>
        <v>5173.6012639999999</v>
      </c>
      <c r="E91" s="75"/>
      <c r="F91" s="55">
        <f>(A91*0.6)*MATERIALES!$D$82</f>
        <v>222.6</v>
      </c>
      <c r="G91" s="59">
        <f t="shared" ref="G91:G97" si="26">SUM(C91:F91)</f>
        <v>5396.2012640000003</v>
      </c>
      <c r="H91" s="70">
        <f t="shared" ref="H91:H97" si="27">(SUM(C91:E91)*1.3)+(F91*2)</f>
        <v>7170.8816432000003</v>
      </c>
      <c r="M91" s="68">
        <v>0.7</v>
      </c>
      <c r="N91" s="69">
        <v>2</v>
      </c>
      <c r="O91" s="59">
        <f>(((M91+(2*N91))*MATERIALES!$C$57)+((M91+(2*N91))*MATERIALES!$C$55)+(M91*MATERIALES!$C$59)+(((M91*2)+(N91*2))*MATERIALES!$C$31)+(((M91*2)+(N91))*MATERIALES!$C$32))*(MATERIALES!$F$2*MATERIALES!$J$15)</f>
        <v>0</v>
      </c>
      <c r="P91" s="59">
        <f>(1*MATERIALES!$C$204)+(1*MATERIALES!$C$205)+(3*MATERIALES!$C$207)+(2*MATERIALES!$C$189)+(2*MATERIALES!$C$190)+(2*MATERIALES!$C$191)+(10*MATERIALES!$C$158)+(10*MATERIALES!$C$159)+((M91+(2*N91))*MATERIALES!$C$210)+((M91+(2*N91))*MATERIALES!$C$209)+(((M91*6)+(N91*4))*MATERIALES!$C$166)+(2*MATERIALES!$C$187)+(((M91*5)*2)*MATERIALES!$C$147)+(4*MATERIALES!$C$148)</f>
        <v>4848.9240799999989</v>
      </c>
      <c r="Q91" s="75"/>
      <c r="R91" s="55">
        <f>(M91*N91)*MATERIALES!$D$82</f>
        <v>742</v>
      </c>
      <c r="S91" s="59">
        <f t="shared" ref="S91:S97" si="28">SUM(O91:R91)</f>
        <v>5590.9240799999989</v>
      </c>
      <c r="T91" s="70">
        <f t="shared" ref="T91:T97" si="29">(SUM(O91:Q91)*1.3)+(R91*2)</f>
        <v>7787.6013039999989</v>
      </c>
      <c r="U91" s="787"/>
    </row>
    <row r="92" spans="1:21">
      <c r="A92" s="68">
        <v>0.8</v>
      </c>
      <c r="B92" s="69">
        <v>2</v>
      </c>
      <c r="C92" s="59">
        <f>(((A92+(2*B92))*MATERIALES!$C$57)+((A92+(2*B92))*MATERIALES!$C$55)+(A92*MATERIALES!$C$59)+((A92*1)*MATERIALES!$C$58)+((((A92*4)+(B92*2))*MATERIALES!$C$73)*2)+(((A92-0.2)*MATERIALES!$C$30)*((B92-0.36)/0.12)))*(MATERIALES!$F$2*MATERIALES!$J$15)</f>
        <v>0</v>
      </c>
      <c r="D92" s="59">
        <f>(1*MATERIALES!$C$204)+(1*MATERIALES!$C$205)+(3*MATERIALES!$C$207)+(2*MATERIALES!$C$189)+(2*MATERIALES!$C$190)+(2*MATERIALES!$C$191)+(8*MATERIALES!$C$158)+(8*MATERIALES!$C$159)+((A92+(2*B92))*MATERIALES!$C$210)+((A92+(2*B92))*MATERIALES!$C$209)+(((A92*2)*(0.6*2))*MATERIALES!$C$141)+(((A92*2)+(B92*2))*MATERIALES!$C$165)+(0.5*MATERIALES!$C$167)+(2*MATERIALES!$C$187)+(((((A92*4)+(B92*2))/0.1)*MATERIALES!$C$192)*2)+(((A92*5)*2)*MATERIALES!$C$147)+(4*MATERIALES!$C$148)</f>
        <v>5206.3652160000011</v>
      </c>
      <c r="E92" s="75"/>
      <c r="F92" s="55">
        <f>(A92*0.6)*MATERIALES!$D$82</f>
        <v>254.39999999999998</v>
      </c>
      <c r="G92" s="59">
        <f t="shared" si="26"/>
        <v>5460.7652160000007</v>
      </c>
      <c r="H92" s="70">
        <f t="shared" si="27"/>
        <v>7277.0747808000015</v>
      </c>
      <c r="M92" s="68">
        <v>0.8</v>
      </c>
      <c r="N92" s="69">
        <v>2</v>
      </c>
      <c r="O92" s="59">
        <f>(((M92+(2*N92))*MATERIALES!$C$57)+((M92+(2*N92))*MATERIALES!$C$55)+(M92*MATERIALES!$C$59)+(((M92*2)+(N92*2))*MATERIALES!$C$31)+(((M92*2)+(N92))*MATERIALES!$C$32))*(MATERIALES!$F$2*MATERIALES!$J$15)</f>
        <v>0</v>
      </c>
      <c r="P92" s="59">
        <f>(1*MATERIALES!$C$204)+(1*MATERIALES!$C$205)+(3*MATERIALES!$C$207)+(2*MATERIALES!$C$189)+(2*MATERIALES!$C$190)+(2*MATERIALES!$C$191)+(10*MATERIALES!$C$158)+(10*MATERIALES!$C$159)+((M92+(2*N92))*MATERIALES!$C$210)+((M92+(2*N92))*MATERIALES!$C$209)+(((M92*6)+(N92*4))*MATERIALES!$C$166)+(2*MATERIALES!$C$187)+(((M92*5)*2)*MATERIALES!$C$147)+(4*MATERIALES!$C$148)</f>
        <v>4866.1267200000002</v>
      </c>
      <c r="Q92" s="75"/>
      <c r="R92" s="55">
        <f>(M92*N92)*MATERIALES!$D$82</f>
        <v>848</v>
      </c>
      <c r="S92" s="59">
        <f t="shared" si="28"/>
        <v>5714.1267200000002</v>
      </c>
      <c r="T92" s="70">
        <f t="shared" si="29"/>
        <v>8021.9647360000008</v>
      </c>
      <c r="U92" s="787"/>
    </row>
    <row r="93" spans="1:21">
      <c r="A93" s="68">
        <v>0.9</v>
      </c>
      <c r="B93" s="69">
        <v>2</v>
      </c>
      <c r="C93" s="59">
        <f>(((A93+(2*B93))*MATERIALES!$C$57)+((A93+(2*B93))*MATERIALES!$C$55)+(A93*MATERIALES!$C$59)+((A93*1)*MATERIALES!$C$58)+((((A93*4)+(B93*2))*MATERIALES!$C$73)*2)+(((A93-0.2)*MATERIALES!$C$30)*((B93-0.36)/0.12)))*(MATERIALES!$F$2*MATERIALES!$J$15)</f>
        <v>0</v>
      </c>
      <c r="D93" s="59">
        <f>(1*MATERIALES!$C$204)+(1*MATERIALES!$C$205)+(3*MATERIALES!$C$207)+(2*MATERIALES!$C$189)+(2*MATERIALES!$C$190)+(2*MATERIALES!$C$191)+(8*MATERIALES!$C$158)+(8*MATERIALES!$C$159)+((A93+(2*B93))*MATERIALES!$C$210)+((A93+(2*B93))*MATERIALES!$C$209)+(((A93*2)*(0.6*2))*MATERIALES!$C$141)+(((A93*2)+(B93*2))*MATERIALES!$C$165)+(0.5*MATERIALES!$C$167)+(2*MATERIALES!$C$187)+(((((A93*4)+(B93*2))/0.1)*MATERIALES!$C$192)*2)+(((A93*5)*2)*MATERIALES!$C$147)+(4*MATERIALES!$C$148)</f>
        <v>5239.1291680000004</v>
      </c>
      <c r="E93" s="75"/>
      <c r="F93" s="55">
        <f>(A93*0.6)*MATERIALES!$D$82</f>
        <v>286.20000000000005</v>
      </c>
      <c r="G93" s="59">
        <f t="shared" si="26"/>
        <v>5525.3291680000002</v>
      </c>
      <c r="H93" s="70">
        <f t="shared" si="27"/>
        <v>7383.2679184000008</v>
      </c>
      <c r="M93" s="68">
        <v>0.9</v>
      </c>
      <c r="N93" s="69">
        <v>2</v>
      </c>
      <c r="O93" s="59">
        <f>(((M93+(2*N93))*MATERIALES!$C$57)+((M93+(2*N93))*MATERIALES!$C$55)+(M93*MATERIALES!$C$59)+(((M93*2)+(N93*2))*MATERIALES!$C$31)+(((M93*2)+(N93))*MATERIALES!$C$32))*(MATERIALES!$F$2*MATERIALES!$J$15)</f>
        <v>0</v>
      </c>
      <c r="P93" s="59">
        <f>(1*MATERIALES!$C$204)+(1*MATERIALES!$C$205)+(3*MATERIALES!$C$207)+(2*MATERIALES!$C$189)+(2*MATERIALES!$C$190)+(2*MATERIALES!$C$191)+(10*MATERIALES!$C$158)+(10*MATERIALES!$C$159)+((M93+(2*N93))*MATERIALES!$C$210)+((M93+(2*N93))*MATERIALES!$C$209)+(((M93*6)+(N93*4))*MATERIALES!$C$166)+(2*MATERIALES!$C$187)+(((M93*5)*2)*MATERIALES!$C$147)+(4*MATERIALES!$C$148)</f>
        <v>4883.3293600000006</v>
      </c>
      <c r="Q93" s="75"/>
      <c r="R93" s="55">
        <f>(M93*N93)*MATERIALES!$D$82</f>
        <v>954</v>
      </c>
      <c r="S93" s="59">
        <f t="shared" si="28"/>
        <v>5837.3293600000006</v>
      </c>
      <c r="T93" s="70">
        <f t="shared" si="29"/>
        <v>8256.328168</v>
      </c>
      <c r="U93" s="787"/>
    </row>
    <row r="94" spans="1:21">
      <c r="A94" s="68">
        <v>0.6</v>
      </c>
      <c r="B94" s="69">
        <v>2.1</v>
      </c>
      <c r="C94" s="59">
        <f>(((A94+(2*B94))*MATERIALES!$C$57)+((A94+(2*B94))*MATERIALES!$C$55)+(A94*MATERIALES!$C$59)+((A94*1)*MATERIALES!$C$58)+((((A94*4)+(B94*2))*MATERIALES!$C$73)*2)+(((A94-0.2)*MATERIALES!$C$30)*((B94-0.36)/0.12)))*(MATERIALES!$F$2*MATERIALES!$J$15)</f>
        <v>0</v>
      </c>
      <c r="D94" s="59">
        <f>(1*MATERIALES!$C$204)+(1*MATERIALES!$C$205)+(3*MATERIALES!$C$207)+(2*MATERIALES!$C$189)+(2*MATERIALES!$C$190)+(2*MATERIALES!$C$191)+(8*MATERIALES!$C$158)+(8*MATERIALES!$C$159)+((A94+(2*B94))*MATERIALES!$C$210)+((A94+(2*B94))*MATERIALES!$C$209)+(((A94*2)*(0.6*2))*MATERIALES!$C$141)+(((A94*2)+(B94*2))*MATERIALES!$C$165)+(0.5*MATERIALES!$C$167)+(2*MATERIALES!$C$187)+(((((A94*4)+(B94*2))/0.1)*MATERIALES!$C$192)*2)+(((A94*5)*2)*MATERIALES!$C$147)+(4*MATERIALES!$C$148)</f>
        <v>5165.6454720000002</v>
      </c>
      <c r="E94" s="75"/>
      <c r="F94" s="55">
        <f>(A94*0.6)*MATERIALES!$D$82</f>
        <v>190.79999999999998</v>
      </c>
      <c r="G94" s="59">
        <f t="shared" si="26"/>
        <v>5356.4454720000003</v>
      </c>
      <c r="H94" s="70">
        <f t="shared" si="27"/>
        <v>7096.9391136000004</v>
      </c>
      <c r="M94" s="68">
        <v>0.6</v>
      </c>
      <c r="N94" s="69">
        <v>2.1</v>
      </c>
      <c r="O94" s="59">
        <f>(((M94+(2*N94))*MATERIALES!$C$57)+((M94+(2*N94))*MATERIALES!$C$55)+(M94*MATERIALES!$C$59)+(((M94*2)+(N94*2))*MATERIALES!$C$31)+(((M94*2)+(N94))*MATERIALES!$C$32))*(MATERIALES!$F$2*MATERIALES!$J$15)</f>
        <v>0</v>
      </c>
      <c r="P94" s="59">
        <f>(1*MATERIALES!$C$204)+(1*MATERIALES!$C$205)+(3*MATERIALES!$C$207)+(2*MATERIALES!$C$189)+(2*MATERIALES!$C$190)+(2*MATERIALES!$C$191)+(10*MATERIALES!$C$158)+(10*MATERIALES!$C$159)+((M94+(2*N94))*MATERIALES!$C$210)+((M94+(2*N94))*MATERIALES!$C$209)+(((M94*6)+(N94*4))*MATERIALES!$C$166)+(2*MATERIALES!$C$187)+(((M94*5)*2)*MATERIALES!$C$147)+(4*MATERIALES!$C$148)</f>
        <v>4851.0591999999997</v>
      </c>
      <c r="Q94" s="75"/>
      <c r="R94" s="55">
        <f>(M94*N94)*MATERIALES!$D$82</f>
        <v>667.8</v>
      </c>
      <c r="S94" s="59">
        <f t="shared" si="28"/>
        <v>5518.8591999999999</v>
      </c>
      <c r="T94" s="70">
        <f t="shared" si="29"/>
        <v>7641.97696</v>
      </c>
      <c r="U94" s="787"/>
    </row>
    <row r="95" spans="1:21">
      <c r="A95" s="68">
        <v>0.7</v>
      </c>
      <c r="B95" s="69">
        <v>2.1</v>
      </c>
      <c r="C95" s="59">
        <f>(((A95+(2*B95))*MATERIALES!$C$57)+((A95+(2*B95))*MATERIALES!$C$55)+(A95*MATERIALES!$C$59)+((A95*1)*MATERIALES!$C$58)+((((A95*4)+(B95*2))*MATERIALES!$C$73)*2)+(((A95-0.2)*MATERIALES!$C$30)*((B95-0.36)/0.12)))*(MATERIALES!$F$2*MATERIALES!$J$15)</f>
        <v>0</v>
      </c>
      <c r="D95" s="59">
        <f>(1*MATERIALES!$C$204)+(1*MATERIALES!$C$205)+(3*MATERIALES!$C$207)+(2*MATERIALES!$C$189)+(2*MATERIALES!$C$190)+(2*MATERIALES!$C$191)+(8*MATERIALES!$C$158)+(8*MATERIALES!$C$159)+((A95+(2*B95))*MATERIALES!$C$210)+((A95+(2*B95))*MATERIALES!$C$209)+(((A95*2)*(0.6*2))*MATERIALES!$C$141)+(((A95*2)+(B95*2))*MATERIALES!$C$165)+(0.5*MATERIALES!$C$167)+(2*MATERIALES!$C$187)+(((((A95*4)+(B95*2))/0.1)*MATERIALES!$C$192)*2)+(((A95*5)*2)*MATERIALES!$C$147)+(4*MATERIALES!$C$148)</f>
        <v>5198.4094240000013</v>
      </c>
      <c r="E95" s="75"/>
      <c r="F95" s="55">
        <f>(A95*0.6)*MATERIALES!$D$82</f>
        <v>222.6</v>
      </c>
      <c r="G95" s="59">
        <f t="shared" si="26"/>
        <v>5421.0094240000017</v>
      </c>
      <c r="H95" s="70">
        <f t="shared" si="27"/>
        <v>7203.1322512000015</v>
      </c>
      <c r="M95" s="68">
        <v>0.7</v>
      </c>
      <c r="N95" s="69">
        <v>2.1</v>
      </c>
      <c r="O95" s="59">
        <f>(((M95+(2*N95))*MATERIALES!$C$57)+((M95+(2*N95))*MATERIALES!$C$55)+(M95*MATERIALES!$C$59)+(((M95*2)+(N95*2))*MATERIALES!$C$31)+(((M95*2)+(N95))*MATERIALES!$C$32))*(MATERIALES!$F$2*MATERIALES!$J$15)</f>
        <v>0</v>
      </c>
      <c r="P95" s="59">
        <f>(1*MATERIALES!$C$204)+(1*MATERIALES!$C$205)+(3*MATERIALES!$C$207)+(2*MATERIALES!$C$189)+(2*MATERIALES!$C$190)+(2*MATERIALES!$C$191)+(10*MATERIALES!$C$158)+(10*MATERIALES!$C$159)+((M95+(2*N95))*MATERIALES!$C$210)+((M95+(2*N95))*MATERIALES!$C$209)+(((M95*6)+(N95*4))*MATERIALES!$C$166)+(2*MATERIALES!$C$187)+(((M95*5)*2)*MATERIALES!$C$147)+(4*MATERIALES!$C$148)</f>
        <v>4868.2618400000001</v>
      </c>
      <c r="Q95" s="75"/>
      <c r="R95" s="55">
        <f>(M95*N95)*MATERIALES!$D$82</f>
        <v>779.1</v>
      </c>
      <c r="S95" s="59">
        <f t="shared" si="28"/>
        <v>5647.3618400000005</v>
      </c>
      <c r="T95" s="70">
        <f t="shared" si="29"/>
        <v>7886.9403920000004</v>
      </c>
      <c r="U95" s="787"/>
    </row>
    <row r="96" spans="1:21">
      <c r="A96" s="68">
        <v>0.8</v>
      </c>
      <c r="B96" s="69">
        <v>2.1</v>
      </c>
      <c r="C96" s="59">
        <f>(((A96+(2*B96))*MATERIALES!$C$57)+((A96+(2*B96))*MATERIALES!$C$55)+(A96*MATERIALES!$C$59)+((A96*1)*MATERIALES!$C$58)+((((A96*4)+(B96*2))*MATERIALES!$C$73)*2)+(((A96-0.2)*MATERIALES!$C$30)*((B96-0.36)/0.12)))*(MATERIALES!$F$2*MATERIALES!$J$15)</f>
        <v>0</v>
      </c>
      <c r="D96" s="59">
        <f>(1*MATERIALES!$C$204)+(1*MATERIALES!$C$205)+(3*MATERIALES!$C$207)+(2*MATERIALES!$C$189)+(2*MATERIALES!$C$190)+(2*MATERIALES!$C$191)+(8*MATERIALES!$C$158)+(8*MATERIALES!$C$159)+((A96+(2*B96))*MATERIALES!$C$210)+((A96+(2*B96))*MATERIALES!$C$209)+(((A96*2)*(0.6*2))*MATERIALES!$C$141)+(((A96*2)+(B96*2))*MATERIALES!$C$165)+(0.5*MATERIALES!$C$167)+(2*MATERIALES!$C$187)+(((((A96*4)+(B96*2))/0.1)*MATERIALES!$C$192)*2)+(((A96*5)*2)*MATERIALES!$C$147)+(4*MATERIALES!$C$148)</f>
        <v>5231.1733760000006</v>
      </c>
      <c r="E96" s="75"/>
      <c r="F96" s="55">
        <f>(A96*0.6)*MATERIALES!$D$82</f>
        <v>254.39999999999998</v>
      </c>
      <c r="G96" s="59">
        <f t="shared" si="26"/>
        <v>5485.5733760000003</v>
      </c>
      <c r="H96" s="70">
        <f t="shared" si="27"/>
        <v>7309.3253888000008</v>
      </c>
      <c r="M96" s="68">
        <v>0.8</v>
      </c>
      <c r="N96" s="69">
        <v>2.1</v>
      </c>
      <c r="O96" s="59">
        <f>(((M96+(2*N96))*MATERIALES!$C$57)+((M96+(2*N96))*MATERIALES!$C$55)+(M96*MATERIALES!$C$59)+(((M96*2)+(N96*2))*MATERIALES!$C$31)+(((M96*2)+(N96))*MATERIALES!$C$32))*(MATERIALES!$F$2*MATERIALES!$J$15)</f>
        <v>0</v>
      </c>
      <c r="P96" s="59">
        <f>(1*MATERIALES!$C$204)+(1*MATERIALES!$C$205)+(3*MATERIALES!$C$207)+(2*MATERIALES!$C$189)+(2*MATERIALES!$C$190)+(2*MATERIALES!$C$191)+(10*MATERIALES!$C$158)+(10*MATERIALES!$C$159)+((M96+(2*N96))*MATERIALES!$C$210)+((M96+(2*N96))*MATERIALES!$C$209)+(((M96*6)+(N96*4))*MATERIALES!$C$166)+(2*MATERIALES!$C$187)+(((M96*5)*2)*MATERIALES!$C$147)+(4*MATERIALES!$C$148)</f>
        <v>4885.4644800000005</v>
      </c>
      <c r="Q96" s="75"/>
      <c r="R96" s="55">
        <f>(M96*N96)*MATERIALES!$D$82</f>
        <v>890.40000000000009</v>
      </c>
      <c r="S96" s="59">
        <f t="shared" si="28"/>
        <v>5775.8644800000002</v>
      </c>
      <c r="T96" s="70">
        <f t="shared" si="29"/>
        <v>8131.9038240000009</v>
      </c>
      <c r="U96" s="787"/>
    </row>
    <row r="97" spans="1:21" ht="15.75" thickBot="1">
      <c r="A97" s="71">
        <v>0.9</v>
      </c>
      <c r="B97" s="72">
        <v>2.1</v>
      </c>
      <c r="C97" s="60">
        <f>(((A97+(2*B97))*MATERIALES!$C$57)+((A97+(2*B97))*MATERIALES!$C$55)+(A97*MATERIALES!$C$59)+((A97*1)*MATERIALES!$C$58)+((((A97*4)+(B97*2))*MATERIALES!$C$73)*2)+(((A97-0.2)*MATERIALES!$C$30)*((B97-0.36)/0.12)))*(MATERIALES!$F$2*MATERIALES!$J$15)</f>
        <v>0</v>
      </c>
      <c r="D97" s="60">
        <f>(1*MATERIALES!$C$204)+(1*MATERIALES!$C$205)+(3*MATERIALES!$C$207)+(2*MATERIALES!$C$189)+(2*MATERIALES!$C$190)+(2*MATERIALES!$C$191)+(8*MATERIALES!$C$158)+(8*MATERIALES!$C$159)+((A97+(2*B97))*MATERIALES!$C$210)+((A97+(2*B97))*MATERIALES!$C$209)+(((A97*2)*(0.6*2))*MATERIALES!$C$141)+(((A97*2)+(B97*2))*MATERIALES!$C$165)+(0.5*MATERIALES!$C$167)+(2*MATERIALES!$C$187)+(((((A97*4)+(B97*2))/0.1)*MATERIALES!$C$192)*2)+(((A97*5)*2)*MATERIALES!$C$147)+(4*MATERIALES!$C$148)</f>
        <v>5263.9373279999991</v>
      </c>
      <c r="E97" s="76"/>
      <c r="F97" s="56">
        <f>(A97*0.6)*MATERIALES!$D$82</f>
        <v>286.20000000000005</v>
      </c>
      <c r="G97" s="60">
        <f t="shared" si="26"/>
        <v>5550.1373279999989</v>
      </c>
      <c r="H97" s="73">
        <f t="shared" si="27"/>
        <v>7415.5185263999992</v>
      </c>
      <c r="M97" s="71">
        <v>0.9</v>
      </c>
      <c r="N97" s="72">
        <v>2.1</v>
      </c>
      <c r="O97" s="60">
        <f>(((M97+(2*N97))*MATERIALES!$C$57)+((M97+(2*N97))*MATERIALES!$C$55)+(M97*MATERIALES!$C$59)+(((M97*2)+(N97*2))*MATERIALES!$C$31)+(((M97*2)+(N97))*MATERIALES!$C$32))*(MATERIALES!$F$2*MATERIALES!$J$15)</f>
        <v>0</v>
      </c>
      <c r="P97" s="60">
        <f>(1*MATERIALES!$C$204)+(1*MATERIALES!$C$205)+(3*MATERIALES!$C$207)+(2*MATERIALES!$C$189)+(2*MATERIALES!$C$190)+(2*MATERIALES!$C$191)+(10*MATERIALES!$C$158)+(10*MATERIALES!$C$159)+((M97+(2*N97))*MATERIALES!$C$210)+((M97+(2*N97))*MATERIALES!$C$209)+(((M97*6)+(N97*4))*MATERIALES!$C$166)+(2*MATERIALES!$C$187)+(((M97*5)*2)*MATERIALES!$C$147)+(4*MATERIALES!$C$148)</f>
        <v>4902.6671199999992</v>
      </c>
      <c r="Q97" s="76"/>
      <c r="R97" s="56">
        <f>(M97*N97)*MATERIALES!$D$82</f>
        <v>1001.7</v>
      </c>
      <c r="S97" s="60">
        <f t="shared" si="28"/>
        <v>5904.367119999999</v>
      </c>
      <c r="T97" s="73">
        <f t="shared" si="29"/>
        <v>8376.8672559999995</v>
      </c>
      <c r="U97" s="788"/>
    </row>
    <row r="99" spans="1:21" ht="15.75" thickBot="1">
      <c r="O99" s="78"/>
    </row>
    <row r="100" spans="1:21" ht="15.75" thickBot="1">
      <c r="A100" s="32"/>
      <c r="B100" s="32"/>
      <c r="C100" s="801">
        <v>0.3</v>
      </c>
      <c r="D100" s="802"/>
      <c r="E100" s="803"/>
      <c r="F100" s="61">
        <v>1</v>
      </c>
      <c r="G100" s="32"/>
      <c r="H100" s="46" t="s">
        <v>163</v>
      </c>
      <c r="M100" s="32"/>
      <c r="N100" s="32"/>
      <c r="O100" s="801">
        <v>0.3</v>
      </c>
      <c r="P100" s="802"/>
      <c r="Q100" s="803"/>
      <c r="R100" s="61">
        <v>1</v>
      </c>
      <c r="S100" s="32"/>
      <c r="T100" s="46" t="s">
        <v>163</v>
      </c>
    </row>
    <row r="101" spans="1:21" ht="15.75" thickBot="1">
      <c r="A101" s="792" t="s">
        <v>226</v>
      </c>
      <c r="B101" s="793"/>
      <c r="C101" s="793"/>
      <c r="D101" s="793"/>
      <c r="E101" s="793"/>
      <c r="F101" s="793"/>
      <c r="G101" s="793"/>
      <c r="H101" s="794"/>
      <c r="M101" s="792" t="s">
        <v>228</v>
      </c>
      <c r="N101" s="793"/>
      <c r="O101" s="793"/>
      <c r="P101" s="793"/>
      <c r="Q101" s="793"/>
      <c r="R101" s="793"/>
      <c r="S101" s="793"/>
      <c r="T101" s="794"/>
      <c r="U101" s="882" t="s">
        <v>254</v>
      </c>
    </row>
    <row r="102" spans="1:21" ht="15.75" thickBot="1">
      <c r="A102" s="36" t="s">
        <v>116</v>
      </c>
      <c r="B102" s="36" t="s">
        <v>117</v>
      </c>
      <c r="C102" s="36" t="s">
        <v>162</v>
      </c>
      <c r="D102" s="36" t="s">
        <v>119</v>
      </c>
      <c r="E102" s="36" t="s">
        <v>120</v>
      </c>
      <c r="F102" s="36" t="s">
        <v>118</v>
      </c>
      <c r="G102" s="36" t="s">
        <v>121</v>
      </c>
      <c r="H102" s="36" t="s">
        <v>122</v>
      </c>
      <c r="M102" s="36" t="s">
        <v>116</v>
      </c>
      <c r="N102" s="36" t="s">
        <v>117</v>
      </c>
      <c r="O102" s="36" t="s">
        <v>162</v>
      </c>
      <c r="P102" s="36" t="s">
        <v>119</v>
      </c>
      <c r="Q102" s="36" t="s">
        <v>120</v>
      </c>
      <c r="R102" s="36" t="s">
        <v>118</v>
      </c>
      <c r="S102" s="36" t="s">
        <v>121</v>
      </c>
      <c r="T102" s="36" t="s">
        <v>122</v>
      </c>
      <c r="U102" s="883"/>
    </row>
    <row r="103" spans="1:21" ht="15.75" thickBot="1">
      <c r="A103" s="795"/>
      <c r="B103" s="796"/>
      <c r="C103" s="796"/>
      <c r="D103" s="796"/>
      <c r="E103" s="796"/>
      <c r="F103" s="796"/>
      <c r="G103" s="796"/>
      <c r="H103" s="797"/>
      <c r="M103" s="795"/>
      <c r="N103" s="796"/>
      <c r="O103" s="796"/>
      <c r="P103" s="796"/>
      <c r="Q103" s="796"/>
      <c r="R103" s="796"/>
      <c r="S103" s="796"/>
      <c r="T103" s="797"/>
      <c r="U103" s="883"/>
    </row>
    <row r="104" spans="1:21">
      <c r="A104" s="65">
        <v>0.6</v>
      </c>
      <c r="B104" s="66">
        <v>2</v>
      </c>
      <c r="C104" s="58">
        <f>(((A104+(2*B104))*MATERIALES!$C$57)+((A104+(2*B104))*MATERIALES!$C$55)+(A104*MATERIALES!$C$59)+(((A104*1)+(0.6*2))*MATERIALES!$C$58)+((((A104*4)+(B104*2)+(0.6*4))*MATERIALES!$C$73)*2)+(((A104-0.2)*MATERIALES!$C$30)*((B104-0.36)/0.12)))*(MATERIALES!$F$2*MATERIALES!$J$15)</f>
        <v>0</v>
      </c>
      <c r="D104" s="58">
        <f>(1*MATERIALES!$C$204)+(1*MATERIALES!$C$205)+(3*MATERIALES!$C$207)+(2*MATERIALES!$C$189)+(2*MATERIALES!$C$190)+(2*MATERIALES!$C$191)+(16*MATERIALES!$C$158)+(16*MATERIALES!$C$159)+((A104+(2*B104))*MATERIALES!$C$210)+((A104+(2*B104))*MATERIALES!$C$209)+(((A104*2)*(0.6*6))*MATERIALES!$C$141)+(((A104*2)+(B104*2))*MATERIALES!$C$165)+(0.5*MATERIALES!$C$167)+(2*MATERIALES!$C$187)+(((((A104*4)+(0.6*4)+(B104*2))/0.1)*MATERIALES!$C$192)*2)+(((A104*5)*2)*MATERIALES!$C$147)+(4*MATERIALES!$C$148)</f>
        <v>5427.7708160000002</v>
      </c>
      <c r="E104" s="74"/>
      <c r="F104" s="54">
        <f>(A104*0.6)*MATERIALES!$D$82</f>
        <v>190.79999999999998</v>
      </c>
      <c r="G104" s="58">
        <f>SUM(C104:F104)</f>
        <v>5618.5708160000004</v>
      </c>
      <c r="H104" s="67">
        <f>(SUM(C104:E104)*1.3)+(F104*2)</f>
        <v>7437.7020608000012</v>
      </c>
      <c r="M104" s="65">
        <v>0.6</v>
      </c>
      <c r="N104" s="66">
        <v>2</v>
      </c>
      <c r="O104" s="58">
        <f>(((M104+(2*N104))*MATERIALES!$C$57)+((M104+(2*N104))*MATERIALES!$C$55)+(M104*MATERIALES!$C$59)+(M104*MATERIALES!$C$58)+(((M104*2)+(N104*2))*MATERIALES!$C$31)+(((M104*2)+(N104))*MATERIALES!$C$32)+(((M104-0.2)*MATERIALES!$C$30)*((N104/3)/0.12))+((((M104*2)+((N104/3)*2))*MATERIALES!$C$73)*2))*(MATERIALES!$F$2*MATERIALES!$J$15)</f>
        <v>0</v>
      </c>
      <c r="P104" s="58">
        <f>(1*MATERIALES!$C$204)+(1*MATERIALES!$C$205)+(3*MATERIALES!$C$207)+(2*MATERIALES!$C$189)+(2*MATERIALES!$C$190)+(2*MATERIALES!$C$191)+(14*MATERIALES!$C$158)+(14*MATERIALES!$C$159)+((M104+(2*N104))*MATERIALES!$C$210)+((M104+(2*N104))*MATERIALES!$C$209)+(((M104*6)+(N104*4))*MATERIALES!$C$166)+(((M104*2)+((N104/3)*2))*MATERIALES!$C$165)+(2*MATERIALES!$C$187)+(((((M104*2)+((N104/3)*2))/0.1)*MATERIALES!$C$192)*2)+(((M104*5)*2)*MATERIALES!$C$147)+(4*MATERIALES!$C$148)</f>
        <v>5056.7608</v>
      </c>
      <c r="Q104" s="74"/>
      <c r="R104" s="54">
        <f>(M104*N104)*MATERIALES!$D$82</f>
        <v>636</v>
      </c>
      <c r="S104" s="58">
        <f>SUM(O104:R104)</f>
        <v>5692.7608</v>
      </c>
      <c r="T104" s="67">
        <f>(SUM(O104:Q104)*1.3)+(R104*2)</f>
        <v>7845.7890400000006</v>
      </c>
      <c r="U104" s="787"/>
    </row>
    <row r="105" spans="1:21">
      <c r="A105" s="68">
        <v>0.7</v>
      </c>
      <c r="B105" s="69">
        <v>2</v>
      </c>
      <c r="C105" s="59">
        <f>(((A105+(2*B105))*MATERIALES!$C$57)+((A105+(2*B105))*MATERIALES!$C$55)+(A105*MATERIALES!$C$59)+(((A105*1)+(0.6*2))*MATERIALES!$C$58)+((((A105*4)+(B105*2)+(0.6*4))*MATERIALES!$C$73)*2)+(((A105-0.2)*MATERIALES!$C$30)*((B105-0.36)/0.12)))*(MATERIALES!$F$2*MATERIALES!$J$15)</f>
        <v>0</v>
      </c>
      <c r="D105" s="59">
        <f>(1*MATERIALES!$C$204)+(1*MATERIALES!$C$205)+(3*MATERIALES!$C$207)+(2*MATERIALES!$C$189)+(2*MATERIALES!$C$190)+(2*MATERIALES!$C$191)+(16*MATERIALES!$C$158)+(16*MATERIALES!$C$159)+((A105+(2*B105))*MATERIALES!$C$210)+((A105+(2*B105))*MATERIALES!$C$209)+(((A105*2)*(0.6*6))*MATERIALES!$C$141)+(((A105*2)+(B105*2))*MATERIALES!$C$165)+(0.5*MATERIALES!$C$167)+(2*MATERIALES!$C$187)+(((((A105*4)+(0.6*4)+(B105*2))/0.1)*MATERIALES!$C$192)*2)+(((A105*5)*2)*MATERIALES!$C$147)+(4*MATERIALES!$C$148)</f>
        <v>5470.7783519999984</v>
      </c>
      <c r="E105" s="75"/>
      <c r="F105" s="55">
        <f>(A105*0.6)*MATERIALES!$D$82</f>
        <v>222.6</v>
      </c>
      <c r="G105" s="59">
        <f t="shared" ref="G105:G111" si="30">SUM(C105:F105)</f>
        <v>5693.3783519999988</v>
      </c>
      <c r="H105" s="70">
        <f t="shared" ref="H105:H111" si="31">(SUM(C105:E105)*1.3)+(F105*2)</f>
        <v>7557.2118575999984</v>
      </c>
      <c r="M105" s="68">
        <v>0.7</v>
      </c>
      <c r="N105" s="69">
        <v>2</v>
      </c>
      <c r="O105" s="59">
        <f>(((M105+(2*N105))*MATERIALES!$C$57)+((M105+(2*N105))*MATERIALES!$C$55)+(M105*MATERIALES!$C$59)+(M105*MATERIALES!$C$58)+(((M105*2)+(N105*2))*MATERIALES!$C$31)+(((M105*2)+(N105))*MATERIALES!$C$32)+(((M105-0.2)*MATERIALES!$C$30)*((N105/3)/0.12))+((((M105*2)+((N105/3)*2))*MATERIALES!$C$73)*2))*(MATERIALES!$F$2*MATERIALES!$J$15)</f>
        <v>0</v>
      </c>
      <c r="P105" s="59">
        <f>(1*MATERIALES!$C$204)+(1*MATERIALES!$C$205)+(3*MATERIALES!$C$207)+(2*MATERIALES!$C$189)+(2*MATERIALES!$C$190)+(2*MATERIALES!$C$191)+(14*MATERIALES!$C$158)+(14*MATERIALES!$C$159)+((M105+(2*N105))*MATERIALES!$C$210)+((M105+(2*N105))*MATERIALES!$C$209)+(((M105*6)+(N105*4))*MATERIALES!$C$166)+(((M105*2)+((N105/3)*2))*MATERIALES!$C$165)+(2*MATERIALES!$C$187)+(((((M105*2)+((N105/3)*2))/0.1)*MATERIALES!$C$192)*2)+(((M105*5)*2)*MATERIALES!$C$147)+(4*MATERIALES!$C$148)</f>
        <v>5086.9675999999981</v>
      </c>
      <c r="Q105" s="75"/>
      <c r="R105" s="55">
        <f>(M105*N105)*MATERIALES!$D$82</f>
        <v>742</v>
      </c>
      <c r="S105" s="59">
        <f t="shared" ref="S105:S111" si="32">SUM(O105:R105)</f>
        <v>5828.9675999999981</v>
      </c>
      <c r="T105" s="70">
        <f t="shared" ref="T105:T111" si="33">(SUM(O105:Q105)*1.3)+(R105*2)</f>
        <v>8097.0578799999976</v>
      </c>
      <c r="U105" s="787"/>
    </row>
    <row r="106" spans="1:21">
      <c r="A106" s="68">
        <v>0.8</v>
      </c>
      <c r="B106" s="69">
        <v>2</v>
      </c>
      <c r="C106" s="59">
        <f>(((A106+(2*B106))*MATERIALES!$C$57)+((A106+(2*B106))*MATERIALES!$C$55)+(A106*MATERIALES!$C$59)+(((A106*1)+(0.6*2))*MATERIALES!$C$58)+((((A106*4)+(B106*2)+(0.6*4))*MATERIALES!$C$73)*2)+(((A106-0.2)*MATERIALES!$C$30)*((B106-0.36)/0.12)))*(MATERIALES!$F$2*MATERIALES!$J$15)</f>
        <v>0</v>
      </c>
      <c r="D106" s="59">
        <f>(1*MATERIALES!$C$204)+(1*MATERIALES!$C$205)+(3*MATERIALES!$C$207)+(2*MATERIALES!$C$189)+(2*MATERIALES!$C$190)+(2*MATERIALES!$C$191)+(16*MATERIALES!$C$158)+(16*MATERIALES!$C$159)+((A106+(2*B106))*MATERIALES!$C$210)+((A106+(2*B106))*MATERIALES!$C$209)+(((A106*2)*(0.6*6))*MATERIALES!$C$141)+(((A106*2)+(B106*2))*MATERIALES!$C$165)+(0.5*MATERIALES!$C$167)+(2*MATERIALES!$C$187)+(((((A106*4)+(0.6*4)+(B106*2))/0.1)*MATERIALES!$C$192)*2)+(((A106*5)*2)*MATERIALES!$C$147)+(4*MATERIALES!$C$148)</f>
        <v>5513.7858880000003</v>
      </c>
      <c r="E106" s="75"/>
      <c r="F106" s="55">
        <f>(A106*0.6)*MATERIALES!$D$82</f>
        <v>254.39999999999998</v>
      </c>
      <c r="G106" s="59">
        <f t="shared" si="30"/>
        <v>5768.185888</v>
      </c>
      <c r="H106" s="70">
        <f t="shared" si="31"/>
        <v>7676.7216544000012</v>
      </c>
      <c r="M106" s="68">
        <v>0.8</v>
      </c>
      <c r="N106" s="69">
        <v>2</v>
      </c>
      <c r="O106" s="59">
        <f>(((M106+(2*N106))*MATERIALES!$C$57)+((M106+(2*N106))*MATERIALES!$C$55)+(M106*MATERIALES!$C$59)+(M106*MATERIALES!$C$58)+(((M106*2)+(N106*2))*MATERIALES!$C$31)+(((M106*2)+(N106))*MATERIALES!$C$32)+(((M106-0.2)*MATERIALES!$C$30)*((N106/3)/0.12))+((((M106*2)+((N106/3)*2))*MATERIALES!$C$73)*2))*(MATERIALES!$F$2*MATERIALES!$J$15)</f>
        <v>0</v>
      </c>
      <c r="P106" s="59">
        <f>(1*MATERIALES!$C$204)+(1*MATERIALES!$C$205)+(3*MATERIALES!$C$207)+(2*MATERIALES!$C$189)+(2*MATERIALES!$C$190)+(2*MATERIALES!$C$191)+(14*MATERIALES!$C$158)+(14*MATERIALES!$C$159)+((M106+(2*N106))*MATERIALES!$C$210)+((M106+(2*N106))*MATERIALES!$C$209)+(((M106*6)+(N106*4))*MATERIALES!$C$166)+(((M106*2)+((N106/3)*2))*MATERIALES!$C$165)+(2*MATERIALES!$C$187)+(((((M106*2)+((N106/3)*2))/0.1)*MATERIALES!$C$192)*2)+(((M106*5)*2)*MATERIALES!$C$147)+(4*MATERIALES!$C$148)</f>
        <v>5117.1743999999999</v>
      </c>
      <c r="Q106" s="75"/>
      <c r="R106" s="55">
        <f>(M106*N106)*MATERIALES!$D$82</f>
        <v>848</v>
      </c>
      <c r="S106" s="59">
        <f t="shared" si="32"/>
        <v>5965.1743999999999</v>
      </c>
      <c r="T106" s="70">
        <f t="shared" si="33"/>
        <v>8348.3267200000009</v>
      </c>
      <c r="U106" s="787"/>
    </row>
    <row r="107" spans="1:21">
      <c r="A107" s="68">
        <v>0.9</v>
      </c>
      <c r="B107" s="69">
        <v>2</v>
      </c>
      <c r="C107" s="59">
        <f>(((A107+(2*B107))*MATERIALES!$C$57)+((A107+(2*B107))*MATERIALES!$C$55)+(A107*MATERIALES!$C$59)+(((A107*1)+(0.6*2))*MATERIALES!$C$58)+((((A107*4)+(B107*2)+(0.6*4))*MATERIALES!$C$73)*2)+(((A107-0.2)*MATERIALES!$C$30)*((B107-0.36)/0.12)))*(MATERIALES!$F$2*MATERIALES!$J$15)</f>
        <v>0</v>
      </c>
      <c r="D107" s="59">
        <f>(1*MATERIALES!$C$204)+(1*MATERIALES!$C$205)+(3*MATERIALES!$C$207)+(2*MATERIALES!$C$189)+(2*MATERIALES!$C$190)+(2*MATERIALES!$C$191)+(16*MATERIALES!$C$158)+(16*MATERIALES!$C$159)+((A107+(2*B107))*MATERIALES!$C$210)+((A107+(2*B107))*MATERIALES!$C$209)+(((A107*2)*(0.6*6))*MATERIALES!$C$141)+(((A107*2)+(B107*2))*MATERIALES!$C$165)+(0.5*MATERIALES!$C$167)+(2*MATERIALES!$C$187)+(((((A107*4)+(0.6*4)+(B107*2))/0.1)*MATERIALES!$C$192)*2)+(((A107*5)*2)*MATERIALES!$C$147)+(4*MATERIALES!$C$148)</f>
        <v>5556.7934240000004</v>
      </c>
      <c r="E107" s="75"/>
      <c r="F107" s="55">
        <f>(A107*0.6)*MATERIALES!$D$82</f>
        <v>286.20000000000005</v>
      </c>
      <c r="G107" s="59">
        <f t="shared" si="30"/>
        <v>5842.9934240000002</v>
      </c>
      <c r="H107" s="70">
        <f t="shared" si="31"/>
        <v>7796.2314512000012</v>
      </c>
      <c r="M107" s="68">
        <v>0.9</v>
      </c>
      <c r="N107" s="69">
        <v>2</v>
      </c>
      <c r="O107" s="59">
        <f>(((M107+(2*N107))*MATERIALES!$C$57)+((M107+(2*N107))*MATERIALES!$C$55)+(M107*MATERIALES!$C$59)+(M107*MATERIALES!$C$58)+(((M107*2)+(N107*2))*MATERIALES!$C$31)+(((M107*2)+(N107))*MATERIALES!$C$32)+(((M107-0.2)*MATERIALES!$C$30)*((N107/3)/0.12))+((((M107*2)+((N107/3)*2))*MATERIALES!$C$73)*2))*(MATERIALES!$F$2*MATERIALES!$J$15)</f>
        <v>0</v>
      </c>
      <c r="P107" s="59">
        <f>(1*MATERIALES!$C$204)+(1*MATERIALES!$C$205)+(3*MATERIALES!$C$207)+(2*MATERIALES!$C$189)+(2*MATERIALES!$C$190)+(2*MATERIALES!$C$191)+(14*MATERIALES!$C$158)+(14*MATERIALES!$C$159)+((M107+(2*N107))*MATERIALES!$C$210)+((M107+(2*N107))*MATERIALES!$C$209)+(((M107*6)+(N107*4))*MATERIALES!$C$166)+(((M107*2)+((N107/3)*2))*MATERIALES!$C$165)+(2*MATERIALES!$C$187)+(((((M107*2)+((N107/3)*2))/0.1)*MATERIALES!$C$192)*2)+(((M107*5)*2)*MATERIALES!$C$147)+(4*MATERIALES!$C$148)</f>
        <v>5147.3811999999998</v>
      </c>
      <c r="Q107" s="75"/>
      <c r="R107" s="55">
        <f>(M107*N107)*MATERIALES!$D$82</f>
        <v>954</v>
      </c>
      <c r="S107" s="59">
        <f t="shared" si="32"/>
        <v>6101.3811999999998</v>
      </c>
      <c r="T107" s="70">
        <f t="shared" si="33"/>
        <v>8599.5955599999998</v>
      </c>
      <c r="U107" s="787"/>
    </row>
    <row r="108" spans="1:21">
      <c r="A108" s="68">
        <v>0.6</v>
      </c>
      <c r="B108" s="69">
        <v>2.1</v>
      </c>
      <c r="C108" s="59">
        <f>(((A108+(2*B108))*MATERIALES!$C$57)+((A108+(2*B108))*MATERIALES!$C$55)+(A108*MATERIALES!$C$59)+(((A108*1)+(0.6*2))*MATERIALES!$C$58)+((((A108*4)+(B108*2)+(0.6*4))*MATERIALES!$C$73)*2)+(((A108-0.2)*MATERIALES!$C$30)*((B108-0.36)/0.12)))*(MATERIALES!$F$2*MATERIALES!$J$15)</f>
        <v>0</v>
      </c>
      <c r="D108" s="59">
        <f>(1*MATERIALES!$C$204)+(1*MATERIALES!$C$205)+(3*MATERIALES!$C$207)+(2*MATERIALES!$C$189)+(2*MATERIALES!$C$190)+(2*MATERIALES!$C$191)+(16*MATERIALES!$C$158)+(16*MATERIALES!$C$159)+((A108+(2*B108))*MATERIALES!$C$210)+((A108+(2*B108))*MATERIALES!$C$209)+(((A108*2)*(0.6*6))*MATERIALES!$C$141)+(((A108*2)+(B108*2))*MATERIALES!$C$165)+(0.5*MATERIALES!$C$167)+(2*MATERIALES!$C$187)+(((((A108*4)+(0.6*4)+(B108*2))/0.1)*MATERIALES!$C$192)*2)+(((A108*5)*2)*MATERIALES!$C$147)+(4*MATERIALES!$C$148)</f>
        <v>5452.5789759999998</v>
      </c>
      <c r="E108" s="75"/>
      <c r="F108" s="55">
        <f>(A108*0.6)*MATERIALES!$D$82</f>
        <v>190.79999999999998</v>
      </c>
      <c r="G108" s="59">
        <f t="shared" si="30"/>
        <v>5643.378976</v>
      </c>
      <c r="H108" s="70">
        <f t="shared" si="31"/>
        <v>7469.9526688000005</v>
      </c>
      <c r="M108" s="68">
        <v>0.6</v>
      </c>
      <c r="N108" s="69">
        <v>2.1</v>
      </c>
      <c r="O108" s="59">
        <f>(((M108+(2*N108))*MATERIALES!$C$57)+((M108+(2*N108))*MATERIALES!$C$55)+(M108*MATERIALES!$C$59)+(M108*MATERIALES!$C$58)+(((M108*2)+(N108*2))*MATERIALES!$C$31)+(((M108*2)+(N108))*MATERIALES!$C$32)+(((M108-0.2)*MATERIALES!$C$30)*((N108/3)/0.12))+((((M108*2)+((N108/3)*2))*MATERIALES!$C$73)*2))*(MATERIALES!$F$2*MATERIALES!$J$15)</f>
        <v>0</v>
      </c>
      <c r="P108" s="59">
        <f>(1*MATERIALES!$C$204)+(1*MATERIALES!$C$205)+(3*MATERIALES!$C$207)+(2*MATERIALES!$C$189)+(2*MATERIALES!$C$190)+(2*MATERIALES!$C$191)+(14*MATERIALES!$C$158)+(14*MATERIALES!$C$159)+((M108+(2*N108))*MATERIALES!$C$210)+((M108+(2*N108))*MATERIALES!$C$209)+(((M108*6)+(N108*4))*MATERIALES!$C$166)+(((M108*2)+((N108/3)*2))*MATERIALES!$C$165)+(2*MATERIALES!$C$187)+(((((M108*2)+((N108/3)*2))/0.1)*MATERIALES!$C$192)*2)+(((M108*5)*2)*MATERIALES!$C$147)+(4*MATERIALES!$C$148)</f>
        <v>5080.4332799999993</v>
      </c>
      <c r="Q108" s="75"/>
      <c r="R108" s="55">
        <f>(M108*N108)*MATERIALES!$D$82</f>
        <v>667.8</v>
      </c>
      <c r="S108" s="59">
        <f t="shared" si="32"/>
        <v>5748.2332799999995</v>
      </c>
      <c r="T108" s="70">
        <f t="shared" si="33"/>
        <v>7940.1632639999989</v>
      </c>
      <c r="U108" s="787"/>
    </row>
    <row r="109" spans="1:21">
      <c r="A109" s="68">
        <v>0.7</v>
      </c>
      <c r="B109" s="69">
        <v>2.1</v>
      </c>
      <c r="C109" s="59">
        <f>(((A109+(2*B109))*MATERIALES!$C$57)+((A109+(2*B109))*MATERIALES!$C$55)+(A109*MATERIALES!$C$59)+(((A109*1)+(0.6*2))*MATERIALES!$C$58)+((((A109*4)+(B109*2)+(0.6*4))*MATERIALES!$C$73)*2)+(((A109-0.2)*MATERIALES!$C$30)*((B109-0.36)/0.12)))*(MATERIALES!$F$2*MATERIALES!$J$15)</f>
        <v>0</v>
      </c>
      <c r="D109" s="59">
        <f>(1*MATERIALES!$C$204)+(1*MATERIALES!$C$205)+(3*MATERIALES!$C$207)+(2*MATERIALES!$C$189)+(2*MATERIALES!$C$190)+(2*MATERIALES!$C$191)+(16*MATERIALES!$C$158)+(16*MATERIALES!$C$159)+((A109+(2*B109))*MATERIALES!$C$210)+((A109+(2*B109))*MATERIALES!$C$209)+(((A109*2)*(0.6*6))*MATERIALES!$C$141)+(((A109*2)+(B109*2))*MATERIALES!$C$165)+(0.5*MATERIALES!$C$167)+(2*MATERIALES!$C$187)+(((((A109*4)+(0.6*4)+(B109*2))/0.1)*MATERIALES!$C$192)*2)+(((A109*5)*2)*MATERIALES!$C$147)+(4*MATERIALES!$C$148)</f>
        <v>5495.5865119999999</v>
      </c>
      <c r="E109" s="75"/>
      <c r="F109" s="55">
        <f>(A109*0.6)*MATERIALES!$D$82</f>
        <v>222.6</v>
      </c>
      <c r="G109" s="59">
        <f t="shared" si="30"/>
        <v>5718.1865120000002</v>
      </c>
      <c r="H109" s="70">
        <f t="shared" si="31"/>
        <v>7589.4624655999996</v>
      </c>
      <c r="M109" s="68">
        <v>0.7</v>
      </c>
      <c r="N109" s="69">
        <v>2.1</v>
      </c>
      <c r="O109" s="59">
        <f>(((M109+(2*N109))*MATERIALES!$C$57)+((M109+(2*N109))*MATERIALES!$C$55)+(M109*MATERIALES!$C$59)+(M109*MATERIALES!$C$58)+(((M109*2)+(N109*2))*MATERIALES!$C$31)+(((M109*2)+(N109))*MATERIALES!$C$32)+(((M109-0.2)*MATERIALES!$C$30)*((N109/3)/0.12))+((((M109*2)+((N109/3)*2))*MATERIALES!$C$73)*2))*(MATERIALES!$F$2*MATERIALES!$J$15)</f>
        <v>0</v>
      </c>
      <c r="P109" s="59">
        <f>(1*MATERIALES!$C$204)+(1*MATERIALES!$C$205)+(3*MATERIALES!$C$207)+(2*MATERIALES!$C$189)+(2*MATERIALES!$C$190)+(2*MATERIALES!$C$191)+(14*MATERIALES!$C$158)+(14*MATERIALES!$C$159)+((M109+(2*N109))*MATERIALES!$C$210)+((M109+(2*N109))*MATERIALES!$C$209)+(((M109*6)+(N109*4))*MATERIALES!$C$166)+(((M109*2)+((N109/3)*2))*MATERIALES!$C$165)+(2*MATERIALES!$C$187)+(((((M109*2)+((N109/3)*2))/0.1)*MATERIALES!$C$192)*2)+(((M109*5)*2)*MATERIALES!$C$147)+(4*MATERIALES!$C$148)</f>
        <v>5110.6400800000001</v>
      </c>
      <c r="Q109" s="75"/>
      <c r="R109" s="55">
        <f>(M109*N109)*MATERIALES!$D$82</f>
        <v>779.1</v>
      </c>
      <c r="S109" s="59">
        <f t="shared" si="32"/>
        <v>5889.7400800000005</v>
      </c>
      <c r="T109" s="70">
        <f t="shared" si="33"/>
        <v>8202.0321039999999</v>
      </c>
      <c r="U109" s="787"/>
    </row>
    <row r="110" spans="1:21">
      <c r="A110" s="68">
        <v>0.8</v>
      </c>
      <c r="B110" s="69">
        <v>2.1</v>
      </c>
      <c r="C110" s="59">
        <f>(((A110+(2*B110))*MATERIALES!$C$57)+((A110+(2*B110))*MATERIALES!$C$55)+(A110*MATERIALES!$C$59)+(((A110*1)+(0.6*2))*MATERIALES!$C$58)+((((A110*4)+(B110*2)+(0.6*4))*MATERIALES!$C$73)*2)+(((A110-0.2)*MATERIALES!$C$30)*((B110-0.36)/0.12)))*(MATERIALES!$F$2*MATERIALES!$J$15)</f>
        <v>0</v>
      </c>
      <c r="D110" s="59">
        <f>(1*MATERIALES!$C$204)+(1*MATERIALES!$C$205)+(3*MATERIALES!$C$207)+(2*MATERIALES!$C$189)+(2*MATERIALES!$C$190)+(2*MATERIALES!$C$191)+(16*MATERIALES!$C$158)+(16*MATERIALES!$C$159)+((A110+(2*B110))*MATERIALES!$C$210)+((A110+(2*B110))*MATERIALES!$C$209)+(((A110*2)*(0.6*6))*MATERIALES!$C$141)+(((A110*2)+(B110*2))*MATERIALES!$C$165)+(0.5*MATERIALES!$C$167)+(2*MATERIALES!$C$187)+(((((A110*4)+(0.6*4)+(B110*2))/0.1)*MATERIALES!$C$192)*2)+(((A110*5)*2)*MATERIALES!$C$147)+(4*MATERIALES!$C$148)</f>
        <v>5538.5940479999999</v>
      </c>
      <c r="E110" s="75"/>
      <c r="F110" s="55">
        <f>(A110*0.6)*MATERIALES!$D$82</f>
        <v>254.39999999999998</v>
      </c>
      <c r="G110" s="59">
        <f t="shared" si="30"/>
        <v>5792.9940479999996</v>
      </c>
      <c r="H110" s="70">
        <f t="shared" si="31"/>
        <v>7708.9722624000005</v>
      </c>
      <c r="M110" s="68">
        <v>0.8</v>
      </c>
      <c r="N110" s="69">
        <v>2.1</v>
      </c>
      <c r="O110" s="59">
        <f>(((M110+(2*N110))*MATERIALES!$C$57)+((M110+(2*N110))*MATERIALES!$C$55)+(M110*MATERIALES!$C$59)+(M110*MATERIALES!$C$58)+(((M110*2)+(N110*2))*MATERIALES!$C$31)+(((M110*2)+(N110))*MATERIALES!$C$32)+(((M110-0.2)*MATERIALES!$C$30)*((N110/3)/0.12))+((((M110*2)+((N110/3)*2))*MATERIALES!$C$73)*2))*(MATERIALES!$F$2*MATERIALES!$J$15)</f>
        <v>0</v>
      </c>
      <c r="P110" s="59">
        <f>(1*MATERIALES!$C$204)+(1*MATERIALES!$C$205)+(3*MATERIALES!$C$207)+(2*MATERIALES!$C$189)+(2*MATERIALES!$C$190)+(2*MATERIALES!$C$191)+(14*MATERIALES!$C$158)+(14*MATERIALES!$C$159)+((M110+(2*N110))*MATERIALES!$C$210)+((M110+(2*N110))*MATERIALES!$C$209)+(((M110*6)+(N110*4))*MATERIALES!$C$166)+(((M110*2)+((N110/3)*2))*MATERIALES!$C$165)+(2*MATERIALES!$C$187)+(((((M110*2)+((N110/3)*2))/0.1)*MATERIALES!$C$192)*2)+(((M110*5)*2)*MATERIALES!$C$147)+(4*MATERIALES!$C$148)</f>
        <v>5140.8468800000001</v>
      </c>
      <c r="Q110" s="75"/>
      <c r="R110" s="55">
        <f>(M110*N110)*MATERIALES!$D$82</f>
        <v>890.40000000000009</v>
      </c>
      <c r="S110" s="59">
        <f t="shared" si="32"/>
        <v>6031.2468800000006</v>
      </c>
      <c r="T110" s="70">
        <f t="shared" si="33"/>
        <v>8463.9009440000009</v>
      </c>
      <c r="U110" s="787"/>
    </row>
    <row r="111" spans="1:21" ht="15.75" thickBot="1">
      <c r="A111" s="71">
        <v>0.9</v>
      </c>
      <c r="B111" s="72">
        <v>2.1</v>
      </c>
      <c r="C111" s="60">
        <f>(((A111+(2*B111))*MATERIALES!$C$57)+((A111+(2*B111))*MATERIALES!$C$55)+(A111*MATERIALES!$C$59)+(((A111*1)+(0.6*2))*MATERIALES!$C$58)+((((A111*4)+(B111*2)+(0.6*4))*MATERIALES!$C$73)*2)+(((A111-0.2)*MATERIALES!$C$30)*((B111-0.36)/0.12)))*(MATERIALES!$F$2*MATERIALES!$J$15)</f>
        <v>0</v>
      </c>
      <c r="D111" s="60">
        <f>(1*MATERIALES!$C$204)+(1*MATERIALES!$C$205)+(3*MATERIALES!$C$207)+(2*MATERIALES!$C$189)+(2*MATERIALES!$C$190)+(2*MATERIALES!$C$191)+(16*MATERIALES!$C$158)+(16*MATERIALES!$C$159)+((A111+(2*B111))*MATERIALES!$C$210)+((A111+(2*B111))*MATERIALES!$C$209)+(((A111*2)*(0.6*6))*MATERIALES!$C$141)+(((A111*2)+(B111*2))*MATERIALES!$C$165)+(0.5*MATERIALES!$C$167)+(2*MATERIALES!$C$187)+(((((A111*4)+(0.6*4)+(B111*2))/0.1)*MATERIALES!$C$192)*2)+(((A111*5)*2)*MATERIALES!$C$147)+(4*MATERIALES!$C$148)</f>
        <v>5581.6015839999991</v>
      </c>
      <c r="E111" s="76"/>
      <c r="F111" s="56">
        <f>(A111*0.6)*MATERIALES!$D$82</f>
        <v>286.20000000000005</v>
      </c>
      <c r="G111" s="60">
        <f t="shared" si="30"/>
        <v>5867.8015839999989</v>
      </c>
      <c r="H111" s="73">
        <f t="shared" si="31"/>
        <v>7828.4820591999996</v>
      </c>
      <c r="M111" s="71">
        <v>0.9</v>
      </c>
      <c r="N111" s="72">
        <v>2.1</v>
      </c>
      <c r="O111" s="60">
        <f>(((M111+(2*N111))*MATERIALES!$C$57)+((M111+(2*N111))*MATERIALES!$C$55)+(M111*MATERIALES!$C$59)+(M111*MATERIALES!$C$58)+(((M111*2)+(N111*2))*MATERIALES!$C$31)+(((M111*2)+(N111))*MATERIALES!$C$32)+(((M111-0.2)*MATERIALES!$C$30)*((N111/3)/0.12))+((((M111*2)+((N111/3)*2))*MATERIALES!$C$73)*2))*(MATERIALES!$F$2*MATERIALES!$J$15)</f>
        <v>0</v>
      </c>
      <c r="P111" s="60">
        <f>(1*MATERIALES!$C$204)+(1*MATERIALES!$C$205)+(3*MATERIALES!$C$207)+(2*MATERIALES!$C$189)+(2*MATERIALES!$C$190)+(2*MATERIALES!$C$191)+(14*MATERIALES!$C$158)+(14*MATERIALES!$C$159)+((M111+(2*N111))*MATERIALES!$C$210)+((M111+(2*N111))*MATERIALES!$C$209)+(((M111*6)+(N111*4))*MATERIALES!$C$166)+(((M111*2)+((N111/3)*2))*MATERIALES!$C$165)+(2*MATERIALES!$C$187)+(((((M111*2)+((N111/3)*2))/0.1)*MATERIALES!$C$192)*2)+(((M111*5)*2)*MATERIALES!$C$147)+(4*MATERIALES!$C$148)</f>
        <v>5171.0536799999991</v>
      </c>
      <c r="Q111" s="76"/>
      <c r="R111" s="56">
        <f>(M111*N111)*MATERIALES!$D$82</f>
        <v>1001.7</v>
      </c>
      <c r="S111" s="60">
        <f t="shared" si="32"/>
        <v>6172.7536799999989</v>
      </c>
      <c r="T111" s="73">
        <f t="shared" si="33"/>
        <v>8725.7697839999983</v>
      </c>
      <c r="U111" s="788"/>
    </row>
    <row r="113" spans="1:21" ht="15.75" thickBot="1">
      <c r="C113" s="78"/>
      <c r="O113" s="78"/>
    </row>
    <row r="114" spans="1:21" ht="15.75" thickBot="1">
      <c r="A114" s="32"/>
      <c r="B114" s="32"/>
      <c r="C114" s="801">
        <v>0.3</v>
      </c>
      <c r="D114" s="802"/>
      <c r="E114" s="803"/>
      <c r="F114" s="61">
        <v>1</v>
      </c>
      <c r="G114" s="32"/>
      <c r="H114" s="46" t="s">
        <v>163</v>
      </c>
      <c r="M114" s="32"/>
      <c r="N114" s="32"/>
      <c r="O114" s="801">
        <v>0.3</v>
      </c>
      <c r="P114" s="802"/>
      <c r="Q114" s="803"/>
      <c r="R114" s="61">
        <v>1</v>
      </c>
      <c r="S114" s="32"/>
      <c r="T114" s="46" t="s">
        <v>163</v>
      </c>
    </row>
    <row r="115" spans="1:21" ht="15.75" thickBot="1">
      <c r="A115" s="792" t="s">
        <v>230</v>
      </c>
      <c r="B115" s="793"/>
      <c r="C115" s="793"/>
      <c r="D115" s="793"/>
      <c r="E115" s="793"/>
      <c r="F115" s="793"/>
      <c r="G115" s="793"/>
      <c r="H115" s="794"/>
      <c r="I115" s="882" t="s">
        <v>255</v>
      </c>
      <c r="M115" s="792" t="s">
        <v>229</v>
      </c>
      <c r="N115" s="793"/>
      <c r="O115" s="793"/>
      <c r="P115" s="793"/>
      <c r="Q115" s="793"/>
      <c r="R115" s="793"/>
      <c r="S115" s="793"/>
      <c r="T115" s="794"/>
      <c r="U115" s="882" t="s">
        <v>255</v>
      </c>
    </row>
    <row r="116" spans="1:21" ht="15.75" thickBot="1">
      <c r="A116" s="36" t="s">
        <v>116</v>
      </c>
      <c r="B116" s="36" t="s">
        <v>117</v>
      </c>
      <c r="C116" s="36" t="s">
        <v>162</v>
      </c>
      <c r="D116" s="36" t="s">
        <v>119</v>
      </c>
      <c r="E116" s="36" t="s">
        <v>120</v>
      </c>
      <c r="F116" s="36" t="s">
        <v>118</v>
      </c>
      <c r="G116" s="36" t="s">
        <v>121</v>
      </c>
      <c r="H116" s="36" t="s">
        <v>122</v>
      </c>
      <c r="I116" s="883"/>
      <c r="M116" s="36" t="s">
        <v>116</v>
      </c>
      <c r="N116" s="36" t="s">
        <v>117</v>
      </c>
      <c r="O116" s="36" t="s">
        <v>162</v>
      </c>
      <c r="P116" s="36" t="s">
        <v>119</v>
      </c>
      <c r="Q116" s="36" t="s">
        <v>120</v>
      </c>
      <c r="R116" s="36" t="s">
        <v>118</v>
      </c>
      <c r="S116" s="36" t="s">
        <v>121</v>
      </c>
      <c r="T116" s="36" t="s">
        <v>122</v>
      </c>
      <c r="U116" s="883"/>
    </row>
    <row r="117" spans="1:21" ht="15.75" thickBot="1">
      <c r="A117" s="795"/>
      <c r="B117" s="796"/>
      <c r="C117" s="796"/>
      <c r="D117" s="796"/>
      <c r="E117" s="796"/>
      <c r="F117" s="796"/>
      <c r="G117" s="796"/>
      <c r="H117" s="797"/>
      <c r="I117" s="883"/>
      <c r="M117" s="795"/>
      <c r="N117" s="796"/>
      <c r="O117" s="796"/>
      <c r="P117" s="796"/>
      <c r="Q117" s="796"/>
      <c r="R117" s="796"/>
      <c r="S117" s="796"/>
      <c r="T117" s="797"/>
      <c r="U117" s="883"/>
    </row>
    <row r="118" spans="1:21">
      <c r="A118" s="65">
        <v>0.6</v>
      </c>
      <c r="B118" s="66">
        <v>2</v>
      </c>
      <c r="C118" s="58">
        <f>(((A118+(2*B118))*MATERIALES!$C$57)+((A118+(2*B118))*MATERIALES!$C$55)+(A118*MATERIALES!$C$59)+((A118*1)*MATERIALES!$C$58)+((((A118*2)+(B118*2))*MATERIALES!$C$73)*2)+(((A118*2)+(0.6*2))*MATERIALES!$C$31)+((A118+0.6)*MATERIALES!$C$32)+(((A118-0.2)*MATERIALES!$C$30)*((B118-0.36)/0.12)))*(MATERIALES!$F$2*MATERIALES!$J$15)</f>
        <v>0</v>
      </c>
      <c r="D118" s="58">
        <f>(1*MATERIALES!$C$204)+(1*MATERIALES!$C$205)+(3*MATERIALES!$C$207)+(2*MATERIALES!$C$189)+(2*MATERIALES!$C$190)+(2*MATERIALES!$C$191)+(12*MATERIALES!$C$158)+(12*MATERIALES!$C$159)+((A118+(2*B118))*MATERIALES!$C$210)+((A118+(2*B118))*MATERIALES!$C$209)+(((A118*2)+(B118*2))*MATERIALES!$C$165)+(((A118*4)+(0.6*4))*MATERIALES!$C$166)+(0.5*MATERIALES!$C$167)+(((((A118*2)+(B118*2))/0.1)*MATERIALES!$C$192)*2)+(2*MATERIALES!$C$187)+(((A118*5)*2)*MATERIALES!$C$147)+(4*MATERIALES!$C$148)</f>
        <v>5208.415680000001</v>
      </c>
      <c r="E118" s="74"/>
      <c r="F118" s="54">
        <f>(A118*0.6)*MATERIALES!$D$82</f>
        <v>190.79999999999998</v>
      </c>
      <c r="G118" s="58">
        <f>SUM(C118:F118)</f>
        <v>5399.2156800000012</v>
      </c>
      <c r="H118" s="67">
        <f>(SUM(C118:E118)*1.3)+(F118*2)</f>
        <v>7152.5403840000017</v>
      </c>
      <c r="I118" s="787"/>
      <c r="M118" s="65">
        <v>0.6</v>
      </c>
      <c r="N118" s="66">
        <v>2</v>
      </c>
      <c r="O118" s="58">
        <f>(((M118+(2*N118))*MATERIALES!$C$57)+((M118+(2*N118))*MATERIALES!$C$55)+(M118*MATERIALES!$C$59)+(M118*MATERIALES!$C$58)+(((M118-0.2)*MATERIALES!$C$30)*((N118/2)/0.12))+((((M118*2)+(N118*1))*MATERIALES!$C$73)*2)+(((M118*2)+(N118*1))*MATERIALES!$C$31)+((M118+(N118/2))*MATERIALES!$C$32))*(MATERIALES!$F$2*MATERIALES!$J$15)</f>
        <v>0</v>
      </c>
      <c r="P118" s="58">
        <f>(1*MATERIALES!$C$204)+(1*MATERIALES!$C$205)+(3*MATERIALES!$C$207)+(2*MATERIALES!$C$189)+(2*MATERIALES!$C$190)+(2*MATERIALES!$C$191)+(12*MATERIALES!$C$158)+(12*MATERIALES!$C$159)+((M118+(2*N118))*MATERIALES!$C$210)+((M118+(2*N118))*MATERIALES!$C$209)+(((M118*2)+(N118*1))*MATERIALES!$C$165)+(((M118*4)+(N118*4))*MATERIALES!$C$166)+(((((M118*2)+(N118*1))/0.1)*MATERIALES!$C$192)*2)+(2*MATERIALES!$C$187)+(0.5*MATERIALES!$C$167)+(((M118*5)*2)*MATERIALES!$C$147)+(4*MATERIALES!$C$148)</f>
        <v>5183.8467200000005</v>
      </c>
      <c r="Q118" s="74"/>
      <c r="R118" s="54">
        <f>(M118*(N118/2))*MATERIALES!$D$82</f>
        <v>318</v>
      </c>
      <c r="S118" s="58">
        <f>SUM(O118:R118)</f>
        <v>5501.8467200000005</v>
      </c>
      <c r="T118" s="67">
        <f>(SUM(O118:Q118)*1.3)+(R118*2)</f>
        <v>7375.0007360000009</v>
      </c>
      <c r="U118" s="787"/>
    </row>
    <row r="119" spans="1:21">
      <c r="A119" s="68">
        <v>0.7</v>
      </c>
      <c r="B119" s="69">
        <v>2</v>
      </c>
      <c r="C119" s="59">
        <f>(((A119+(2*B119))*MATERIALES!$C$57)+((A119+(2*B119))*MATERIALES!$C$55)+(A119*MATERIALES!$C$59)+((A119*1)*MATERIALES!$C$58)+((((A119*2)+(B119*2))*MATERIALES!$C$73)*2)+(((A119*2)+(0.6*2))*MATERIALES!$C$31)+((A119+0.6)*MATERIALES!$C$32)+(((A119-0.2)*MATERIALES!$C$30)*((B119-0.36)/0.12)))*(MATERIALES!$F$2*MATERIALES!$J$15)</f>
        <v>0</v>
      </c>
      <c r="D119" s="59">
        <f>(1*MATERIALES!$C$204)+(1*MATERIALES!$C$205)+(3*MATERIALES!$C$207)+(2*MATERIALES!$C$189)+(2*MATERIALES!$C$190)+(2*MATERIALES!$C$191)+(12*MATERIALES!$C$158)+(12*MATERIALES!$C$159)+((A119+(2*B119))*MATERIALES!$C$210)+((A119+(2*B119))*MATERIALES!$C$209)+(((A119*2)+(B119*2))*MATERIALES!$C$165)+(((A119*4)+(0.6*4))*MATERIALES!$C$166)+(0.5*MATERIALES!$C$167)+(((((A119*2)+(B119*2))/0.1)*MATERIALES!$C$192)*2)+(2*MATERIALES!$C$187)+(((A119*5)*2)*MATERIALES!$C$147)+(4*MATERIALES!$C$148)</f>
        <v>5234.855599999999</v>
      </c>
      <c r="E119" s="75"/>
      <c r="F119" s="55">
        <f>(A119*0.6)*MATERIALES!$D$82</f>
        <v>222.6</v>
      </c>
      <c r="G119" s="59">
        <f t="shared" ref="G119:G125" si="34">SUM(C119:F119)</f>
        <v>5457.4555999999993</v>
      </c>
      <c r="H119" s="70">
        <f t="shared" ref="H119:H125" si="35">(SUM(C119:E119)*1.3)+(F119*2)</f>
        <v>7250.512279999999</v>
      </c>
      <c r="I119" s="787"/>
      <c r="M119" s="68">
        <v>0.7</v>
      </c>
      <c r="N119" s="69">
        <v>2</v>
      </c>
      <c r="O119" s="59">
        <f>(((M119+(2*N119))*MATERIALES!$C$57)+((M119+(2*N119))*MATERIALES!$C$55)+(M119*MATERIALES!$C$59)+(M119*MATERIALES!$C$58)+(((M119-0.2)*MATERIALES!$C$30)*((N119/2)/0.12))+((((M119*2)+(N119*1))*MATERIALES!$C$73)*2)+(((M119*2)+(N119*1))*MATERIALES!$C$31)+((M119+(N119/2))*MATERIALES!$C$32))*(MATERIALES!$F$2*MATERIALES!$J$15)</f>
        <v>0</v>
      </c>
      <c r="P119" s="59">
        <f>(1*MATERIALES!$C$204)+(1*MATERIALES!$C$205)+(3*MATERIALES!$C$207)+(2*MATERIALES!$C$189)+(2*MATERIALES!$C$190)+(2*MATERIALES!$C$191)+(12*MATERIALES!$C$158)+(12*MATERIALES!$C$159)+((M119+(2*N119))*MATERIALES!$C$210)+((M119+(2*N119))*MATERIALES!$C$209)+(((M119*2)+(N119*1))*MATERIALES!$C$165)+(((M119*4)+(N119*4))*MATERIALES!$C$166)+(((((M119*2)+(N119*1))/0.1)*MATERIALES!$C$192)*2)+(2*MATERIALES!$C$187)+(0.5*MATERIALES!$C$167)+(((M119*5)*2)*MATERIALES!$C$147)+(4*MATERIALES!$C$148)</f>
        <v>5210.2866399999984</v>
      </c>
      <c r="Q119" s="75"/>
      <c r="R119" s="55">
        <f>(M119*(N119/2))*MATERIALES!$D$82</f>
        <v>371</v>
      </c>
      <c r="S119" s="59">
        <f t="shared" ref="S119:S125" si="36">SUM(O119:R119)</f>
        <v>5581.2866399999984</v>
      </c>
      <c r="T119" s="70">
        <f t="shared" ref="T119:T125" si="37">(SUM(O119:Q119)*1.3)+(R119*2)</f>
        <v>7515.3726319999978</v>
      </c>
      <c r="U119" s="787"/>
    </row>
    <row r="120" spans="1:21">
      <c r="A120" s="68">
        <v>0.8</v>
      </c>
      <c r="B120" s="69">
        <v>2</v>
      </c>
      <c r="C120" s="59">
        <f>(((A120+(2*B120))*MATERIALES!$C$57)+((A120+(2*B120))*MATERIALES!$C$55)+(A120*MATERIALES!$C$59)+((A120*1)*MATERIALES!$C$58)+((((A120*2)+(B120*2))*MATERIALES!$C$73)*2)+(((A120*2)+(0.6*2))*MATERIALES!$C$31)+((A120+0.6)*MATERIALES!$C$32)+(((A120-0.2)*MATERIALES!$C$30)*((B120-0.36)/0.12)))*(MATERIALES!$F$2*MATERIALES!$J$15)</f>
        <v>0</v>
      </c>
      <c r="D120" s="59">
        <f>(1*MATERIALES!$C$204)+(1*MATERIALES!$C$205)+(3*MATERIALES!$C$207)+(2*MATERIALES!$C$189)+(2*MATERIALES!$C$190)+(2*MATERIALES!$C$191)+(12*MATERIALES!$C$158)+(12*MATERIALES!$C$159)+((A120+(2*B120))*MATERIALES!$C$210)+((A120+(2*B120))*MATERIALES!$C$209)+(((A120*2)+(B120*2))*MATERIALES!$C$165)+(((A120*4)+(0.6*4))*MATERIALES!$C$166)+(0.5*MATERIALES!$C$167)+(((((A120*2)+(B120*2))/0.1)*MATERIALES!$C$192)*2)+(2*MATERIALES!$C$187)+(((A120*5)*2)*MATERIALES!$C$147)+(4*MATERIALES!$C$148)</f>
        <v>5261.2955200000006</v>
      </c>
      <c r="E120" s="75"/>
      <c r="F120" s="55">
        <f>(A120*0.6)*MATERIALES!$D$82</f>
        <v>254.39999999999998</v>
      </c>
      <c r="G120" s="59">
        <f t="shared" si="34"/>
        <v>5515.6955200000002</v>
      </c>
      <c r="H120" s="70">
        <f t="shared" si="35"/>
        <v>7348.4841760000008</v>
      </c>
      <c r="I120" s="787"/>
      <c r="M120" s="68">
        <v>0.8</v>
      </c>
      <c r="N120" s="69">
        <v>2</v>
      </c>
      <c r="O120" s="59">
        <f>(((M120+(2*N120))*MATERIALES!$C$57)+((M120+(2*N120))*MATERIALES!$C$55)+(M120*MATERIALES!$C$59)+(M120*MATERIALES!$C$58)+(((M120-0.2)*MATERIALES!$C$30)*((N120/2)/0.12))+((((M120*2)+(N120*1))*MATERIALES!$C$73)*2)+(((M120*2)+(N120*1))*MATERIALES!$C$31)+((M120+(N120/2))*MATERIALES!$C$32))*(MATERIALES!$F$2*MATERIALES!$J$15)</f>
        <v>0</v>
      </c>
      <c r="P120" s="59">
        <f>(1*MATERIALES!$C$204)+(1*MATERIALES!$C$205)+(3*MATERIALES!$C$207)+(2*MATERIALES!$C$189)+(2*MATERIALES!$C$190)+(2*MATERIALES!$C$191)+(12*MATERIALES!$C$158)+(12*MATERIALES!$C$159)+((M120+(2*N120))*MATERIALES!$C$210)+((M120+(2*N120))*MATERIALES!$C$209)+(((M120*2)+(N120*1))*MATERIALES!$C$165)+(((M120*4)+(N120*4))*MATERIALES!$C$166)+(((((M120*2)+(N120*1))/0.1)*MATERIALES!$C$192)*2)+(2*MATERIALES!$C$187)+(0.5*MATERIALES!$C$167)+(((M120*5)*2)*MATERIALES!$C$147)+(4*MATERIALES!$C$148)</f>
        <v>5236.7265599999992</v>
      </c>
      <c r="Q120" s="75"/>
      <c r="R120" s="55">
        <f>(M120*(N120/2))*MATERIALES!$D$82</f>
        <v>424</v>
      </c>
      <c r="S120" s="59">
        <f t="shared" si="36"/>
        <v>5660.7265599999992</v>
      </c>
      <c r="T120" s="70">
        <f t="shared" si="37"/>
        <v>7655.7445279999993</v>
      </c>
      <c r="U120" s="787"/>
    </row>
    <row r="121" spans="1:21" ht="15" customHeight="1">
      <c r="A121" s="68">
        <v>0.9</v>
      </c>
      <c r="B121" s="69">
        <v>2</v>
      </c>
      <c r="C121" s="59">
        <f>(((A121+(2*B121))*MATERIALES!$C$57)+((A121+(2*B121))*MATERIALES!$C$55)+(A121*MATERIALES!$C$59)+((A121*1)*MATERIALES!$C$58)+((((A121*2)+(B121*2))*MATERIALES!$C$73)*2)+(((A121*2)+(0.6*2))*MATERIALES!$C$31)+((A121+0.6)*MATERIALES!$C$32)+(((A121-0.2)*MATERIALES!$C$30)*((B121-0.36)/0.12)))*(MATERIALES!$F$2*MATERIALES!$J$15)</f>
        <v>0</v>
      </c>
      <c r="D121" s="59">
        <f>(1*MATERIALES!$C$204)+(1*MATERIALES!$C$205)+(3*MATERIALES!$C$207)+(2*MATERIALES!$C$189)+(2*MATERIALES!$C$190)+(2*MATERIALES!$C$191)+(12*MATERIALES!$C$158)+(12*MATERIALES!$C$159)+((A121+(2*B121))*MATERIALES!$C$210)+((A121+(2*B121))*MATERIALES!$C$209)+(((A121*2)+(B121*2))*MATERIALES!$C$165)+(((A121*4)+(0.6*4))*MATERIALES!$C$166)+(0.5*MATERIALES!$C$167)+(((((A121*2)+(B121*2))/0.1)*MATERIALES!$C$192)*2)+(2*MATERIALES!$C$187)+(((A121*5)*2)*MATERIALES!$C$147)+(4*MATERIALES!$C$148)</f>
        <v>5287.7354400000004</v>
      </c>
      <c r="E121" s="75"/>
      <c r="F121" s="55">
        <f>(A121*0.6)*MATERIALES!$D$82</f>
        <v>286.20000000000005</v>
      </c>
      <c r="G121" s="59">
        <f t="shared" si="34"/>
        <v>5573.9354400000002</v>
      </c>
      <c r="H121" s="70">
        <f t="shared" si="35"/>
        <v>7446.4560720000009</v>
      </c>
      <c r="I121" s="787"/>
      <c r="M121" s="68">
        <v>0.9</v>
      </c>
      <c r="N121" s="69">
        <v>2</v>
      </c>
      <c r="O121" s="59">
        <f>(((M121+(2*N121))*MATERIALES!$C$57)+((M121+(2*N121))*MATERIALES!$C$55)+(M121*MATERIALES!$C$59)+(M121*MATERIALES!$C$58)+(((M121-0.2)*MATERIALES!$C$30)*((N121/2)/0.12))+((((M121*2)+(N121*1))*MATERIALES!$C$73)*2)+(((M121*2)+(N121*1))*MATERIALES!$C$31)+((M121+(N121/2))*MATERIALES!$C$32))*(MATERIALES!$F$2*MATERIALES!$J$15)</f>
        <v>0</v>
      </c>
      <c r="P121" s="59">
        <f>(1*MATERIALES!$C$204)+(1*MATERIALES!$C$205)+(3*MATERIALES!$C$207)+(2*MATERIALES!$C$189)+(2*MATERIALES!$C$190)+(2*MATERIALES!$C$191)+(12*MATERIALES!$C$158)+(12*MATERIALES!$C$159)+((M121+(2*N121))*MATERIALES!$C$210)+((M121+(2*N121))*MATERIALES!$C$209)+(((M121*2)+(N121*1))*MATERIALES!$C$165)+(((M121*4)+(N121*4))*MATERIALES!$C$166)+(((((M121*2)+(N121*1))/0.1)*MATERIALES!$C$192)*2)+(2*MATERIALES!$C$187)+(0.5*MATERIALES!$C$167)+(((M121*5)*2)*MATERIALES!$C$147)+(4*MATERIALES!$C$148)</f>
        <v>5263.1664800000008</v>
      </c>
      <c r="Q121" s="75"/>
      <c r="R121" s="55">
        <f>(M121*(N121/2))*MATERIALES!$D$82</f>
        <v>477</v>
      </c>
      <c r="S121" s="59">
        <f t="shared" si="36"/>
        <v>5740.1664800000008</v>
      </c>
      <c r="T121" s="70">
        <f t="shared" si="37"/>
        <v>7796.1164240000016</v>
      </c>
      <c r="U121" s="787"/>
    </row>
    <row r="122" spans="1:21">
      <c r="A122" s="68">
        <v>0.6</v>
      </c>
      <c r="B122" s="69">
        <v>2.1</v>
      </c>
      <c r="C122" s="59">
        <f>(((A122+(2*B122))*MATERIALES!$C$57)+((A122+(2*B122))*MATERIALES!$C$55)+(A122*MATERIALES!$C$59)+((A122*1)*MATERIALES!$C$58)+((((A122*2)+(B122*2))*MATERIALES!$C$73)*2)+(((A122*2)+(0.6*2))*MATERIALES!$C$31)+((A122+0.6)*MATERIALES!$C$32)+(((A122-0.2)*MATERIALES!$C$30)*((B122-0.36)/0.12)))*(MATERIALES!$F$2*MATERIALES!$J$15)</f>
        <v>0</v>
      </c>
      <c r="D122" s="59">
        <f>(1*MATERIALES!$C$204)+(1*MATERIALES!$C$205)+(3*MATERIALES!$C$207)+(2*MATERIALES!$C$189)+(2*MATERIALES!$C$190)+(2*MATERIALES!$C$191)+(12*MATERIALES!$C$158)+(12*MATERIALES!$C$159)+((A122+(2*B122))*MATERIALES!$C$210)+((A122+(2*B122))*MATERIALES!$C$209)+(((A122*2)+(B122*2))*MATERIALES!$C$165)+(((A122*4)+(0.6*4))*MATERIALES!$C$166)+(0.5*MATERIALES!$C$167)+(((((A122*2)+(B122*2))/0.1)*MATERIALES!$C$192)*2)+(2*MATERIALES!$C$187)+(((A122*5)*2)*MATERIALES!$C$147)+(4*MATERIALES!$C$148)</f>
        <v>5233.2238400000006</v>
      </c>
      <c r="E122" s="75"/>
      <c r="F122" s="55">
        <f>(A122*0.6)*MATERIALES!$D$82</f>
        <v>190.79999999999998</v>
      </c>
      <c r="G122" s="59">
        <f t="shared" si="34"/>
        <v>5424.0238400000007</v>
      </c>
      <c r="H122" s="70">
        <f t="shared" si="35"/>
        <v>7184.7909920000011</v>
      </c>
      <c r="I122" s="787"/>
      <c r="M122" s="68">
        <v>0.6</v>
      </c>
      <c r="N122" s="69">
        <v>2.1</v>
      </c>
      <c r="O122" s="59">
        <f>(((M122+(2*N122))*MATERIALES!$C$57)+((M122+(2*N122))*MATERIALES!$C$55)+(M122*MATERIALES!$C$59)+(M122*MATERIALES!$C$58)+(((M122-0.2)*MATERIALES!$C$30)*((N122/2)/0.12))+((((M122*2)+(N122*1))*MATERIALES!$C$73)*2)+(((M122*2)+(N122*1))*MATERIALES!$C$31)+((M122+(N122/2))*MATERIALES!$C$32))*(MATERIALES!$F$2*MATERIALES!$J$15)</f>
        <v>0</v>
      </c>
      <c r="P122" s="59">
        <f>(1*MATERIALES!$C$204)+(1*MATERIALES!$C$205)+(3*MATERIALES!$C$207)+(2*MATERIALES!$C$189)+(2*MATERIALES!$C$190)+(2*MATERIALES!$C$191)+(12*MATERIALES!$C$158)+(12*MATERIALES!$C$159)+((M122+(2*N122))*MATERIALES!$C$210)+((M122+(2*N122))*MATERIALES!$C$209)+(((M122*2)+(N122*1))*MATERIALES!$C$165)+(((M122*4)+(N122*4))*MATERIALES!$C$166)+(((((M122*2)+(N122*1))/0.1)*MATERIALES!$C$192)*2)+(2*MATERIALES!$C$187)+(0.5*MATERIALES!$C$167)+(((M122*5)*2)*MATERIALES!$C$147)+(4*MATERIALES!$C$148)</f>
        <v>5209.6865600000001</v>
      </c>
      <c r="Q122" s="75"/>
      <c r="R122" s="55">
        <f>(M122*(N122/2))*MATERIALES!$D$82</f>
        <v>333.9</v>
      </c>
      <c r="S122" s="59">
        <f t="shared" si="36"/>
        <v>5543.5865599999997</v>
      </c>
      <c r="T122" s="70">
        <f t="shared" si="37"/>
        <v>7440.3925280000003</v>
      </c>
      <c r="U122" s="787"/>
    </row>
    <row r="123" spans="1:21">
      <c r="A123" s="68">
        <v>0.7</v>
      </c>
      <c r="B123" s="69">
        <v>2.1</v>
      </c>
      <c r="C123" s="59">
        <f>(((A123+(2*B123))*MATERIALES!$C$57)+((A123+(2*B123))*MATERIALES!$C$55)+(A123*MATERIALES!$C$59)+((A123*1)*MATERIALES!$C$58)+((((A123*2)+(B123*2))*MATERIALES!$C$73)*2)+(((A123*2)+(0.6*2))*MATERIALES!$C$31)+((A123+0.6)*MATERIALES!$C$32)+(((A123-0.2)*MATERIALES!$C$30)*((B123-0.36)/0.12)))*(MATERIALES!$F$2*MATERIALES!$J$15)</f>
        <v>0</v>
      </c>
      <c r="D123" s="59">
        <f>(1*MATERIALES!$C$204)+(1*MATERIALES!$C$205)+(3*MATERIALES!$C$207)+(2*MATERIALES!$C$189)+(2*MATERIALES!$C$190)+(2*MATERIALES!$C$191)+(12*MATERIALES!$C$158)+(12*MATERIALES!$C$159)+((A123+(2*B123))*MATERIALES!$C$210)+((A123+(2*B123))*MATERIALES!$C$209)+(((A123*2)+(B123*2))*MATERIALES!$C$165)+(((A123*4)+(0.6*4))*MATERIALES!$C$166)+(0.5*MATERIALES!$C$167)+(((((A123*2)+(B123*2))/0.1)*MATERIALES!$C$192)*2)+(2*MATERIALES!$C$187)+(((A123*5)*2)*MATERIALES!$C$147)+(4*MATERIALES!$C$148)</f>
        <v>5259.6637600000004</v>
      </c>
      <c r="E123" s="75"/>
      <c r="F123" s="55">
        <f>(A123*0.6)*MATERIALES!$D$82</f>
        <v>222.6</v>
      </c>
      <c r="G123" s="59">
        <f t="shared" si="34"/>
        <v>5482.2637600000007</v>
      </c>
      <c r="H123" s="70">
        <f t="shared" si="35"/>
        <v>7282.7628880000002</v>
      </c>
      <c r="I123" s="787"/>
      <c r="M123" s="68">
        <v>0.7</v>
      </c>
      <c r="N123" s="69">
        <v>2.1</v>
      </c>
      <c r="O123" s="59">
        <f>(((M123+(2*N123))*MATERIALES!$C$57)+((M123+(2*N123))*MATERIALES!$C$55)+(M123*MATERIALES!$C$59)+(M123*MATERIALES!$C$58)+(((M123-0.2)*MATERIALES!$C$30)*((N123/2)/0.12))+((((M123*2)+(N123*1))*MATERIALES!$C$73)*2)+(((M123*2)+(N123*1))*MATERIALES!$C$31)+((M123+(N123/2))*MATERIALES!$C$32))*(MATERIALES!$F$2*MATERIALES!$J$15)</f>
        <v>0</v>
      </c>
      <c r="P123" s="59">
        <f>(1*MATERIALES!$C$204)+(1*MATERIALES!$C$205)+(3*MATERIALES!$C$207)+(2*MATERIALES!$C$189)+(2*MATERIALES!$C$190)+(2*MATERIALES!$C$191)+(12*MATERIALES!$C$158)+(12*MATERIALES!$C$159)+((M123+(2*N123))*MATERIALES!$C$210)+((M123+(2*N123))*MATERIALES!$C$209)+(((M123*2)+(N123*1))*MATERIALES!$C$165)+(((M123*4)+(N123*4))*MATERIALES!$C$166)+(((((M123*2)+(N123*1))/0.1)*MATERIALES!$C$192)*2)+(2*MATERIALES!$C$187)+(0.5*MATERIALES!$C$167)+(((M123*5)*2)*MATERIALES!$C$147)+(4*MATERIALES!$C$148)</f>
        <v>5236.1264799999999</v>
      </c>
      <c r="Q123" s="75"/>
      <c r="R123" s="55">
        <f>(M123*(N123/2))*MATERIALES!$D$82</f>
        <v>389.55</v>
      </c>
      <c r="S123" s="59">
        <f t="shared" si="36"/>
        <v>5625.6764800000001</v>
      </c>
      <c r="T123" s="70">
        <f t="shared" si="37"/>
        <v>7586.0644240000001</v>
      </c>
      <c r="U123" s="787"/>
    </row>
    <row r="124" spans="1:21">
      <c r="A124" s="68">
        <v>0.8</v>
      </c>
      <c r="B124" s="69">
        <v>2.1</v>
      </c>
      <c r="C124" s="59">
        <f>(((A124+(2*B124))*MATERIALES!$C$57)+((A124+(2*B124))*MATERIALES!$C$55)+(A124*MATERIALES!$C$59)+((A124*1)*MATERIALES!$C$58)+((((A124*2)+(B124*2))*MATERIALES!$C$73)*2)+(((A124*2)+(0.6*2))*MATERIALES!$C$31)+((A124+0.6)*MATERIALES!$C$32)+(((A124-0.2)*MATERIALES!$C$30)*((B124-0.36)/0.12)))*(MATERIALES!$F$2*MATERIALES!$J$15)</f>
        <v>0</v>
      </c>
      <c r="D124" s="59">
        <f>(1*MATERIALES!$C$204)+(1*MATERIALES!$C$205)+(3*MATERIALES!$C$207)+(2*MATERIALES!$C$189)+(2*MATERIALES!$C$190)+(2*MATERIALES!$C$191)+(12*MATERIALES!$C$158)+(12*MATERIALES!$C$159)+((A124+(2*B124))*MATERIALES!$C$210)+((A124+(2*B124))*MATERIALES!$C$209)+(((A124*2)+(B124*2))*MATERIALES!$C$165)+(((A124*4)+(0.6*4))*MATERIALES!$C$166)+(0.5*MATERIALES!$C$167)+(((((A124*2)+(B124*2))/0.1)*MATERIALES!$C$192)*2)+(2*MATERIALES!$C$187)+(((A124*5)*2)*MATERIALES!$C$147)+(4*MATERIALES!$C$148)</f>
        <v>5286.1036800000002</v>
      </c>
      <c r="E124" s="75"/>
      <c r="F124" s="55">
        <f>(A124*0.6)*MATERIALES!$D$82</f>
        <v>254.39999999999998</v>
      </c>
      <c r="G124" s="59">
        <f t="shared" si="34"/>
        <v>5540.5036799999998</v>
      </c>
      <c r="H124" s="70">
        <f t="shared" si="35"/>
        <v>7380.7347840000002</v>
      </c>
      <c r="I124" s="787"/>
      <c r="M124" s="68">
        <v>0.8</v>
      </c>
      <c r="N124" s="69">
        <v>2.1</v>
      </c>
      <c r="O124" s="59">
        <f>(((M124+(2*N124))*MATERIALES!$C$57)+((M124+(2*N124))*MATERIALES!$C$55)+(M124*MATERIALES!$C$59)+(M124*MATERIALES!$C$58)+(((M124-0.2)*MATERIALES!$C$30)*((N124/2)/0.12))+((((M124*2)+(N124*1))*MATERIALES!$C$73)*2)+(((M124*2)+(N124*1))*MATERIALES!$C$31)+((M124+(N124/2))*MATERIALES!$C$32))*(MATERIALES!$F$2*MATERIALES!$J$15)</f>
        <v>0</v>
      </c>
      <c r="P124" s="59">
        <f>(1*MATERIALES!$C$204)+(1*MATERIALES!$C$205)+(3*MATERIALES!$C$207)+(2*MATERIALES!$C$189)+(2*MATERIALES!$C$190)+(2*MATERIALES!$C$191)+(12*MATERIALES!$C$158)+(12*MATERIALES!$C$159)+((M124+(2*N124))*MATERIALES!$C$210)+((M124+(2*N124))*MATERIALES!$C$209)+(((M124*2)+(N124*1))*MATERIALES!$C$165)+(((M124*4)+(N124*4))*MATERIALES!$C$166)+(((((M124*2)+(N124*1))/0.1)*MATERIALES!$C$192)*2)+(2*MATERIALES!$C$187)+(0.5*MATERIALES!$C$167)+(((M124*5)*2)*MATERIALES!$C$147)+(4*MATERIALES!$C$148)</f>
        <v>5262.5664000000006</v>
      </c>
      <c r="Q124" s="75"/>
      <c r="R124" s="55">
        <f>(M124*(N124/2))*MATERIALES!$D$82</f>
        <v>445.20000000000005</v>
      </c>
      <c r="S124" s="59">
        <f t="shared" si="36"/>
        <v>5707.7664000000004</v>
      </c>
      <c r="T124" s="70">
        <f t="shared" si="37"/>
        <v>7731.7363200000018</v>
      </c>
      <c r="U124" s="787"/>
    </row>
    <row r="125" spans="1:21" ht="15.75" thickBot="1">
      <c r="A125" s="71">
        <v>0.9</v>
      </c>
      <c r="B125" s="72">
        <v>2.1</v>
      </c>
      <c r="C125" s="60">
        <f>(((A125+(2*B125))*MATERIALES!$C$57)+((A125+(2*B125))*MATERIALES!$C$55)+(A125*MATERIALES!$C$59)+((A125*1)*MATERIALES!$C$58)+((((A125*2)+(B125*2))*MATERIALES!$C$73)*2)+(((A125*2)+(0.6*2))*MATERIALES!$C$31)+((A125+0.6)*MATERIALES!$C$32)+(((A125-0.2)*MATERIALES!$C$30)*((B125-0.36)/0.12)))*(MATERIALES!$F$2*MATERIALES!$J$15)</f>
        <v>0</v>
      </c>
      <c r="D125" s="60">
        <f>(1*MATERIALES!$C$204)+(1*MATERIALES!$C$205)+(3*MATERIALES!$C$207)+(2*MATERIALES!$C$189)+(2*MATERIALES!$C$190)+(2*MATERIALES!$C$191)+(12*MATERIALES!$C$158)+(12*MATERIALES!$C$159)+((A125+(2*B125))*MATERIALES!$C$210)+((A125+(2*B125))*MATERIALES!$C$209)+(((A125*2)+(B125*2))*MATERIALES!$C$165)+(((A125*4)+(0.6*4))*MATERIALES!$C$166)+(0.5*MATERIALES!$C$167)+(((((A125*2)+(B125*2))/0.1)*MATERIALES!$C$192)*2)+(2*MATERIALES!$C$187)+(((A125*5)*2)*MATERIALES!$C$147)+(4*MATERIALES!$C$148)</f>
        <v>5312.5435999999991</v>
      </c>
      <c r="E125" s="76"/>
      <c r="F125" s="56">
        <f>(A125*0.6)*MATERIALES!$D$82</f>
        <v>286.20000000000005</v>
      </c>
      <c r="G125" s="60">
        <f t="shared" si="34"/>
        <v>5598.7435999999989</v>
      </c>
      <c r="H125" s="73">
        <f t="shared" si="35"/>
        <v>7478.7066799999993</v>
      </c>
      <c r="I125" s="788"/>
      <c r="M125" s="71">
        <v>0.9</v>
      </c>
      <c r="N125" s="72">
        <v>2.1</v>
      </c>
      <c r="O125" s="60">
        <f>(((M125+(2*N125))*MATERIALES!$C$57)+((M125+(2*N125))*MATERIALES!$C$55)+(M125*MATERIALES!$C$59)+(M125*MATERIALES!$C$58)+(((M125-0.2)*MATERIALES!$C$30)*((N125/2)/0.12))+((((M125*2)+(N125*1))*MATERIALES!$C$73)*2)+(((M125*2)+(N125*1))*MATERIALES!$C$31)+((M125+(N125/2))*MATERIALES!$C$32))*(MATERIALES!$F$2*MATERIALES!$J$15)</f>
        <v>0</v>
      </c>
      <c r="P125" s="60">
        <f>(1*MATERIALES!$C$204)+(1*MATERIALES!$C$205)+(3*MATERIALES!$C$207)+(2*MATERIALES!$C$189)+(2*MATERIALES!$C$190)+(2*MATERIALES!$C$191)+(12*MATERIALES!$C$158)+(12*MATERIALES!$C$159)+((M125+(2*N125))*MATERIALES!$C$210)+((M125+(2*N125))*MATERIALES!$C$209)+(((M125*2)+(N125*1))*MATERIALES!$C$165)+(((M125*4)+(N125*4))*MATERIALES!$C$166)+(((((M125*2)+(N125*1))/0.1)*MATERIALES!$C$192)*2)+(2*MATERIALES!$C$187)+(0.5*MATERIALES!$C$167)+(((M125*5)*2)*MATERIALES!$C$147)+(4*MATERIALES!$C$148)</f>
        <v>5289.0063199999995</v>
      </c>
      <c r="Q125" s="76"/>
      <c r="R125" s="56">
        <f>(M125*(N125/2))*MATERIALES!$D$82</f>
        <v>500.85</v>
      </c>
      <c r="S125" s="60">
        <f t="shared" si="36"/>
        <v>5789.8563199999999</v>
      </c>
      <c r="T125" s="73">
        <f t="shared" si="37"/>
        <v>7877.4082159999998</v>
      </c>
      <c r="U125" s="788"/>
    </row>
    <row r="126" spans="1:21">
      <c r="U126" s="95"/>
    </row>
    <row r="128" spans="1:21" s="430" customFormat="1"/>
    <row r="130" spans="1:20" ht="15.75" thickBot="1"/>
    <row r="131" spans="1:20" ht="15.75" thickBot="1">
      <c r="A131" s="32"/>
      <c r="B131" s="32"/>
      <c r="C131" s="801">
        <v>0.3</v>
      </c>
      <c r="D131" s="802"/>
      <c r="E131" s="803"/>
      <c r="F131" s="61">
        <v>0.5</v>
      </c>
      <c r="G131" s="32"/>
      <c r="H131" s="46" t="s">
        <v>163</v>
      </c>
      <c r="M131" s="32"/>
      <c r="N131" s="32"/>
      <c r="O131" s="801">
        <v>0.3</v>
      </c>
      <c r="P131" s="802"/>
      <c r="Q131" s="802"/>
      <c r="R131" s="803"/>
      <c r="S131" s="32"/>
      <c r="T131" s="46" t="s">
        <v>163</v>
      </c>
    </row>
    <row r="132" spans="1:20" ht="15.75" thickBot="1">
      <c r="A132" s="792" t="s">
        <v>676</v>
      </c>
      <c r="B132" s="793"/>
      <c r="C132" s="793"/>
      <c r="D132" s="793"/>
      <c r="E132" s="793"/>
      <c r="F132" s="793"/>
      <c r="G132" s="793"/>
      <c r="H132" s="794"/>
      <c r="M132" s="792" t="s">
        <v>208</v>
      </c>
      <c r="N132" s="793"/>
      <c r="O132" s="793"/>
      <c r="P132" s="793"/>
      <c r="Q132" s="793"/>
      <c r="R132" s="793"/>
      <c r="S132" s="793"/>
      <c r="T132" s="794"/>
    </row>
    <row r="133" spans="1:20" ht="15.75" thickBot="1">
      <c r="A133" s="36" t="s">
        <v>116</v>
      </c>
      <c r="B133" s="36" t="s">
        <v>117</v>
      </c>
      <c r="C133" s="36" t="s">
        <v>162</v>
      </c>
      <c r="D133" s="36" t="s">
        <v>119</v>
      </c>
      <c r="E133" s="36" t="s">
        <v>120</v>
      </c>
      <c r="F133" s="36" t="s">
        <v>118</v>
      </c>
      <c r="G133" s="36" t="s">
        <v>121</v>
      </c>
      <c r="H133" s="36" t="s">
        <v>122</v>
      </c>
      <c r="M133" s="36" t="s">
        <v>116</v>
      </c>
      <c r="N133" s="36" t="s">
        <v>117</v>
      </c>
      <c r="O133" s="36" t="s">
        <v>162</v>
      </c>
      <c r="P133" s="36" t="s">
        <v>119</v>
      </c>
      <c r="Q133" s="36" t="s">
        <v>120</v>
      </c>
      <c r="R133" s="36" t="s">
        <v>207</v>
      </c>
      <c r="S133" s="36" t="s">
        <v>121</v>
      </c>
      <c r="T133" s="36" t="s">
        <v>122</v>
      </c>
    </row>
    <row r="134" spans="1:20" ht="15.75" thickBot="1">
      <c r="A134" s="795"/>
      <c r="B134" s="796"/>
      <c r="C134" s="796"/>
      <c r="D134" s="796"/>
      <c r="E134" s="796"/>
      <c r="F134" s="796"/>
      <c r="G134" s="796"/>
      <c r="H134" s="797"/>
      <c r="M134" s="795"/>
      <c r="N134" s="796"/>
      <c r="O134" s="796"/>
      <c r="P134" s="796"/>
      <c r="Q134" s="796"/>
      <c r="R134" s="796"/>
      <c r="S134" s="796"/>
      <c r="T134" s="797"/>
    </row>
    <row r="135" spans="1:20">
      <c r="A135" s="65">
        <v>0.6</v>
      </c>
      <c r="B135" s="66">
        <v>2</v>
      </c>
      <c r="C135" s="58">
        <f>(((A135+(2*B135))*MATERIALES!$C$57)+((A135+(2*B135))*MATERIALES!$C$55)+(A135*MATERIALES!$C$59)+((((A135*2)+(B135*2))*MATERIALES!$C$73)*2))*(MATERIALES!$F$2*MATERIALES!$J$15)</f>
        <v>0</v>
      </c>
      <c r="D135" s="58">
        <f>(1*MATERIALES!$C$204)+(1*MATERIALES!$C$205)+(3*MATERIALES!$C$207)+(2*MATERIALES!$C$189)+(2*MATERIALES!$C$190)+(2*MATERIALES!$C$191)+(4*MATERIALES!$C$158)+(4*MATERIALES!$C$159)+((A135+(2*B135))*MATERIALES!$C$210)+((A135+(2*B135))*MATERIALES!$C$209)+(((A135*2)+(B135*2))*MATERIALES!$C$141)+(((((A135*2)+(B135*2))/0.1)*MATERIALES!$C$192)*2)+(2*MATERIALES!$C$187)+(((A135*5)*2)*MATERIALES!$C$147)+(4*MATERIALES!$C$148)</f>
        <v>4860.8705600000003</v>
      </c>
      <c r="E135" s="74"/>
      <c r="F135" s="54">
        <f>(A135*B135)*MATERIALES!$D$89</f>
        <v>2148</v>
      </c>
      <c r="G135" s="58">
        <f>SUM(C135:F135)</f>
        <v>7008.8705600000003</v>
      </c>
      <c r="H135" s="67">
        <f>(SUM(C135:E135)*1.3)+(F135*1.5)</f>
        <v>9541.1317280000003</v>
      </c>
      <c r="M135" s="65">
        <v>0.6</v>
      </c>
      <c r="N135" s="66">
        <v>2</v>
      </c>
      <c r="O135" s="58">
        <f>(((M135+(2*N135))*MATERIALES!$C$57)+((M135+(2*N135))*MATERIALES!$C$55)+(M135*MATERIALES!$C$59)+((((M135*2)+(N135*2))*MATERIALES!$C$73)*2))*(MATERIALES!$F$2*MATERIALES!$J$15)</f>
        <v>0</v>
      </c>
      <c r="P135" s="58">
        <f>(1*MATERIALES!$C$204)+(1*MATERIALES!$C$205)+(3*MATERIALES!$C$207)+(2*MATERIALES!$C$189)+(2*MATERIALES!$C$190)+(2*MATERIALES!$C$191)+(4*MATERIALES!$C$158)+(4*MATERIALES!$C$159)+((M135+(2*N135))*MATERIALES!$C$210)+((M135+(2*N135))*MATERIALES!$C$209)+(((M135*2)+(N135*2))*MATERIALES!$C$165)+(0.5*MATERIALES!$C$167)+(((((M135*2)+(N135*2))/0.1)*MATERIALES!$C$192)*2)+(2*MATERIALES!$C$187)+(((M135*5)*2)*MATERIALES!$C$147)+(4*MATERIALES!$C$148)</f>
        <v>4997.3705600000003</v>
      </c>
      <c r="Q135" s="74"/>
      <c r="R135" s="54">
        <f>(((M135-0.2)*MATERIALES!$C$30)*(N135/0.12))*MATERIALES!$F$2</f>
        <v>4315.5839999999998</v>
      </c>
      <c r="S135" s="58">
        <f>SUM(O135:R135)</f>
        <v>9312.9545600000001</v>
      </c>
      <c r="T135" s="67">
        <f>(SUM(O135:R135)*1.3)</f>
        <v>12106.840928000001</v>
      </c>
    </row>
    <row r="136" spans="1:20">
      <c r="A136" s="68">
        <v>0.7</v>
      </c>
      <c r="B136" s="69">
        <v>2</v>
      </c>
      <c r="C136" s="59">
        <f>(((A136+(2*B136))*MATERIALES!$C$57)+((A136+(2*B136))*MATERIALES!$C$55)+(A136*MATERIALES!$C$59)+((((A136*2)+(B136*2))*MATERIALES!$C$73)*2))*(MATERIALES!$F$2*MATERIALES!$J$15)</f>
        <v>0</v>
      </c>
      <c r="D136" s="59">
        <f>(1*MATERIALES!$C$204)+(1*MATERIALES!$C$205)+(3*MATERIALES!$C$207)+(2*MATERIALES!$C$189)+(2*MATERIALES!$C$190)+(2*MATERIALES!$C$191)+(4*MATERIALES!$C$158)+(4*MATERIALES!$C$159)+((A136+(2*B136))*MATERIALES!$C$210)+((A136+(2*B136))*MATERIALES!$C$209)+(((A136*2)+(B136*2))*MATERIALES!$C$141)+(((((A136*2)+(B136*2))/0.1)*MATERIALES!$C$192)*2)+(2*MATERIALES!$C$187)+(((A136*5)*2)*MATERIALES!$C$147)+(4*MATERIALES!$C$148)</f>
        <v>4879.7767199999989</v>
      </c>
      <c r="E136" s="75"/>
      <c r="F136" s="55">
        <f>(A136*B136)*MATERIALES!$D$89</f>
        <v>2506</v>
      </c>
      <c r="G136" s="59">
        <f t="shared" ref="G136:G142" si="38">SUM(C136:F136)</f>
        <v>7385.7767199999989</v>
      </c>
      <c r="H136" s="70">
        <f>(SUM(C136:E136)*1.3)+(F136*1.5)</f>
        <v>10102.709735999999</v>
      </c>
      <c r="M136" s="68">
        <v>0.7</v>
      </c>
      <c r="N136" s="69">
        <v>2</v>
      </c>
      <c r="O136" s="59">
        <f>(((M136+(2*N136))*MATERIALES!$C$57)+((M136+(2*N136))*MATERIALES!$C$55)+(M136*MATERIALES!$C$59)+((((M136*2)+(N136*2))*MATERIALES!$C$73)*2))*(MATERIALES!$F$2*MATERIALES!$J$15)</f>
        <v>0</v>
      </c>
      <c r="P136" s="59">
        <f>(1*MATERIALES!$C$204)+(1*MATERIALES!$C$205)+(3*MATERIALES!$C$207)+(2*MATERIALES!$C$189)+(2*MATERIALES!$C$190)+(2*MATERIALES!$C$191)+(4*MATERIALES!$C$158)+(4*MATERIALES!$C$159)+((M136+(2*N136))*MATERIALES!$C$210)+((M136+(2*N136))*MATERIALES!$C$209)+(((M136*2)+(N136*2))*MATERIALES!$C$165)+(0.5*MATERIALES!$C$167)+(((((M136*2)+(N136*2))/0.1)*MATERIALES!$C$192)*2)+(2*MATERIALES!$C$187)+(((M136*5)*2)*MATERIALES!$C$147)+(4*MATERIALES!$C$148)</f>
        <v>5016.2767199999989</v>
      </c>
      <c r="Q136" s="75"/>
      <c r="R136" s="55">
        <f>(((M136-0.2)*MATERIALES!$C$30)*(N136/0.12))*MATERIALES!$F$2</f>
        <v>5394.48</v>
      </c>
      <c r="S136" s="59">
        <f t="shared" ref="S136:S142" si="39">SUM(O136:R136)</f>
        <v>10410.756719999998</v>
      </c>
      <c r="T136" s="70">
        <f t="shared" ref="T136:T142" si="40">(SUM(O136:R136)*1.3)</f>
        <v>13533.983735999996</v>
      </c>
    </row>
    <row r="137" spans="1:20">
      <c r="A137" s="68">
        <v>0.8</v>
      </c>
      <c r="B137" s="69">
        <v>2</v>
      </c>
      <c r="C137" s="59">
        <f>(((A137+(2*B137))*MATERIALES!$C$57)+((A137+(2*B137))*MATERIALES!$C$55)+(A137*MATERIALES!$C$59)+((((A137*2)+(B137*2))*MATERIALES!$C$73)*2))*(MATERIALES!$F$2*MATERIALES!$J$15)</f>
        <v>0</v>
      </c>
      <c r="D137" s="59">
        <f>(1*MATERIALES!$C$204)+(1*MATERIALES!$C$205)+(3*MATERIALES!$C$207)+(2*MATERIALES!$C$189)+(2*MATERIALES!$C$190)+(2*MATERIALES!$C$191)+(4*MATERIALES!$C$158)+(4*MATERIALES!$C$159)+((A137+(2*B137))*MATERIALES!$C$210)+((A137+(2*B137))*MATERIALES!$C$209)+(((A137*2)+(B137*2))*MATERIALES!$C$141)+(((((A137*2)+(B137*2))/0.1)*MATERIALES!$C$192)*2)+(2*MATERIALES!$C$187)+(((A137*5)*2)*MATERIALES!$C$147)+(4*MATERIALES!$C$148)</f>
        <v>4898.6828800000003</v>
      </c>
      <c r="E137" s="75"/>
      <c r="F137" s="55">
        <f>(A137*B137)*MATERIALES!$D$89</f>
        <v>2864</v>
      </c>
      <c r="G137" s="59">
        <f t="shared" si="38"/>
        <v>7762.6828800000003</v>
      </c>
      <c r="H137" s="70">
        <f t="shared" ref="H137:H141" si="41">(SUM(C137:E137)*1.3)+(F137*1.5)</f>
        <v>10664.287744000001</v>
      </c>
      <c r="M137" s="68">
        <v>0.8</v>
      </c>
      <c r="N137" s="69">
        <v>2</v>
      </c>
      <c r="O137" s="59">
        <f>(((M137+(2*N137))*MATERIALES!$C$57)+((M137+(2*N137))*MATERIALES!$C$55)+(M137*MATERIALES!$C$59)+((((M137*2)+(N137*2))*MATERIALES!$C$73)*2))*(MATERIALES!$F$2*MATERIALES!$J$15)</f>
        <v>0</v>
      </c>
      <c r="P137" s="59">
        <f>(1*MATERIALES!$C$204)+(1*MATERIALES!$C$205)+(3*MATERIALES!$C$207)+(2*MATERIALES!$C$189)+(2*MATERIALES!$C$190)+(2*MATERIALES!$C$191)+(4*MATERIALES!$C$158)+(4*MATERIALES!$C$159)+((M137+(2*N137))*MATERIALES!$C$210)+((M137+(2*N137))*MATERIALES!$C$209)+(((M137*2)+(N137*2))*MATERIALES!$C$165)+(0.5*MATERIALES!$C$167)+(((((M137*2)+(N137*2))/0.1)*MATERIALES!$C$192)*2)+(2*MATERIALES!$C$187)+(((M137*5)*2)*MATERIALES!$C$147)+(4*MATERIALES!$C$148)</f>
        <v>5035.1828800000003</v>
      </c>
      <c r="Q137" s="75"/>
      <c r="R137" s="55">
        <f>(((M137-0.2)*MATERIALES!$C$30)*(N137/0.12))*MATERIALES!$F$2</f>
        <v>6473.376000000002</v>
      </c>
      <c r="S137" s="59">
        <f t="shared" si="39"/>
        <v>11508.558880000002</v>
      </c>
      <c r="T137" s="70">
        <f t="shared" si="40"/>
        <v>14961.126544000004</v>
      </c>
    </row>
    <row r="138" spans="1:20">
      <c r="A138" s="68">
        <v>0.9</v>
      </c>
      <c r="B138" s="69">
        <v>2</v>
      </c>
      <c r="C138" s="59">
        <f>(((A138+(2*B138))*MATERIALES!$C$57)+((A138+(2*B138))*MATERIALES!$C$55)+(A138*MATERIALES!$C$59)+((((A138*2)+(B138*2))*MATERIALES!$C$73)*2))*(MATERIALES!$F$2*MATERIALES!$J$15)</f>
        <v>0</v>
      </c>
      <c r="D138" s="59">
        <f>(1*MATERIALES!$C$204)+(1*MATERIALES!$C$205)+(3*MATERIALES!$C$207)+(2*MATERIALES!$C$189)+(2*MATERIALES!$C$190)+(2*MATERIALES!$C$191)+(4*MATERIALES!$C$158)+(4*MATERIALES!$C$159)+((A138+(2*B138))*MATERIALES!$C$210)+((A138+(2*B138))*MATERIALES!$C$209)+(((A138*2)+(B138*2))*MATERIALES!$C$141)+(((((A138*2)+(B138*2))/0.1)*MATERIALES!$C$192)*2)+(2*MATERIALES!$C$187)+(((A138*5)*2)*MATERIALES!$C$147)+(4*MATERIALES!$C$148)</f>
        <v>4917.5890399999998</v>
      </c>
      <c r="E138" s="75"/>
      <c r="F138" s="55">
        <f>(A138*B138)*MATERIALES!$D$89</f>
        <v>3222</v>
      </c>
      <c r="G138" s="59">
        <f t="shared" si="38"/>
        <v>8139.5890399999998</v>
      </c>
      <c r="H138" s="70">
        <f t="shared" si="41"/>
        <v>11225.865752</v>
      </c>
      <c r="M138" s="68">
        <v>0.9</v>
      </c>
      <c r="N138" s="69">
        <v>2</v>
      </c>
      <c r="O138" s="59">
        <f>(((M138+(2*N138))*MATERIALES!$C$57)+((M138+(2*N138))*MATERIALES!$C$55)+(M138*MATERIALES!$C$59)+((((M138*2)+(N138*2))*MATERIALES!$C$73)*2))*(MATERIALES!$F$2*MATERIALES!$J$15)</f>
        <v>0</v>
      </c>
      <c r="P138" s="59">
        <f>(1*MATERIALES!$C$204)+(1*MATERIALES!$C$205)+(3*MATERIALES!$C$207)+(2*MATERIALES!$C$189)+(2*MATERIALES!$C$190)+(2*MATERIALES!$C$191)+(4*MATERIALES!$C$158)+(4*MATERIALES!$C$159)+((M138+(2*N138))*MATERIALES!$C$210)+((M138+(2*N138))*MATERIALES!$C$209)+(((M138*2)+(N138*2))*MATERIALES!$C$165)+(0.5*MATERIALES!$C$167)+(((((M138*2)+(N138*2))/0.1)*MATERIALES!$C$192)*2)+(2*MATERIALES!$C$187)+(((M138*5)*2)*MATERIALES!$C$147)+(4*MATERIALES!$C$148)</f>
        <v>5054.0890399999998</v>
      </c>
      <c r="Q138" s="75"/>
      <c r="R138" s="55">
        <f>(((M138-0.2)*MATERIALES!$C$30)*(N138/0.12))*MATERIALES!$F$2</f>
        <v>7552.2720000000008</v>
      </c>
      <c r="S138" s="59">
        <f t="shared" si="39"/>
        <v>12606.36104</v>
      </c>
      <c r="T138" s="70">
        <f t="shared" si="40"/>
        <v>16388.269351999999</v>
      </c>
    </row>
    <row r="139" spans="1:20">
      <c r="A139" s="68">
        <v>0.6</v>
      </c>
      <c r="B139" s="69">
        <v>2.1</v>
      </c>
      <c r="C139" s="59">
        <f>(((A139+(2*B139))*MATERIALES!$C$57)+((A139+(2*B139))*MATERIALES!$C$55)+(A139*MATERIALES!$C$59)+((((A139*2)+(B139*2))*MATERIALES!$C$73)*2))*(MATERIALES!$F$2*MATERIALES!$J$15)</f>
        <v>0</v>
      </c>
      <c r="D139" s="59">
        <f>(1*MATERIALES!$C$204)+(1*MATERIALES!$C$205)+(3*MATERIALES!$C$207)+(2*MATERIALES!$C$189)+(2*MATERIALES!$C$190)+(2*MATERIALES!$C$191)+(4*MATERIALES!$C$158)+(4*MATERIALES!$C$159)+((A139+(2*B139))*MATERIALES!$C$210)+((A139+(2*B139))*MATERIALES!$C$209)+(((A139*2)+(B139*2))*MATERIALES!$C$141)+(((((A139*2)+(B139*2))/0.1)*MATERIALES!$C$192)*2)+(2*MATERIALES!$C$187)+(((A139*5)*2)*MATERIALES!$C$147)+(4*MATERIALES!$C$148)</f>
        <v>4885.6787199999999</v>
      </c>
      <c r="E139" s="75"/>
      <c r="F139" s="55">
        <f>(A139*B139)*MATERIALES!$D$89</f>
        <v>2255.4</v>
      </c>
      <c r="G139" s="59">
        <f t="shared" si="38"/>
        <v>7141.0787199999995</v>
      </c>
      <c r="H139" s="70">
        <f t="shared" si="41"/>
        <v>9734.4823360000009</v>
      </c>
      <c r="M139" s="68">
        <v>0.6</v>
      </c>
      <c r="N139" s="69">
        <v>2.1</v>
      </c>
      <c r="O139" s="59">
        <f>(((M139+(2*N139))*MATERIALES!$C$57)+((M139+(2*N139))*MATERIALES!$C$55)+(M139*MATERIALES!$C$59)+((((M139*2)+(N139*2))*MATERIALES!$C$73)*2))*(MATERIALES!$F$2*MATERIALES!$J$15)</f>
        <v>0</v>
      </c>
      <c r="P139" s="59">
        <f>(1*MATERIALES!$C$204)+(1*MATERIALES!$C$205)+(3*MATERIALES!$C$207)+(2*MATERIALES!$C$189)+(2*MATERIALES!$C$190)+(2*MATERIALES!$C$191)+(4*MATERIALES!$C$158)+(4*MATERIALES!$C$159)+((M139+(2*N139))*MATERIALES!$C$210)+((M139+(2*N139))*MATERIALES!$C$209)+(((M139*2)+(N139*2))*MATERIALES!$C$165)+(0.5*MATERIALES!$C$167)+(((((M139*2)+(N139*2))/0.1)*MATERIALES!$C$192)*2)+(2*MATERIALES!$C$187)+(((M139*5)*2)*MATERIALES!$C$147)+(4*MATERIALES!$C$148)</f>
        <v>5022.1787199999999</v>
      </c>
      <c r="Q139" s="75"/>
      <c r="R139" s="55">
        <f>(((M139-0.2)*MATERIALES!$C$30)*(N139/0.12))*MATERIALES!$F$2</f>
        <v>4531.3631999999998</v>
      </c>
      <c r="S139" s="59">
        <f t="shared" si="39"/>
        <v>9553.5419199999997</v>
      </c>
      <c r="T139" s="70">
        <f t="shared" si="40"/>
        <v>12419.604496</v>
      </c>
    </row>
    <row r="140" spans="1:20">
      <c r="A140" s="68">
        <v>0.7</v>
      </c>
      <c r="B140" s="69">
        <v>2.1</v>
      </c>
      <c r="C140" s="59">
        <f>(((A140+(2*B140))*MATERIALES!$C$57)+((A140+(2*B140))*MATERIALES!$C$55)+(A140*MATERIALES!$C$59)+((((A140*2)+(B140*2))*MATERIALES!$C$73)*2))*(MATERIALES!$F$2*MATERIALES!$J$15)</f>
        <v>0</v>
      </c>
      <c r="D140" s="59">
        <f>(1*MATERIALES!$C$204)+(1*MATERIALES!$C$205)+(3*MATERIALES!$C$207)+(2*MATERIALES!$C$189)+(2*MATERIALES!$C$190)+(2*MATERIALES!$C$191)+(4*MATERIALES!$C$158)+(4*MATERIALES!$C$159)+((A140+(2*B140))*MATERIALES!$C$210)+((A140+(2*B140))*MATERIALES!$C$209)+(((A140*2)+(B140*2))*MATERIALES!$C$141)+(((((A140*2)+(B140*2))/0.1)*MATERIALES!$C$192)*2)+(2*MATERIALES!$C$187)+(((A140*5)*2)*MATERIALES!$C$147)+(4*MATERIALES!$C$148)</f>
        <v>4904.5848800000003</v>
      </c>
      <c r="E140" s="75"/>
      <c r="F140" s="55">
        <f>(A140*B140)*MATERIALES!$D$89</f>
        <v>2631.2999999999997</v>
      </c>
      <c r="G140" s="59">
        <f t="shared" si="38"/>
        <v>7535.8848799999996</v>
      </c>
      <c r="H140" s="70">
        <f t="shared" si="41"/>
        <v>10322.910344</v>
      </c>
      <c r="M140" s="68">
        <v>0.7</v>
      </c>
      <c r="N140" s="69">
        <v>2.1</v>
      </c>
      <c r="O140" s="59">
        <f>(((M140+(2*N140))*MATERIALES!$C$57)+((M140+(2*N140))*MATERIALES!$C$55)+(M140*MATERIALES!$C$59)+((((M140*2)+(N140*2))*MATERIALES!$C$73)*2))*(MATERIALES!$F$2*MATERIALES!$J$15)</f>
        <v>0</v>
      </c>
      <c r="P140" s="59">
        <f>(1*MATERIALES!$C$204)+(1*MATERIALES!$C$205)+(3*MATERIALES!$C$207)+(2*MATERIALES!$C$189)+(2*MATERIALES!$C$190)+(2*MATERIALES!$C$191)+(4*MATERIALES!$C$158)+(4*MATERIALES!$C$159)+((M140+(2*N140))*MATERIALES!$C$210)+((M140+(2*N140))*MATERIALES!$C$209)+(((M140*2)+(N140*2))*MATERIALES!$C$165)+(0.5*MATERIALES!$C$167)+(((((M140*2)+(N140*2))/0.1)*MATERIALES!$C$192)*2)+(2*MATERIALES!$C$187)+(((M140*5)*2)*MATERIALES!$C$147)+(4*MATERIALES!$C$148)</f>
        <v>5041.0848800000003</v>
      </c>
      <c r="Q140" s="75"/>
      <c r="R140" s="55">
        <f>(((M140-0.2)*MATERIALES!$C$30)*(N140/0.12))*MATERIALES!$F$2</f>
        <v>5664.2039999999997</v>
      </c>
      <c r="S140" s="59">
        <f t="shared" si="39"/>
        <v>10705.28888</v>
      </c>
      <c r="T140" s="70">
        <f t="shared" si="40"/>
        <v>13916.875544</v>
      </c>
    </row>
    <row r="141" spans="1:20">
      <c r="A141" s="68">
        <v>0.8</v>
      </c>
      <c r="B141" s="69">
        <v>2.1</v>
      </c>
      <c r="C141" s="59">
        <f>(((A141+(2*B141))*MATERIALES!$C$57)+((A141+(2*B141))*MATERIALES!$C$55)+(A141*MATERIALES!$C$59)+((((A141*2)+(B141*2))*MATERIALES!$C$73)*2))*(MATERIALES!$F$2*MATERIALES!$J$15)</f>
        <v>0</v>
      </c>
      <c r="D141" s="59">
        <f>(1*MATERIALES!$C$204)+(1*MATERIALES!$C$205)+(3*MATERIALES!$C$207)+(2*MATERIALES!$C$189)+(2*MATERIALES!$C$190)+(2*MATERIALES!$C$191)+(4*MATERIALES!$C$158)+(4*MATERIALES!$C$159)+((A141+(2*B141))*MATERIALES!$C$210)+((A141+(2*B141))*MATERIALES!$C$209)+(((A141*2)+(B141*2))*MATERIALES!$C$141)+(((((A141*2)+(B141*2))/0.1)*MATERIALES!$C$192)*2)+(2*MATERIALES!$C$187)+(((A141*5)*2)*MATERIALES!$C$147)+(4*MATERIALES!$C$148)</f>
        <v>4923.4910399999999</v>
      </c>
      <c r="E141" s="75"/>
      <c r="F141" s="55">
        <f>(A141*B141)*MATERIALES!$D$89</f>
        <v>3007.2000000000003</v>
      </c>
      <c r="G141" s="59">
        <f t="shared" si="38"/>
        <v>7930.6910399999997</v>
      </c>
      <c r="H141" s="70">
        <f t="shared" si="41"/>
        <v>10911.338352000001</v>
      </c>
      <c r="M141" s="68">
        <v>0.8</v>
      </c>
      <c r="N141" s="69">
        <v>2.1</v>
      </c>
      <c r="O141" s="59">
        <f>(((M141+(2*N141))*MATERIALES!$C$57)+((M141+(2*N141))*MATERIALES!$C$55)+(M141*MATERIALES!$C$59)+((((M141*2)+(N141*2))*MATERIALES!$C$73)*2))*(MATERIALES!$F$2*MATERIALES!$J$15)</f>
        <v>0</v>
      </c>
      <c r="P141" s="59">
        <f>(1*MATERIALES!$C$204)+(1*MATERIALES!$C$205)+(3*MATERIALES!$C$207)+(2*MATERIALES!$C$189)+(2*MATERIALES!$C$190)+(2*MATERIALES!$C$191)+(4*MATERIALES!$C$158)+(4*MATERIALES!$C$159)+((M141+(2*N141))*MATERIALES!$C$210)+((M141+(2*N141))*MATERIALES!$C$209)+(((M141*2)+(N141*2))*MATERIALES!$C$165)+(0.5*MATERIALES!$C$167)+(((((M141*2)+(N141*2))/0.1)*MATERIALES!$C$192)*2)+(2*MATERIALES!$C$187)+(((M141*5)*2)*MATERIALES!$C$147)+(4*MATERIALES!$C$148)</f>
        <v>5059.9910399999999</v>
      </c>
      <c r="Q141" s="75"/>
      <c r="R141" s="55">
        <f>(((M141-0.2)*MATERIALES!$C$30)*(N141/0.12))*MATERIALES!$F$2</f>
        <v>6797.0448000000024</v>
      </c>
      <c r="S141" s="59">
        <f t="shared" si="39"/>
        <v>11857.035840000002</v>
      </c>
      <c r="T141" s="70">
        <f t="shared" si="40"/>
        <v>15414.146592000003</v>
      </c>
    </row>
    <row r="142" spans="1:20" ht="15.75" thickBot="1">
      <c r="A142" s="71">
        <v>0.9</v>
      </c>
      <c r="B142" s="72">
        <v>2.1</v>
      </c>
      <c r="C142" s="60">
        <f>(((A142+(2*B142))*MATERIALES!$C$57)+((A142+(2*B142))*MATERIALES!$C$55)+(A142*MATERIALES!$C$59)+((((A142*2)+(B142*2))*MATERIALES!$C$73)*2))*(MATERIALES!$F$2*MATERIALES!$J$15)</f>
        <v>0</v>
      </c>
      <c r="D142" s="60">
        <f>(1*MATERIALES!$C$204)+(1*MATERIALES!$C$205)+(3*MATERIALES!$C$207)+(2*MATERIALES!$C$189)+(2*MATERIALES!$C$190)+(2*MATERIALES!$C$191)+(4*MATERIALES!$C$158)+(4*MATERIALES!$C$159)+((A142+(2*B142))*MATERIALES!$C$210)+((A142+(2*B142))*MATERIALES!$C$209)+(((A142*2)+(B142*2))*MATERIALES!$C$141)+(((((A142*2)+(B142*2))/0.1)*MATERIALES!$C$192)*2)+(2*MATERIALES!$C$187)+(((A142*5)*2)*MATERIALES!$C$147)+(4*MATERIALES!$C$148)</f>
        <v>4942.3971999999985</v>
      </c>
      <c r="E142" s="76"/>
      <c r="F142" s="56">
        <f>(A142*B142)*MATERIALES!$D$89</f>
        <v>3383.1000000000004</v>
      </c>
      <c r="G142" s="60">
        <f t="shared" si="38"/>
        <v>8325.497199999998</v>
      </c>
      <c r="H142" s="73">
        <f>(SUM(C142:E142)*1.3)+(F142*1.5)</f>
        <v>11499.766359999998</v>
      </c>
      <c r="M142" s="71">
        <v>0.9</v>
      </c>
      <c r="N142" s="72">
        <v>2.1</v>
      </c>
      <c r="O142" s="60">
        <f>(((M142+(2*N142))*MATERIALES!$C$57)+((M142+(2*N142))*MATERIALES!$C$55)+(M142*MATERIALES!$C$59)+((((M142*2)+(N142*2))*MATERIALES!$C$73)*2))*(MATERIALES!$F$2*MATERIALES!$J$15)</f>
        <v>0</v>
      </c>
      <c r="P142" s="60">
        <f>(1*MATERIALES!$C$204)+(1*MATERIALES!$C$205)+(3*MATERIALES!$C$207)+(2*MATERIALES!$C$189)+(2*MATERIALES!$C$190)+(2*MATERIALES!$C$191)+(4*MATERIALES!$C$158)+(4*MATERIALES!$C$159)+((M142+(2*N142))*MATERIALES!$C$210)+((M142+(2*N142))*MATERIALES!$C$209)+(((M142*2)+(N142*2))*MATERIALES!$C$165)+(0.5*MATERIALES!$C$167)+(((((M142*2)+(N142*2))/0.1)*MATERIALES!$C$192)*2)+(2*MATERIALES!$C$187)+(((M142*5)*2)*MATERIALES!$C$147)+(4*MATERIALES!$C$148)</f>
        <v>5078.8971999999985</v>
      </c>
      <c r="Q142" s="76"/>
      <c r="R142" s="56">
        <f>(((M142-0.2)*MATERIALES!$C$30)*(N142/0.12))*MATERIALES!$F$2</f>
        <v>7929.8856000000005</v>
      </c>
      <c r="S142" s="60">
        <f t="shared" si="39"/>
        <v>13008.782799999999</v>
      </c>
      <c r="T142" s="73">
        <f t="shared" si="40"/>
        <v>16911.41764</v>
      </c>
    </row>
    <row r="144" spans="1:20" ht="15.75" thickBot="1"/>
    <row r="145" spans="1:21" ht="15.75" thickBot="1">
      <c r="A145" s="32"/>
      <c r="B145" s="32"/>
      <c r="C145" s="801">
        <v>0.3</v>
      </c>
      <c r="D145" s="802"/>
      <c r="E145" s="803"/>
      <c r="F145" s="61">
        <v>0.5</v>
      </c>
      <c r="G145" s="32"/>
      <c r="H145" s="46" t="s">
        <v>163</v>
      </c>
      <c r="M145" s="32"/>
      <c r="N145" s="32"/>
      <c r="O145" s="801">
        <v>0.3</v>
      </c>
      <c r="P145" s="802"/>
      <c r="Q145" s="803"/>
      <c r="R145" s="61">
        <v>0.5</v>
      </c>
      <c r="S145" s="32"/>
      <c r="T145" s="46" t="s">
        <v>163</v>
      </c>
    </row>
    <row r="146" spans="1:21" ht="15.75" thickBot="1">
      <c r="A146" s="792" t="s">
        <v>677</v>
      </c>
      <c r="B146" s="793"/>
      <c r="C146" s="793"/>
      <c r="D146" s="793"/>
      <c r="E146" s="793"/>
      <c r="F146" s="793"/>
      <c r="G146" s="793"/>
      <c r="H146" s="794"/>
      <c r="M146" s="792" t="s">
        <v>685</v>
      </c>
      <c r="N146" s="793"/>
      <c r="O146" s="793"/>
      <c r="P146" s="793"/>
      <c r="Q146" s="793"/>
      <c r="R146" s="793"/>
      <c r="S146" s="793"/>
      <c r="T146" s="794"/>
    </row>
    <row r="147" spans="1:21" ht="15.75" thickBot="1">
      <c r="A147" s="36" t="s">
        <v>116</v>
      </c>
      <c r="B147" s="36" t="s">
        <v>117</v>
      </c>
      <c r="C147" s="36" t="s">
        <v>162</v>
      </c>
      <c r="D147" s="36" t="s">
        <v>119</v>
      </c>
      <c r="E147" s="36" t="s">
        <v>120</v>
      </c>
      <c r="F147" s="36" t="s">
        <v>118</v>
      </c>
      <c r="G147" s="36" t="s">
        <v>121</v>
      </c>
      <c r="H147" s="36" t="s">
        <v>122</v>
      </c>
      <c r="M147" s="36" t="s">
        <v>116</v>
      </c>
      <c r="N147" s="36" t="s">
        <v>117</v>
      </c>
      <c r="O147" s="36" t="s">
        <v>162</v>
      </c>
      <c r="P147" s="36" t="s">
        <v>119</v>
      </c>
      <c r="Q147" s="36" t="s">
        <v>120</v>
      </c>
      <c r="R147" s="36" t="s">
        <v>118</v>
      </c>
      <c r="S147" s="36" t="s">
        <v>121</v>
      </c>
      <c r="T147" s="36" t="s">
        <v>122</v>
      </c>
    </row>
    <row r="148" spans="1:21" ht="15.75" thickBot="1">
      <c r="A148" s="795"/>
      <c r="B148" s="796"/>
      <c r="C148" s="796"/>
      <c r="D148" s="796"/>
      <c r="E148" s="796"/>
      <c r="F148" s="796"/>
      <c r="G148" s="796"/>
      <c r="H148" s="797"/>
      <c r="M148" s="795"/>
      <c r="N148" s="796"/>
      <c r="O148" s="796"/>
      <c r="P148" s="796"/>
      <c r="Q148" s="796"/>
      <c r="R148" s="796"/>
      <c r="S148" s="796"/>
      <c r="T148" s="797"/>
    </row>
    <row r="149" spans="1:21">
      <c r="A149" s="65">
        <v>0.6</v>
      </c>
      <c r="B149" s="66">
        <v>2</v>
      </c>
      <c r="C149" s="58">
        <f>(((A149+(2*B149))*MATERIALES!$C$57)+((A149+(2*B149))*MATERIALES!$C$55)+(A149*MATERIALES!$C$59)+((((A149*4)+(B149*2))*MATERIALES!$C$73)*2)+(A149*MATERIALES!$C$58))*(MATERIALES!$F$2*MATERIALES!$J$15)</f>
        <v>0</v>
      </c>
      <c r="D149" s="58">
        <f>(1*MATERIALES!$C$204)+(1*MATERIALES!$C$205)+(3*MATERIALES!$C$207)+(2*MATERIALES!$C$189)+(2*MATERIALES!$C$190)+(2*MATERIALES!$C$191)+(8*MATERIALES!$C$158)+(8*MATERIALES!$C$159)+((A149+(2*B149))*MATERIALES!$C$210)+((A149+(2*B149))*MATERIALES!$C$209)+(((A149*4)+(B149*2))*MATERIALES!$C$141)+(((((A149*4)+(B149*2))/0.1)*MATERIALES!$C$192)*2)+(2*MATERIALES!$C$187)+(((A149*5)*2)*MATERIALES!$C$147)+(4*MATERIALES!$C$148)</f>
        <v>4999.2155199999997</v>
      </c>
      <c r="E149" s="74"/>
      <c r="F149" s="54">
        <f>(A149*B149)*MATERIALES!$D$89</f>
        <v>2148</v>
      </c>
      <c r="G149" s="58">
        <f>SUM(C149:F149)</f>
        <v>7147.2155199999997</v>
      </c>
      <c r="H149" s="67">
        <f>(SUM(C149:E149)*1.3)+(F149*1.5)</f>
        <v>9720.9801760000009</v>
      </c>
      <c r="M149" s="65">
        <v>0.6</v>
      </c>
      <c r="N149" s="66">
        <v>2</v>
      </c>
      <c r="O149" s="58">
        <f>(((M149+(2*N149))*MATERIALES!$C$57)+((M149+(2*N149))*MATERIALES!$C$55)+(M149*MATERIALES!$C$59)+(M149*MATERIALES!$C$58)+(((M149-0.2)*MATERIALES!$C$30)*((N149/2)/0.12))+((((M149*2)+(N149*1))*MATERIALES!$C$73)*2))*(MATERIALES!$F$2*MATERIALES!$J$15)</f>
        <v>0</v>
      </c>
      <c r="P149" s="58">
        <f>(1*MATERIALES!$C$204)+(1*MATERIALES!$C$205)+(3*MATERIALES!$C$207)+(2*MATERIALES!$C$189)+(2*MATERIALES!$C$190)+(2*MATERIALES!$C$191)+(8*MATERIALES!$C$158)+(8*MATERIALES!$C$159)+((M149+(2*N149))*MATERIALES!$C$210)+((M149+(2*N149))*MATERIALES!$C$209)+(((M149*2)+(N149*1))*MATERIALES!$C$141)+(((M149*2)+(N149*1))*MATERIALES!$C$165)+(((((M149*4)+(N149*2))/0.1)*MATERIALES!$C$192)*2)+(0.25*MATERIALES!$C$167)+(2*MATERIALES!$C$187)+(((M149*5)*2)*MATERIALES!$C$147)+(4*MATERIALES!$C$148)</f>
        <v>5067.4655200000007</v>
      </c>
      <c r="Q149" s="74"/>
      <c r="R149" s="54">
        <f>(M149*(N149/2))*MATERIALES!$D$89</f>
        <v>1074</v>
      </c>
      <c r="S149" s="58">
        <f>SUM(O149:R149)</f>
        <v>6141.4655200000007</v>
      </c>
      <c r="T149" s="67">
        <f>(SUM(O149:Q149)*1.3)+(R149*1.5)</f>
        <v>8198.7051760000013</v>
      </c>
    </row>
    <row r="150" spans="1:21">
      <c r="A150" s="68">
        <v>0.7</v>
      </c>
      <c r="B150" s="69">
        <v>2</v>
      </c>
      <c r="C150" s="59">
        <f>(((A150+(2*B150))*MATERIALES!$C$57)+((A150+(2*B150))*MATERIALES!$C$55)+(A150*MATERIALES!$C$59)+((((A150*4)+(B150*2))*MATERIALES!$C$73)*2)+(A150*MATERIALES!$C$58))*(MATERIALES!$F$2*MATERIALES!$J$15)</f>
        <v>0</v>
      </c>
      <c r="D150" s="59">
        <f>(1*MATERIALES!$C$204)+(1*MATERIALES!$C$205)+(3*MATERIALES!$C$207)+(2*MATERIALES!$C$189)+(2*MATERIALES!$C$190)+(2*MATERIALES!$C$191)+(8*MATERIALES!$C$158)+(8*MATERIALES!$C$159)+((A150+(2*B150))*MATERIALES!$C$210)+((A150+(2*B150))*MATERIALES!$C$209)+(((A150*4)+(B150*2))*MATERIALES!$C$141)+(((((A150*4)+(B150*2))/0.1)*MATERIALES!$C$192)*2)+(2*MATERIALES!$C$187)+(((A150*5)*2)*MATERIALES!$C$147)+(4*MATERIALES!$C$148)</f>
        <v>5031.1258399999997</v>
      </c>
      <c r="E150" s="75"/>
      <c r="F150" s="55">
        <f>(A150*B150)*MATERIALES!$D$89</f>
        <v>2506</v>
      </c>
      <c r="G150" s="59">
        <f t="shared" ref="G150:G156" si="42">SUM(C150:F150)</f>
        <v>7537.1258399999997</v>
      </c>
      <c r="H150" s="70">
        <f>(SUM(C150:E150)*1.3)+(F150*1.5)</f>
        <v>10299.463592</v>
      </c>
      <c r="M150" s="68">
        <v>0.7</v>
      </c>
      <c r="N150" s="69">
        <v>2</v>
      </c>
      <c r="O150" s="59">
        <f>(((M150+(2*N150))*MATERIALES!$C$57)+((M150+(2*N150))*MATERIALES!$C$55)+(M150*MATERIALES!$C$59)+(M150*MATERIALES!$C$58)+(((M150-0.2)*MATERIALES!$C$30)*((N150/2)/0.12))+((((M150*2)+(N150*1))*MATERIALES!$C$73)*2))*(MATERIALES!$F$2*MATERIALES!$J$15)</f>
        <v>0</v>
      </c>
      <c r="P150" s="59">
        <f>(1*MATERIALES!$C$204)+(1*MATERIALES!$C$205)+(3*MATERIALES!$C$207)+(2*MATERIALES!$C$189)+(2*MATERIALES!$C$190)+(2*MATERIALES!$C$191)+(8*MATERIALES!$C$158)+(8*MATERIALES!$C$159)+((M150+(2*N150))*MATERIALES!$C$210)+((M150+(2*N150))*MATERIALES!$C$209)+(((M150*2)+(N150*1))*MATERIALES!$C$141)+(((M150*2)+(N150*1))*MATERIALES!$C$165)+(((((M150*4)+(N150*2))/0.1)*MATERIALES!$C$192)*2)+(0.25*MATERIALES!$C$167)+(2*MATERIALES!$C$187)+(((M150*5)*2)*MATERIALES!$C$147)+(4*MATERIALES!$C$148)</f>
        <v>5099.3758399999997</v>
      </c>
      <c r="Q150" s="75"/>
      <c r="R150" s="55">
        <f>(M150*(N150/2))*MATERIALES!$D$89</f>
        <v>1253</v>
      </c>
      <c r="S150" s="59">
        <f t="shared" ref="S150:S156" si="43">SUM(O150:R150)</f>
        <v>6352.3758399999997</v>
      </c>
      <c r="T150" s="70">
        <f t="shared" ref="T150:T156" si="44">(SUM(O150:Q150)*1.3)+(R150*1.5)</f>
        <v>8508.6885919999986</v>
      </c>
    </row>
    <row r="151" spans="1:21">
      <c r="A151" s="68">
        <v>0.8</v>
      </c>
      <c r="B151" s="69">
        <v>2</v>
      </c>
      <c r="C151" s="59">
        <f>(((A151+(2*B151))*MATERIALES!$C$57)+((A151+(2*B151))*MATERIALES!$C$55)+(A151*MATERIALES!$C$59)+((((A151*4)+(B151*2))*MATERIALES!$C$73)*2)+(A151*MATERIALES!$C$58))*(MATERIALES!$F$2*MATERIALES!$J$15)</f>
        <v>0</v>
      </c>
      <c r="D151" s="59">
        <f>(1*MATERIALES!$C$204)+(1*MATERIALES!$C$205)+(3*MATERIALES!$C$207)+(2*MATERIALES!$C$189)+(2*MATERIALES!$C$190)+(2*MATERIALES!$C$191)+(8*MATERIALES!$C$158)+(8*MATERIALES!$C$159)+((A151+(2*B151))*MATERIALES!$C$210)+((A151+(2*B151))*MATERIALES!$C$209)+(((A151*4)+(B151*2))*MATERIALES!$C$141)+(((((A151*4)+(B151*2))/0.1)*MATERIALES!$C$192)*2)+(2*MATERIALES!$C$187)+(((A151*5)*2)*MATERIALES!$C$147)+(4*MATERIALES!$C$148)</f>
        <v>5063.0361600000006</v>
      </c>
      <c r="E151" s="75"/>
      <c r="F151" s="55">
        <f>(A151*B151)*MATERIALES!$D$89</f>
        <v>2864</v>
      </c>
      <c r="G151" s="59">
        <f t="shared" si="42"/>
        <v>7927.0361600000006</v>
      </c>
      <c r="H151" s="70">
        <f t="shared" ref="H151:H155" si="45">(SUM(C151:E151)*1.3)+(F151*1.5)</f>
        <v>10877.947008000001</v>
      </c>
      <c r="M151" s="68">
        <v>0.8</v>
      </c>
      <c r="N151" s="69">
        <v>2</v>
      </c>
      <c r="O151" s="59">
        <f>(((M151+(2*N151))*MATERIALES!$C$57)+((M151+(2*N151))*MATERIALES!$C$55)+(M151*MATERIALES!$C$59)+(M151*MATERIALES!$C$58)+(((M151-0.2)*MATERIALES!$C$30)*((N151/2)/0.12))+((((M151*2)+(N151*1))*MATERIALES!$C$73)*2))*(MATERIALES!$F$2*MATERIALES!$J$15)</f>
        <v>0</v>
      </c>
      <c r="P151" s="59">
        <f>(1*MATERIALES!$C$204)+(1*MATERIALES!$C$205)+(3*MATERIALES!$C$207)+(2*MATERIALES!$C$189)+(2*MATERIALES!$C$190)+(2*MATERIALES!$C$191)+(8*MATERIALES!$C$158)+(8*MATERIALES!$C$159)+((M151+(2*N151))*MATERIALES!$C$210)+((M151+(2*N151))*MATERIALES!$C$209)+(((M151*2)+(N151*1))*MATERIALES!$C$141)+(((M151*2)+(N151*1))*MATERIALES!$C$165)+(((((M151*4)+(N151*2))/0.1)*MATERIALES!$C$192)*2)+(0.25*MATERIALES!$C$167)+(2*MATERIALES!$C$187)+(((M151*5)*2)*MATERIALES!$C$147)+(4*MATERIALES!$C$148)</f>
        <v>5131.2861599999997</v>
      </c>
      <c r="Q151" s="75"/>
      <c r="R151" s="55">
        <f>(M151*(N151/2))*MATERIALES!$D$89</f>
        <v>1432</v>
      </c>
      <c r="S151" s="59">
        <f t="shared" si="43"/>
        <v>6563.2861599999997</v>
      </c>
      <c r="T151" s="70">
        <f t="shared" si="44"/>
        <v>8818.6720079999996</v>
      </c>
    </row>
    <row r="152" spans="1:21">
      <c r="A152" s="68">
        <v>0.9</v>
      </c>
      <c r="B152" s="69">
        <v>2</v>
      </c>
      <c r="C152" s="59">
        <f>(((A152+(2*B152))*MATERIALES!$C$57)+((A152+(2*B152))*MATERIALES!$C$55)+(A152*MATERIALES!$C$59)+((((A152*4)+(B152*2))*MATERIALES!$C$73)*2)+(A152*MATERIALES!$C$58))*(MATERIALES!$F$2*MATERIALES!$J$15)</f>
        <v>0</v>
      </c>
      <c r="D152" s="59">
        <f>(1*MATERIALES!$C$204)+(1*MATERIALES!$C$205)+(3*MATERIALES!$C$207)+(2*MATERIALES!$C$189)+(2*MATERIALES!$C$190)+(2*MATERIALES!$C$191)+(8*MATERIALES!$C$158)+(8*MATERIALES!$C$159)+((A152+(2*B152))*MATERIALES!$C$210)+((A152+(2*B152))*MATERIALES!$C$209)+(((A152*4)+(B152*2))*MATERIALES!$C$141)+(((((A152*4)+(B152*2))/0.1)*MATERIALES!$C$192)*2)+(2*MATERIALES!$C$187)+(((A152*5)*2)*MATERIALES!$C$147)+(4*MATERIALES!$C$148)</f>
        <v>5094.9464800000005</v>
      </c>
      <c r="E152" s="75"/>
      <c r="F152" s="55">
        <f>(A152*B152)*MATERIALES!$D$89</f>
        <v>3222</v>
      </c>
      <c r="G152" s="59">
        <f t="shared" si="42"/>
        <v>8316.9464800000005</v>
      </c>
      <c r="H152" s="70">
        <f t="shared" si="45"/>
        <v>11456.430424000002</v>
      </c>
      <c r="M152" s="68">
        <v>0.9</v>
      </c>
      <c r="N152" s="69">
        <v>2</v>
      </c>
      <c r="O152" s="59">
        <f>(((M152+(2*N152))*MATERIALES!$C$57)+((M152+(2*N152))*MATERIALES!$C$55)+(M152*MATERIALES!$C$59)+(M152*MATERIALES!$C$58)+(((M152-0.2)*MATERIALES!$C$30)*((N152/2)/0.12))+((((M152*2)+(N152*1))*MATERIALES!$C$73)*2))*(MATERIALES!$F$2*MATERIALES!$J$15)</f>
        <v>0</v>
      </c>
      <c r="P152" s="59">
        <f>(1*MATERIALES!$C$204)+(1*MATERIALES!$C$205)+(3*MATERIALES!$C$207)+(2*MATERIALES!$C$189)+(2*MATERIALES!$C$190)+(2*MATERIALES!$C$191)+(8*MATERIALES!$C$158)+(8*MATERIALES!$C$159)+((M152+(2*N152))*MATERIALES!$C$210)+((M152+(2*N152))*MATERIALES!$C$209)+(((M152*2)+(N152*1))*MATERIALES!$C$141)+(((M152*2)+(N152*1))*MATERIALES!$C$165)+(((((M152*4)+(N152*2))/0.1)*MATERIALES!$C$192)*2)+(0.25*MATERIALES!$C$167)+(2*MATERIALES!$C$187)+(((M152*5)*2)*MATERIALES!$C$147)+(4*MATERIALES!$C$148)</f>
        <v>5163.1964800000005</v>
      </c>
      <c r="Q152" s="75"/>
      <c r="R152" s="55">
        <f>(M152*(N152/2))*MATERIALES!$D$89</f>
        <v>1611</v>
      </c>
      <c r="S152" s="59">
        <f t="shared" si="43"/>
        <v>6774.1964800000005</v>
      </c>
      <c r="T152" s="70">
        <f t="shared" si="44"/>
        <v>9128.6554240000005</v>
      </c>
    </row>
    <row r="153" spans="1:21">
      <c r="A153" s="68">
        <v>0.6</v>
      </c>
      <c r="B153" s="69">
        <v>2.1</v>
      </c>
      <c r="C153" s="59">
        <f>(((A153+(2*B153))*MATERIALES!$C$57)+((A153+(2*B153))*MATERIALES!$C$55)+(A153*MATERIALES!$C$59)+((((A153*4)+(B153*2))*MATERIALES!$C$73)*2)+(A153*MATERIALES!$C$58))*(MATERIALES!$F$2*MATERIALES!$J$15)</f>
        <v>0</v>
      </c>
      <c r="D153" s="59">
        <f>(1*MATERIALES!$C$204)+(1*MATERIALES!$C$205)+(3*MATERIALES!$C$207)+(2*MATERIALES!$C$189)+(2*MATERIALES!$C$190)+(2*MATERIALES!$C$191)+(8*MATERIALES!$C$158)+(8*MATERIALES!$C$159)+((A153+(2*B153))*MATERIALES!$C$210)+((A153+(2*B153))*MATERIALES!$C$209)+(((A153*4)+(B153*2))*MATERIALES!$C$141)+(((((A153*4)+(B153*2))/0.1)*MATERIALES!$C$192)*2)+(2*MATERIALES!$C$187)+(((A153*5)*2)*MATERIALES!$C$147)+(4*MATERIALES!$C$148)</f>
        <v>5024.0236800000002</v>
      </c>
      <c r="E153" s="75"/>
      <c r="F153" s="55">
        <f>(A153*B153)*MATERIALES!$D$89</f>
        <v>2255.4</v>
      </c>
      <c r="G153" s="59">
        <f t="shared" si="42"/>
        <v>7279.4236799999999</v>
      </c>
      <c r="H153" s="70">
        <f t="shared" si="45"/>
        <v>9914.3307840000016</v>
      </c>
      <c r="M153" s="68">
        <v>0.6</v>
      </c>
      <c r="N153" s="69">
        <v>2.1</v>
      </c>
      <c r="O153" s="59">
        <f>(((M153+(2*N153))*MATERIALES!$C$57)+((M153+(2*N153))*MATERIALES!$C$55)+(M153*MATERIALES!$C$59)+(M153*MATERIALES!$C$58)+(((M153-0.2)*MATERIALES!$C$30)*((N153/2)/0.12))+((((M153*2)+(N153*1))*MATERIALES!$C$73)*2))*(MATERIALES!$F$2*MATERIALES!$J$15)</f>
        <v>0</v>
      </c>
      <c r="P153" s="59">
        <f>(1*MATERIALES!$C$204)+(1*MATERIALES!$C$205)+(3*MATERIALES!$C$207)+(2*MATERIALES!$C$189)+(2*MATERIALES!$C$190)+(2*MATERIALES!$C$191)+(8*MATERIALES!$C$158)+(8*MATERIALES!$C$159)+((M153+(2*N153))*MATERIALES!$C$210)+((M153+(2*N153))*MATERIALES!$C$209)+(((M153*2)+(N153*1))*MATERIALES!$C$141)+(((M153*2)+(N153*1))*MATERIALES!$C$165)+(((((M153*4)+(N153*2))/0.1)*MATERIALES!$C$192)*2)+(0.25*MATERIALES!$C$167)+(2*MATERIALES!$C$187)+(((M153*5)*2)*MATERIALES!$C$147)+(4*MATERIALES!$C$148)</f>
        <v>5092.2736800000002</v>
      </c>
      <c r="Q153" s="75"/>
      <c r="R153" s="55">
        <f>(M153*(N153/2))*MATERIALES!$D$89</f>
        <v>1127.7</v>
      </c>
      <c r="S153" s="59">
        <f t="shared" si="43"/>
        <v>6219.9736800000001</v>
      </c>
      <c r="T153" s="70">
        <f t="shared" si="44"/>
        <v>8311.5057840000009</v>
      </c>
    </row>
    <row r="154" spans="1:21">
      <c r="A154" s="68">
        <v>0.7</v>
      </c>
      <c r="B154" s="69">
        <v>2.1</v>
      </c>
      <c r="C154" s="59">
        <f>(((A154+(2*B154))*MATERIALES!$C$57)+((A154+(2*B154))*MATERIALES!$C$55)+(A154*MATERIALES!$C$59)+((((A154*4)+(B154*2))*MATERIALES!$C$73)*2)+(A154*MATERIALES!$C$58))*(MATERIALES!$F$2*MATERIALES!$J$15)</f>
        <v>0</v>
      </c>
      <c r="D154" s="59">
        <f>(1*MATERIALES!$C$204)+(1*MATERIALES!$C$205)+(3*MATERIALES!$C$207)+(2*MATERIALES!$C$189)+(2*MATERIALES!$C$190)+(2*MATERIALES!$C$191)+(8*MATERIALES!$C$158)+(8*MATERIALES!$C$159)+((A154+(2*B154))*MATERIALES!$C$210)+((A154+(2*B154))*MATERIALES!$C$209)+(((A154*4)+(B154*2))*MATERIALES!$C$141)+(((((A154*4)+(B154*2))/0.1)*MATERIALES!$C$192)*2)+(2*MATERIALES!$C$187)+(((A154*5)*2)*MATERIALES!$C$147)+(4*MATERIALES!$C$148)</f>
        <v>5055.9340000000002</v>
      </c>
      <c r="E154" s="75"/>
      <c r="F154" s="55">
        <f>(A154*B154)*MATERIALES!$D$89</f>
        <v>2631.2999999999997</v>
      </c>
      <c r="G154" s="59">
        <f t="shared" si="42"/>
        <v>7687.2340000000004</v>
      </c>
      <c r="H154" s="70">
        <f t="shared" si="45"/>
        <v>10519.664199999999</v>
      </c>
      <c r="M154" s="68">
        <v>0.7</v>
      </c>
      <c r="N154" s="69">
        <v>2.1</v>
      </c>
      <c r="O154" s="59">
        <f>(((M154+(2*N154))*MATERIALES!$C$57)+((M154+(2*N154))*MATERIALES!$C$55)+(M154*MATERIALES!$C$59)+(M154*MATERIALES!$C$58)+(((M154-0.2)*MATERIALES!$C$30)*((N154/2)/0.12))+((((M154*2)+(N154*1))*MATERIALES!$C$73)*2))*(MATERIALES!$F$2*MATERIALES!$J$15)</f>
        <v>0</v>
      </c>
      <c r="P154" s="59">
        <f>(1*MATERIALES!$C$204)+(1*MATERIALES!$C$205)+(3*MATERIALES!$C$207)+(2*MATERIALES!$C$189)+(2*MATERIALES!$C$190)+(2*MATERIALES!$C$191)+(8*MATERIALES!$C$158)+(8*MATERIALES!$C$159)+((M154+(2*N154))*MATERIALES!$C$210)+((M154+(2*N154))*MATERIALES!$C$209)+(((M154*2)+(N154*1))*MATERIALES!$C$141)+(((M154*2)+(N154*1))*MATERIALES!$C$165)+(((((M154*4)+(N154*2))/0.1)*MATERIALES!$C$192)*2)+(0.25*MATERIALES!$C$167)+(2*MATERIALES!$C$187)+(((M154*5)*2)*MATERIALES!$C$147)+(4*MATERIALES!$C$148)</f>
        <v>5124.1840000000002</v>
      </c>
      <c r="Q154" s="75"/>
      <c r="R154" s="55">
        <f>(M154*(N154/2))*MATERIALES!$D$89</f>
        <v>1315.6499999999999</v>
      </c>
      <c r="S154" s="59">
        <f t="shared" si="43"/>
        <v>6439.8339999999998</v>
      </c>
      <c r="T154" s="70">
        <f t="shared" si="44"/>
        <v>8634.9142000000011</v>
      </c>
    </row>
    <row r="155" spans="1:21">
      <c r="A155" s="68">
        <v>0.8</v>
      </c>
      <c r="B155" s="69">
        <v>2.1</v>
      </c>
      <c r="C155" s="59">
        <f>(((A155+(2*B155))*MATERIALES!$C$57)+((A155+(2*B155))*MATERIALES!$C$55)+(A155*MATERIALES!$C$59)+((((A155*4)+(B155*2))*MATERIALES!$C$73)*2)+(A155*MATERIALES!$C$58))*(MATERIALES!$F$2*MATERIALES!$J$15)</f>
        <v>0</v>
      </c>
      <c r="D155" s="59">
        <f>(1*MATERIALES!$C$204)+(1*MATERIALES!$C$205)+(3*MATERIALES!$C$207)+(2*MATERIALES!$C$189)+(2*MATERIALES!$C$190)+(2*MATERIALES!$C$191)+(8*MATERIALES!$C$158)+(8*MATERIALES!$C$159)+((A155+(2*B155))*MATERIALES!$C$210)+((A155+(2*B155))*MATERIALES!$C$209)+(((A155*4)+(B155*2))*MATERIALES!$C$141)+(((((A155*4)+(B155*2))/0.1)*MATERIALES!$C$192)*2)+(2*MATERIALES!$C$187)+(((A155*5)*2)*MATERIALES!$C$147)+(4*MATERIALES!$C$148)</f>
        <v>5087.8443200000002</v>
      </c>
      <c r="E155" s="75"/>
      <c r="F155" s="55">
        <f>(A155*B155)*MATERIALES!$D$89</f>
        <v>3007.2000000000003</v>
      </c>
      <c r="G155" s="59">
        <f t="shared" si="42"/>
        <v>8095.0443200000009</v>
      </c>
      <c r="H155" s="70">
        <f t="shared" si="45"/>
        <v>11124.997616000001</v>
      </c>
      <c r="M155" s="68">
        <v>0.8</v>
      </c>
      <c r="N155" s="69">
        <v>2.1</v>
      </c>
      <c r="O155" s="59">
        <f>(((M155+(2*N155))*MATERIALES!$C$57)+((M155+(2*N155))*MATERIALES!$C$55)+(M155*MATERIALES!$C$59)+(M155*MATERIALES!$C$58)+(((M155-0.2)*MATERIALES!$C$30)*((N155/2)/0.12))+((((M155*2)+(N155*1))*MATERIALES!$C$73)*2))*(MATERIALES!$F$2*MATERIALES!$J$15)</f>
        <v>0</v>
      </c>
      <c r="P155" s="59">
        <f>(1*MATERIALES!$C$204)+(1*MATERIALES!$C$205)+(3*MATERIALES!$C$207)+(2*MATERIALES!$C$189)+(2*MATERIALES!$C$190)+(2*MATERIALES!$C$191)+(8*MATERIALES!$C$158)+(8*MATERIALES!$C$159)+((M155+(2*N155))*MATERIALES!$C$210)+((M155+(2*N155))*MATERIALES!$C$209)+(((M155*2)+(N155*1))*MATERIALES!$C$141)+(((M155*2)+(N155*1))*MATERIALES!$C$165)+(((((M155*4)+(N155*2))/0.1)*MATERIALES!$C$192)*2)+(0.25*MATERIALES!$C$167)+(2*MATERIALES!$C$187)+(((M155*5)*2)*MATERIALES!$C$147)+(4*MATERIALES!$C$148)</f>
        <v>5156.0943200000011</v>
      </c>
      <c r="Q155" s="75"/>
      <c r="R155" s="55">
        <f>(M155*(N155/2))*MATERIALES!$D$89</f>
        <v>1503.6000000000001</v>
      </c>
      <c r="S155" s="59">
        <f t="shared" si="43"/>
        <v>6659.6943200000014</v>
      </c>
      <c r="T155" s="70">
        <f t="shared" si="44"/>
        <v>8958.3226160000013</v>
      </c>
    </row>
    <row r="156" spans="1:21" ht="15.75" thickBot="1">
      <c r="A156" s="71">
        <v>0.9</v>
      </c>
      <c r="B156" s="72">
        <v>2.1</v>
      </c>
      <c r="C156" s="60">
        <f>(((A156+(2*B156))*MATERIALES!$C$57)+((A156+(2*B156))*MATERIALES!$C$55)+(A156*MATERIALES!$C$59)+((((A156*4)+(B156*2))*MATERIALES!$C$73)*2)+(A156*MATERIALES!$C$58))*(MATERIALES!$F$2*MATERIALES!$J$15)</f>
        <v>0</v>
      </c>
      <c r="D156" s="60">
        <f>(1*MATERIALES!$C$204)+(1*MATERIALES!$C$205)+(3*MATERIALES!$C$207)+(2*MATERIALES!$C$189)+(2*MATERIALES!$C$190)+(2*MATERIALES!$C$191)+(8*MATERIALES!$C$158)+(8*MATERIALES!$C$159)+((A156+(2*B156))*MATERIALES!$C$210)+((A156+(2*B156))*MATERIALES!$C$209)+(((A156*4)+(B156*2))*MATERIALES!$C$141)+(((((A156*4)+(B156*2))/0.1)*MATERIALES!$C$192)*2)+(2*MATERIALES!$C$187)+(((A156*5)*2)*MATERIALES!$C$147)+(4*MATERIALES!$C$148)</f>
        <v>5119.7546399999992</v>
      </c>
      <c r="E156" s="76"/>
      <c r="F156" s="56">
        <f>(A156*B156)*MATERIALES!$D$89</f>
        <v>3383.1000000000004</v>
      </c>
      <c r="G156" s="60">
        <f t="shared" si="42"/>
        <v>8502.8546399999996</v>
      </c>
      <c r="H156" s="73">
        <f>(SUM(C156:E156)*1.3)+(F156*1.5)</f>
        <v>11730.331032</v>
      </c>
      <c r="M156" s="71">
        <v>0.9</v>
      </c>
      <c r="N156" s="72">
        <v>2.1</v>
      </c>
      <c r="O156" s="60">
        <f>(((M156+(2*N156))*MATERIALES!$C$57)+((M156+(2*N156))*MATERIALES!$C$55)+(M156*MATERIALES!$C$59)+(M156*MATERIALES!$C$58)+(((M156-0.2)*MATERIALES!$C$30)*((N156/2)/0.12))+((((M156*2)+(N156*1))*MATERIALES!$C$73)*2))*(MATERIALES!$F$2*MATERIALES!$J$15)</f>
        <v>0</v>
      </c>
      <c r="P156" s="60">
        <f>(1*MATERIALES!$C$204)+(1*MATERIALES!$C$205)+(3*MATERIALES!$C$207)+(2*MATERIALES!$C$189)+(2*MATERIALES!$C$190)+(2*MATERIALES!$C$191)+(8*MATERIALES!$C$158)+(8*MATERIALES!$C$159)+((M156+(2*N156))*MATERIALES!$C$210)+((M156+(2*N156))*MATERIALES!$C$209)+(((M156*2)+(N156*1))*MATERIALES!$C$141)+(((M156*2)+(N156*1))*MATERIALES!$C$165)+(((((M156*4)+(N156*2))/0.1)*MATERIALES!$C$192)*2)+(0.25*MATERIALES!$C$167)+(2*MATERIALES!$C$187)+(((M156*5)*2)*MATERIALES!$C$147)+(4*MATERIALES!$C$148)</f>
        <v>5188.0046399999992</v>
      </c>
      <c r="Q156" s="76"/>
      <c r="R156" s="56">
        <f>(M156*(N156/2))*MATERIALES!$D$89</f>
        <v>1691.5500000000002</v>
      </c>
      <c r="S156" s="60">
        <f t="shared" si="43"/>
        <v>6879.5546399999994</v>
      </c>
      <c r="T156" s="73">
        <f t="shared" si="44"/>
        <v>9281.7310319999997</v>
      </c>
    </row>
    <row r="158" spans="1:21" ht="15.75" thickBot="1"/>
    <row r="159" spans="1:21" ht="15.75" thickBot="1">
      <c r="A159" s="32"/>
      <c r="B159" s="32"/>
      <c r="C159" s="801">
        <v>0.3</v>
      </c>
      <c r="D159" s="802"/>
      <c r="E159" s="803"/>
      <c r="F159" s="61">
        <v>0.5</v>
      </c>
      <c r="G159" s="32"/>
      <c r="H159" s="46" t="s">
        <v>163</v>
      </c>
      <c r="M159" s="32"/>
      <c r="N159" s="32"/>
      <c r="O159" s="801">
        <v>0.3</v>
      </c>
      <c r="P159" s="802"/>
      <c r="Q159" s="803"/>
      <c r="R159" s="61">
        <v>0.5</v>
      </c>
      <c r="S159" s="32"/>
      <c r="T159" s="46" t="s">
        <v>163</v>
      </c>
    </row>
    <row r="160" spans="1:21" ht="15.75" thickBot="1">
      <c r="A160" s="792" t="s">
        <v>678</v>
      </c>
      <c r="B160" s="793"/>
      <c r="C160" s="793"/>
      <c r="D160" s="793"/>
      <c r="E160" s="793"/>
      <c r="F160" s="793"/>
      <c r="G160" s="793"/>
      <c r="H160" s="794"/>
      <c r="M160" s="792" t="s">
        <v>686</v>
      </c>
      <c r="N160" s="793"/>
      <c r="O160" s="793"/>
      <c r="P160" s="793"/>
      <c r="Q160" s="793"/>
      <c r="R160" s="793"/>
      <c r="S160" s="793"/>
      <c r="T160" s="794"/>
      <c r="U160" s="64" t="s">
        <v>381</v>
      </c>
    </row>
    <row r="161" spans="1:30" ht="15.75" thickBot="1">
      <c r="A161" s="36" t="s">
        <v>116</v>
      </c>
      <c r="B161" s="36" t="s">
        <v>117</v>
      </c>
      <c r="C161" s="36" t="s">
        <v>162</v>
      </c>
      <c r="D161" s="36" t="s">
        <v>119</v>
      </c>
      <c r="E161" s="36" t="s">
        <v>120</v>
      </c>
      <c r="F161" s="36" t="s">
        <v>118</v>
      </c>
      <c r="G161" s="36" t="s">
        <v>121</v>
      </c>
      <c r="H161" s="36" t="s">
        <v>122</v>
      </c>
      <c r="M161" s="36" t="s">
        <v>116</v>
      </c>
      <c r="N161" s="36" t="s">
        <v>117</v>
      </c>
      <c r="O161" s="36" t="s">
        <v>162</v>
      </c>
      <c r="P161" s="36" t="s">
        <v>119</v>
      </c>
      <c r="Q161" s="36" t="s">
        <v>120</v>
      </c>
      <c r="R161" s="36" t="s">
        <v>118</v>
      </c>
      <c r="S161" s="36" t="s">
        <v>121</v>
      </c>
      <c r="T161" s="36" t="s">
        <v>122</v>
      </c>
    </row>
    <row r="162" spans="1:30" ht="15.75" thickBot="1">
      <c r="A162" s="795"/>
      <c r="B162" s="796"/>
      <c r="C162" s="796"/>
      <c r="D162" s="796"/>
      <c r="E162" s="796"/>
      <c r="F162" s="796"/>
      <c r="G162" s="796"/>
      <c r="H162" s="797"/>
      <c r="M162" s="795"/>
      <c r="N162" s="796"/>
      <c r="O162" s="796"/>
      <c r="P162" s="796"/>
      <c r="Q162" s="796"/>
      <c r="R162" s="796"/>
      <c r="S162" s="796"/>
      <c r="T162" s="797"/>
    </row>
    <row r="163" spans="1:30">
      <c r="A163" s="65">
        <v>0.6</v>
      </c>
      <c r="B163" s="66">
        <v>2</v>
      </c>
      <c r="C163" s="58">
        <f>(((A163+(2*B163))*MATERIALES!$C$57)+((A163+(2*B163))*MATERIALES!$C$55)+(A163*MATERIALES!$C$59)+((((A163*2)+(B163*6))*MATERIALES!$C$73)*2)+((B163*2)*MATERIALES!$C$58))*(MATERIALES!$F$2*MATERIALES!$J$15)</f>
        <v>0</v>
      </c>
      <c r="D163" s="58">
        <f>(1*MATERIALES!$C$204)+(1*MATERIALES!$C$205)+(3*MATERIALES!$C$207)+(2*MATERIALES!$C$189)+(2*MATERIALES!$C$190)+(2*MATERIALES!$C$191)+(12*MATERIALES!$C$158)+(12*MATERIALES!$C$159)+((A163+(2*B163))*MATERIALES!$C$210)+((A163+(2*B163))*MATERIALES!$C$209)+(((A163*2)+(B163*6))*MATERIALES!$C$141)+(((((A163*2)+(B163*6))/0.1)*MATERIALES!$C$192)*2)+(2*MATERIALES!$C$187)+(((A163*5)*2)*MATERIALES!$C$147)+(4*MATERIALES!$C$148)</f>
        <v>5501.6769599999998</v>
      </c>
      <c r="E163" s="74"/>
      <c r="F163" s="54">
        <f>(A163*B163)*MATERIALES!$D$89</f>
        <v>2148</v>
      </c>
      <c r="G163" s="58">
        <f>SUM(C163:F163)</f>
        <v>7649.6769599999998</v>
      </c>
      <c r="H163" s="67">
        <f>(SUM(C163:E163)*1.3)+(F163*1.5)</f>
        <v>10374.180048</v>
      </c>
      <c r="M163" s="65">
        <v>0.6</v>
      </c>
      <c r="N163" s="66">
        <v>2</v>
      </c>
      <c r="O163" s="58">
        <f>(((M163+(2*N163))*MATERIALES!$C$57)+((M163+(2*N163))*MATERIALES!$C$55)+(M163*MATERIALES!$C$59)+((M163*4)*MATERIALES!$C$58)+((((M163*10)+(N163*2))*MATERIALES!$C$73)*2))*(MATERIALES!$F$2*MATERIALES!$J$15)</f>
        <v>0</v>
      </c>
      <c r="P163" s="58">
        <f>(1*MATERIALES!$C$204)+(1*MATERIALES!$C$205)+(3*MATERIALES!$C$207)+(2*MATERIALES!$C$189)+(2*MATERIALES!$C$190)+(2*MATERIALES!$C$191)+(20*MATERIALES!$C$158)+(20*MATERIALES!$C$159)+((M163+(2*N163))*MATERIALES!$C$210)+((M163+(2*N163))*MATERIALES!$C$209)+(((M163*10)+(N163*2))*MATERIALES!$C$141)+(((((M163*10)+(N163*2))/0.1)*MATERIALES!$C$192)*2)+(2*MATERIALES!$C$187)+(((M163*5)*2)*MATERIALES!$C$147)+(4*MATERIALES!$C$148)</f>
        <v>5414.2503999999999</v>
      </c>
      <c r="Q163" s="74"/>
      <c r="R163" s="54">
        <f>(M163*N163)*MATERIALES!$D$89</f>
        <v>2148</v>
      </c>
      <c r="S163" s="58">
        <f>SUM(O163:R163)</f>
        <v>7562.2503999999999</v>
      </c>
      <c r="T163" s="67">
        <f>(SUM(O163:Q163)*1.3)+(R163*1.5)</f>
        <v>10260.525519999999</v>
      </c>
    </row>
    <row r="164" spans="1:30">
      <c r="A164" s="68">
        <v>0.7</v>
      </c>
      <c r="B164" s="69">
        <v>2</v>
      </c>
      <c r="C164" s="59">
        <f>(((A164+(2*B164))*MATERIALES!$C$57)+((A164+(2*B164))*MATERIALES!$C$55)+(A164*MATERIALES!$C$59)+((((A164*2)+(B164*6))*MATERIALES!$C$73)*2)+((B164*2)*MATERIALES!$C$58))*(MATERIALES!$F$2*MATERIALES!$J$15)</f>
        <v>0</v>
      </c>
      <c r="D164" s="59">
        <f>(1*MATERIALES!$C$204)+(1*MATERIALES!$C$205)+(3*MATERIALES!$C$207)+(2*MATERIALES!$C$189)+(2*MATERIALES!$C$190)+(2*MATERIALES!$C$191)+(12*MATERIALES!$C$158)+(12*MATERIALES!$C$159)+((A164+(2*B164))*MATERIALES!$C$210)+((A164+(2*B164))*MATERIALES!$C$209)+(((A164*2)+(B164*6))*MATERIALES!$C$141)+(((((A164*2)+(B164*6))/0.1)*MATERIALES!$C$192)*2)+(2*MATERIALES!$C$187)+(((A164*5)*2)*MATERIALES!$C$147)+(4*MATERIALES!$C$148)</f>
        <v>5520.5831199999993</v>
      </c>
      <c r="E164" s="75"/>
      <c r="F164" s="55">
        <f>(A164*B164)*MATERIALES!$D$89</f>
        <v>2506</v>
      </c>
      <c r="G164" s="59">
        <f t="shared" ref="G164:G170" si="46">SUM(C164:F164)</f>
        <v>8026.5831199999993</v>
      </c>
      <c r="H164" s="70">
        <f>(SUM(C164:E164)*1.3)+(F164*1.5)</f>
        <v>10935.758055999999</v>
      </c>
      <c r="M164" s="68">
        <v>0.7</v>
      </c>
      <c r="N164" s="69">
        <v>2</v>
      </c>
      <c r="O164" s="59">
        <f>(((M164+(2*N164))*MATERIALES!$C$57)+((M164+(2*N164))*MATERIALES!$C$55)+(M164*MATERIALES!$C$59)+((M164*4)*MATERIALES!$C$58)+((((M164*10)+(N164*2))*MATERIALES!$C$73)*2))*(MATERIALES!$F$2*MATERIALES!$J$15)</f>
        <v>0</v>
      </c>
      <c r="P164" s="59">
        <f>(1*MATERIALES!$C$204)+(1*MATERIALES!$C$205)+(3*MATERIALES!$C$207)+(2*MATERIALES!$C$189)+(2*MATERIALES!$C$190)+(2*MATERIALES!$C$191)+(20*MATERIALES!$C$158)+(20*MATERIALES!$C$159)+((M164+(2*N164))*MATERIALES!$C$210)+((M164+(2*N164))*MATERIALES!$C$209)+(((M164*10)+(N164*2))*MATERIALES!$C$141)+(((((M164*10)+(N164*2))/0.1)*MATERIALES!$C$192)*2)+(2*MATERIALES!$C$187)+(((M164*5)*2)*MATERIALES!$C$147)+(4*MATERIALES!$C$148)</f>
        <v>5485.1731999999993</v>
      </c>
      <c r="Q164" s="75"/>
      <c r="R164" s="55">
        <f>(M164*N164)*MATERIALES!$D$89</f>
        <v>2506</v>
      </c>
      <c r="S164" s="59">
        <f t="shared" ref="S164:S170" si="47">SUM(O164:R164)</f>
        <v>7991.1731999999993</v>
      </c>
      <c r="T164" s="70">
        <f t="shared" ref="T164:T170" si="48">(SUM(O164:Q164)*1.3)+(R164*1.5)</f>
        <v>10889.725159999998</v>
      </c>
    </row>
    <row r="165" spans="1:30">
      <c r="A165" s="68">
        <v>0.8</v>
      </c>
      <c r="B165" s="69">
        <v>2</v>
      </c>
      <c r="C165" s="59">
        <f>(((A165+(2*B165))*MATERIALES!$C$57)+((A165+(2*B165))*MATERIALES!$C$55)+(A165*MATERIALES!$C$59)+((((A165*2)+(B165*6))*MATERIALES!$C$73)*2)+((B165*2)*MATERIALES!$C$58))*(MATERIALES!$F$2*MATERIALES!$J$15)</f>
        <v>0</v>
      </c>
      <c r="D165" s="59">
        <f>(1*MATERIALES!$C$204)+(1*MATERIALES!$C$205)+(3*MATERIALES!$C$207)+(2*MATERIALES!$C$189)+(2*MATERIALES!$C$190)+(2*MATERIALES!$C$191)+(12*MATERIALES!$C$158)+(12*MATERIALES!$C$159)+((A165+(2*B165))*MATERIALES!$C$210)+((A165+(2*B165))*MATERIALES!$C$209)+(((A165*2)+(B165*6))*MATERIALES!$C$141)+(((((A165*2)+(B165*6))/0.1)*MATERIALES!$C$192)*2)+(2*MATERIALES!$C$187)+(((A165*5)*2)*MATERIALES!$C$147)+(4*MATERIALES!$C$148)</f>
        <v>5539.4892799999998</v>
      </c>
      <c r="E165" s="75"/>
      <c r="F165" s="55">
        <f>(A165*B165)*MATERIALES!$D$89</f>
        <v>2864</v>
      </c>
      <c r="G165" s="59">
        <f t="shared" si="46"/>
        <v>8403.4892799999998</v>
      </c>
      <c r="H165" s="70">
        <f t="shared" ref="H165:H169" si="49">(SUM(C165:E165)*1.3)+(F165*1.5)</f>
        <v>11497.336063999999</v>
      </c>
      <c r="M165" s="68">
        <v>0.8</v>
      </c>
      <c r="N165" s="69">
        <v>2</v>
      </c>
      <c r="O165" s="59">
        <f>(((M165+(2*N165))*MATERIALES!$C$57)+((M165+(2*N165))*MATERIALES!$C$55)+(M165*MATERIALES!$C$59)+((M165*4)*MATERIALES!$C$58)+((((M165*10)+(N165*2))*MATERIALES!$C$73)*2))*(MATERIALES!$F$2*MATERIALES!$J$15)</f>
        <v>0</v>
      </c>
      <c r="P165" s="59">
        <f>(1*MATERIALES!$C$204)+(1*MATERIALES!$C$205)+(3*MATERIALES!$C$207)+(2*MATERIALES!$C$189)+(2*MATERIALES!$C$190)+(2*MATERIALES!$C$191)+(20*MATERIALES!$C$158)+(20*MATERIALES!$C$159)+((M165+(2*N165))*MATERIALES!$C$210)+((M165+(2*N165))*MATERIALES!$C$209)+(((M165*10)+(N165*2))*MATERIALES!$C$141)+(((((M165*10)+(N165*2))/0.1)*MATERIALES!$C$192)*2)+(2*MATERIALES!$C$187)+(((M165*5)*2)*MATERIALES!$C$147)+(4*MATERIALES!$C$148)</f>
        <v>5556.0959999999995</v>
      </c>
      <c r="Q165" s="75"/>
      <c r="R165" s="55">
        <f>(M165*N165)*MATERIALES!$D$89</f>
        <v>2864</v>
      </c>
      <c r="S165" s="59">
        <f t="shared" si="47"/>
        <v>8420.0959999999995</v>
      </c>
      <c r="T165" s="70">
        <f t="shared" si="48"/>
        <v>11518.924800000001</v>
      </c>
    </row>
    <row r="166" spans="1:30">
      <c r="A166" s="68">
        <v>0.9</v>
      </c>
      <c r="B166" s="69">
        <v>2</v>
      </c>
      <c r="C166" s="59">
        <f>(((A166+(2*B166))*MATERIALES!$C$57)+((A166+(2*B166))*MATERIALES!$C$55)+(A166*MATERIALES!$C$59)+((((A166*2)+(B166*6))*MATERIALES!$C$73)*2)+((B166*2)*MATERIALES!$C$58))*(MATERIALES!$F$2*MATERIALES!$J$15)</f>
        <v>0</v>
      </c>
      <c r="D166" s="59">
        <f>(1*MATERIALES!$C$204)+(1*MATERIALES!$C$205)+(3*MATERIALES!$C$207)+(2*MATERIALES!$C$189)+(2*MATERIALES!$C$190)+(2*MATERIALES!$C$191)+(12*MATERIALES!$C$158)+(12*MATERIALES!$C$159)+((A166+(2*B166))*MATERIALES!$C$210)+((A166+(2*B166))*MATERIALES!$C$209)+(((A166*2)+(B166*6))*MATERIALES!$C$141)+(((((A166*2)+(B166*6))/0.1)*MATERIALES!$C$192)*2)+(2*MATERIALES!$C$187)+(((A166*5)*2)*MATERIALES!$C$147)+(4*MATERIALES!$C$148)</f>
        <v>5558.3954400000002</v>
      </c>
      <c r="E166" s="75"/>
      <c r="F166" s="55">
        <f>(A166*B166)*MATERIALES!$D$89</f>
        <v>3222</v>
      </c>
      <c r="G166" s="59">
        <f t="shared" si="46"/>
        <v>8780.3954400000002</v>
      </c>
      <c r="H166" s="70">
        <f t="shared" si="49"/>
        <v>12058.914072</v>
      </c>
      <c r="M166" s="68">
        <v>0.9</v>
      </c>
      <c r="N166" s="69">
        <v>2</v>
      </c>
      <c r="O166" s="59">
        <f>(((M166+(2*N166))*MATERIALES!$C$57)+((M166+(2*N166))*MATERIALES!$C$55)+(M166*MATERIALES!$C$59)+((M166*4)*MATERIALES!$C$58)+((((M166*10)+(N166*2))*MATERIALES!$C$73)*2))*(MATERIALES!$F$2*MATERIALES!$J$15)</f>
        <v>0</v>
      </c>
      <c r="P166" s="59">
        <f>(1*MATERIALES!$C$204)+(1*MATERIALES!$C$205)+(3*MATERIALES!$C$207)+(2*MATERIALES!$C$189)+(2*MATERIALES!$C$190)+(2*MATERIALES!$C$191)+(20*MATERIALES!$C$158)+(20*MATERIALES!$C$159)+((M166+(2*N166))*MATERIALES!$C$210)+((M166+(2*N166))*MATERIALES!$C$209)+(((M166*10)+(N166*2))*MATERIALES!$C$141)+(((((M166*10)+(N166*2))/0.1)*MATERIALES!$C$192)*2)+(2*MATERIALES!$C$187)+(((M166*5)*2)*MATERIALES!$C$147)+(4*MATERIALES!$C$148)</f>
        <v>5627.0187999999998</v>
      </c>
      <c r="Q166" s="75"/>
      <c r="R166" s="55">
        <f>(M166*N166)*MATERIALES!$D$89</f>
        <v>3222</v>
      </c>
      <c r="S166" s="59">
        <f t="shared" si="47"/>
        <v>8849.0187999999998</v>
      </c>
      <c r="T166" s="70">
        <f t="shared" si="48"/>
        <v>12148.12444</v>
      </c>
    </row>
    <row r="167" spans="1:30">
      <c r="A167" s="68">
        <v>0.6</v>
      </c>
      <c r="B167" s="69">
        <v>2.1</v>
      </c>
      <c r="C167" s="59">
        <f>(((A167+(2*B167))*MATERIALES!$C$57)+((A167+(2*B167))*MATERIALES!$C$55)+(A167*MATERIALES!$C$59)+((((A167*2)+(B167*6))*MATERIALES!$C$73)*2)+((B167*2)*MATERIALES!$C$58))*(MATERIALES!$F$2*MATERIALES!$J$15)</f>
        <v>0</v>
      </c>
      <c r="D167" s="59">
        <f>(1*MATERIALES!$C$204)+(1*MATERIALES!$C$205)+(3*MATERIALES!$C$207)+(2*MATERIALES!$C$189)+(2*MATERIALES!$C$190)+(2*MATERIALES!$C$191)+(12*MATERIALES!$C$158)+(12*MATERIALES!$C$159)+((A167+(2*B167))*MATERIALES!$C$210)+((A167+(2*B167))*MATERIALES!$C$209)+(((A167*2)+(B167*6))*MATERIALES!$C$141)+(((((A167*2)+(B167*6))/0.1)*MATERIALES!$C$192)*2)+(2*MATERIALES!$C$187)+(((A167*5)*2)*MATERIALES!$C$147)+(4*MATERIALES!$C$148)</f>
        <v>5552.4934400000002</v>
      </c>
      <c r="E167" s="75"/>
      <c r="F167" s="55">
        <f>(A167*B167)*MATERIALES!$D$89</f>
        <v>2255.4</v>
      </c>
      <c r="G167" s="59">
        <f t="shared" si="46"/>
        <v>7807.8934399999998</v>
      </c>
      <c r="H167" s="70">
        <f t="shared" si="49"/>
        <v>10601.341472</v>
      </c>
      <c r="M167" s="68">
        <v>0.6</v>
      </c>
      <c r="N167" s="69">
        <v>2.1</v>
      </c>
      <c r="O167" s="59">
        <f>(((M167+(2*N167))*MATERIALES!$C$57)+((M167+(2*N167))*MATERIALES!$C$55)+(M167*MATERIALES!$C$59)+((M167*4)*MATERIALES!$C$58)+((((M167*10)+(N167*2))*MATERIALES!$C$73)*2))*(MATERIALES!$F$2*MATERIALES!$J$15)</f>
        <v>0</v>
      </c>
      <c r="P167" s="59">
        <f>(1*MATERIALES!$C$204)+(1*MATERIALES!$C$205)+(3*MATERIALES!$C$207)+(2*MATERIALES!$C$189)+(2*MATERIALES!$C$190)+(2*MATERIALES!$C$191)+(20*MATERIALES!$C$158)+(20*MATERIALES!$C$159)+((M167+(2*N167))*MATERIALES!$C$210)+((M167+(2*N167))*MATERIALES!$C$209)+(((M167*10)+(N167*2))*MATERIALES!$C$141)+(((((M167*10)+(N167*2))/0.1)*MATERIALES!$C$192)*2)+(2*MATERIALES!$C$187)+(((M167*5)*2)*MATERIALES!$C$147)+(4*MATERIALES!$C$148)</f>
        <v>5439.0585599999995</v>
      </c>
      <c r="Q167" s="75"/>
      <c r="R167" s="55">
        <f>(M167*N167)*MATERIALES!$D$89</f>
        <v>2255.4</v>
      </c>
      <c r="S167" s="59">
        <f t="shared" si="47"/>
        <v>7694.4585599999991</v>
      </c>
      <c r="T167" s="70">
        <f t="shared" si="48"/>
        <v>10453.876128</v>
      </c>
    </row>
    <row r="168" spans="1:30">
      <c r="A168" s="68">
        <v>0.7</v>
      </c>
      <c r="B168" s="69">
        <v>2.1</v>
      </c>
      <c r="C168" s="59">
        <f>(((A168+(2*B168))*MATERIALES!$C$57)+((A168+(2*B168))*MATERIALES!$C$55)+(A168*MATERIALES!$C$59)+((((A168*2)+(B168*6))*MATERIALES!$C$73)*2)+((B168*2)*MATERIALES!$C$58))*(MATERIALES!$F$2*MATERIALES!$J$15)</f>
        <v>0</v>
      </c>
      <c r="D168" s="59">
        <f>(1*MATERIALES!$C$204)+(1*MATERIALES!$C$205)+(3*MATERIALES!$C$207)+(2*MATERIALES!$C$189)+(2*MATERIALES!$C$190)+(2*MATERIALES!$C$191)+(12*MATERIALES!$C$158)+(12*MATERIALES!$C$159)+((A168+(2*B168))*MATERIALES!$C$210)+((A168+(2*B168))*MATERIALES!$C$209)+(((A168*2)+(B168*6))*MATERIALES!$C$141)+(((((A168*2)+(B168*6))/0.1)*MATERIALES!$C$192)*2)+(2*MATERIALES!$C$187)+(((A168*5)*2)*MATERIALES!$C$147)+(4*MATERIALES!$C$148)</f>
        <v>5571.3996000000006</v>
      </c>
      <c r="E168" s="75"/>
      <c r="F168" s="55">
        <f>(A168*B168)*MATERIALES!$D$89</f>
        <v>2631.2999999999997</v>
      </c>
      <c r="G168" s="59">
        <f t="shared" si="46"/>
        <v>8202.6995999999999</v>
      </c>
      <c r="H168" s="70">
        <f t="shared" si="49"/>
        <v>11189.769480000001</v>
      </c>
      <c r="M168" s="68">
        <v>0.7</v>
      </c>
      <c r="N168" s="69">
        <v>2.1</v>
      </c>
      <c r="O168" s="59">
        <f>(((M168+(2*N168))*MATERIALES!$C$57)+((M168+(2*N168))*MATERIALES!$C$55)+(M168*MATERIALES!$C$59)+((M168*4)*MATERIALES!$C$58)+((((M168*10)+(N168*2))*MATERIALES!$C$73)*2))*(MATERIALES!$F$2*MATERIALES!$J$15)</f>
        <v>0</v>
      </c>
      <c r="P168" s="59">
        <f>(1*MATERIALES!$C$204)+(1*MATERIALES!$C$205)+(3*MATERIALES!$C$207)+(2*MATERIALES!$C$189)+(2*MATERIALES!$C$190)+(2*MATERIALES!$C$191)+(20*MATERIALES!$C$158)+(20*MATERIALES!$C$159)+((M168+(2*N168))*MATERIALES!$C$210)+((M168+(2*N168))*MATERIALES!$C$209)+(((M168*10)+(N168*2))*MATERIALES!$C$141)+(((((M168*10)+(N168*2))/0.1)*MATERIALES!$C$192)*2)+(2*MATERIALES!$C$187)+(((M168*5)*2)*MATERIALES!$C$147)+(4*MATERIALES!$C$148)</f>
        <v>5509.9813599999998</v>
      </c>
      <c r="Q168" s="75"/>
      <c r="R168" s="55">
        <f>(M168*N168)*MATERIALES!$D$89</f>
        <v>2631.2999999999997</v>
      </c>
      <c r="S168" s="59">
        <f t="shared" si="47"/>
        <v>8141.281359999999</v>
      </c>
      <c r="T168" s="70">
        <f t="shared" si="48"/>
        <v>11109.925768000001</v>
      </c>
    </row>
    <row r="169" spans="1:30">
      <c r="A169" s="68">
        <v>0.8</v>
      </c>
      <c r="B169" s="69">
        <v>2.1</v>
      </c>
      <c r="C169" s="59">
        <f>(((A169+(2*B169))*MATERIALES!$C$57)+((A169+(2*B169))*MATERIALES!$C$55)+(A169*MATERIALES!$C$59)+((((A169*2)+(B169*6))*MATERIALES!$C$73)*2)+((B169*2)*MATERIALES!$C$58))*(MATERIALES!$F$2*MATERIALES!$J$15)</f>
        <v>0</v>
      </c>
      <c r="D169" s="59">
        <f>(1*MATERIALES!$C$204)+(1*MATERIALES!$C$205)+(3*MATERIALES!$C$207)+(2*MATERIALES!$C$189)+(2*MATERIALES!$C$190)+(2*MATERIALES!$C$191)+(12*MATERIALES!$C$158)+(12*MATERIALES!$C$159)+((A169+(2*B169))*MATERIALES!$C$210)+((A169+(2*B169))*MATERIALES!$C$209)+(((A169*2)+(B169*6))*MATERIALES!$C$141)+(((((A169*2)+(B169*6))/0.1)*MATERIALES!$C$192)*2)+(2*MATERIALES!$C$187)+(((A169*5)*2)*MATERIALES!$C$147)+(4*MATERIALES!$C$148)</f>
        <v>5590.3057600000002</v>
      </c>
      <c r="E169" s="75"/>
      <c r="F169" s="55">
        <f>(A169*B169)*MATERIALES!$D$89</f>
        <v>3007.2000000000003</v>
      </c>
      <c r="G169" s="59">
        <f t="shared" si="46"/>
        <v>8597.50576</v>
      </c>
      <c r="H169" s="70">
        <f t="shared" si="49"/>
        <v>11778.197488000002</v>
      </c>
      <c r="M169" s="68">
        <v>0.8</v>
      </c>
      <c r="N169" s="69">
        <v>2.1</v>
      </c>
      <c r="O169" s="59">
        <f>(((M169+(2*N169))*MATERIALES!$C$57)+((M169+(2*N169))*MATERIALES!$C$55)+(M169*MATERIALES!$C$59)+((M169*4)*MATERIALES!$C$58)+((((M169*10)+(N169*2))*MATERIALES!$C$73)*2))*(MATERIALES!$F$2*MATERIALES!$J$15)</f>
        <v>0</v>
      </c>
      <c r="P169" s="59">
        <f>(1*MATERIALES!$C$204)+(1*MATERIALES!$C$205)+(3*MATERIALES!$C$207)+(2*MATERIALES!$C$189)+(2*MATERIALES!$C$190)+(2*MATERIALES!$C$191)+(20*MATERIALES!$C$158)+(20*MATERIALES!$C$159)+((M169+(2*N169))*MATERIALES!$C$210)+((M169+(2*N169))*MATERIALES!$C$209)+(((M169*10)+(N169*2))*MATERIALES!$C$141)+(((((M169*10)+(N169*2))/0.1)*MATERIALES!$C$192)*2)+(2*MATERIALES!$C$187)+(((M169*5)*2)*MATERIALES!$C$147)+(4*MATERIALES!$C$148)</f>
        <v>5580.9041599999991</v>
      </c>
      <c r="Q169" s="75"/>
      <c r="R169" s="55">
        <f>(M169*N169)*MATERIALES!$D$89</f>
        <v>3007.2000000000003</v>
      </c>
      <c r="S169" s="59">
        <f t="shared" si="47"/>
        <v>8588.104159999999</v>
      </c>
      <c r="T169" s="70">
        <f t="shared" si="48"/>
        <v>11765.975407999998</v>
      </c>
    </row>
    <row r="170" spans="1:30" ht="15.75" thickBot="1">
      <c r="A170" s="71">
        <v>0.9</v>
      </c>
      <c r="B170" s="72">
        <v>2.1</v>
      </c>
      <c r="C170" s="60">
        <f>(((A170+(2*B170))*MATERIALES!$C$57)+((A170+(2*B170))*MATERIALES!$C$55)+(A170*MATERIALES!$C$59)+((((A170*2)+(B170*6))*MATERIALES!$C$73)*2)+((B170*2)*MATERIALES!$C$58))*(MATERIALES!$F$2*MATERIALES!$J$15)</f>
        <v>0</v>
      </c>
      <c r="D170" s="60">
        <f>(1*MATERIALES!$C$204)+(1*MATERIALES!$C$205)+(3*MATERIALES!$C$207)+(2*MATERIALES!$C$189)+(2*MATERIALES!$C$190)+(2*MATERIALES!$C$191)+(12*MATERIALES!$C$158)+(12*MATERIALES!$C$159)+((A170+(2*B170))*MATERIALES!$C$210)+((A170+(2*B170))*MATERIALES!$C$209)+(((A170*2)+(B170*6))*MATERIALES!$C$141)+(((((A170*2)+(B170*6))/0.1)*MATERIALES!$C$192)*2)+(2*MATERIALES!$C$187)+(((A170*5)*2)*MATERIALES!$C$147)+(4*MATERIALES!$C$148)</f>
        <v>5609.2119199999997</v>
      </c>
      <c r="E170" s="76"/>
      <c r="F170" s="56">
        <f>(A170*B170)*MATERIALES!$D$89</f>
        <v>3383.1000000000004</v>
      </c>
      <c r="G170" s="60">
        <f t="shared" si="46"/>
        <v>8992.3119200000001</v>
      </c>
      <c r="H170" s="73">
        <f>(SUM(C170:E170)*1.3)+(F170*1.5)</f>
        <v>12366.625496000001</v>
      </c>
      <c r="M170" s="71">
        <v>0.9</v>
      </c>
      <c r="N170" s="72">
        <v>2.1</v>
      </c>
      <c r="O170" s="60">
        <f>(((M170+(2*N170))*MATERIALES!$C$57)+((M170+(2*N170))*MATERIALES!$C$55)+(M170*MATERIALES!$C$59)+((M170*4)*MATERIALES!$C$58)+((((M170*10)+(N170*2))*MATERIALES!$C$73)*2))*(MATERIALES!$F$2*MATERIALES!$J$15)</f>
        <v>0</v>
      </c>
      <c r="P170" s="60">
        <f>(1*MATERIALES!$C$204)+(1*MATERIALES!$C$205)+(3*MATERIALES!$C$207)+(2*MATERIALES!$C$189)+(2*MATERIALES!$C$190)+(2*MATERIALES!$C$191)+(20*MATERIALES!$C$158)+(20*MATERIALES!$C$159)+((M170+(2*N170))*MATERIALES!$C$210)+((M170+(2*N170))*MATERIALES!$C$209)+(((M170*10)+(N170*2))*MATERIALES!$C$141)+(((((M170*10)+(N170*2))/0.1)*MATERIALES!$C$192)*2)+(2*MATERIALES!$C$187)+(((M170*5)*2)*MATERIALES!$C$147)+(4*MATERIALES!$C$148)</f>
        <v>5651.8269599999985</v>
      </c>
      <c r="Q170" s="76"/>
      <c r="R170" s="56">
        <f>(M170*N170)*MATERIALES!$D$89</f>
        <v>3383.1000000000004</v>
      </c>
      <c r="S170" s="60">
        <f t="shared" si="47"/>
        <v>9034.9269599999989</v>
      </c>
      <c r="T170" s="73">
        <f t="shared" si="48"/>
        <v>12422.025048</v>
      </c>
    </row>
    <row r="172" spans="1:30" ht="15.75" thickBot="1">
      <c r="C172" s="878" t="s">
        <v>221</v>
      </c>
      <c r="D172" s="878"/>
      <c r="E172" s="878"/>
      <c r="F172" s="878"/>
      <c r="G172" s="78"/>
      <c r="O172" s="878" t="s">
        <v>221</v>
      </c>
      <c r="P172" s="878"/>
      <c r="Q172" s="878"/>
      <c r="R172" s="878"/>
      <c r="Y172" s="878" t="s">
        <v>221</v>
      </c>
      <c r="Z172" s="878"/>
      <c r="AA172" s="878"/>
      <c r="AB172" s="878"/>
      <c r="AC172" s="78"/>
    </row>
    <row r="173" spans="1:30" ht="15.75" thickBot="1">
      <c r="A173" s="32"/>
      <c r="B173" s="32"/>
      <c r="C173" s="801">
        <v>0.3</v>
      </c>
      <c r="D173" s="802"/>
      <c r="E173" s="803"/>
      <c r="F173" s="61">
        <v>0.5</v>
      </c>
      <c r="G173" s="32"/>
      <c r="H173" s="46" t="s">
        <v>163</v>
      </c>
      <c r="M173" s="32"/>
      <c r="N173" s="32"/>
      <c r="O173" s="801">
        <v>0.3</v>
      </c>
      <c r="P173" s="802"/>
      <c r="Q173" s="802"/>
      <c r="R173" s="803"/>
      <c r="S173" s="32"/>
      <c r="T173" s="46" t="s">
        <v>163</v>
      </c>
      <c r="W173" s="32"/>
      <c r="X173" s="32"/>
      <c r="Y173" s="801">
        <v>0.3</v>
      </c>
      <c r="Z173" s="802"/>
      <c r="AA173" s="803"/>
      <c r="AB173" s="61">
        <v>0.5</v>
      </c>
      <c r="AC173" s="32"/>
      <c r="AD173" s="46" t="s">
        <v>163</v>
      </c>
    </row>
    <row r="174" spans="1:30" ht="15.75" thickBot="1">
      <c r="A174" s="792" t="s">
        <v>679</v>
      </c>
      <c r="B174" s="793"/>
      <c r="C174" s="793"/>
      <c r="D174" s="793"/>
      <c r="E174" s="793"/>
      <c r="F174" s="793"/>
      <c r="G174" s="793"/>
      <c r="H174" s="794"/>
      <c r="M174" s="792" t="s">
        <v>219</v>
      </c>
      <c r="N174" s="793"/>
      <c r="O174" s="793"/>
      <c r="P174" s="793"/>
      <c r="Q174" s="793"/>
      <c r="R174" s="793"/>
      <c r="S174" s="793"/>
      <c r="T174" s="794"/>
      <c r="W174" s="792" t="s">
        <v>701</v>
      </c>
      <c r="X174" s="793"/>
      <c r="Y174" s="793"/>
      <c r="Z174" s="793"/>
      <c r="AA174" s="793"/>
      <c r="AB174" s="793"/>
      <c r="AC174" s="793"/>
      <c r="AD174" s="794"/>
    </row>
    <row r="175" spans="1:30" ht="15.75" thickBot="1">
      <c r="A175" s="36" t="s">
        <v>116</v>
      </c>
      <c r="B175" s="36" t="s">
        <v>117</v>
      </c>
      <c r="C175" s="36" t="s">
        <v>162</v>
      </c>
      <c r="D175" s="36" t="s">
        <v>119</v>
      </c>
      <c r="E175" s="36" t="s">
        <v>120</v>
      </c>
      <c r="F175" s="36" t="s">
        <v>118</v>
      </c>
      <c r="G175" s="36" t="s">
        <v>121</v>
      </c>
      <c r="H175" s="36" t="s">
        <v>122</v>
      </c>
      <c r="M175" s="36" t="s">
        <v>116</v>
      </c>
      <c r="N175" s="36" t="s">
        <v>117</v>
      </c>
      <c r="O175" s="36" t="s">
        <v>162</v>
      </c>
      <c r="P175" s="36" t="s">
        <v>119</v>
      </c>
      <c r="Q175" s="36" t="s">
        <v>120</v>
      </c>
      <c r="R175" s="36" t="s">
        <v>217</v>
      </c>
      <c r="S175" s="36" t="s">
        <v>121</v>
      </c>
      <c r="T175" s="36" t="s">
        <v>122</v>
      </c>
      <c r="W175" s="36" t="s">
        <v>116</v>
      </c>
      <c r="X175" s="36" t="s">
        <v>117</v>
      </c>
      <c r="Y175" s="36" t="s">
        <v>162</v>
      </c>
      <c r="Z175" s="36" t="s">
        <v>119</v>
      </c>
      <c r="AA175" s="36" t="s">
        <v>120</v>
      </c>
      <c r="AB175" s="36" t="s">
        <v>118</v>
      </c>
      <c r="AC175" s="36" t="s">
        <v>121</v>
      </c>
      <c r="AD175" s="36" t="s">
        <v>122</v>
      </c>
    </row>
    <row r="176" spans="1:30" ht="15.75" thickBot="1">
      <c r="A176" s="795"/>
      <c r="B176" s="796"/>
      <c r="C176" s="796"/>
      <c r="D176" s="796"/>
      <c r="E176" s="796"/>
      <c r="F176" s="796"/>
      <c r="G176" s="796"/>
      <c r="H176" s="797"/>
      <c r="M176" s="795"/>
      <c r="N176" s="796"/>
      <c r="O176" s="796"/>
      <c r="P176" s="796"/>
      <c r="Q176" s="796"/>
      <c r="R176" s="796"/>
      <c r="S176" s="796"/>
      <c r="T176" s="797"/>
      <c r="W176" s="795"/>
      <c r="X176" s="796"/>
      <c r="Y176" s="796"/>
      <c r="Z176" s="796"/>
      <c r="AA176" s="796"/>
      <c r="AB176" s="796"/>
      <c r="AC176" s="796"/>
      <c r="AD176" s="797"/>
    </row>
    <row r="177" spans="1:30">
      <c r="A177" s="158">
        <v>0.6</v>
      </c>
      <c r="B177" s="159">
        <v>2</v>
      </c>
      <c r="C177" s="74">
        <f>((((A177+(2*B177))*MATERIALES!$C$57)+((A177+(2*B177))*MATERIALES!$C$55)+(A177*MATERIALES!$C$59)+((((A177*2)+(B177*4))*MATERIALES!$C$73)*2))*(MATERIALES!$F$2*MATERIALES!$J$15))+(1*MATERIALES!$D$243)</f>
        <v>3927.27</v>
      </c>
      <c r="D177" s="74">
        <f>(1*MATERIALES!$C$204)+(1*MATERIALES!$C$205)+(3*MATERIALES!$C$207)+(2*MATERIALES!$C$189)+(2*MATERIALES!$C$190)+(2*MATERIALES!$C$191)+(8*MATERIALES!$C$158)+(8*MATERIALES!$C$159)+((A177+(2*B177))*MATERIALES!$C$210)+((A177+(2*B177))*MATERIALES!$C$209)+(((A177*2)+(B177*2))*MATERIALES!$C$165)+(((A177*2)+(B177*2))*MATERIALES!$C$141)+(0.5*MATERIALES!$C$167)+(((((A177*2)+(B177*4))/0.1)*MATERIALES!$C$192)*2)+(2*MATERIALES!$C$187)+(((A177*5)*2)*MATERIALES!$C$147)+(4*MATERIALES!$C$148)</f>
        <v>5343.3827200000005</v>
      </c>
      <c r="E177" s="74"/>
      <c r="F177" s="111">
        <f>((A177/2)*B177)*MATERIALES!$D$89</f>
        <v>1074</v>
      </c>
      <c r="G177" s="74">
        <f>SUM(C177:F177)</f>
        <v>10344.65272</v>
      </c>
      <c r="H177" s="160">
        <f>(SUM(C177:E177)*1.3)+(F177*1.5)</f>
        <v>13662.848536000001</v>
      </c>
      <c r="I177" s="77"/>
      <c r="K177" s="77"/>
      <c r="L177" s="77"/>
      <c r="M177" s="65">
        <v>0.6</v>
      </c>
      <c r="N177" s="66">
        <v>2</v>
      </c>
      <c r="O177" s="58">
        <f>(((M177+(2*N177))*MATERIALES!$C$57)+((M177+(2*N177))*MATERIALES!$C$55)+(M177*MATERIALES!$C$59)+((((M177*2)+(N177*2))*MATERIALES!$C$73)*2))*(MATERIALES!$F$2*MATERIALES!$J$15)</f>
        <v>0</v>
      </c>
      <c r="P177" s="58">
        <f>(1*MATERIALES!$C$204)+(1*MATERIALES!$C$205)+(3*MATERIALES!$C$207)+(2*MATERIALES!$C$189)+(2*MATERIALES!$C$190)+(2*MATERIALES!$C$191)+(4*MATERIALES!$C$158)+(4*MATERIALES!$C$159)+((M177+(2*N177))*MATERIALES!$C$210)+((M177+(2*N177))*MATERIALES!$C$209)+(((M177*2)+(N177*2))*MATERIALES!$C$165)+(0.5*MATERIALES!$C$167)+(((((M177*2)+(N177*2))/0.1)*MATERIALES!$C$192)*2)+(2*MATERIALES!$C$187)+(((M177*5)*2)*MATERIALES!$C$147)+(4*MATERIALES!$C$148)</f>
        <v>4997.3705600000003</v>
      </c>
      <c r="Q177" s="74"/>
      <c r="R177" s="54">
        <f>(1*MATERIALES!$D$243)</f>
        <v>3927.27</v>
      </c>
      <c r="S177" s="58">
        <f>SUM(O177:R177)</f>
        <v>8924.6405599999998</v>
      </c>
      <c r="T177" s="67">
        <f>(SUM(O177:R177)*1.3)</f>
        <v>11602.032728</v>
      </c>
      <c r="U177" s="77"/>
      <c r="W177" s="65">
        <v>0.6</v>
      </c>
      <c r="X177" s="66">
        <v>2</v>
      </c>
      <c r="Y177" s="58">
        <f>(((W177+(2*X177))*MATERIALES!$C$57)+((W177+(2*X177))*MATERIALES!$C$55)+(W177*MATERIALES!$C$59)+((((W177*2)+(X177*4))*MATERIALES!$C$73)*2)+((((W177/2)-0.2)*MATERIALES!$C$30)*(X177/0.12)))*MATERIALES!$F$2</f>
        <v>8723.7695999999996</v>
      </c>
      <c r="Z177" s="58">
        <f>(1*MATERIALES!$C$204)+(1*MATERIALES!$C$205)+(3*MATERIALES!$C$207)+(2*MATERIALES!$C$189)+(2*MATERIALES!$C$190)+(2*MATERIALES!$C$191)+(8*MATERIALES!$C$158)+(8*MATERIALES!$C$159)+((W177+(2*X177))*MATERIALES!$C$210)+((W177+(2*X177))*MATERIALES!$C$209)+(((W177*2)+(X177*2))*MATERIALES!$C$165)+(((W177*2)+(X177*2))*MATERIALES!$C$141)+(0.5*MATERIALES!$C$167)+(((((W177*2)+(X177*4))/0.1)*MATERIALES!$C$192)*2)+(2*MATERIALES!$C$187)+(((W177*5)*2)*MATERIALES!$C$147)+(4*MATERIALES!$C$148)</f>
        <v>5343.3827200000005</v>
      </c>
      <c r="AA177" s="58">
        <f>(0.5*MATERIALES!$D$254)</f>
        <v>557</v>
      </c>
      <c r="AB177" s="54">
        <f>((W177/2)*X177)*MATERIALES!$D$89</f>
        <v>1074</v>
      </c>
      <c r="AC177" s="58">
        <f>SUM(Y177:AB177)</f>
        <v>15698.152320000001</v>
      </c>
      <c r="AD177" s="67">
        <f>(SUM(Y177:AA177)*1.3)+(AB177*1.5)</f>
        <v>20622.398016000003</v>
      </c>
    </row>
    <row r="178" spans="1:30">
      <c r="A178" s="161">
        <v>0.7</v>
      </c>
      <c r="B178" s="162">
        <v>2</v>
      </c>
      <c r="C178" s="75">
        <f>((((A178+(2*B178))*MATERIALES!$C$57)+((A178+(2*B178))*MATERIALES!$C$55)+(A178*MATERIALES!$C$59)+((((A178*2)+(B178*4))*MATERIALES!$C$73)*2))*(MATERIALES!$F$2*MATERIALES!$J$15))+(1*MATERIALES!$D$243)</f>
        <v>3927.27</v>
      </c>
      <c r="D178" s="75">
        <f>(1*MATERIALES!$C$204)+(1*MATERIALES!$C$205)+(3*MATERIALES!$C$207)+(2*MATERIALES!$C$189)+(2*MATERIALES!$C$190)+(2*MATERIALES!$C$191)+(8*MATERIALES!$C$158)+(8*MATERIALES!$C$159)+((A178+(2*B178))*MATERIALES!$C$210)+((A178+(2*B178))*MATERIALES!$C$209)+(((A178*2)+(B178*2))*MATERIALES!$C$165)+(((A178*2)+(B178*2))*MATERIALES!$C$141)+(0.5*MATERIALES!$C$167)+(((((A178*2)+(B178*4))/0.1)*MATERIALES!$C$192)*2)+(2*MATERIALES!$C$187)+(((A178*5)*2)*MATERIALES!$C$147)+(4*MATERIALES!$C$148)</f>
        <v>5366.5570399999988</v>
      </c>
      <c r="E178" s="75"/>
      <c r="F178" s="112">
        <f>((A178/2)*B178)*MATERIALES!$D$89</f>
        <v>1253</v>
      </c>
      <c r="G178" s="75">
        <f t="shared" ref="G178:G184" si="50">SUM(C178:F178)</f>
        <v>10546.827039999998</v>
      </c>
      <c r="H178" s="163">
        <f>(SUM(C178:E178)*1.3)+(F178*1.5)</f>
        <v>13961.475151999999</v>
      </c>
      <c r="I178" s="77"/>
      <c r="K178" s="77"/>
      <c r="L178" s="77"/>
      <c r="M178" s="68">
        <v>0.7</v>
      </c>
      <c r="N178" s="69">
        <v>2</v>
      </c>
      <c r="O178" s="59">
        <f>(((M178+(2*N178))*MATERIALES!$C$57)+((M178+(2*N178))*MATERIALES!$C$55)+(M178*MATERIALES!$C$59)+((((M178*2)+(N178*2))*MATERIALES!$C$73)*2))*(MATERIALES!$F$2*MATERIALES!$J$15)</f>
        <v>0</v>
      </c>
      <c r="P178" s="59">
        <f>(1*MATERIALES!$C$204)+(1*MATERIALES!$C$205)+(3*MATERIALES!$C$207)+(2*MATERIALES!$C$189)+(2*MATERIALES!$C$190)+(2*MATERIALES!$C$191)+(4*MATERIALES!$C$158)+(4*MATERIALES!$C$159)+((M178+(2*N178))*MATERIALES!$C$210)+((M178+(2*N178))*MATERIALES!$C$209)+(((M178*2)+(N178*2))*MATERIALES!$C$165)+(0.5*MATERIALES!$C$167)+(((((M178*2)+(N178*2))/0.1)*MATERIALES!$C$192)*2)+(2*MATERIALES!$C$187)+(((M178*5)*2)*MATERIALES!$C$147)+(4*MATERIALES!$C$148)</f>
        <v>5016.2767199999989</v>
      </c>
      <c r="Q178" s="75"/>
      <c r="R178" s="55">
        <f>(1*MATERIALES!$D$243)</f>
        <v>3927.27</v>
      </c>
      <c r="S178" s="59">
        <f t="shared" ref="S178:S184" si="51">SUM(O178:R178)</f>
        <v>8943.5467199999985</v>
      </c>
      <c r="T178" s="70">
        <f t="shared" ref="T178:T184" si="52">(SUM(O178:R178)*1.3)</f>
        <v>11626.610735999999</v>
      </c>
      <c r="U178" s="77"/>
      <c r="W178" s="68">
        <v>0.7</v>
      </c>
      <c r="X178" s="69">
        <v>2</v>
      </c>
      <c r="Y178" s="59">
        <f>(((W178+(2*X178))*MATERIALES!$C$57)+((W178+(2*X178))*MATERIALES!$C$55)+(W178*MATERIALES!$C$59)+((((W178*2)+(X178*4))*MATERIALES!$C$73)*2)+((((W178/2)-0.2)*MATERIALES!$C$30)*(X178/0.12)))*MATERIALES!$F$2</f>
        <v>9512.1935999999987</v>
      </c>
      <c r="Z178" s="59">
        <f>(1*MATERIALES!$C$204)+(1*MATERIALES!$C$205)+(3*MATERIALES!$C$207)+(2*MATERIALES!$C$189)+(2*MATERIALES!$C$190)+(2*MATERIALES!$C$191)+(8*MATERIALES!$C$158)+(8*MATERIALES!$C$159)+((W178+(2*X178))*MATERIALES!$C$210)+((W178+(2*X178))*MATERIALES!$C$209)+(((W178*2)+(X178*2))*MATERIALES!$C$165)+(((W178*2)+(X178*2))*MATERIALES!$C$141)+(0.5*MATERIALES!$C$167)+(((((W178*2)+(X178*4))/0.1)*MATERIALES!$C$192)*2)+(2*MATERIALES!$C$187)+(((W178*5)*2)*MATERIALES!$C$147)+(4*MATERIALES!$C$148)</f>
        <v>5366.5570399999988</v>
      </c>
      <c r="AA178" s="59">
        <f>(0.5*MATERIALES!$D$254)</f>
        <v>557</v>
      </c>
      <c r="AB178" s="55">
        <f>((W178/2)*X178)*MATERIALES!$D$89</f>
        <v>1253</v>
      </c>
      <c r="AC178" s="59">
        <f t="shared" ref="AC178:AC184" si="53">SUM(Y178:AB178)</f>
        <v>16688.750639999998</v>
      </c>
      <c r="AD178" s="70">
        <f>(SUM(Y178:AA178)*1.3)+(AB178*1.5)</f>
        <v>21945.975832</v>
      </c>
    </row>
    <row r="179" spans="1:30">
      <c r="A179" s="161">
        <v>0.8</v>
      </c>
      <c r="B179" s="162">
        <v>2</v>
      </c>
      <c r="C179" s="75">
        <f>((((A179+(2*B179))*MATERIALES!$C$57)+((A179+(2*B179))*MATERIALES!$C$55)+(A179*MATERIALES!$C$59)+((((A179*2)+(B179*4))*MATERIALES!$C$73)*2))*(MATERIALES!$F$2*MATERIALES!$J$15))+(1*MATERIALES!$D$243)</f>
        <v>3927.27</v>
      </c>
      <c r="D179" s="75">
        <f>(1*MATERIALES!$C$204)+(1*MATERIALES!$C$205)+(3*MATERIALES!$C$207)+(2*MATERIALES!$C$189)+(2*MATERIALES!$C$190)+(2*MATERIALES!$C$191)+(8*MATERIALES!$C$158)+(8*MATERIALES!$C$159)+((A179+(2*B179))*MATERIALES!$C$210)+((A179+(2*B179))*MATERIALES!$C$209)+(((A179*2)+(B179*2))*MATERIALES!$C$165)+(((A179*2)+(B179*2))*MATERIALES!$C$141)+(0.5*MATERIALES!$C$167)+(((((A179*2)+(B179*4))/0.1)*MATERIALES!$C$192)*2)+(2*MATERIALES!$C$187)+(((A179*5)*2)*MATERIALES!$C$147)+(4*MATERIALES!$C$148)</f>
        <v>5389.7313600000016</v>
      </c>
      <c r="E179" s="75"/>
      <c r="F179" s="112">
        <f>((A179/2)*B179)*MATERIALES!$D$89</f>
        <v>1432</v>
      </c>
      <c r="G179" s="75">
        <f t="shared" si="50"/>
        <v>10749.001360000002</v>
      </c>
      <c r="H179" s="163">
        <f t="shared" ref="H179:H183" si="54">(SUM(C179:E179)*1.3)+(F179*1.5)</f>
        <v>14260.101768000002</v>
      </c>
      <c r="I179" s="77"/>
      <c r="K179" s="77"/>
      <c r="L179" s="77"/>
      <c r="M179" s="68">
        <v>0.8</v>
      </c>
      <c r="N179" s="69">
        <v>2</v>
      </c>
      <c r="O179" s="59">
        <f>(((M179+(2*N179))*MATERIALES!$C$57)+((M179+(2*N179))*MATERIALES!$C$55)+(M179*MATERIALES!$C$59)+((((M179*2)+(N179*2))*MATERIALES!$C$73)*2))*(MATERIALES!$F$2*MATERIALES!$J$15)</f>
        <v>0</v>
      </c>
      <c r="P179" s="59">
        <f>(1*MATERIALES!$C$204)+(1*MATERIALES!$C$205)+(3*MATERIALES!$C$207)+(2*MATERIALES!$C$189)+(2*MATERIALES!$C$190)+(2*MATERIALES!$C$191)+(4*MATERIALES!$C$158)+(4*MATERIALES!$C$159)+((M179+(2*N179))*MATERIALES!$C$210)+((M179+(2*N179))*MATERIALES!$C$209)+(((M179*2)+(N179*2))*MATERIALES!$C$165)+(0.5*MATERIALES!$C$167)+(((((M179*2)+(N179*2))/0.1)*MATERIALES!$C$192)*2)+(2*MATERIALES!$C$187)+(((M179*5)*2)*MATERIALES!$C$147)+(4*MATERIALES!$C$148)</f>
        <v>5035.1828800000003</v>
      </c>
      <c r="Q179" s="75"/>
      <c r="R179" s="55">
        <f>(1*MATERIALES!$D$243)</f>
        <v>3927.27</v>
      </c>
      <c r="S179" s="59">
        <f t="shared" si="51"/>
        <v>8962.4528800000007</v>
      </c>
      <c r="T179" s="70">
        <f t="shared" si="52"/>
        <v>11651.188744000001</v>
      </c>
      <c r="U179" s="77"/>
      <c r="W179" s="68">
        <v>0.8</v>
      </c>
      <c r="X179" s="69">
        <v>2</v>
      </c>
      <c r="Y179" s="59">
        <f>(((W179+(2*X179))*MATERIALES!$C$57)+((W179+(2*X179))*MATERIALES!$C$55)+(W179*MATERIALES!$C$59)+((((W179*2)+(X179*4))*MATERIALES!$C$73)*2)+((((W179/2)-0.2)*MATERIALES!$C$30)*(X179/0.12)))*MATERIALES!$F$2</f>
        <v>10300.617600000001</v>
      </c>
      <c r="Z179" s="59">
        <f>(1*MATERIALES!$C$204)+(1*MATERIALES!$C$205)+(3*MATERIALES!$C$207)+(2*MATERIALES!$C$189)+(2*MATERIALES!$C$190)+(2*MATERIALES!$C$191)+(8*MATERIALES!$C$158)+(8*MATERIALES!$C$159)+((W179+(2*X179))*MATERIALES!$C$210)+((W179+(2*X179))*MATERIALES!$C$209)+(((W179*2)+(X179*2))*MATERIALES!$C$165)+(((W179*2)+(X179*2))*MATERIALES!$C$141)+(0.5*MATERIALES!$C$167)+(((((W179*2)+(X179*4))/0.1)*MATERIALES!$C$192)*2)+(2*MATERIALES!$C$187)+(((W179*5)*2)*MATERIALES!$C$147)+(4*MATERIALES!$C$148)</f>
        <v>5389.7313600000016</v>
      </c>
      <c r="AA179" s="59">
        <f>(0.5*MATERIALES!$D$254)</f>
        <v>557</v>
      </c>
      <c r="AB179" s="55">
        <f>((W179/2)*X179)*MATERIALES!$D$89</f>
        <v>1432</v>
      </c>
      <c r="AC179" s="59">
        <f t="shared" si="53"/>
        <v>17679.348960000003</v>
      </c>
      <c r="AD179" s="70">
        <f t="shared" ref="AD179:AD183" si="55">(SUM(Y179:AA179)*1.3)+(AB179*1.5)</f>
        <v>23269.553648000005</v>
      </c>
    </row>
    <row r="180" spans="1:30">
      <c r="A180" s="161">
        <v>0.9</v>
      </c>
      <c r="B180" s="162">
        <v>2</v>
      </c>
      <c r="C180" s="75">
        <f>((((A180+(2*B180))*MATERIALES!$C$57)+((A180+(2*B180))*MATERIALES!$C$55)+(A180*MATERIALES!$C$59)+((((A180*2)+(B180*4))*MATERIALES!$C$73)*2))*(MATERIALES!$F$2*MATERIALES!$J$15))+(1*MATERIALES!$D$243)</f>
        <v>3927.27</v>
      </c>
      <c r="D180" s="75">
        <f>(1*MATERIALES!$C$204)+(1*MATERIALES!$C$205)+(3*MATERIALES!$C$207)+(2*MATERIALES!$C$189)+(2*MATERIALES!$C$190)+(2*MATERIALES!$C$191)+(8*MATERIALES!$C$158)+(8*MATERIALES!$C$159)+((A180+(2*B180))*MATERIALES!$C$210)+((A180+(2*B180))*MATERIALES!$C$209)+(((A180*2)+(B180*2))*MATERIALES!$C$165)+(((A180*2)+(B180*2))*MATERIALES!$C$141)+(0.5*MATERIALES!$C$167)+(((((A180*2)+(B180*4))/0.1)*MATERIALES!$C$192)*2)+(2*MATERIALES!$C$187)+(((A180*5)*2)*MATERIALES!$C$147)+(4*MATERIALES!$C$148)</f>
        <v>5412.9056800000008</v>
      </c>
      <c r="E180" s="75"/>
      <c r="F180" s="112">
        <f>((A180/2)*B180)*MATERIALES!$D$89</f>
        <v>1611</v>
      </c>
      <c r="G180" s="75">
        <f t="shared" si="50"/>
        <v>10951.17568</v>
      </c>
      <c r="H180" s="163">
        <f t="shared" si="54"/>
        <v>14558.728384</v>
      </c>
      <c r="I180" s="77"/>
      <c r="K180" s="77"/>
      <c r="L180" s="77"/>
      <c r="M180" s="68">
        <v>0.9</v>
      </c>
      <c r="N180" s="69">
        <v>2</v>
      </c>
      <c r="O180" s="59">
        <f>(((M180+(2*N180))*MATERIALES!$C$57)+((M180+(2*N180))*MATERIALES!$C$55)+(M180*MATERIALES!$C$59)+((((M180*2)+(N180*2))*MATERIALES!$C$73)*2))*(MATERIALES!$F$2*MATERIALES!$J$15)</f>
        <v>0</v>
      </c>
      <c r="P180" s="59">
        <f>(1*MATERIALES!$C$204)+(1*MATERIALES!$C$205)+(3*MATERIALES!$C$207)+(2*MATERIALES!$C$189)+(2*MATERIALES!$C$190)+(2*MATERIALES!$C$191)+(4*MATERIALES!$C$158)+(4*MATERIALES!$C$159)+((M180+(2*N180))*MATERIALES!$C$210)+((M180+(2*N180))*MATERIALES!$C$209)+(((M180*2)+(N180*2))*MATERIALES!$C$165)+(0.5*MATERIALES!$C$167)+(((((M180*2)+(N180*2))/0.1)*MATERIALES!$C$192)*2)+(2*MATERIALES!$C$187)+(((M180*5)*2)*MATERIALES!$C$147)+(4*MATERIALES!$C$148)</f>
        <v>5054.0890399999998</v>
      </c>
      <c r="Q180" s="75"/>
      <c r="R180" s="55">
        <f>(1*MATERIALES!$D$243)</f>
        <v>3927.27</v>
      </c>
      <c r="S180" s="59">
        <f t="shared" si="51"/>
        <v>8981.3590399999994</v>
      </c>
      <c r="T180" s="70">
        <f t="shared" si="52"/>
        <v>11675.766752</v>
      </c>
      <c r="U180" s="77"/>
      <c r="W180" s="68">
        <v>0.9</v>
      </c>
      <c r="X180" s="69">
        <v>2</v>
      </c>
      <c r="Y180" s="59">
        <f>(((W180+(2*X180))*MATERIALES!$C$57)+((W180+(2*X180))*MATERIALES!$C$55)+(W180*MATERIALES!$C$59)+((((W180*2)+(X180*4))*MATERIALES!$C$73)*2)+((((W180/2)-0.2)*MATERIALES!$C$30)*(X180/0.12)))*MATERIALES!$F$2</f>
        <v>11089.0416</v>
      </c>
      <c r="Z180" s="59">
        <f>(1*MATERIALES!$C$204)+(1*MATERIALES!$C$205)+(3*MATERIALES!$C$207)+(2*MATERIALES!$C$189)+(2*MATERIALES!$C$190)+(2*MATERIALES!$C$191)+(8*MATERIALES!$C$158)+(8*MATERIALES!$C$159)+((W180+(2*X180))*MATERIALES!$C$210)+((W180+(2*X180))*MATERIALES!$C$209)+(((W180*2)+(X180*2))*MATERIALES!$C$165)+(((W180*2)+(X180*2))*MATERIALES!$C$141)+(0.5*MATERIALES!$C$167)+(((((W180*2)+(X180*4))/0.1)*MATERIALES!$C$192)*2)+(2*MATERIALES!$C$187)+(((W180*5)*2)*MATERIALES!$C$147)+(4*MATERIALES!$C$148)</f>
        <v>5412.9056800000008</v>
      </c>
      <c r="AA180" s="59">
        <f>(0.5*MATERIALES!$D$254)</f>
        <v>557</v>
      </c>
      <c r="AB180" s="55">
        <f>((W180/2)*X180)*MATERIALES!$D$89</f>
        <v>1611</v>
      </c>
      <c r="AC180" s="59">
        <f t="shared" si="53"/>
        <v>18669.94728</v>
      </c>
      <c r="AD180" s="70">
        <f t="shared" si="55"/>
        <v>24593.131464000002</v>
      </c>
    </row>
    <row r="181" spans="1:30">
      <c r="A181" s="161">
        <v>0.6</v>
      </c>
      <c r="B181" s="162">
        <v>2.1</v>
      </c>
      <c r="C181" s="75">
        <f>((((A181+(2*B181))*MATERIALES!$C$57)+((A181+(2*B181))*MATERIALES!$C$55)+(A181*MATERIALES!$C$59)+((((A181*2)+(B181*4))*MATERIALES!$C$73)*2))*(MATERIALES!$F$2*MATERIALES!$J$15))+(1*MATERIALES!$D$243)</f>
        <v>3927.27</v>
      </c>
      <c r="D181" s="75">
        <f>(1*MATERIALES!$C$204)+(1*MATERIALES!$C$205)+(3*MATERIALES!$C$207)+(2*MATERIALES!$C$189)+(2*MATERIALES!$C$190)+(2*MATERIALES!$C$191)+(8*MATERIALES!$C$158)+(8*MATERIALES!$C$159)+((A181+(2*B181))*MATERIALES!$C$210)+((A181+(2*B181))*MATERIALES!$C$209)+(((A181*2)+(B181*2))*MATERIALES!$C$165)+(((A181*2)+(B181*2))*MATERIALES!$C$141)+(0.5*MATERIALES!$C$167)+(((((A181*2)+(B181*4))/0.1)*MATERIALES!$C$192)*2)+(2*MATERIALES!$C$187)+(((A181*5)*2)*MATERIALES!$C$147)+(4*MATERIALES!$C$148)</f>
        <v>5381.1950400000005</v>
      </c>
      <c r="E181" s="75"/>
      <c r="F181" s="112">
        <f>((A181/2)*B181)*MATERIALES!$D$89</f>
        <v>1127.7</v>
      </c>
      <c r="G181" s="75">
        <f t="shared" si="50"/>
        <v>10436.165040000002</v>
      </c>
      <c r="H181" s="163">
        <f t="shared" si="54"/>
        <v>13792.554552000001</v>
      </c>
      <c r="I181" s="77"/>
      <c r="K181" s="77"/>
      <c r="L181" s="77"/>
      <c r="M181" s="68">
        <v>0.6</v>
      </c>
      <c r="N181" s="69">
        <v>2.1</v>
      </c>
      <c r="O181" s="59">
        <f>(((M181+(2*N181))*MATERIALES!$C$57)+((M181+(2*N181))*MATERIALES!$C$55)+(M181*MATERIALES!$C$59)+((((M181*2)+(N181*2))*MATERIALES!$C$73)*2))*(MATERIALES!$F$2*MATERIALES!$J$15)</f>
        <v>0</v>
      </c>
      <c r="P181" s="59">
        <f>(1*MATERIALES!$C$204)+(1*MATERIALES!$C$205)+(3*MATERIALES!$C$207)+(2*MATERIALES!$C$189)+(2*MATERIALES!$C$190)+(2*MATERIALES!$C$191)+(4*MATERIALES!$C$158)+(4*MATERIALES!$C$159)+((M181+(2*N181))*MATERIALES!$C$210)+((M181+(2*N181))*MATERIALES!$C$209)+(((M181*2)+(N181*2))*MATERIALES!$C$165)+(0.5*MATERIALES!$C$167)+(((((M181*2)+(N181*2))/0.1)*MATERIALES!$C$192)*2)+(2*MATERIALES!$C$187)+(((M181*5)*2)*MATERIALES!$C$147)+(4*MATERIALES!$C$148)</f>
        <v>5022.1787199999999</v>
      </c>
      <c r="Q181" s="75"/>
      <c r="R181" s="55">
        <f>(1*MATERIALES!$D$243)</f>
        <v>3927.27</v>
      </c>
      <c r="S181" s="59">
        <f t="shared" si="51"/>
        <v>8949.4487200000003</v>
      </c>
      <c r="T181" s="70">
        <f t="shared" si="52"/>
        <v>11634.283336</v>
      </c>
      <c r="U181" s="77"/>
      <c r="W181" s="68">
        <v>0.6</v>
      </c>
      <c r="X181" s="69">
        <v>2.1</v>
      </c>
      <c r="Y181" s="59">
        <f>(((W181+(2*X181))*MATERIALES!$C$57)+((W181+(2*X181))*MATERIALES!$C$55)+(W181*MATERIALES!$C$59)+((((W181*2)+(X181*4))*MATERIALES!$C$73)*2)+((((W181/2)-0.2)*MATERIALES!$C$30)*(X181/0.12)))*MATERIALES!$F$2</f>
        <v>9085.2652799999996</v>
      </c>
      <c r="Z181" s="59">
        <f>(1*MATERIALES!$C$204)+(1*MATERIALES!$C$205)+(3*MATERIALES!$C$207)+(2*MATERIALES!$C$189)+(2*MATERIALES!$C$190)+(2*MATERIALES!$C$191)+(8*MATERIALES!$C$158)+(8*MATERIALES!$C$159)+((W181+(2*X181))*MATERIALES!$C$210)+((W181+(2*X181))*MATERIALES!$C$209)+(((W181*2)+(X181*2))*MATERIALES!$C$165)+(((W181*2)+(X181*2))*MATERIALES!$C$141)+(0.5*MATERIALES!$C$167)+(((((W181*2)+(X181*4))/0.1)*MATERIALES!$C$192)*2)+(2*MATERIALES!$C$187)+(((W181*5)*2)*MATERIALES!$C$147)+(4*MATERIALES!$C$148)</f>
        <v>5381.1950400000005</v>
      </c>
      <c r="AA181" s="59">
        <f>(0.5*MATERIALES!$D$254)</f>
        <v>557</v>
      </c>
      <c r="AB181" s="55">
        <f>((W181/2)*X181)*MATERIALES!$D$89</f>
        <v>1127.7</v>
      </c>
      <c r="AC181" s="59">
        <f t="shared" si="53"/>
        <v>16151.160320000001</v>
      </c>
      <c r="AD181" s="70">
        <f t="shared" si="55"/>
        <v>21222.048416000001</v>
      </c>
    </row>
    <row r="182" spans="1:30">
      <c r="A182" s="161">
        <v>0.7</v>
      </c>
      <c r="B182" s="162">
        <v>2.1</v>
      </c>
      <c r="C182" s="75">
        <f>((((A182+(2*B182))*MATERIALES!$C$57)+((A182+(2*B182))*MATERIALES!$C$55)+(A182*MATERIALES!$C$59)+((((A182*2)+(B182*4))*MATERIALES!$C$73)*2))*(MATERIALES!$F$2*MATERIALES!$J$15))+(1*MATERIALES!$D$243)</f>
        <v>3927.27</v>
      </c>
      <c r="D182" s="75">
        <f>(1*MATERIALES!$C$204)+(1*MATERIALES!$C$205)+(3*MATERIALES!$C$207)+(2*MATERIALES!$C$189)+(2*MATERIALES!$C$190)+(2*MATERIALES!$C$191)+(8*MATERIALES!$C$158)+(8*MATERIALES!$C$159)+((A182+(2*B182))*MATERIALES!$C$210)+((A182+(2*B182))*MATERIALES!$C$209)+(((A182*2)+(B182*2))*MATERIALES!$C$165)+(((A182*2)+(B182*2))*MATERIALES!$C$141)+(0.5*MATERIALES!$C$167)+(((((A182*2)+(B182*4))/0.1)*MATERIALES!$C$192)*2)+(2*MATERIALES!$C$187)+(((A182*5)*2)*MATERIALES!$C$147)+(4*MATERIALES!$C$148)</f>
        <v>5404.3693600000015</v>
      </c>
      <c r="E182" s="75"/>
      <c r="F182" s="112">
        <f>((A182/2)*B182)*MATERIALES!$D$89</f>
        <v>1315.6499999999999</v>
      </c>
      <c r="G182" s="75">
        <f t="shared" si="50"/>
        <v>10647.289360000001</v>
      </c>
      <c r="H182" s="163">
        <f t="shared" si="54"/>
        <v>14104.606168000002</v>
      </c>
      <c r="I182" s="77"/>
      <c r="K182" s="77"/>
      <c r="L182" s="77"/>
      <c r="M182" s="68">
        <v>0.7</v>
      </c>
      <c r="N182" s="69">
        <v>2.1</v>
      </c>
      <c r="O182" s="59">
        <f>(((M182+(2*N182))*MATERIALES!$C$57)+((M182+(2*N182))*MATERIALES!$C$55)+(M182*MATERIALES!$C$59)+((((M182*2)+(N182*2))*MATERIALES!$C$73)*2))*(MATERIALES!$F$2*MATERIALES!$J$15)</f>
        <v>0</v>
      </c>
      <c r="P182" s="59">
        <f>(1*MATERIALES!$C$204)+(1*MATERIALES!$C$205)+(3*MATERIALES!$C$207)+(2*MATERIALES!$C$189)+(2*MATERIALES!$C$190)+(2*MATERIALES!$C$191)+(4*MATERIALES!$C$158)+(4*MATERIALES!$C$159)+((M182+(2*N182))*MATERIALES!$C$210)+((M182+(2*N182))*MATERIALES!$C$209)+(((M182*2)+(N182*2))*MATERIALES!$C$165)+(0.5*MATERIALES!$C$167)+(((((M182*2)+(N182*2))/0.1)*MATERIALES!$C$192)*2)+(2*MATERIALES!$C$187)+(((M182*5)*2)*MATERIALES!$C$147)+(4*MATERIALES!$C$148)</f>
        <v>5041.0848800000003</v>
      </c>
      <c r="Q182" s="75"/>
      <c r="R182" s="55">
        <f>(1*MATERIALES!$D$243)</f>
        <v>3927.27</v>
      </c>
      <c r="S182" s="59">
        <f t="shared" si="51"/>
        <v>8968.3548800000008</v>
      </c>
      <c r="T182" s="70">
        <f t="shared" si="52"/>
        <v>11658.861344000001</v>
      </c>
      <c r="U182" s="77"/>
      <c r="W182" s="68">
        <v>0.7</v>
      </c>
      <c r="X182" s="69">
        <v>2.1</v>
      </c>
      <c r="Y182" s="59">
        <f>(((W182+(2*X182))*MATERIALES!$C$57)+((W182+(2*X182))*MATERIALES!$C$55)+(W182*MATERIALES!$C$59)+((((W182*2)+(X182*4))*MATERIALES!$C$73)*2)+((((W182/2)-0.2)*MATERIALES!$C$30)*(X182/0.12)))*MATERIALES!$F$2</f>
        <v>9900.6616799999993</v>
      </c>
      <c r="Z182" s="59">
        <f>(1*MATERIALES!$C$204)+(1*MATERIALES!$C$205)+(3*MATERIALES!$C$207)+(2*MATERIALES!$C$189)+(2*MATERIALES!$C$190)+(2*MATERIALES!$C$191)+(8*MATERIALES!$C$158)+(8*MATERIALES!$C$159)+((W182+(2*X182))*MATERIALES!$C$210)+((W182+(2*X182))*MATERIALES!$C$209)+(((W182*2)+(X182*2))*MATERIALES!$C$165)+(((W182*2)+(X182*2))*MATERIALES!$C$141)+(0.5*MATERIALES!$C$167)+(((((W182*2)+(X182*4))/0.1)*MATERIALES!$C$192)*2)+(2*MATERIALES!$C$187)+(((W182*5)*2)*MATERIALES!$C$147)+(4*MATERIALES!$C$148)</f>
        <v>5404.3693600000015</v>
      </c>
      <c r="AA182" s="59">
        <f>(0.5*MATERIALES!$D$254)</f>
        <v>557</v>
      </c>
      <c r="AB182" s="55">
        <f>((W182/2)*X182)*MATERIALES!$D$89</f>
        <v>1315.6499999999999</v>
      </c>
      <c r="AC182" s="59">
        <f t="shared" si="53"/>
        <v>17177.681040000003</v>
      </c>
      <c r="AD182" s="70">
        <f t="shared" si="55"/>
        <v>22594.115352000001</v>
      </c>
    </row>
    <row r="183" spans="1:30">
      <c r="A183" s="161">
        <v>0.8</v>
      </c>
      <c r="B183" s="162">
        <v>2.1</v>
      </c>
      <c r="C183" s="75">
        <f>((((A183+(2*B183))*MATERIALES!$C$57)+((A183+(2*B183))*MATERIALES!$C$55)+(A183*MATERIALES!$C$59)+((((A183*2)+(B183*4))*MATERIALES!$C$73)*2))*(MATERIALES!$F$2*MATERIALES!$J$15))+(1*MATERIALES!$D$243)</f>
        <v>3927.27</v>
      </c>
      <c r="D183" s="75">
        <f>(1*MATERIALES!$C$204)+(1*MATERIALES!$C$205)+(3*MATERIALES!$C$207)+(2*MATERIALES!$C$189)+(2*MATERIALES!$C$190)+(2*MATERIALES!$C$191)+(8*MATERIALES!$C$158)+(8*MATERIALES!$C$159)+((A183+(2*B183))*MATERIALES!$C$210)+((A183+(2*B183))*MATERIALES!$C$209)+(((A183*2)+(B183*2))*MATERIALES!$C$165)+(((A183*2)+(B183*2))*MATERIALES!$C$141)+(0.5*MATERIALES!$C$167)+(((((A183*2)+(B183*4))/0.1)*MATERIALES!$C$192)*2)+(2*MATERIALES!$C$187)+(((A183*5)*2)*MATERIALES!$C$147)+(4*MATERIALES!$C$148)</f>
        <v>5427.5436800000007</v>
      </c>
      <c r="E183" s="75"/>
      <c r="F183" s="112">
        <f>((A183/2)*B183)*MATERIALES!$D$89</f>
        <v>1503.6000000000001</v>
      </c>
      <c r="G183" s="75">
        <f t="shared" si="50"/>
        <v>10858.413680000001</v>
      </c>
      <c r="H183" s="163">
        <f t="shared" si="54"/>
        <v>14416.657784000001</v>
      </c>
      <c r="I183" s="77"/>
      <c r="K183" s="77"/>
      <c r="L183" s="77"/>
      <c r="M183" s="68">
        <v>0.8</v>
      </c>
      <c r="N183" s="69">
        <v>2.1</v>
      </c>
      <c r="O183" s="59">
        <f>(((M183+(2*N183))*MATERIALES!$C$57)+((M183+(2*N183))*MATERIALES!$C$55)+(M183*MATERIALES!$C$59)+((((M183*2)+(N183*2))*MATERIALES!$C$73)*2))*(MATERIALES!$F$2*MATERIALES!$J$15)</f>
        <v>0</v>
      </c>
      <c r="P183" s="59">
        <f>(1*MATERIALES!$C$204)+(1*MATERIALES!$C$205)+(3*MATERIALES!$C$207)+(2*MATERIALES!$C$189)+(2*MATERIALES!$C$190)+(2*MATERIALES!$C$191)+(4*MATERIALES!$C$158)+(4*MATERIALES!$C$159)+((M183+(2*N183))*MATERIALES!$C$210)+((M183+(2*N183))*MATERIALES!$C$209)+(((M183*2)+(N183*2))*MATERIALES!$C$165)+(0.5*MATERIALES!$C$167)+(((((M183*2)+(N183*2))/0.1)*MATERIALES!$C$192)*2)+(2*MATERIALES!$C$187)+(((M183*5)*2)*MATERIALES!$C$147)+(4*MATERIALES!$C$148)</f>
        <v>5059.9910399999999</v>
      </c>
      <c r="Q183" s="75"/>
      <c r="R183" s="55">
        <f>(1*MATERIALES!$D$243)</f>
        <v>3927.27</v>
      </c>
      <c r="S183" s="59">
        <f t="shared" si="51"/>
        <v>8987.2610399999994</v>
      </c>
      <c r="T183" s="70">
        <f t="shared" si="52"/>
        <v>11683.439351999999</v>
      </c>
      <c r="U183" s="77"/>
      <c r="W183" s="68">
        <v>0.8</v>
      </c>
      <c r="X183" s="69">
        <v>2.1</v>
      </c>
      <c r="Y183" s="59">
        <f>(((W183+(2*X183))*MATERIALES!$C$57)+((W183+(2*X183))*MATERIALES!$C$55)+(W183*MATERIALES!$C$59)+((((W183*2)+(X183*4))*MATERIALES!$C$73)*2)+((((W183/2)-0.2)*MATERIALES!$C$30)*(X183/0.12)))*MATERIALES!$F$2</f>
        <v>10716.058080000003</v>
      </c>
      <c r="Z183" s="59">
        <f>(1*MATERIALES!$C$204)+(1*MATERIALES!$C$205)+(3*MATERIALES!$C$207)+(2*MATERIALES!$C$189)+(2*MATERIALES!$C$190)+(2*MATERIALES!$C$191)+(8*MATERIALES!$C$158)+(8*MATERIALES!$C$159)+((W183+(2*X183))*MATERIALES!$C$210)+((W183+(2*X183))*MATERIALES!$C$209)+(((W183*2)+(X183*2))*MATERIALES!$C$165)+(((W183*2)+(X183*2))*MATERIALES!$C$141)+(0.5*MATERIALES!$C$167)+(((((W183*2)+(X183*4))/0.1)*MATERIALES!$C$192)*2)+(2*MATERIALES!$C$187)+(((W183*5)*2)*MATERIALES!$C$147)+(4*MATERIALES!$C$148)</f>
        <v>5427.5436800000007</v>
      </c>
      <c r="AA183" s="59">
        <f>(0.5*MATERIALES!$D$254)</f>
        <v>557</v>
      </c>
      <c r="AB183" s="55">
        <f>((W183/2)*X183)*MATERIALES!$D$89</f>
        <v>1503.6000000000001</v>
      </c>
      <c r="AC183" s="59">
        <f t="shared" si="53"/>
        <v>18204.201760000004</v>
      </c>
      <c r="AD183" s="70">
        <f t="shared" si="55"/>
        <v>23966.182288000007</v>
      </c>
    </row>
    <row r="184" spans="1:30" ht="15.75" thickBot="1">
      <c r="A184" s="164">
        <v>0.9</v>
      </c>
      <c r="B184" s="165">
        <v>2.1</v>
      </c>
      <c r="C184" s="76">
        <f>((((A184+(2*B184))*MATERIALES!$C$57)+((A184+(2*B184))*MATERIALES!$C$55)+(A184*MATERIALES!$C$59)+((((A184*2)+(B184*4))*MATERIALES!$C$73)*2))*(MATERIALES!$F$2*MATERIALES!$J$15))+(1*MATERIALES!$D$243)</f>
        <v>3927.27</v>
      </c>
      <c r="D184" s="76">
        <f>(1*MATERIALES!$C$204)+(1*MATERIALES!$C$205)+(3*MATERIALES!$C$207)+(2*MATERIALES!$C$189)+(2*MATERIALES!$C$190)+(2*MATERIALES!$C$191)+(8*MATERIALES!$C$158)+(8*MATERIALES!$C$159)+((A184+(2*B184))*MATERIALES!$C$210)+((A184+(2*B184))*MATERIALES!$C$209)+(((A184*2)+(B184*2))*MATERIALES!$C$165)+(((A184*2)+(B184*2))*MATERIALES!$C$141)+(0.5*MATERIALES!$C$167)+(((((A184*2)+(B184*4))/0.1)*MATERIALES!$C$192)*2)+(2*MATERIALES!$C$187)+(((A184*5)*2)*MATERIALES!$C$147)+(4*MATERIALES!$C$148)</f>
        <v>5450.7179999999989</v>
      </c>
      <c r="E184" s="76"/>
      <c r="F184" s="113">
        <f>((A184/2)*B184)*MATERIALES!$D$89</f>
        <v>1691.5500000000002</v>
      </c>
      <c r="G184" s="76">
        <f t="shared" si="50"/>
        <v>11069.538</v>
      </c>
      <c r="H184" s="166">
        <f>(SUM(C184:E184)*1.3)+(F184*1.5)</f>
        <v>14728.7094</v>
      </c>
      <c r="I184" s="77"/>
      <c r="K184" s="77"/>
      <c r="L184" s="77"/>
      <c r="M184" s="71">
        <v>0.9</v>
      </c>
      <c r="N184" s="72">
        <v>2.1</v>
      </c>
      <c r="O184" s="60">
        <f>(((M184+(2*N184))*MATERIALES!$C$57)+((M184+(2*N184))*MATERIALES!$C$55)+(M184*MATERIALES!$C$59)+((((M184*2)+(N184*2))*MATERIALES!$C$73)*2))*(MATERIALES!$F$2*MATERIALES!$J$15)</f>
        <v>0</v>
      </c>
      <c r="P184" s="60">
        <f>(1*MATERIALES!$C$204)+(1*MATERIALES!$C$205)+(3*MATERIALES!$C$207)+(2*MATERIALES!$C$189)+(2*MATERIALES!$C$190)+(2*MATERIALES!$C$191)+(4*MATERIALES!$C$158)+(4*MATERIALES!$C$159)+((M184+(2*N184))*MATERIALES!$C$210)+((M184+(2*N184))*MATERIALES!$C$209)+(((M184*2)+(N184*2))*MATERIALES!$C$165)+(0.5*MATERIALES!$C$167)+(((((M184*2)+(N184*2))/0.1)*MATERIALES!$C$192)*2)+(2*MATERIALES!$C$187)+(((M184*5)*2)*MATERIALES!$C$147)+(4*MATERIALES!$C$148)</f>
        <v>5078.8971999999985</v>
      </c>
      <c r="Q184" s="76"/>
      <c r="R184" s="56">
        <f>(1*MATERIALES!$D$243)</f>
        <v>3927.27</v>
      </c>
      <c r="S184" s="60">
        <f t="shared" si="51"/>
        <v>9006.167199999998</v>
      </c>
      <c r="T184" s="73">
        <f t="shared" si="52"/>
        <v>11708.017359999998</v>
      </c>
      <c r="U184" s="77"/>
      <c r="W184" s="71">
        <v>0.9</v>
      </c>
      <c r="X184" s="72">
        <v>2.1</v>
      </c>
      <c r="Y184" s="60">
        <f>(((W184+(2*X184))*MATERIALES!$C$57)+((W184+(2*X184))*MATERIALES!$C$55)+(W184*MATERIALES!$C$59)+((((W184*2)+(X184*4))*MATERIALES!$C$73)*2)+((((W184/2)-0.2)*MATERIALES!$C$30)*(X184/0.12)))*MATERIALES!$F$2</f>
        <v>11531.45448</v>
      </c>
      <c r="Z184" s="60">
        <f>(1*MATERIALES!$C$204)+(1*MATERIALES!$C$205)+(3*MATERIALES!$C$207)+(2*MATERIALES!$C$189)+(2*MATERIALES!$C$190)+(2*MATERIALES!$C$191)+(8*MATERIALES!$C$158)+(8*MATERIALES!$C$159)+((W184+(2*X184))*MATERIALES!$C$210)+((W184+(2*X184))*MATERIALES!$C$209)+(((W184*2)+(X184*2))*MATERIALES!$C$165)+(((W184*2)+(X184*2))*MATERIALES!$C$141)+(0.5*MATERIALES!$C$167)+(((((W184*2)+(X184*4))/0.1)*MATERIALES!$C$192)*2)+(2*MATERIALES!$C$187)+(((W184*5)*2)*MATERIALES!$C$147)+(4*MATERIALES!$C$148)</f>
        <v>5450.7179999999989</v>
      </c>
      <c r="AA184" s="60">
        <f>(0.5*MATERIALES!$D$254)</f>
        <v>557</v>
      </c>
      <c r="AB184" s="56">
        <f>((W184/2)*X184)*MATERIALES!$D$89</f>
        <v>1691.5500000000002</v>
      </c>
      <c r="AC184" s="60">
        <f t="shared" si="53"/>
        <v>19230.72248</v>
      </c>
      <c r="AD184" s="73">
        <f>(SUM(Y184:AA184)*1.3)+(AB184*1.5)</f>
        <v>25338.249224000003</v>
      </c>
    </row>
    <row r="185" spans="1:30">
      <c r="U185" s="77"/>
    </row>
    <row r="186" spans="1:30" ht="15.75" thickBot="1"/>
    <row r="187" spans="1:30" ht="15.75" thickBot="1">
      <c r="A187" s="32"/>
      <c r="B187" s="32"/>
      <c r="C187" s="801">
        <v>0.3</v>
      </c>
      <c r="D187" s="802"/>
      <c r="E187" s="803"/>
      <c r="F187" s="61">
        <v>0.5</v>
      </c>
      <c r="G187" s="32"/>
      <c r="H187" s="46" t="s">
        <v>163</v>
      </c>
      <c r="M187" s="32"/>
      <c r="N187" s="32"/>
      <c r="O187" s="801">
        <v>0.3</v>
      </c>
      <c r="P187" s="802"/>
      <c r="Q187" s="803"/>
      <c r="R187" s="61">
        <v>0.5</v>
      </c>
      <c r="S187" s="32"/>
      <c r="T187" s="46" t="s">
        <v>163</v>
      </c>
    </row>
    <row r="188" spans="1:30" ht="15.75" thickBot="1">
      <c r="A188" s="792" t="s">
        <v>680</v>
      </c>
      <c r="B188" s="793"/>
      <c r="C188" s="793"/>
      <c r="D188" s="793"/>
      <c r="E188" s="793"/>
      <c r="F188" s="793"/>
      <c r="G188" s="793"/>
      <c r="H188" s="794"/>
      <c r="M188" s="792" t="s">
        <v>687</v>
      </c>
      <c r="N188" s="793"/>
      <c r="O188" s="793"/>
      <c r="P188" s="793"/>
      <c r="Q188" s="793"/>
      <c r="R188" s="793"/>
      <c r="S188" s="793"/>
      <c r="T188" s="794"/>
    </row>
    <row r="189" spans="1:30" ht="15.75" thickBot="1">
      <c r="A189" s="36" t="s">
        <v>116</v>
      </c>
      <c r="B189" s="36" t="s">
        <v>117</v>
      </c>
      <c r="C189" s="36" t="s">
        <v>162</v>
      </c>
      <c r="D189" s="36" t="s">
        <v>119</v>
      </c>
      <c r="E189" s="36" t="s">
        <v>120</v>
      </c>
      <c r="F189" s="36" t="s">
        <v>118</v>
      </c>
      <c r="G189" s="36" t="s">
        <v>121</v>
      </c>
      <c r="H189" s="36" t="s">
        <v>122</v>
      </c>
      <c r="M189" s="36" t="s">
        <v>116</v>
      </c>
      <c r="N189" s="36" t="s">
        <v>117</v>
      </c>
      <c r="O189" s="36" t="s">
        <v>162</v>
      </c>
      <c r="P189" s="36" t="s">
        <v>119</v>
      </c>
      <c r="Q189" s="36" t="s">
        <v>120</v>
      </c>
      <c r="R189" s="36" t="s">
        <v>118</v>
      </c>
      <c r="S189" s="36" t="s">
        <v>121</v>
      </c>
      <c r="T189" s="36" t="s">
        <v>122</v>
      </c>
    </row>
    <row r="190" spans="1:30" ht="15.75" thickBot="1">
      <c r="A190" s="795"/>
      <c r="B190" s="796"/>
      <c r="C190" s="796"/>
      <c r="D190" s="796"/>
      <c r="E190" s="796"/>
      <c r="F190" s="796"/>
      <c r="G190" s="796"/>
      <c r="H190" s="797"/>
      <c r="M190" s="795"/>
      <c r="N190" s="796"/>
      <c r="O190" s="796"/>
      <c r="P190" s="796"/>
      <c r="Q190" s="796"/>
      <c r="R190" s="796"/>
      <c r="S190" s="796"/>
      <c r="T190" s="797"/>
    </row>
    <row r="191" spans="1:30">
      <c r="A191" s="65">
        <v>0.6</v>
      </c>
      <c r="B191" s="66">
        <v>2</v>
      </c>
      <c r="C191" s="58">
        <f>(((A191+(2*B191))*MATERIALES!$C$57)+((A191+(2*B191))*MATERIALES!$C$55)+(A191*MATERIALES!$C$59)+((A191*3)*MATERIALES!$C$58)+(((A191-0.2)*MATERIALES!$C$30)*((B191/2)/0.12))+((((A191*8)+(B191*2))*MATERIALES!$C$73)*1))*(MATERIALES!$F$2*MATERIALES!$J$15)</f>
        <v>0</v>
      </c>
      <c r="D191" s="58">
        <f>(1*MATERIALES!$C$204)+(1*MATERIALES!$C$205)+(3*MATERIALES!$C$207)+(2*MATERIALES!$C$189)+(2*MATERIALES!$C$190)+(2*MATERIALES!$C$191)+(16*MATERIALES!$C$158)+(16*MATERIALES!$C$159)+((A191+(2*B191))*MATERIALES!$C$210)+((A191+(2*B191))*MATERIALES!$C$209)+(((A191*6)+(B191*1))*MATERIALES!$C$141)+(((A191*2)+(B191*1))*MATERIALES!$C$165)+(((((A191*8)+(B191*2))/0.1)*MATERIALES!$C$192)*2)+(0.5*MATERIALES!$C$167)+(2*MATERIALES!$C$187)+(((A191*5)*2)*MATERIALES!$C$147)+(4*MATERIALES!$C$148)</f>
        <v>5412.4054400000005</v>
      </c>
      <c r="E191" s="74"/>
      <c r="F191" s="54">
        <f>(A191*(B191/2))*MATERIALES!$D$89</f>
        <v>1074</v>
      </c>
      <c r="G191" s="58">
        <f>SUM(C191:F191)</f>
        <v>6486.4054400000005</v>
      </c>
      <c r="H191" s="67">
        <f>(SUM(C191:E191)*1.3)+(F191*1.5)</f>
        <v>8647.1270720000011</v>
      </c>
      <c r="M191" s="65">
        <v>0.6</v>
      </c>
      <c r="N191" s="66">
        <v>2</v>
      </c>
      <c r="O191" s="58">
        <f>(((M191+(2*N191))*MATERIALES!$C$57)+((M191+(2*N191))*MATERIALES!$C$55)+(M191*MATERIALES!$C$59)+((M191+N191)*MATERIALES!$C$58)+(((M191-0.2)*MATERIALES!$C$30)*((N191/2)/0.12))+((((M191*4)+(N191*6))*MATERIALES!$C$73)*2))*(MATERIALES!$F$2*MATERIALES!$J$15)</f>
        <v>0</v>
      </c>
      <c r="P191" s="58">
        <f>(1*MATERIALES!$C$204)+(1*MATERIALES!$C$205)+(3*MATERIALES!$C$207)+(2*MATERIALES!$C$189)+(2*MATERIALES!$C$190)+(2*MATERIALES!$C$191)+(16*MATERIALES!$C$158)+(16*MATERIALES!$C$159)+((M191+(2*N191))*MATERIALES!$C$210)+((M191+(2*N191))*MATERIALES!$C$209)+(((M191*2)+((N191/2)*6))*MATERIALES!$C$141)+(((M191*2)+(N191*1))*MATERIALES!$C$165)+(((((M191*4)+(N191*2)+((N191/2)*6))/0.1)*MATERIALES!$C$192)*2)+(2*MATERIALES!$C$187)+(0.5*MATERIALES!$C$167)+(((M191*5)*2)*MATERIALES!$C$147)+(4*MATERIALES!$C$148)</f>
        <v>5603.7987200000007</v>
      </c>
      <c r="Q191" s="74"/>
      <c r="R191" s="54">
        <f>(M191*(N191/2))*MATERIALES!$D$89</f>
        <v>1074</v>
      </c>
      <c r="S191" s="58">
        <f>SUM(O191:R191)</f>
        <v>6677.7987200000007</v>
      </c>
      <c r="T191" s="67">
        <f>(SUM(O191:Q191)*1.3)+(R191*1.5)</f>
        <v>8895.9383360000011</v>
      </c>
    </row>
    <row r="192" spans="1:30">
      <c r="A192" s="68">
        <v>0.7</v>
      </c>
      <c r="B192" s="69">
        <v>2</v>
      </c>
      <c r="C192" s="59">
        <f>(((A192+(2*B192))*MATERIALES!$C$57)+((A192+(2*B192))*MATERIALES!$C$55)+(A192*MATERIALES!$C$59)+((A192*3)*MATERIALES!$C$58)+(((A192-0.2)*MATERIALES!$C$30)*((B192/2)/0.12))+((((A192*8)+(B192*2))*MATERIALES!$C$73)*1))*(MATERIALES!$F$2*MATERIALES!$J$15)</f>
        <v>0</v>
      </c>
      <c r="D192" s="59">
        <f>(1*MATERIALES!$C$204)+(1*MATERIALES!$C$205)+(3*MATERIALES!$C$207)+(2*MATERIALES!$C$189)+(2*MATERIALES!$C$190)+(2*MATERIALES!$C$191)+(16*MATERIALES!$C$158)+(16*MATERIALES!$C$159)+((A192+(2*B192))*MATERIALES!$C$210)+((A192+(2*B192))*MATERIALES!$C$209)+(((A192*6)+(B192*1))*MATERIALES!$C$141)+(((A192*2)+(B192*1))*MATERIALES!$C$165)+(((((A192*8)+(B192*2))/0.1)*MATERIALES!$C$192)*2)+(0.5*MATERIALES!$C$167)+(2*MATERIALES!$C$187)+(((A192*5)*2)*MATERIALES!$C$147)+(4*MATERIALES!$C$148)</f>
        <v>5470.3240799999985</v>
      </c>
      <c r="E192" s="75"/>
      <c r="F192" s="55">
        <f>(A192*(B192/2))*MATERIALES!$D$89</f>
        <v>1253</v>
      </c>
      <c r="G192" s="59">
        <f t="shared" ref="G192:G198" si="56">SUM(C192:F192)</f>
        <v>6723.3240799999985</v>
      </c>
      <c r="H192" s="70">
        <f>(SUM(C192:E192)*1.3)+(F192*1.5)</f>
        <v>8990.9213039999995</v>
      </c>
      <c r="M192" s="68">
        <v>0.7</v>
      </c>
      <c r="N192" s="69">
        <v>2</v>
      </c>
      <c r="O192" s="59">
        <f>(((M192+(2*N192))*MATERIALES!$C$57)+((M192+(2*N192))*MATERIALES!$C$55)+(M192*MATERIALES!$C$59)+((M192+N192)*MATERIALES!$C$58)+(((M192-0.2)*MATERIALES!$C$30)*((N192/2)/0.12))+((((M192*4)+(N192*6))*MATERIALES!$C$73)*2))*(MATERIALES!$F$2*MATERIALES!$J$15)</f>
        <v>0</v>
      </c>
      <c r="P192" s="59">
        <f>(1*MATERIALES!$C$204)+(1*MATERIALES!$C$205)+(3*MATERIALES!$C$207)+(2*MATERIALES!$C$189)+(2*MATERIALES!$C$190)+(2*MATERIALES!$C$191)+(16*MATERIALES!$C$158)+(16*MATERIALES!$C$159)+((M192+(2*N192))*MATERIALES!$C$210)+((M192+(2*N192))*MATERIALES!$C$209)+(((M192*2)+((N192/2)*6))*MATERIALES!$C$141)+(((M192*2)+(N192*1))*MATERIALES!$C$165)+(((((M192*4)+(N192*2)+((N192/2)*6))/0.1)*MATERIALES!$C$192)*2)+(2*MATERIALES!$C$187)+(0.5*MATERIALES!$C$167)+(((M192*5)*2)*MATERIALES!$C$147)+(4*MATERIALES!$C$148)</f>
        <v>5635.7090399999988</v>
      </c>
      <c r="Q192" s="75"/>
      <c r="R192" s="55">
        <f>(M192*(N192/2))*MATERIALES!$D$89</f>
        <v>1253</v>
      </c>
      <c r="S192" s="59">
        <f t="shared" ref="S192:S198" si="57">SUM(O192:R192)</f>
        <v>6888.7090399999988</v>
      </c>
      <c r="T192" s="70">
        <f t="shared" ref="T192:T198" si="58">(SUM(O192:Q192)*1.3)+(R192*1.5)</f>
        <v>9205.9217519999984</v>
      </c>
    </row>
    <row r="193" spans="1:20">
      <c r="A193" s="68">
        <v>0.8</v>
      </c>
      <c r="B193" s="69">
        <v>2</v>
      </c>
      <c r="C193" s="59">
        <f>(((A193+(2*B193))*MATERIALES!$C$57)+((A193+(2*B193))*MATERIALES!$C$55)+(A193*MATERIALES!$C$59)+((A193*3)*MATERIALES!$C$58)+(((A193-0.2)*MATERIALES!$C$30)*((B193/2)/0.12))+((((A193*8)+(B193*2))*MATERIALES!$C$73)*1))*(MATERIALES!$F$2*MATERIALES!$J$15)</f>
        <v>0</v>
      </c>
      <c r="D193" s="59">
        <f>(1*MATERIALES!$C$204)+(1*MATERIALES!$C$205)+(3*MATERIALES!$C$207)+(2*MATERIALES!$C$189)+(2*MATERIALES!$C$190)+(2*MATERIALES!$C$191)+(16*MATERIALES!$C$158)+(16*MATERIALES!$C$159)+((A193+(2*B193))*MATERIALES!$C$210)+((A193+(2*B193))*MATERIALES!$C$209)+(((A193*6)+(B193*1))*MATERIALES!$C$141)+(((A193*2)+(B193*1))*MATERIALES!$C$165)+(((((A193*8)+(B193*2))/0.1)*MATERIALES!$C$192)*2)+(0.5*MATERIALES!$C$167)+(2*MATERIALES!$C$187)+(((A193*5)*2)*MATERIALES!$C$147)+(4*MATERIALES!$C$148)</f>
        <v>5528.2427199999993</v>
      </c>
      <c r="E193" s="75"/>
      <c r="F193" s="55">
        <f>(A193*(B193/2))*MATERIALES!$D$89</f>
        <v>1432</v>
      </c>
      <c r="G193" s="59">
        <f t="shared" si="56"/>
        <v>6960.2427199999993</v>
      </c>
      <c r="H193" s="70">
        <f t="shared" ref="H193:H197" si="59">(SUM(C193:E193)*1.3)+(F193*1.5)</f>
        <v>9334.7155359999997</v>
      </c>
      <c r="M193" s="68">
        <v>0.8</v>
      </c>
      <c r="N193" s="69">
        <v>2</v>
      </c>
      <c r="O193" s="59">
        <f>(((M193+(2*N193))*MATERIALES!$C$57)+((M193+(2*N193))*MATERIALES!$C$55)+(M193*MATERIALES!$C$59)+((M193+N193)*MATERIALES!$C$58)+(((M193-0.2)*MATERIALES!$C$30)*((N193/2)/0.12))+((((M193*4)+(N193*6))*MATERIALES!$C$73)*2))*(MATERIALES!$F$2*MATERIALES!$J$15)</f>
        <v>0</v>
      </c>
      <c r="P193" s="59">
        <f>(1*MATERIALES!$C$204)+(1*MATERIALES!$C$205)+(3*MATERIALES!$C$207)+(2*MATERIALES!$C$189)+(2*MATERIALES!$C$190)+(2*MATERIALES!$C$191)+(16*MATERIALES!$C$158)+(16*MATERIALES!$C$159)+((M193+(2*N193))*MATERIALES!$C$210)+((M193+(2*N193))*MATERIALES!$C$209)+(((M193*2)+((N193/2)*6))*MATERIALES!$C$141)+(((M193*2)+(N193*1))*MATERIALES!$C$165)+(((((M193*4)+(N193*2)+((N193/2)*6))/0.1)*MATERIALES!$C$192)*2)+(2*MATERIALES!$C$187)+(0.5*MATERIALES!$C$167)+(((M193*5)*2)*MATERIALES!$C$147)+(4*MATERIALES!$C$148)</f>
        <v>5667.6193599999997</v>
      </c>
      <c r="Q193" s="75"/>
      <c r="R193" s="55">
        <f>(M193*(N193/2))*MATERIALES!$D$89</f>
        <v>1432</v>
      </c>
      <c r="S193" s="59">
        <f t="shared" si="57"/>
        <v>7099.6193599999997</v>
      </c>
      <c r="T193" s="70">
        <f t="shared" si="58"/>
        <v>9515.9051680000011</v>
      </c>
    </row>
    <row r="194" spans="1:20">
      <c r="A194" s="68">
        <v>0.9</v>
      </c>
      <c r="B194" s="69">
        <v>2</v>
      </c>
      <c r="C194" s="59">
        <f>(((A194+(2*B194))*MATERIALES!$C$57)+((A194+(2*B194))*MATERIALES!$C$55)+(A194*MATERIALES!$C$59)+((A194*3)*MATERIALES!$C$58)+(((A194-0.2)*MATERIALES!$C$30)*((B194/2)/0.12))+((((A194*8)+(B194*2))*MATERIALES!$C$73)*1))*(MATERIALES!$F$2*MATERIALES!$J$15)</f>
        <v>0</v>
      </c>
      <c r="D194" s="59">
        <f>(1*MATERIALES!$C$204)+(1*MATERIALES!$C$205)+(3*MATERIALES!$C$207)+(2*MATERIALES!$C$189)+(2*MATERIALES!$C$190)+(2*MATERIALES!$C$191)+(16*MATERIALES!$C$158)+(16*MATERIALES!$C$159)+((A194+(2*B194))*MATERIALES!$C$210)+((A194+(2*B194))*MATERIALES!$C$209)+(((A194*6)+(B194*1))*MATERIALES!$C$141)+(((A194*2)+(B194*1))*MATERIALES!$C$165)+(((((A194*8)+(B194*2))/0.1)*MATERIALES!$C$192)*2)+(0.5*MATERIALES!$C$167)+(2*MATERIALES!$C$187)+(((A194*5)*2)*MATERIALES!$C$147)+(4*MATERIALES!$C$148)</f>
        <v>5586.1613600000001</v>
      </c>
      <c r="E194" s="75"/>
      <c r="F194" s="55">
        <f>(A194*(B194/2))*MATERIALES!$D$89</f>
        <v>1611</v>
      </c>
      <c r="G194" s="59">
        <f t="shared" si="56"/>
        <v>7197.1613600000001</v>
      </c>
      <c r="H194" s="70">
        <f t="shared" si="59"/>
        <v>9678.5097679999999</v>
      </c>
      <c r="M194" s="68">
        <v>0.9</v>
      </c>
      <c r="N194" s="69">
        <v>2</v>
      </c>
      <c r="O194" s="59">
        <f>(((M194+(2*N194))*MATERIALES!$C$57)+((M194+(2*N194))*MATERIALES!$C$55)+(M194*MATERIALES!$C$59)+((M194+N194)*MATERIALES!$C$58)+(((M194-0.2)*MATERIALES!$C$30)*((N194/2)/0.12))+((((M194*4)+(N194*6))*MATERIALES!$C$73)*2))*(MATERIALES!$F$2*MATERIALES!$J$15)</f>
        <v>0</v>
      </c>
      <c r="P194" s="59">
        <f>(1*MATERIALES!$C$204)+(1*MATERIALES!$C$205)+(3*MATERIALES!$C$207)+(2*MATERIALES!$C$189)+(2*MATERIALES!$C$190)+(2*MATERIALES!$C$191)+(16*MATERIALES!$C$158)+(16*MATERIALES!$C$159)+((M194+(2*N194))*MATERIALES!$C$210)+((M194+(2*N194))*MATERIALES!$C$209)+(((M194*2)+((N194/2)*6))*MATERIALES!$C$141)+(((M194*2)+(N194*1))*MATERIALES!$C$165)+(((((M194*4)+(N194*2)+((N194/2)*6))/0.1)*MATERIALES!$C$192)*2)+(2*MATERIALES!$C$187)+(0.5*MATERIALES!$C$167)+(((M194*5)*2)*MATERIALES!$C$147)+(4*MATERIALES!$C$148)</f>
        <v>5699.5296799999996</v>
      </c>
      <c r="Q194" s="75"/>
      <c r="R194" s="55">
        <f>(M194*(N194/2))*MATERIALES!$D$89</f>
        <v>1611</v>
      </c>
      <c r="S194" s="59">
        <f t="shared" si="57"/>
        <v>7310.5296799999996</v>
      </c>
      <c r="T194" s="70">
        <f t="shared" si="58"/>
        <v>9825.8885840000003</v>
      </c>
    </row>
    <row r="195" spans="1:20">
      <c r="A195" s="68">
        <v>0.6</v>
      </c>
      <c r="B195" s="69">
        <v>2.1</v>
      </c>
      <c r="C195" s="59">
        <f>(((A195+(2*B195))*MATERIALES!$C$57)+((A195+(2*B195))*MATERIALES!$C$55)+(A195*MATERIALES!$C$59)+((A195*3)*MATERIALES!$C$58)+(((A195-0.2)*MATERIALES!$C$30)*((B195/2)/0.12))+((((A195*8)+(B195*2))*MATERIALES!$C$73)*1))*(MATERIALES!$F$2*MATERIALES!$J$15)</f>
        <v>0</v>
      </c>
      <c r="D195" s="59">
        <f>(1*MATERIALES!$C$204)+(1*MATERIALES!$C$205)+(3*MATERIALES!$C$207)+(2*MATERIALES!$C$189)+(2*MATERIALES!$C$190)+(2*MATERIALES!$C$191)+(16*MATERIALES!$C$158)+(16*MATERIALES!$C$159)+((A195+(2*B195))*MATERIALES!$C$210)+((A195+(2*B195))*MATERIALES!$C$209)+(((A195*6)+(B195*1))*MATERIALES!$C$141)+(((A195*2)+(B195*1))*MATERIALES!$C$165)+(((((A195*8)+(B195*2))/0.1)*MATERIALES!$C$192)*2)+(0.5*MATERIALES!$C$167)+(2*MATERIALES!$C$187)+(((A195*5)*2)*MATERIALES!$C$147)+(4*MATERIALES!$C$148)</f>
        <v>5437.2136</v>
      </c>
      <c r="E195" s="75"/>
      <c r="F195" s="55">
        <f>(A195*(B195/2))*MATERIALES!$D$89</f>
        <v>1127.7</v>
      </c>
      <c r="G195" s="59">
        <f t="shared" si="56"/>
        <v>6564.9135999999999</v>
      </c>
      <c r="H195" s="70">
        <f t="shared" si="59"/>
        <v>8759.9276800000007</v>
      </c>
      <c r="M195" s="68">
        <v>0.6</v>
      </c>
      <c r="N195" s="69">
        <v>2.1</v>
      </c>
      <c r="O195" s="59">
        <f>(((M195+(2*N195))*MATERIALES!$C$57)+((M195+(2*N195))*MATERIALES!$C$55)+(M195*MATERIALES!$C$59)+((M195+N195)*MATERIALES!$C$58)+(((M195-0.2)*MATERIALES!$C$30)*((N195/2)/0.12))+((((M195*4)+(N195*6))*MATERIALES!$C$73)*2))*(MATERIALES!$F$2*MATERIALES!$J$15)</f>
        <v>0</v>
      </c>
      <c r="P195" s="59">
        <f>(1*MATERIALES!$C$204)+(1*MATERIALES!$C$205)+(3*MATERIALES!$C$207)+(2*MATERIALES!$C$189)+(2*MATERIALES!$C$190)+(2*MATERIALES!$C$191)+(16*MATERIALES!$C$158)+(16*MATERIALES!$C$159)+((M195+(2*N195))*MATERIALES!$C$210)+((M195+(2*N195))*MATERIALES!$C$209)+(((M195*2)+((N195/2)*6))*MATERIALES!$C$141)+(((M195*2)+(N195*1))*MATERIALES!$C$165)+(((((M195*4)+(N195*2)+((N195/2)*6))/0.1)*MATERIALES!$C$192)*2)+(2*MATERIALES!$C$187)+(0.5*MATERIALES!$C$167)+(((M195*5)*2)*MATERIALES!$C$147)+(4*MATERIALES!$C$148)</f>
        <v>5645.9790399999993</v>
      </c>
      <c r="Q195" s="75"/>
      <c r="R195" s="55">
        <f>(M195*(N195/2))*MATERIALES!$D$89</f>
        <v>1127.7</v>
      </c>
      <c r="S195" s="59">
        <f t="shared" si="57"/>
        <v>6773.6790399999991</v>
      </c>
      <c r="T195" s="70">
        <f t="shared" si="58"/>
        <v>9031.322752</v>
      </c>
    </row>
    <row r="196" spans="1:20">
      <c r="A196" s="68">
        <v>0.7</v>
      </c>
      <c r="B196" s="69">
        <v>2.1</v>
      </c>
      <c r="C196" s="59">
        <f>(((A196+(2*B196))*MATERIALES!$C$57)+((A196+(2*B196))*MATERIALES!$C$55)+(A196*MATERIALES!$C$59)+((A196*3)*MATERIALES!$C$58)+(((A196-0.2)*MATERIALES!$C$30)*((B196/2)/0.12))+((((A196*8)+(B196*2))*MATERIALES!$C$73)*1))*(MATERIALES!$F$2*MATERIALES!$J$15)</f>
        <v>0</v>
      </c>
      <c r="D196" s="59">
        <f>(1*MATERIALES!$C$204)+(1*MATERIALES!$C$205)+(3*MATERIALES!$C$207)+(2*MATERIALES!$C$189)+(2*MATERIALES!$C$190)+(2*MATERIALES!$C$191)+(16*MATERIALES!$C$158)+(16*MATERIALES!$C$159)+((A196+(2*B196))*MATERIALES!$C$210)+((A196+(2*B196))*MATERIALES!$C$209)+(((A196*6)+(B196*1))*MATERIALES!$C$141)+(((A196*2)+(B196*1))*MATERIALES!$C$165)+(((((A196*8)+(B196*2))/0.1)*MATERIALES!$C$192)*2)+(0.5*MATERIALES!$C$167)+(2*MATERIALES!$C$187)+(((A196*5)*2)*MATERIALES!$C$147)+(4*MATERIALES!$C$148)</f>
        <v>5495.1322399999999</v>
      </c>
      <c r="E196" s="75"/>
      <c r="F196" s="55">
        <f>(A196*(B196/2))*MATERIALES!$D$89</f>
        <v>1315.6499999999999</v>
      </c>
      <c r="G196" s="59">
        <f t="shared" si="56"/>
        <v>6810.7822399999995</v>
      </c>
      <c r="H196" s="70">
        <f t="shared" si="59"/>
        <v>9117.1469120000002</v>
      </c>
      <c r="M196" s="68">
        <v>0.7</v>
      </c>
      <c r="N196" s="69">
        <v>2.1</v>
      </c>
      <c r="O196" s="59">
        <f>(((M196+(2*N196))*MATERIALES!$C$57)+((M196+(2*N196))*MATERIALES!$C$55)+(M196*MATERIALES!$C$59)+((M196+N196)*MATERIALES!$C$58)+(((M196-0.2)*MATERIALES!$C$30)*((N196/2)/0.12))+((((M196*4)+(N196*6))*MATERIALES!$C$73)*2))*(MATERIALES!$F$2*MATERIALES!$J$15)</f>
        <v>0</v>
      </c>
      <c r="P196" s="59">
        <f>(1*MATERIALES!$C$204)+(1*MATERIALES!$C$205)+(3*MATERIALES!$C$207)+(2*MATERIALES!$C$189)+(2*MATERIALES!$C$190)+(2*MATERIALES!$C$191)+(16*MATERIALES!$C$158)+(16*MATERIALES!$C$159)+((M196+(2*N196))*MATERIALES!$C$210)+((M196+(2*N196))*MATERIALES!$C$209)+(((M196*2)+((N196/2)*6))*MATERIALES!$C$141)+(((M196*2)+(N196*1))*MATERIALES!$C$165)+(((((M196*4)+(N196*2)+((N196/2)*6))/0.1)*MATERIALES!$C$192)*2)+(2*MATERIALES!$C$187)+(0.5*MATERIALES!$C$167)+(((M196*5)*2)*MATERIALES!$C$147)+(4*MATERIALES!$C$148)</f>
        <v>5677.8893600000001</v>
      </c>
      <c r="Q196" s="75"/>
      <c r="R196" s="55">
        <f>(M196*(N196/2))*MATERIALES!$D$89</f>
        <v>1315.6499999999999</v>
      </c>
      <c r="S196" s="59">
        <f t="shared" si="57"/>
        <v>6993.5393599999998</v>
      </c>
      <c r="T196" s="70">
        <f t="shared" si="58"/>
        <v>9354.7311680000003</v>
      </c>
    </row>
    <row r="197" spans="1:20">
      <c r="A197" s="68">
        <v>0.8</v>
      </c>
      <c r="B197" s="69">
        <v>2.1</v>
      </c>
      <c r="C197" s="59">
        <f>(((A197+(2*B197))*MATERIALES!$C$57)+((A197+(2*B197))*MATERIALES!$C$55)+(A197*MATERIALES!$C$59)+((A197*3)*MATERIALES!$C$58)+(((A197-0.2)*MATERIALES!$C$30)*((B197/2)/0.12))+((((A197*8)+(B197*2))*MATERIALES!$C$73)*1))*(MATERIALES!$F$2*MATERIALES!$J$15)</f>
        <v>0</v>
      </c>
      <c r="D197" s="59">
        <f>(1*MATERIALES!$C$204)+(1*MATERIALES!$C$205)+(3*MATERIALES!$C$207)+(2*MATERIALES!$C$189)+(2*MATERIALES!$C$190)+(2*MATERIALES!$C$191)+(16*MATERIALES!$C$158)+(16*MATERIALES!$C$159)+((A197+(2*B197))*MATERIALES!$C$210)+((A197+(2*B197))*MATERIALES!$C$209)+(((A197*6)+(B197*1))*MATERIALES!$C$141)+(((A197*2)+(B197*1))*MATERIALES!$C$165)+(((((A197*8)+(B197*2))/0.1)*MATERIALES!$C$192)*2)+(0.5*MATERIALES!$C$167)+(2*MATERIALES!$C$187)+(((A197*5)*2)*MATERIALES!$C$147)+(4*MATERIALES!$C$148)</f>
        <v>5553.0508799999998</v>
      </c>
      <c r="E197" s="75"/>
      <c r="F197" s="55">
        <f>(A197*(B197/2))*MATERIALES!$D$89</f>
        <v>1503.6000000000001</v>
      </c>
      <c r="G197" s="59">
        <f t="shared" si="56"/>
        <v>7056.6508800000001</v>
      </c>
      <c r="H197" s="70">
        <f t="shared" si="59"/>
        <v>9474.3661439999996</v>
      </c>
      <c r="M197" s="68">
        <v>0.8</v>
      </c>
      <c r="N197" s="69">
        <v>2.1</v>
      </c>
      <c r="O197" s="59">
        <f>(((M197+(2*N197))*MATERIALES!$C$57)+((M197+(2*N197))*MATERIALES!$C$55)+(M197*MATERIALES!$C$59)+((M197+N197)*MATERIALES!$C$58)+(((M197-0.2)*MATERIALES!$C$30)*((N197/2)/0.12))+((((M197*4)+(N197*6))*MATERIALES!$C$73)*2))*(MATERIALES!$F$2*MATERIALES!$J$15)</f>
        <v>0</v>
      </c>
      <c r="P197" s="59">
        <f>(1*MATERIALES!$C$204)+(1*MATERIALES!$C$205)+(3*MATERIALES!$C$207)+(2*MATERIALES!$C$189)+(2*MATERIALES!$C$190)+(2*MATERIALES!$C$191)+(16*MATERIALES!$C$158)+(16*MATERIALES!$C$159)+((M197+(2*N197))*MATERIALES!$C$210)+((M197+(2*N197))*MATERIALES!$C$209)+(((M197*2)+((N197/2)*6))*MATERIALES!$C$141)+(((M197*2)+(N197*1))*MATERIALES!$C$165)+(((((M197*4)+(N197*2)+((N197/2)*6))/0.1)*MATERIALES!$C$192)*2)+(2*MATERIALES!$C$187)+(0.5*MATERIALES!$C$167)+(((M197*5)*2)*MATERIALES!$C$147)+(4*MATERIALES!$C$148)</f>
        <v>5709.7996800000001</v>
      </c>
      <c r="Q197" s="75"/>
      <c r="R197" s="55">
        <f>(M197*(N197/2))*MATERIALES!$D$89</f>
        <v>1503.6000000000001</v>
      </c>
      <c r="S197" s="59">
        <f t="shared" si="57"/>
        <v>7213.3996800000004</v>
      </c>
      <c r="T197" s="70">
        <f t="shared" si="58"/>
        <v>9678.1395840000005</v>
      </c>
    </row>
    <row r="198" spans="1:20" ht="15.75" thickBot="1">
      <c r="A198" s="71">
        <v>0.9</v>
      </c>
      <c r="B198" s="72">
        <v>2.1</v>
      </c>
      <c r="C198" s="60">
        <f>(((A198+(2*B198))*MATERIALES!$C$57)+((A198+(2*B198))*MATERIALES!$C$55)+(A198*MATERIALES!$C$59)+((A198*3)*MATERIALES!$C$58)+(((A198-0.2)*MATERIALES!$C$30)*((B198/2)/0.12))+((((A198*8)+(B198*2))*MATERIALES!$C$73)*1))*(MATERIALES!$F$2*MATERIALES!$J$15)</f>
        <v>0</v>
      </c>
      <c r="D198" s="60">
        <f>(1*MATERIALES!$C$204)+(1*MATERIALES!$C$205)+(3*MATERIALES!$C$207)+(2*MATERIALES!$C$189)+(2*MATERIALES!$C$190)+(2*MATERIALES!$C$191)+(16*MATERIALES!$C$158)+(16*MATERIALES!$C$159)+((A198+(2*B198))*MATERIALES!$C$210)+((A198+(2*B198))*MATERIALES!$C$209)+(((A198*6)+(B198*1))*MATERIALES!$C$141)+(((A198*2)+(B198*1))*MATERIALES!$C$165)+(((((A198*8)+(B198*2))/0.1)*MATERIALES!$C$192)*2)+(0.5*MATERIALES!$C$167)+(2*MATERIALES!$C$187)+(((A198*5)*2)*MATERIALES!$C$147)+(4*MATERIALES!$C$148)</f>
        <v>5610.9695199999987</v>
      </c>
      <c r="E198" s="76"/>
      <c r="F198" s="56">
        <f>(A198*(B198/2))*MATERIALES!$D$89</f>
        <v>1691.5500000000002</v>
      </c>
      <c r="G198" s="60">
        <f t="shared" si="56"/>
        <v>7302.5195199999989</v>
      </c>
      <c r="H198" s="73">
        <f>(SUM(C198:E198)*1.3)+(F198*1.5)</f>
        <v>9831.5853759999991</v>
      </c>
      <c r="M198" s="71">
        <v>0.9</v>
      </c>
      <c r="N198" s="72">
        <v>2.1</v>
      </c>
      <c r="O198" s="60">
        <f>(((M198+(2*N198))*MATERIALES!$C$57)+((M198+(2*N198))*MATERIALES!$C$55)+(M198*MATERIALES!$C$59)+((M198+N198)*MATERIALES!$C$58)+(((M198-0.2)*MATERIALES!$C$30)*((N198/2)/0.12))+((((M198*4)+(N198*6))*MATERIALES!$C$73)*2))*(MATERIALES!$F$2*MATERIALES!$J$15)</f>
        <v>0</v>
      </c>
      <c r="P198" s="60">
        <f>(1*MATERIALES!$C$204)+(1*MATERIALES!$C$205)+(3*MATERIALES!$C$207)+(2*MATERIALES!$C$189)+(2*MATERIALES!$C$190)+(2*MATERIALES!$C$191)+(16*MATERIALES!$C$158)+(16*MATERIALES!$C$159)+((M198+(2*N198))*MATERIALES!$C$210)+((M198+(2*N198))*MATERIALES!$C$209)+(((M198*2)+((N198/2)*6))*MATERIALES!$C$141)+(((M198*2)+(N198*1))*MATERIALES!$C$165)+(((((M198*4)+(N198*2)+((N198/2)*6))/0.1)*MATERIALES!$C$192)*2)+(2*MATERIALES!$C$187)+(0.5*MATERIALES!$C$167)+(((M198*5)*2)*MATERIALES!$C$147)+(4*MATERIALES!$C$148)</f>
        <v>5741.7099999999991</v>
      </c>
      <c r="Q198" s="76"/>
      <c r="R198" s="56">
        <f>(M198*(N198/2))*MATERIALES!$D$89</f>
        <v>1691.5500000000002</v>
      </c>
      <c r="S198" s="60">
        <f t="shared" si="57"/>
        <v>7433.2599999999993</v>
      </c>
      <c r="T198" s="73">
        <f t="shared" si="58"/>
        <v>10001.547999999999</v>
      </c>
    </row>
    <row r="200" spans="1:20" ht="15.75" thickBot="1"/>
    <row r="201" spans="1:20" ht="15.75" thickBot="1">
      <c r="A201" s="32"/>
      <c r="B201" s="32"/>
      <c r="C201" s="801">
        <v>0.3</v>
      </c>
      <c r="D201" s="802"/>
      <c r="E201" s="803"/>
      <c r="F201" s="61">
        <v>0.5</v>
      </c>
      <c r="G201" s="32"/>
      <c r="H201" s="46" t="s">
        <v>163</v>
      </c>
      <c r="M201" s="32"/>
      <c r="N201" s="32"/>
      <c r="O201" s="801">
        <v>0.3</v>
      </c>
      <c r="P201" s="802"/>
      <c r="Q201" s="803"/>
      <c r="R201" s="61">
        <v>0.5</v>
      </c>
      <c r="S201" s="32"/>
      <c r="T201" s="46" t="s">
        <v>163</v>
      </c>
    </row>
    <row r="202" spans="1:20" ht="15.75" thickBot="1">
      <c r="A202" s="792" t="s">
        <v>681</v>
      </c>
      <c r="B202" s="793"/>
      <c r="C202" s="793"/>
      <c r="D202" s="793"/>
      <c r="E202" s="793"/>
      <c r="F202" s="793"/>
      <c r="G202" s="793"/>
      <c r="H202" s="794"/>
      <c r="M202" s="792" t="s">
        <v>688</v>
      </c>
      <c r="N202" s="793"/>
      <c r="O202" s="793"/>
      <c r="P202" s="793"/>
      <c r="Q202" s="793"/>
      <c r="R202" s="793"/>
      <c r="S202" s="793"/>
      <c r="T202" s="794"/>
    </row>
    <row r="203" spans="1:20" ht="15.75" thickBot="1">
      <c r="A203" s="36" t="s">
        <v>116</v>
      </c>
      <c r="B203" s="36" t="s">
        <v>117</v>
      </c>
      <c r="C203" s="36" t="s">
        <v>162</v>
      </c>
      <c r="D203" s="36" t="s">
        <v>119</v>
      </c>
      <c r="E203" s="36" t="s">
        <v>120</v>
      </c>
      <c r="F203" s="36" t="s">
        <v>118</v>
      </c>
      <c r="G203" s="36" t="s">
        <v>121</v>
      </c>
      <c r="H203" s="36" t="s">
        <v>122</v>
      </c>
      <c r="M203" s="36" t="s">
        <v>116</v>
      </c>
      <c r="N203" s="36" t="s">
        <v>117</v>
      </c>
      <c r="O203" s="36" t="s">
        <v>162</v>
      </c>
      <c r="P203" s="36" t="s">
        <v>119</v>
      </c>
      <c r="Q203" s="36" t="s">
        <v>120</v>
      </c>
      <c r="R203" s="36" t="s">
        <v>118</v>
      </c>
      <c r="S203" s="36" t="s">
        <v>121</v>
      </c>
      <c r="T203" s="36" t="s">
        <v>122</v>
      </c>
    </row>
    <row r="204" spans="1:20" ht="15.75" thickBot="1">
      <c r="A204" s="795"/>
      <c r="B204" s="796"/>
      <c r="C204" s="796"/>
      <c r="D204" s="796"/>
      <c r="E204" s="796"/>
      <c r="F204" s="796"/>
      <c r="G204" s="796"/>
      <c r="H204" s="797"/>
      <c r="M204" s="795"/>
      <c r="N204" s="796"/>
      <c r="O204" s="796"/>
      <c r="P204" s="796"/>
      <c r="Q204" s="796"/>
      <c r="R204" s="796"/>
      <c r="S204" s="796"/>
      <c r="T204" s="797"/>
    </row>
    <row r="205" spans="1:20">
      <c r="A205" s="65">
        <v>0.6</v>
      </c>
      <c r="B205" s="66">
        <v>2</v>
      </c>
      <c r="C205" s="58">
        <f>(((A205+(2*B205))*MATERIALES!$C$57)+((A205+(2*B205))*MATERIALES!$C$55)+(A205*MATERIALES!$C$59)+((A205*2)*MATERIALES!$C$58)+((((A205*6)+(B205*2))*MATERIALES!$C$73)*2)+(((A205-0.2)*MATERIALES!$C$30)*((B205-0.12)/0.12)))*(MATERIALES!$F$2*MATERIALES!$J$15)</f>
        <v>0</v>
      </c>
      <c r="D205" s="58">
        <f>(1*MATERIALES!$C$204)+(1*MATERIALES!$C$205)+(3*MATERIALES!$C$207)+(2*MATERIALES!$C$189)+(2*MATERIALES!$C$190)+(2*MATERIALES!$C$191)+(12*MATERIALES!$C$158)+(12*MATERIALES!$C$159)+((A205+(2*B205))*MATERIALES!$C$210)+((A205+(2*B205))*MATERIALES!$C$209)+(((A205*2)*(0.6*2))*MATERIALES!$C$141)+(((A205*4)+(B205*2))*MATERIALES!$C$165)+(0.5*MATERIALES!$C$167)+(((((A205*6)+(B205*2))/0.1)*MATERIALES!$C$192)*2)+(2*MATERIALES!$C$640)+(((A205*5)*2)*MATERIALES!$C$147)+(4*MATERIALES!$C$148)</f>
        <v>5272.6302720000003</v>
      </c>
      <c r="E205" s="74"/>
      <c r="F205" s="54">
        <f>(A205*0.6)*MATERIALES!$D$89</f>
        <v>644.4</v>
      </c>
      <c r="G205" s="58">
        <f>SUM(C205:F205)</f>
        <v>5917.030272</v>
      </c>
      <c r="H205" s="67">
        <f>(SUM(C205:E205)*1.3)+(F205*1.5)</f>
        <v>7821.0193536000006</v>
      </c>
      <c r="M205" s="65">
        <v>0.6</v>
      </c>
      <c r="N205" s="66">
        <v>2</v>
      </c>
      <c r="O205" s="58">
        <f>(((M205+(2*N205))*MATERIALES!$C$57)+((M205+(2*N205))*MATERIALES!$C$55)+(M205*MATERIALES!$C$59)+((M205+(N205*2))*MATERIALES!$C$58)+(((M205-0.2)*MATERIALES!$C$30)*((N205/3)/0.12))+((((M205*4)+(N205*6))*MATERIALES!$C$73)*2))*(MATERIALES!$F$2*MATERIALES!$J$15)</f>
        <v>0</v>
      </c>
      <c r="P205" s="58">
        <f>(1*MATERIALES!$C$204)+(1*MATERIALES!$C$205)+(3*MATERIALES!$C$207)+(2*MATERIALES!$C$189)+(2*MATERIALES!$C$190)+(2*MATERIALES!$C$191)+(16*MATERIALES!$C$158)+(16*MATERIALES!$C$159)+((M205+(2*N205))*MATERIALES!$C$210)+((M205+(2*N205))*MATERIALES!$C$209)+(((M205*2)+(N205*6))*MATERIALES!$C$141)+((((((M205*4)+(N205*6))/0.1))*MATERIALES!$C$192)*2)+(2*MATERIALES!$C$187)+(((M205*2)+((N205/3)*2))*MATERIALES!$C$165)+(0.25*MATERIALES!$C$167)+(((M205*5)*2)*MATERIALES!$C$147)+(4*MATERIALES!$C$148)</f>
        <v>5736.7263199999998</v>
      </c>
      <c r="Q205" s="74"/>
      <c r="R205" s="54">
        <f>(M205*N205)*MATERIALES!$D$89</f>
        <v>2148</v>
      </c>
      <c r="S205" s="58">
        <f>SUM(O205:R205)</f>
        <v>7884.7263199999998</v>
      </c>
      <c r="T205" s="67">
        <f>(SUM(O205:Q205)*1.3)+(R205*1.5)</f>
        <v>10679.744215999999</v>
      </c>
    </row>
    <row r="206" spans="1:20">
      <c r="A206" s="68">
        <v>0.7</v>
      </c>
      <c r="B206" s="69">
        <v>2</v>
      </c>
      <c r="C206" s="59">
        <f>(((A206+(2*B206))*MATERIALES!$C$57)+((A206+(2*B206))*MATERIALES!$C$55)+(A206*MATERIALES!$C$59)+((A206*2)*MATERIALES!$C$58)+((((A206*6)+(B206*2))*MATERIALES!$C$73)*2)+(((A206-0.2)*MATERIALES!$C$30)*((B206-0.12)/0.12)))*(MATERIALES!$F$2*MATERIALES!$J$15)</f>
        <v>0</v>
      </c>
      <c r="D206" s="59">
        <f>(1*MATERIALES!$C$204)+(1*MATERIALES!$C$205)+(3*MATERIALES!$C$207)+(2*MATERIALES!$C$189)+(2*MATERIALES!$C$190)+(2*MATERIALES!$C$191)+(12*MATERIALES!$C$158)+(12*MATERIALES!$C$159)+((A206+(2*B206))*MATERIALES!$C$210)+((A206+(2*B206))*MATERIALES!$C$209)+(((A206*2)*(0.6*2))*MATERIALES!$C$141)+(((A206*4)+(B206*2))*MATERIALES!$C$165)+(0.5*MATERIALES!$C$167)+(((((A206*6)+(B206*2))/0.1)*MATERIALES!$C$192)*2)+(2*MATERIALES!$C$640)+(((A206*5)*2)*MATERIALES!$C$147)+(4*MATERIALES!$C$148)</f>
        <v>5318.3983840000001</v>
      </c>
      <c r="E206" s="75"/>
      <c r="F206" s="55">
        <f>(A206*0.6)*MATERIALES!$D$89</f>
        <v>751.8</v>
      </c>
      <c r="G206" s="59">
        <f t="shared" ref="G206:G212" si="60">SUM(C206:F206)</f>
        <v>6070.1983840000003</v>
      </c>
      <c r="H206" s="70">
        <f>(SUM(C206:E206)*1.3)+(F206*1.5)</f>
        <v>8041.6178992000005</v>
      </c>
      <c r="M206" s="68">
        <v>0.7</v>
      </c>
      <c r="N206" s="69">
        <v>2</v>
      </c>
      <c r="O206" s="59">
        <f>(((M206+(2*N206))*MATERIALES!$C$57)+((M206+(2*N206))*MATERIALES!$C$55)+(M206*MATERIALES!$C$59)+((M206+(N206*2))*MATERIALES!$C$58)+(((M206-0.2)*MATERIALES!$C$30)*((N206/3)/0.12))+((((M206*4)+(N206*6))*MATERIALES!$C$73)*2))*(MATERIALES!$F$2*MATERIALES!$J$15)</f>
        <v>0</v>
      </c>
      <c r="P206" s="59">
        <f>(1*MATERIALES!$C$204)+(1*MATERIALES!$C$205)+(3*MATERIALES!$C$207)+(2*MATERIALES!$C$189)+(2*MATERIALES!$C$190)+(2*MATERIALES!$C$191)+(16*MATERIALES!$C$158)+(16*MATERIALES!$C$159)+((M206+(2*N206))*MATERIALES!$C$210)+((M206+(2*N206))*MATERIALES!$C$209)+(((M206*2)+(N206*6))*MATERIALES!$C$141)+((((((M206*4)+(N206*6))/0.1))*MATERIALES!$C$192)*2)+(2*MATERIALES!$C$187)+(((M206*2)+((N206/3)*2))*MATERIALES!$C$165)+(0.25*MATERIALES!$C$167)+(((M206*5)*2)*MATERIALES!$C$147)+(4*MATERIALES!$C$148)</f>
        <v>5768.6366399999988</v>
      </c>
      <c r="Q206" s="75"/>
      <c r="R206" s="55">
        <f>(M206*N206)*MATERIALES!$D$89</f>
        <v>2506</v>
      </c>
      <c r="S206" s="59">
        <f t="shared" ref="S206:S212" si="61">SUM(O206:R206)</f>
        <v>8274.6366399999988</v>
      </c>
      <c r="T206" s="70">
        <f t="shared" ref="T206:T212" si="62">(SUM(O206:Q206)*1.3)+(R206*1.5)</f>
        <v>11258.227631999998</v>
      </c>
    </row>
    <row r="207" spans="1:20">
      <c r="A207" s="68">
        <v>0.8</v>
      </c>
      <c r="B207" s="69">
        <v>2</v>
      </c>
      <c r="C207" s="59">
        <f>(((A207+(2*B207))*MATERIALES!$C$57)+((A207+(2*B207))*MATERIALES!$C$55)+(A207*MATERIALES!$C$59)+((A207*2)*MATERIALES!$C$58)+((((A207*6)+(B207*2))*MATERIALES!$C$73)*2)+(((A207-0.2)*MATERIALES!$C$30)*((B207-0.12)/0.12)))*(MATERIALES!$F$2*MATERIALES!$J$15)</f>
        <v>0</v>
      </c>
      <c r="D207" s="59">
        <f>(1*MATERIALES!$C$204)+(1*MATERIALES!$C$205)+(3*MATERIALES!$C$207)+(2*MATERIALES!$C$189)+(2*MATERIALES!$C$190)+(2*MATERIALES!$C$191)+(12*MATERIALES!$C$158)+(12*MATERIALES!$C$159)+((A207+(2*B207))*MATERIALES!$C$210)+((A207+(2*B207))*MATERIALES!$C$209)+(((A207*2)*(0.6*2))*MATERIALES!$C$141)+(((A207*4)+(B207*2))*MATERIALES!$C$165)+(0.5*MATERIALES!$C$167)+(((((A207*6)+(B207*2))/0.1)*MATERIALES!$C$192)*2)+(2*MATERIALES!$C$640)+(((A207*5)*2)*MATERIALES!$C$147)+(4*MATERIALES!$C$148)</f>
        <v>5364.1664960000007</v>
      </c>
      <c r="E207" s="75"/>
      <c r="F207" s="55">
        <f>(A207*0.6)*MATERIALES!$D$89</f>
        <v>859.19999999999993</v>
      </c>
      <c r="G207" s="59">
        <f t="shared" si="60"/>
        <v>6223.3664960000006</v>
      </c>
      <c r="H207" s="70">
        <f t="shared" ref="H207:H211" si="63">(SUM(C207:E207)*1.3)+(F207*1.5)</f>
        <v>8262.2164448000003</v>
      </c>
      <c r="M207" s="68">
        <v>0.8</v>
      </c>
      <c r="N207" s="69">
        <v>2</v>
      </c>
      <c r="O207" s="59">
        <f>(((M207+(2*N207))*MATERIALES!$C$57)+((M207+(2*N207))*MATERIALES!$C$55)+(M207*MATERIALES!$C$59)+((M207+(N207*2))*MATERIALES!$C$58)+(((M207-0.2)*MATERIALES!$C$30)*((N207/3)/0.12))+((((M207*4)+(N207*6))*MATERIALES!$C$73)*2))*(MATERIALES!$F$2*MATERIALES!$J$15)</f>
        <v>0</v>
      </c>
      <c r="P207" s="59">
        <f>(1*MATERIALES!$C$204)+(1*MATERIALES!$C$205)+(3*MATERIALES!$C$207)+(2*MATERIALES!$C$189)+(2*MATERIALES!$C$190)+(2*MATERIALES!$C$191)+(16*MATERIALES!$C$158)+(16*MATERIALES!$C$159)+((M207+(2*N207))*MATERIALES!$C$210)+((M207+(2*N207))*MATERIALES!$C$209)+(((M207*2)+(N207*6))*MATERIALES!$C$141)+((((((M207*4)+(N207*6))/0.1))*MATERIALES!$C$192)*2)+(2*MATERIALES!$C$187)+(((M207*2)+((N207/3)*2))*MATERIALES!$C$165)+(0.25*MATERIALES!$C$167)+(((M207*5)*2)*MATERIALES!$C$147)+(4*MATERIALES!$C$148)</f>
        <v>5800.5469599999997</v>
      </c>
      <c r="Q207" s="75"/>
      <c r="R207" s="55">
        <f>(M207*N207)*MATERIALES!$D$89</f>
        <v>2864</v>
      </c>
      <c r="S207" s="59">
        <f t="shared" si="61"/>
        <v>8664.5469599999997</v>
      </c>
      <c r="T207" s="70">
        <f t="shared" si="62"/>
        <v>11836.711048000001</v>
      </c>
    </row>
    <row r="208" spans="1:20">
      <c r="A208" s="68">
        <v>0.9</v>
      </c>
      <c r="B208" s="69">
        <v>2</v>
      </c>
      <c r="C208" s="59">
        <f>(((A208+(2*B208))*MATERIALES!$C$57)+((A208+(2*B208))*MATERIALES!$C$55)+(A208*MATERIALES!$C$59)+((A208*2)*MATERIALES!$C$58)+((((A208*6)+(B208*2))*MATERIALES!$C$73)*2)+(((A208-0.2)*MATERIALES!$C$30)*((B208-0.12)/0.12)))*(MATERIALES!$F$2*MATERIALES!$J$15)</f>
        <v>0</v>
      </c>
      <c r="D208" s="59">
        <f>(1*MATERIALES!$C$204)+(1*MATERIALES!$C$205)+(3*MATERIALES!$C$207)+(2*MATERIALES!$C$189)+(2*MATERIALES!$C$190)+(2*MATERIALES!$C$191)+(12*MATERIALES!$C$158)+(12*MATERIALES!$C$159)+((A208+(2*B208))*MATERIALES!$C$210)+((A208+(2*B208))*MATERIALES!$C$209)+(((A208*2)*(0.6*2))*MATERIALES!$C$141)+(((A208*4)+(B208*2))*MATERIALES!$C$165)+(0.5*MATERIALES!$C$167)+(((((A208*6)+(B208*2))/0.1)*MATERIALES!$C$192)*2)+(2*MATERIALES!$C$640)+(((A208*5)*2)*MATERIALES!$C$147)+(4*MATERIALES!$C$148)</f>
        <v>5409.9346080000005</v>
      </c>
      <c r="E208" s="75"/>
      <c r="F208" s="55">
        <f>(A208*0.6)*MATERIALES!$D$89</f>
        <v>966.6</v>
      </c>
      <c r="G208" s="59">
        <f t="shared" si="60"/>
        <v>6376.5346080000008</v>
      </c>
      <c r="H208" s="70">
        <f t="shared" si="63"/>
        <v>8482.8149904000002</v>
      </c>
      <c r="M208" s="68">
        <v>0.9</v>
      </c>
      <c r="N208" s="69">
        <v>2</v>
      </c>
      <c r="O208" s="59">
        <f>(((M208+(2*N208))*MATERIALES!$C$57)+((M208+(2*N208))*MATERIALES!$C$55)+(M208*MATERIALES!$C$59)+((M208+(N208*2))*MATERIALES!$C$58)+(((M208-0.2)*MATERIALES!$C$30)*((N208/3)/0.12))+((((M208*4)+(N208*6))*MATERIALES!$C$73)*2))*(MATERIALES!$F$2*MATERIALES!$J$15)</f>
        <v>0</v>
      </c>
      <c r="P208" s="59">
        <f>(1*MATERIALES!$C$204)+(1*MATERIALES!$C$205)+(3*MATERIALES!$C$207)+(2*MATERIALES!$C$189)+(2*MATERIALES!$C$190)+(2*MATERIALES!$C$191)+(16*MATERIALES!$C$158)+(16*MATERIALES!$C$159)+((M208+(2*N208))*MATERIALES!$C$210)+((M208+(2*N208))*MATERIALES!$C$209)+(((M208*2)+(N208*6))*MATERIALES!$C$141)+((((((M208*4)+(N208*6))/0.1))*MATERIALES!$C$192)*2)+(2*MATERIALES!$C$187)+(((M208*2)+((N208/3)*2))*MATERIALES!$C$165)+(0.25*MATERIALES!$C$167)+(((M208*5)*2)*MATERIALES!$C$147)+(4*MATERIALES!$C$148)</f>
        <v>5832.4572800000005</v>
      </c>
      <c r="Q208" s="75"/>
      <c r="R208" s="55">
        <f>(M208*N208)*MATERIALES!$D$89</f>
        <v>3222</v>
      </c>
      <c r="S208" s="59">
        <f t="shared" si="61"/>
        <v>9054.4572800000005</v>
      </c>
      <c r="T208" s="70">
        <f t="shared" si="62"/>
        <v>12415.194464</v>
      </c>
    </row>
    <row r="209" spans="1:21">
      <c r="A209" s="68">
        <v>0.6</v>
      </c>
      <c r="B209" s="69">
        <v>2.1</v>
      </c>
      <c r="C209" s="59">
        <f>(((A209+(2*B209))*MATERIALES!$C$57)+((A209+(2*B209))*MATERIALES!$C$55)+(A209*MATERIALES!$C$59)+((A209*2)*MATERIALES!$C$58)+((((A209*6)+(B209*2))*MATERIALES!$C$73)*2)+(((A209-0.2)*MATERIALES!$C$30)*((B209-0.12)/0.12)))*(MATERIALES!$F$2*MATERIALES!$J$15)</f>
        <v>0</v>
      </c>
      <c r="D209" s="59">
        <f>(1*MATERIALES!$C$204)+(1*MATERIALES!$C$205)+(3*MATERIALES!$C$207)+(2*MATERIALES!$C$189)+(2*MATERIALES!$C$190)+(2*MATERIALES!$C$191)+(12*MATERIALES!$C$158)+(12*MATERIALES!$C$159)+((A209+(2*B209))*MATERIALES!$C$210)+((A209+(2*B209))*MATERIALES!$C$209)+(((A209*2)*(0.6*2))*MATERIALES!$C$141)+(((A209*4)+(B209*2))*MATERIALES!$C$165)+(0.5*MATERIALES!$C$167)+(((((A209*6)+(B209*2))/0.1)*MATERIALES!$C$192)*2)+(2*MATERIALES!$C$640)+(((A209*5)*2)*MATERIALES!$C$147)+(4*MATERIALES!$C$148)</f>
        <v>5297.4384320000008</v>
      </c>
      <c r="E209" s="75"/>
      <c r="F209" s="55">
        <f>(A209*0.6)*MATERIALES!$D$89</f>
        <v>644.4</v>
      </c>
      <c r="G209" s="59">
        <f t="shared" si="60"/>
        <v>5941.8384320000005</v>
      </c>
      <c r="H209" s="70">
        <f t="shared" si="63"/>
        <v>7853.2699616000009</v>
      </c>
      <c r="M209" s="68">
        <v>0.6</v>
      </c>
      <c r="N209" s="69">
        <v>2.1</v>
      </c>
      <c r="O209" s="59">
        <f>(((M209+(2*N209))*MATERIALES!$C$57)+((M209+(2*N209))*MATERIALES!$C$55)+(M209*MATERIALES!$C$59)+((M209+(N209*2))*MATERIALES!$C$58)+(((M209-0.2)*MATERIALES!$C$30)*((N209/3)/0.12))+((((M209*4)+(N209*6))*MATERIALES!$C$73)*2))*(MATERIALES!$F$2*MATERIALES!$J$15)</f>
        <v>0</v>
      </c>
      <c r="P209" s="59">
        <f>(1*MATERIALES!$C$204)+(1*MATERIALES!$C$205)+(3*MATERIALES!$C$207)+(2*MATERIALES!$C$189)+(2*MATERIALES!$C$190)+(2*MATERIALES!$C$191)+(16*MATERIALES!$C$158)+(16*MATERIALES!$C$159)+((M209+(2*N209))*MATERIALES!$C$210)+((M209+(2*N209))*MATERIALES!$C$209)+(((M209*2)+(N209*6))*MATERIALES!$C$141)+((((((M209*4)+(N209*6))/0.1))*MATERIALES!$C$192)*2)+(2*MATERIALES!$C$187)+(((M209*2)+((N209/3)*2))*MATERIALES!$C$165)+(0.25*MATERIALES!$C$167)+(((M209*5)*2)*MATERIALES!$C$147)+(4*MATERIALES!$C$148)</f>
        <v>5788.9655199999997</v>
      </c>
      <c r="Q209" s="75"/>
      <c r="R209" s="55">
        <f>(M209*N209)*MATERIALES!$D$89</f>
        <v>2255.4</v>
      </c>
      <c r="S209" s="59">
        <f t="shared" si="61"/>
        <v>8044.3655199999994</v>
      </c>
      <c r="T209" s="70">
        <f t="shared" si="62"/>
        <v>10908.755176000001</v>
      </c>
    </row>
    <row r="210" spans="1:21">
      <c r="A210" s="68">
        <v>0.7</v>
      </c>
      <c r="B210" s="69">
        <v>2.1</v>
      </c>
      <c r="C210" s="59">
        <f>(((A210+(2*B210))*MATERIALES!$C$57)+((A210+(2*B210))*MATERIALES!$C$55)+(A210*MATERIALES!$C$59)+((A210*2)*MATERIALES!$C$58)+((((A210*6)+(B210*2))*MATERIALES!$C$73)*2)+(((A210-0.2)*MATERIALES!$C$30)*((B210-0.12)/0.12)))*(MATERIALES!$F$2*MATERIALES!$J$15)</f>
        <v>0</v>
      </c>
      <c r="D210" s="59">
        <f>(1*MATERIALES!$C$204)+(1*MATERIALES!$C$205)+(3*MATERIALES!$C$207)+(2*MATERIALES!$C$189)+(2*MATERIALES!$C$190)+(2*MATERIALES!$C$191)+(12*MATERIALES!$C$158)+(12*MATERIALES!$C$159)+((A210+(2*B210))*MATERIALES!$C$210)+((A210+(2*B210))*MATERIALES!$C$209)+(((A210*2)*(0.6*2))*MATERIALES!$C$141)+(((A210*4)+(B210*2))*MATERIALES!$C$165)+(0.5*MATERIALES!$C$167)+(((((A210*6)+(B210*2))/0.1)*MATERIALES!$C$192)*2)+(2*MATERIALES!$C$640)+(((A210*5)*2)*MATERIALES!$C$147)+(4*MATERIALES!$C$148)</f>
        <v>5343.2065440000006</v>
      </c>
      <c r="E210" s="75"/>
      <c r="F210" s="55">
        <f>(A210*0.6)*MATERIALES!$D$89</f>
        <v>751.8</v>
      </c>
      <c r="G210" s="59">
        <f t="shared" si="60"/>
        <v>6095.0065440000008</v>
      </c>
      <c r="H210" s="70">
        <f t="shared" si="63"/>
        <v>8073.8685072000007</v>
      </c>
      <c r="M210" s="68">
        <v>0.7</v>
      </c>
      <c r="N210" s="69">
        <v>2.1</v>
      </c>
      <c r="O210" s="59">
        <f>(((M210+(2*N210))*MATERIALES!$C$57)+((M210+(2*N210))*MATERIALES!$C$55)+(M210*MATERIALES!$C$59)+((M210+(N210*2))*MATERIALES!$C$58)+(((M210-0.2)*MATERIALES!$C$30)*((N210/3)/0.12))+((((M210*4)+(N210*6))*MATERIALES!$C$73)*2))*(MATERIALES!$F$2*MATERIALES!$J$15)</f>
        <v>0</v>
      </c>
      <c r="P210" s="59">
        <f>(1*MATERIALES!$C$204)+(1*MATERIALES!$C$205)+(3*MATERIALES!$C$207)+(2*MATERIALES!$C$189)+(2*MATERIALES!$C$190)+(2*MATERIALES!$C$191)+(16*MATERIALES!$C$158)+(16*MATERIALES!$C$159)+((M210+(2*N210))*MATERIALES!$C$210)+((M210+(2*N210))*MATERIALES!$C$209)+(((M210*2)+(N210*6))*MATERIALES!$C$141)+((((((M210*4)+(N210*6))/0.1))*MATERIALES!$C$192)*2)+(2*MATERIALES!$C$187)+(((M210*2)+((N210/3)*2))*MATERIALES!$C$165)+(0.25*MATERIALES!$C$167)+(((M210*5)*2)*MATERIALES!$C$147)+(4*MATERIALES!$C$148)</f>
        <v>5820.8758400000006</v>
      </c>
      <c r="Q210" s="75"/>
      <c r="R210" s="55">
        <f>(M210*N210)*MATERIALES!$D$89</f>
        <v>2631.2999999999997</v>
      </c>
      <c r="S210" s="59">
        <f t="shared" si="61"/>
        <v>8452.1758399999999</v>
      </c>
      <c r="T210" s="70">
        <f t="shared" si="62"/>
        <v>11514.088592</v>
      </c>
    </row>
    <row r="211" spans="1:21">
      <c r="A211" s="68">
        <v>0.8</v>
      </c>
      <c r="B211" s="69">
        <v>2.1</v>
      </c>
      <c r="C211" s="59">
        <f>(((A211+(2*B211))*MATERIALES!$C$57)+((A211+(2*B211))*MATERIALES!$C$55)+(A211*MATERIALES!$C$59)+((A211*2)*MATERIALES!$C$58)+((((A211*6)+(B211*2))*MATERIALES!$C$73)*2)+(((A211-0.2)*MATERIALES!$C$30)*((B211-0.12)/0.12)))*(MATERIALES!$F$2*MATERIALES!$J$15)</f>
        <v>0</v>
      </c>
      <c r="D211" s="59">
        <f>(1*MATERIALES!$C$204)+(1*MATERIALES!$C$205)+(3*MATERIALES!$C$207)+(2*MATERIALES!$C$189)+(2*MATERIALES!$C$190)+(2*MATERIALES!$C$191)+(12*MATERIALES!$C$158)+(12*MATERIALES!$C$159)+((A211+(2*B211))*MATERIALES!$C$210)+((A211+(2*B211))*MATERIALES!$C$209)+(((A211*2)*(0.6*2))*MATERIALES!$C$141)+(((A211*4)+(B211*2))*MATERIALES!$C$165)+(0.5*MATERIALES!$C$167)+(((((A211*6)+(B211*2))/0.1)*MATERIALES!$C$192)*2)+(2*MATERIALES!$C$640)+(((A211*5)*2)*MATERIALES!$C$147)+(4*MATERIALES!$C$148)</f>
        <v>5388.9746560000003</v>
      </c>
      <c r="E211" s="75"/>
      <c r="F211" s="55">
        <f>(A211*0.6)*MATERIALES!$D$89</f>
        <v>859.19999999999993</v>
      </c>
      <c r="G211" s="59">
        <f t="shared" si="60"/>
        <v>6248.1746560000001</v>
      </c>
      <c r="H211" s="70">
        <f t="shared" si="63"/>
        <v>8294.4670528000006</v>
      </c>
      <c r="M211" s="68">
        <v>0.8</v>
      </c>
      <c r="N211" s="69">
        <v>2.1</v>
      </c>
      <c r="O211" s="59">
        <f>(((M211+(2*N211))*MATERIALES!$C$57)+((M211+(2*N211))*MATERIALES!$C$55)+(M211*MATERIALES!$C$59)+((M211+(N211*2))*MATERIALES!$C$58)+(((M211-0.2)*MATERIALES!$C$30)*((N211/3)/0.12))+((((M211*4)+(N211*6))*MATERIALES!$C$73)*2))*(MATERIALES!$F$2*MATERIALES!$J$15)</f>
        <v>0</v>
      </c>
      <c r="P211" s="59">
        <f>(1*MATERIALES!$C$204)+(1*MATERIALES!$C$205)+(3*MATERIALES!$C$207)+(2*MATERIALES!$C$189)+(2*MATERIALES!$C$190)+(2*MATERIALES!$C$191)+(16*MATERIALES!$C$158)+(16*MATERIALES!$C$159)+((M211+(2*N211))*MATERIALES!$C$210)+((M211+(2*N211))*MATERIALES!$C$209)+(((M211*2)+(N211*6))*MATERIALES!$C$141)+((((((M211*4)+(N211*6))/0.1))*MATERIALES!$C$192)*2)+(2*MATERIALES!$C$187)+(((M211*2)+((N211/3)*2))*MATERIALES!$C$165)+(0.25*MATERIALES!$C$167)+(((M211*5)*2)*MATERIALES!$C$147)+(4*MATERIALES!$C$148)</f>
        <v>5852.7861599999997</v>
      </c>
      <c r="Q211" s="75"/>
      <c r="R211" s="55">
        <f>(M211*N211)*MATERIALES!$D$89</f>
        <v>3007.2000000000003</v>
      </c>
      <c r="S211" s="59">
        <f t="shared" si="61"/>
        <v>8859.9861600000004</v>
      </c>
      <c r="T211" s="70">
        <f t="shared" si="62"/>
        <v>12119.422008</v>
      </c>
    </row>
    <row r="212" spans="1:21" ht="15.75" thickBot="1">
      <c r="A212" s="71">
        <v>0.9</v>
      </c>
      <c r="B212" s="72">
        <v>2.1</v>
      </c>
      <c r="C212" s="60">
        <f>(((A212+(2*B212))*MATERIALES!$C$57)+((A212+(2*B212))*MATERIALES!$C$55)+(A212*MATERIALES!$C$59)+((A212*2)*MATERIALES!$C$58)+((((A212*6)+(B212*2))*MATERIALES!$C$73)*2)+(((A212-0.2)*MATERIALES!$C$30)*((B212-0.12)/0.12)))*(MATERIALES!$F$2*MATERIALES!$J$15)</f>
        <v>0</v>
      </c>
      <c r="D212" s="60">
        <f>(1*MATERIALES!$C$204)+(1*MATERIALES!$C$205)+(3*MATERIALES!$C$207)+(2*MATERIALES!$C$189)+(2*MATERIALES!$C$190)+(2*MATERIALES!$C$191)+(12*MATERIALES!$C$158)+(12*MATERIALES!$C$159)+((A212+(2*B212))*MATERIALES!$C$210)+((A212+(2*B212))*MATERIALES!$C$209)+(((A212*2)*(0.6*2))*MATERIALES!$C$141)+(((A212*4)+(B212*2))*MATERIALES!$C$165)+(0.5*MATERIALES!$C$167)+(((((A212*6)+(B212*2))/0.1)*MATERIALES!$C$192)*2)+(2*MATERIALES!$C$640)+(((A212*5)*2)*MATERIALES!$C$147)+(4*MATERIALES!$C$148)</f>
        <v>5434.7427680000001</v>
      </c>
      <c r="E212" s="76"/>
      <c r="F212" s="56">
        <f>(A212*0.6)*MATERIALES!$D$89</f>
        <v>966.6</v>
      </c>
      <c r="G212" s="60">
        <f t="shared" si="60"/>
        <v>6401.3427680000004</v>
      </c>
      <c r="H212" s="73">
        <f>(SUM(C212:E212)*1.3)+(F212*1.5)</f>
        <v>8515.0655984000005</v>
      </c>
      <c r="M212" s="71">
        <v>0.9</v>
      </c>
      <c r="N212" s="72">
        <v>2.1</v>
      </c>
      <c r="O212" s="60">
        <f>(((M212+(2*N212))*MATERIALES!$C$57)+((M212+(2*N212))*MATERIALES!$C$55)+(M212*MATERIALES!$C$59)+((M212+(N212*2))*MATERIALES!$C$58)+(((M212-0.2)*MATERIALES!$C$30)*((N212/3)/0.12))+((((M212*4)+(N212*6))*MATERIALES!$C$73)*2))*(MATERIALES!$F$2*MATERIALES!$J$15)</f>
        <v>0</v>
      </c>
      <c r="P212" s="60">
        <f>(1*MATERIALES!$C$204)+(1*MATERIALES!$C$205)+(3*MATERIALES!$C$207)+(2*MATERIALES!$C$189)+(2*MATERIALES!$C$190)+(2*MATERIALES!$C$191)+(16*MATERIALES!$C$158)+(16*MATERIALES!$C$159)+((M212+(2*N212))*MATERIALES!$C$210)+((M212+(2*N212))*MATERIALES!$C$209)+(((M212*2)+(N212*6))*MATERIALES!$C$141)+((((((M212*4)+(N212*6))/0.1))*MATERIALES!$C$192)*2)+(2*MATERIALES!$C$187)+(((M212*2)+((N212/3)*2))*MATERIALES!$C$165)+(0.25*MATERIALES!$C$167)+(((M212*5)*2)*MATERIALES!$C$147)+(4*MATERIALES!$C$148)</f>
        <v>5884.6964799999996</v>
      </c>
      <c r="Q212" s="76"/>
      <c r="R212" s="56">
        <f>(M212*N212)*MATERIALES!$D$89</f>
        <v>3383.1000000000004</v>
      </c>
      <c r="S212" s="60">
        <f t="shared" si="61"/>
        <v>9267.7964800000009</v>
      </c>
      <c r="T212" s="73">
        <f t="shared" si="62"/>
        <v>12724.755423999999</v>
      </c>
    </row>
    <row r="214" spans="1:21" ht="15.75" thickBot="1">
      <c r="O214" s="78"/>
    </row>
    <row r="215" spans="1:21" ht="15.75" thickBot="1">
      <c r="A215" s="32"/>
      <c r="B215" s="32"/>
      <c r="C215" s="801">
        <v>0.3</v>
      </c>
      <c r="D215" s="802"/>
      <c r="E215" s="803"/>
      <c r="F215" s="61">
        <v>0.5</v>
      </c>
      <c r="G215" s="32"/>
      <c r="H215" s="46" t="s">
        <v>163</v>
      </c>
      <c r="M215" s="32"/>
      <c r="N215" s="32"/>
      <c r="O215" s="801">
        <v>0.3</v>
      </c>
      <c r="P215" s="802"/>
      <c r="Q215" s="803"/>
      <c r="R215" s="61">
        <v>0.5</v>
      </c>
      <c r="S215" s="32"/>
      <c r="T215" s="46" t="s">
        <v>163</v>
      </c>
    </row>
    <row r="216" spans="1:21" ht="15.75" thickBot="1">
      <c r="A216" s="792" t="s">
        <v>682</v>
      </c>
      <c r="B216" s="793"/>
      <c r="C216" s="793"/>
      <c r="D216" s="793"/>
      <c r="E216" s="793"/>
      <c r="F216" s="793"/>
      <c r="G216" s="793"/>
      <c r="H216" s="794"/>
      <c r="M216" s="792" t="s">
        <v>689</v>
      </c>
      <c r="N216" s="793"/>
      <c r="O216" s="793"/>
      <c r="P216" s="793"/>
      <c r="Q216" s="793"/>
      <c r="R216" s="793"/>
      <c r="S216" s="793"/>
      <c r="T216" s="794"/>
      <c r="U216" s="882" t="s">
        <v>254</v>
      </c>
    </row>
    <row r="217" spans="1:21" ht="15.75" thickBot="1">
      <c r="A217" s="36" t="s">
        <v>116</v>
      </c>
      <c r="B217" s="36" t="s">
        <v>117</v>
      </c>
      <c r="C217" s="36" t="s">
        <v>162</v>
      </c>
      <c r="D217" s="36" t="s">
        <v>119</v>
      </c>
      <c r="E217" s="36" t="s">
        <v>120</v>
      </c>
      <c r="F217" s="36" t="s">
        <v>118</v>
      </c>
      <c r="G217" s="36" t="s">
        <v>121</v>
      </c>
      <c r="H217" s="36" t="s">
        <v>122</v>
      </c>
      <c r="M217" s="36" t="s">
        <v>116</v>
      </c>
      <c r="N217" s="36" t="s">
        <v>117</v>
      </c>
      <c r="O217" s="36" t="s">
        <v>162</v>
      </c>
      <c r="P217" s="36" t="s">
        <v>119</v>
      </c>
      <c r="Q217" s="36" t="s">
        <v>120</v>
      </c>
      <c r="R217" s="36" t="s">
        <v>118</v>
      </c>
      <c r="S217" s="36" t="s">
        <v>121</v>
      </c>
      <c r="T217" s="36" t="s">
        <v>122</v>
      </c>
      <c r="U217" s="883"/>
    </row>
    <row r="218" spans="1:21" ht="15.75" thickBot="1">
      <c r="A218" s="795"/>
      <c r="B218" s="796"/>
      <c r="C218" s="796"/>
      <c r="D218" s="796"/>
      <c r="E218" s="796"/>
      <c r="F218" s="796"/>
      <c r="G218" s="796"/>
      <c r="H218" s="797"/>
      <c r="M218" s="795"/>
      <c r="N218" s="796"/>
      <c r="O218" s="796"/>
      <c r="P218" s="796"/>
      <c r="Q218" s="796"/>
      <c r="R218" s="796"/>
      <c r="S218" s="796"/>
      <c r="T218" s="797"/>
      <c r="U218" s="883"/>
    </row>
    <row r="219" spans="1:21">
      <c r="A219" s="65">
        <v>0.6</v>
      </c>
      <c r="B219" s="66">
        <v>2</v>
      </c>
      <c r="C219" s="58">
        <f>(((A219+(2*B219))*MATERIALES!$C$57)+((A219+(2*B219))*MATERIALES!$C$55)+(A219*MATERIALES!$C$59)+((A219*1)*MATERIALES!$C$58)+((((A219*4)+(B219*2))*MATERIALES!$C$73)*2)+(((A219-0.2)*MATERIALES!$C$30)*((B219-0.36)/0.12)))*(MATERIALES!$F$2*MATERIALES!$J$15)</f>
        <v>0</v>
      </c>
      <c r="D219" s="58">
        <f>(1*MATERIALES!$C$204)+(1*MATERIALES!$C$205)+(3*MATERIALES!$C$207)+(2*MATERIALES!$C$189)+(2*MATERIALES!$C$190)+(2*MATERIALES!$C$191)+(8*MATERIALES!$C$158)+(8*MATERIALES!$C$159)+((A219+(2*B219))*MATERIALES!$C$210)+((A219+(2*B219))*MATERIALES!$C$209)+(((A219*2)*(0.6*2))*MATERIALES!$C$141)+(((A219*2)+(B219*2))*MATERIALES!$C$165)+(0.5*MATERIALES!$C$167)+(2*MATERIALES!$C$187)+(((((A219*4)+(B219*2))/0.1)*MATERIALES!$C$192)*2)+(((A219*5)*2)*MATERIALES!$C$147)+(4*MATERIALES!$C$148)</f>
        <v>5140.8373120000006</v>
      </c>
      <c r="E219" s="74"/>
      <c r="F219" s="54">
        <f>(A219*0.6)*MATERIALES!$D$89</f>
        <v>644.4</v>
      </c>
      <c r="G219" s="58">
        <f>SUM(C219:F219)</f>
        <v>5785.2373120000002</v>
      </c>
      <c r="H219" s="67">
        <f>(SUM(C219:E219)*1.3)+(F219*1.5)</f>
        <v>7649.688505600001</v>
      </c>
      <c r="M219" s="65">
        <v>0.6</v>
      </c>
      <c r="N219" s="66">
        <v>2</v>
      </c>
      <c r="O219" s="58">
        <f>(((M219+(2*N219))*MATERIALES!$C$57)+((M219+(2*N219))*MATERIALES!$C$55)+(M219*MATERIALES!$C$59)+(((M219*2)+(N219*2))*MATERIALES!$C$31)+(((M219*2)+(N219))*MATERIALES!$C$32))*(MATERIALES!$F$2*MATERIALES!$J$15)</f>
        <v>0</v>
      </c>
      <c r="P219" s="58">
        <f>(1*MATERIALES!$C$204)+(1*MATERIALES!$C$205)+(3*MATERIALES!$C$207)+(2*MATERIALES!$C$189)+(2*MATERIALES!$C$190)+(2*MATERIALES!$C$191)+(10*MATERIALES!$C$158)+(10*MATERIALES!$C$159)+((M219+(2*N219))*MATERIALES!$C$210)+((M219+(2*N219))*MATERIALES!$C$209)+(((M219*6)+(N219*4))*MATERIALES!$C$166)+(2*MATERIALES!$C$187)+(((M219*5)*2)*MATERIALES!$C$147)+(4*MATERIALES!$C$148)</f>
        <v>4831.7214400000003</v>
      </c>
      <c r="Q219" s="74"/>
      <c r="R219" s="54">
        <f>(M219*N219)*MATERIALES!$D$89</f>
        <v>2148</v>
      </c>
      <c r="S219" s="58">
        <f>SUM(O219:R219)</f>
        <v>6979.7214400000003</v>
      </c>
      <c r="T219" s="67">
        <f>(SUM(O219:Q219)*1.3)+(R219*1.5)</f>
        <v>9503.2378720000015</v>
      </c>
      <c r="U219" s="787"/>
    </row>
    <row r="220" spans="1:21">
      <c r="A220" s="68">
        <v>0.7</v>
      </c>
      <c r="B220" s="69">
        <v>2</v>
      </c>
      <c r="C220" s="59">
        <f>(((A220+(2*B220))*MATERIALES!$C$57)+((A220+(2*B220))*MATERIALES!$C$55)+(A220*MATERIALES!$C$59)+((A220*1)*MATERIALES!$C$58)+((((A220*4)+(B220*2))*MATERIALES!$C$73)*2)+(((A220-0.2)*MATERIALES!$C$30)*((B220-0.36)/0.12)))*(MATERIALES!$F$2*MATERIALES!$J$15)</f>
        <v>0</v>
      </c>
      <c r="D220" s="59">
        <f>(1*MATERIALES!$C$204)+(1*MATERIALES!$C$205)+(3*MATERIALES!$C$207)+(2*MATERIALES!$C$189)+(2*MATERIALES!$C$190)+(2*MATERIALES!$C$191)+(8*MATERIALES!$C$158)+(8*MATERIALES!$C$159)+((A220+(2*B220))*MATERIALES!$C$210)+((A220+(2*B220))*MATERIALES!$C$209)+(((A220*2)*(0.6*2))*MATERIALES!$C$141)+(((A220*2)+(B220*2))*MATERIALES!$C$165)+(0.5*MATERIALES!$C$167)+(2*MATERIALES!$C$187)+(((((A220*4)+(B220*2))/0.1)*MATERIALES!$C$192)*2)+(((A220*5)*2)*MATERIALES!$C$147)+(4*MATERIALES!$C$148)</f>
        <v>5173.6012639999999</v>
      </c>
      <c r="E220" s="75"/>
      <c r="F220" s="55">
        <f>(A220*0.6)*MATERIALES!$D$89</f>
        <v>751.8</v>
      </c>
      <c r="G220" s="59">
        <f t="shared" ref="G220:G226" si="64">SUM(C220:F220)</f>
        <v>5925.4012640000001</v>
      </c>
      <c r="H220" s="70">
        <f>(SUM(C220:E220)*1.3)+(F220*1.5)</f>
        <v>7853.3816432000003</v>
      </c>
      <c r="M220" s="68">
        <v>0.7</v>
      </c>
      <c r="N220" s="69">
        <v>2</v>
      </c>
      <c r="O220" s="59">
        <f>(((M220+(2*N220))*MATERIALES!$C$57)+((M220+(2*N220))*MATERIALES!$C$55)+(M220*MATERIALES!$C$59)+(((M220*2)+(N220*2))*MATERIALES!$C$31)+(((M220*2)+(N220))*MATERIALES!$C$32))*(MATERIALES!$F$2*MATERIALES!$J$15)</f>
        <v>0</v>
      </c>
      <c r="P220" s="59">
        <f>(1*MATERIALES!$C$204)+(1*MATERIALES!$C$205)+(3*MATERIALES!$C$207)+(2*MATERIALES!$C$189)+(2*MATERIALES!$C$190)+(2*MATERIALES!$C$191)+(10*MATERIALES!$C$158)+(10*MATERIALES!$C$159)+((M220+(2*N220))*MATERIALES!$C$210)+((M220+(2*N220))*MATERIALES!$C$209)+(((M220*6)+(N220*4))*MATERIALES!$C$166)+(2*MATERIALES!$C$187)+(((M220*5)*2)*MATERIALES!$C$147)+(4*MATERIALES!$C$148)</f>
        <v>4848.9240799999989</v>
      </c>
      <c r="Q220" s="75"/>
      <c r="R220" s="55">
        <f>(M220*N220)*MATERIALES!$D$89</f>
        <v>2506</v>
      </c>
      <c r="S220" s="59">
        <f t="shared" ref="S220:S226" si="65">SUM(O220:R220)</f>
        <v>7354.9240799999989</v>
      </c>
      <c r="T220" s="70">
        <f t="shared" ref="T220:T226" si="66">(SUM(O220:Q220)*1.3)+(R220*1.5)</f>
        <v>10062.601304</v>
      </c>
      <c r="U220" s="787"/>
    </row>
    <row r="221" spans="1:21">
      <c r="A221" s="68">
        <v>0.8</v>
      </c>
      <c r="B221" s="69">
        <v>2</v>
      </c>
      <c r="C221" s="59">
        <f>(((A221+(2*B221))*MATERIALES!$C$57)+((A221+(2*B221))*MATERIALES!$C$55)+(A221*MATERIALES!$C$59)+((A221*1)*MATERIALES!$C$58)+((((A221*4)+(B221*2))*MATERIALES!$C$73)*2)+(((A221-0.2)*MATERIALES!$C$30)*((B221-0.36)/0.12)))*(MATERIALES!$F$2*MATERIALES!$J$15)</f>
        <v>0</v>
      </c>
      <c r="D221" s="59">
        <f>(1*MATERIALES!$C$204)+(1*MATERIALES!$C$205)+(3*MATERIALES!$C$207)+(2*MATERIALES!$C$189)+(2*MATERIALES!$C$190)+(2*MATERIALES!$C$191)+(8*MATERIALES!$C$158)+(8*MATERIALES!$C$159)+((A221+(2*B221))*MATERIALES!$C$210)+((A221+(2*B221))*MATERIALES!$C$209)+(((A221*2)*(0.6*2))*MATERIALES!$C$141)+(((A221*2)+(B221*2))*MATERIALES!$C$165)+(0.5*MATERIALES!$C$167)+(2*MATERIALES!$C$187)+(((((A221*4)+(B221*2))/0.1)*MATERIALES!$C$192)*2)+(((A221*5)*2)*MATERIALES!$C$147)+(4*MATERIALES!$C$148)</f>
        <v>5206.3652160000011</v>
      </c>
      <c r="E221" s="75"/>
      <c r="F221" s="55">
        <f>(A221*0.6)*MATERIALES!$D$89</f>
        <v>859.19999999999993</v>
      </c>
      <c r="G221" s="59">
        <f t="shared" si="64"/>
        <v>6065.5652160000009</v>
      </c>
      <c r="H221" s="70">
        <f t="shared" ref="H221:H225" si="67">(SUM(C221:E221)*1.3)+(F221*1.5)</f>
        <v>8057.0747808000015</v>
      </c>
      <c r="M221" s="68">
        <v>0.8</v>
      </c>
      <c r="N221" s="69">
        <v>2</v>
      </c>
      <c r="O221" s="59">
        <f>(((M221+(2*N221))*MATERIALES!$C$57)+((M221+(2*N221))*MATERIALES!$C$55)+(M221*MATERIALES!$C$59)+(((M221*2)+(N221*2))*MATERIALES!$C$31)+(((M221*2)+(N221))*MATERIALES!$C$32))*(MATERIALES!$F$2*MATERIALES!$J$15)</f>
        <v>0</v>
      </c>
      <c r="P221" s="59">
        <f>(1*MATERIALES!$C$204)+(1*MATERIALES!$C$205)+(3*MATERIALES!$C$207)+(2*MATERIALES!$C$189)+(2*MATERIALES!$C$190)+(2*MATERIALES!$C$191)+(10*MATERIALES!$C$158)+(10*MATERIALES!$C$159)+((M221+(2*N221))*MATERIALES!$C$210)+((M221+(2*N221))*MATERIALES!$C$209)+(((M221*6)+(N221*4))*MATERIALES!$C$166)+(2*MATERIALES!$C$187)+(((M221*5)*2)*MATERIALES!$C$147)+(4*MATERIALES!$C$148)</f>
        <v>4866.1267200000002</v>
      </c>
      <c r="Q221" s="75"/>
      <c r="R221" s="55">
        <f>(M221*N221)*MATERIALES!$D$89</f>
        <v>2864</v>
      </c>
      <c r="S221" s="59">
        <f t="shared" si="65"/>
        <v>7730.1267200000002</v>
      </c>
      <c r="T221" s="70">
        <f t="shared" si="66"/>
        <v>10621.964736000002</v>
      </c>
      <c r="U221" s="787"/>
    </row>
    <row r="222" spans="1:21">
      <c r="A222" s="68">
        <v>0.9</v>
      </c>
      <c r="B222" s="69">
        <v>2</v>
      </c>
      <c r="C222" s="59">
        <f>(((A222+(2*B222))*MATERIALES!$C$57)+((A222+(2*B222))*MATERIALES!$C$55)+(A222*MATERIALES!$C$59)+((A222*1)*MATERIALES!$C$58)+((((A222*4)+(B222*2))*MATERIALES!$C$73)*2)+(((A222-0.2)*MATERIALES!$C$30)*((B222-0.36)/0.12)))*(MATERIALES!$F$2*MATERIALES!$J$15)</f>
        <v>0</v>
      </c>
      <c r="D222" s="59">
        <f>(1*MATERIALES!$C$204)+(1*MATERIALES!$C$205)+(3*MATERIALES!$C$207)+(2*MATERIALES!$C$189)+(2*MATERIALES!$C$190)+(2*MATERIALES!$C$191)+(8*MATERIALES!$C$158)+(8*MATERIALES!$C$159)+((A222+(2*B222))*MATERIALES!$C$210)+((A222+(2*B222))*MATERIALES!$C$209)+(((A222*2)*(0.6*2))*MATERIALES!$C$141)+(((A222*2)+(B222*2))*MATERIALES!$C$165)+(0.5*MATERIALES!$C$167)+(2*MATERIALES!$C$187)+(((((A222*4)+(B222*2))/0.1)*MATERIALES!$C$192)*2)+(((A222*5)*2)*MATERIALES!$C$147)+(4*MATERIALES!$C$148)</f>
        <v>5239.1291680000004</v>
      </c>
      <c r="E222" s="75"/>
      <c r="F222" s="55">
        <f>(A222*0.6)*MATERIALES!$D$89</f>
        <v>966.6</v>
      </c>
      <c r="G222" s="59">
        <f t="shared" si="64"/>
        <v>6205.7291680000008</v>
      </c>
      <c r="H222" s="70">
        <f t="shared" si="67"/>
        <v>8260.7679184000008</v>
      </c>
      <c r="M222" s="68">
        <v>0.9</v>
      </c>
      <c r="N222" s="69">
        <v>2</v>
      </c>
      <c r="O222" s="59">
        <f>(((M222+(2*N222))*MATERIALES!$C$57)+((M222+(2*N222))*MATERIALES!$C$55)+(M222*MATERIALES!$C$59)+(((M222*2)+(N222*2))*MATERIALES!$C$31)+(((M222*2)+(N222))*MATERIALES!$C$32))*(MATERIALES!$F$2*MATERIALES!$J$15)</f>
        <v>0</v>
      </c>
      <c r="P222" s="59">
        <f>(1*MATERIALES!$C$204)+(1*MATERIALES!$C$205)+(3*MATERIALES!$C$207)+(2*MATERIALES!$C$189)+(2*MATERIALES!$C$190)+(2*MATERIALES!$C$191)+(10*MATERIALES!$C$158)+(10*MATERIALES!$C$159)+((M222+(2*N222))*MATERIALES!$C$210)+((M222+(2*N222))*MATERIALES!$C$209)+(((M222*6)+(N222*4))*MATERIALES!$C$166)+(2*MATERIALES!$C$187)+(((M222*5)*2)*MATERIALES!$C$147)+(4*MATERIALES!$C$148)</f>
        <v>4883.3293600000006</v>
      </c>
      <c r="Q222" s="75"/>
      <c r="R222" s="55">
        <f>(M222*N222)*MATERIALES!$D$89</f>
        <v>3222</v>
      </c>
      <c r="S222" s="59">
        <f t="shared" si="65"/>
        <v>8105.3293600000006</v>
      </c>
      <c r="T222" s="70">
        <f t="shared" si="66"/>
        <v>11181.328168</v>
      </c>
      <c r="U222" s="787"/>
    </row>
    <row r="223" spans="1:21">
      <c r="A223" s="68">
        <v>0.6</v>
      </c>
      <c r="B223" s="69">
        <v>2.1</v>
      </c>
      <c r="C223" s="59">
        <f>(((A223+(2*B223))*MATERIALES!$C$57)+((A223+(2*B223))*MATERIALES!$C$55)+(A223*MATERIALES!$C$59)+((A223*1)*MATERIALES!$C$58)+((((A223*4)+(B223*2))*MATERIALES!$C$73)*2)+(((A223-0.2)*MATERIALES!$C$30)*((B223-0.36)/0.12)))*(MATERIALES!$F$2*MATERIALES!$J$15)</f>
        <v>0</v>
      </c>
      <c r="D223" s="59">
        <f>(1*MATERIALES!$C$204)+(1*MATERIALES!$C$205)+(3*MATERIALES!$C$207)+(2*MATERIALES!$C$189)+(2*MATERIALES!$C$190)+(2*MATERIALES!$C$191)+(8*MATERIALES!$C$158)+(8*MATERIALES!$C$159)+((A223+(2*B223))*MATERIALES!$C$210)+((A223+(2*B223))*MATERIALES!$C$209)+(((A223*2)*(0.6*2))*MATERIALES!$C$141)+(((A223*2)+(B223*2))*MATERIALES!$C$165)+(0.5*MATERIALES!$C$167)+(2*MATERIALES!$C$187)+(((((A223*4)+(B223*2))/0.1)*MATERIALES!$C$192)*2)+(((A223*5)*2)*MATERIALES!$C$147)+(4*MATERIALES!$C$148)</f>
        <v>5165.6454720000002</v>
      </c>
      <c r="E223" s="75"/>
      <c r="F223" s="55">
        <f>(A223*0.6)*MATERIALES!$D$89</f>
        <v>644.4</v>
      </c>
      <c r="G223" s="59">
        <f t="shared" si="64"/>
        <v>5810.0454719999998</v>
      </c>
      <c r="H223" s="70">
        <f t="shared" si="67"/>
        <v>7681.9391135999995</v>
      </c>
      <c r="M223" s="68">
        <v>0.6</v>
      </c>
      <c r="N223" s="69">
        <v>2.1</v>
      </c>
      <c r="O223" s="59">
        <f>(((M223+(2*N223))*MATERIALES!$C$57)+((M223+(2*N223))*MATERIALES!$C$55)+(M223*MATERIALES!$C$59)+(((M223*2)+(N223*2))*MATERIALES!$C$31)+(((M223*2)+(N223))*MATERIALES!$C$32))*(MATERIALES!$F$2*MATERIALES!$J$15)</f>
        <v>0</v>
      </c>
      <c r="P223" s="59">
        <f>(1*MATERIALES!$C$204)+(1*MATERIALES!$C$205)+(3*MATERIALES!$C$207)+(2*MATERIALES!$C$189)+(2*MATERIALES!$C$190)+(2*MATERIALES!$C$191)+(10*MATERIALES!$C$158)+(10*MATERIALES!$C$159)+((M223+(2*N223))*MATERIALES!$C$210)+((M223+(2*N223))*MATERIALES!$C$209)+(((M223*6)+(N223*4))*MATERIALES!$C$166)+(2*MATERIALES!$C$187)+(((M223*5)*2)*MATERIALES!$C$147)+(4*MATERIALES!$C$148)</f>
        <v>4851.0591999999997</v>
      </c>
      <c r="Q223" s="75"/>
      <c r="R223" s="55">
        <f>(M223*N223)*MATERIALES!$D$89</f>
        <v>2255.4</v>
      </c>
      <c r="S223" s="59">
        <f t="shared" si="65"/>
        <v>7106.4591999999993</v>
      </c>
      <c r="T223" s="70">
        <f t="shared" si="66"/>
        <v>9689.47696</v>
      </c>
      <c r="U223" s="787"/>
    </row>
    <row r="224" spans="1:21">
      <c r="A224" s="68">
        <v>0.7</v>
      </c>
      <c r="B224" s="69">
        <v>2.1</v>
      </c>
      <c r="C224" s="59">
        <f>(((A224+(2*B224))*MATERIALES!$C$57)+((A224+(2*B224))*MATERIALES!$C$55)+(A224*MATERIALES!$C$59)+((A224*1)*MATERIALES!$C$58)+((((A224*4)+(B224*2))*MATERIALES!$C$73)*2)+(((A224-0.2)*MATERIALES!$C$30)*((B224-0.36)/0.12)))*(MATERIALES!$F$2*MATERIALES!$J$15)</f>
        <v>0</v>
      </c>
      <c r="D224" s="59">
        <f>(1*MATERIALES!$C$204)+(1*MATERIALES!$C$205)+(3*MATERIALES!$C$207)+(2*MATERIALES!$C$189)+(2*MATERIALES!$C$190)+(2*MATERIALES!$C$191)+(8*MATERIALES!$C$158)+(8*MATERIALES!$C$159)+((A224+(2*B224))*MATERIALES!$C$210)+((A224+(2*B224))*MATERIALES!$C$209)+(((A224*2)*(0.6*2))*MATERIALES!$C$141)+(((A224*2)+(B224*2))*MATERIALES!$C$165)+(0.5*MATERIALES!$C$167)+(2*MATERIALES!$C$187)+(((((A224*4)+(B224*2))/0.1)*MATERIALES!$C$192)*2)+(((A224*5)*2)*MATERIALES!$C$147)+(4*MATERIALES!$C$148)</f>
        <v>5198.4094240000013</v>
      </c>
      <c r="E224" s="75"/>
      <c r="F224" s="55">
        <f>(A224*0.6)*MATERIALES!$D$89</f>
        <v>751.8</v>
      </c>
      <c r="G224" s="59">
        <f t="shared" si="64"/>
        <v>5950.2094240000015</v>
      </c>
      <c r="H224" s="70">
        <f t="shared" si="67"/>
        <v>7885.6322512000015</v>
      </c>
      <c r="M224" s="68">
        <v>0.7</v>
      </c>
      <c r="N224" s="69">
        <v>2.1</v>
      </c>
      <c r="O224" s="59">
        <f>(((M224+(2*N224))*MATERIALES!$C$57)+((M224+(2*N224))*MATERIALES!$C$55)+(M224*MATERIALES!$C$59)+(((M224*2)+(N224*2))*MATERIALES!$C$31)+(((M224*2)+(N224))*MATERIALES!$C$32))*(MATERIALES!$F$2*MATERIALES!$J$15)</f>
        <v>0</v>
      </c>
      <c r="P224" s="59">
        <f>(1*MATERIALES!$C$204)+(1*MATERIALES!$C$205)+(3*MATERIALES!$C$207)+(2*MATERIALES!$C$189)+(2*MATERIALES!$C$190)+(2*MATERIALES!$C$191)+(10*MATERIALES!$C$158)+(10*MATERIALES!$C$159)+((M224+(2*N224))*MATERIALES!$C$210)+((M224+(2*N224))*MATERIALES!$C$209)+(((M224*6)+(N224*4))*MATERIALES!$C$166)+(2*MATERIALES!$C$187)+(((M224*5)*2)*MATERIALES!$C$147)+(4*MATERIALES!$C$148)</f>
        <v>4868.2618400000001</v>
      </c>
      <c r="Q224" s="75"/>
      <c r="R224" s="55">
        <f>(M224*N224)*MATERIALES!$D$89</f>
        <v>2631.2999999999997</v>
      </c>
      <c r="S224" s="59">
        <f t="shared" si="65"/>
        <v>7499.5618400000003</v>
      </c>
      <c r="T224" s="70">
        <f t="shared" si="66"/>
        <v>10275.690392</v>
      </c>
      <c r="U224" s="787"/>
    </row>
    <row r="225" spans="1:21">
      <c r="A225" s="68">
        <v>0.8</v>
      </c>
      <c r="B225" s="69">
        <v>2.1</v>
      </c>
      <c r="C225" s="59">
        <f>(((A225+(2*B225))*MATERIALES!$C$57)+((A225+(2*B225))*MATERIALES!$C$55)+(A225*MATERIALES!$C$59)+((A225*1)*MATERIALES!$C$58)+((((A225*4)+(B225*2))*MATERIALES!$C$73)*2)+(((A225-0.2)*MATERIALES!$C$30)*((B225-0.36)/0.12)))*(MATERIALES!$F$2*MATERIALES!$J$15)</f>
        <v>0</v>
      </c>
      <c r="D225" s="59">
        <f>(1*MATERIALES!$C$204)+(1*MATERIALES!$C$205)+(3*MATERIALES!$C$207)+(2*MATERIALES!$C$189)+(2*MATERIALES!$C$190)+(2*MATERIALES!$C$191)+(8*MATERIALES!$C$158)+(8*MATERIALES!$C$159)+((A225+(2*B225))*MATERIALES!$C$210)+((A225+(2*B225))*MATERIALES!$C$209)+(((A225*2)*(0.6*2))*MATERIALES!$C$141)+(((A225*2)+(B225*2))*MATERIALES!$C$165)+(0.5*MATERIALES!$C$167)+(2*MATERIALES!$C$187)+(((((A225*4)+(B225*2))/0.1)*MATERIALES!$C$192)*2)+(((A225*5)*2)*MATERIALES!$C$147)+(4*MATERIALES!$C$148)</f>
        <v>5231.1733760000006</v>
      </c>
      <c r="E225" s="75"/>
      <c r="F225" s="55">
        <f>(A225*0.6)*MATERIALES!$D$89</f>
        <v>859.19999999999993</v>
      </c>
      <c r="G225" s="59">
        <f t="shared" si="64"/>
        <v>6090.3733760000005</v>
      </c>
      <c r="H225" s="70">
        <f t="shared" si="67"/>
        <v>8089.3253888000008</v>
      </c>
      <c r="M225" s="68">
        <v>0.8</v>
      </c>
      <c r="N225" s="69">
        <v>2.1</v>
      </c>
      <c r="O225" s="59">
        <f>(((M225+(2*N225))*MATERIALES!$C$57)+((M225+(2*N225))*MATERIALES!$C$55)+(M225*MATERIALES!$C$59)+(((M225*2)+(N225*2))*MATERIALES!$C$31)+(((M225*2)+(N225))*MATERIALES!$C$32))*(MATERIALES!$F$2*MATERIALES!$J$15)</f>
        <v>0</v>
      </c>
      <c r="P225" s="59">
        <f>(1*MATERIALES!$C$204)+(1*MATERIALES!$C$205)+(3*MATERIALES!$C$207)+(2*MATERIALES!$C$189)+(2*MATERIALES!$C$190)+(2*MATERIALES!$C$191)+(10*MATERIALES!$C$158)+(10*MATERIALES!$C$159)+((M225+(2*N225))*MATERIALES!$C$210)+((M225+(2*N225))*MATERIALES!$C$209)+(((M225*6)+(N225*4))*MATERIALES!$C$166)+(2*MATERIALES!$C$187)+(((M225*5)*2)*MATERIALES!$C$147)+(4*MATERIALES!$C$148)</f>
        <v>4885.4644800000005</v>
      </c>
      <c r="Q225" s="75"/>
      <c r="R225" s="55">
        <f>(M225*N225)*MATERIALES!$D$89</f>
        <v>3007.2000000000003</v>
      </c>
      <c r="S225" s="59">
        <f t="shared" si="65"/>
        <v>7892.6644800000013</v>
      </c>
      <c r="T225" s="70">
        <f t="shared" si="66"/>
        <v>10861.903824000001</v>
      </c>
      <c r="U225" s="787"/>
    </row>
    <row r="226" spans="1:21" ht="15.75" thickBot="1">
      <c r="A226" s="71">
        <v>0.9</v>
      </c>
      <c r="B226" s="72">
        <v>2.1</v>
      </c>
      <c r="C226" s="60">
        <f>(((A226+(2*B226))*MATERIALES!$C$57)+((A226+(2*B226))*MATERIALES!$C$55)+(A226*MATERIALES!$C$59)+((A226*1)*MATERIALES!$C$58)+((((A226*4)+(B226*2))*MATERIALES!$C$73)*2)+(((A226-0.2)*MATERIALES!$C$30)*((B226-0.36)/0.12)))*(MATERIALES!$F$2*MATERIALES!$J$15)</f>
        <v>0</v>
      </c>
      <c r="D226" s="60">
        <f>(1*MATERIALES!$C$204)+(1*MATERIALES!$C$205)+(3*MATERIALES!$C$207)+(2*MATERIALES!$C$189)+(2*MATERIALES!$C$190)+(2*MATERIALES!$C$191)+(8*MATERIALES!$C$158)+(8*MATERIALES!$C$159)+((A226+(2*B226))*MATERIALES!$C$210)+((A226+(2*B226))*MATERIALES!$C$209)+(((A226*2)*(0.6*2))*MATERIALES!$C$141)+(((A226*2)+(B226*2))*MATERIALES!$C$165)+(0.5*MATERIALES!$C$167)+(2*MATERIALES!$C$187)+(((((A226*4)+(B226*2))/0.1)*MATERIALES!$C$192)*2)+(((A226*5)*2)*MATERIALES!$C$147)+(4*MATERIALES!$C$148)</f>
        <v>5263.9373279999991</v>
      </c>
      <c r="E226" s="76"/>
      <c r="F226" s="56">
        <f>(A226*0.6)*MATERIALES!$D$89</f>
        <v>966.6</v>
      </c>
      <c r="G226" s="60">
        <f t="shared" si="64"/>
        <v>6230.5373279999994</v>
      </c>
      <c r="H226" s="73">
        <f>(SUM(C226:E226)*1.3)+(F226*1.5)</f>
        <v>8293.0185263999992</v>
      </c>
      <c r="M226" s="71">
        <v>0.9</v>
      </c>
      <c r="N226" s="72">
        <v>2.1</v>
      </c>
      <c r="O226" s="60">
        <f>(((M226+(2*N226))*MATERIALES!$C$57)+((M226+(2*N226))*MATERIALES!$C$55)+(M226*MATERIALES!$C$59)+(((M226*2)+(N226*2))*MATERIALES!$C$31)+(((M226*2)+(N226))*MATERIALES!$C$32))*(MATERIALES!$F$2*MATERIALES!$J$15)</f>
        <v>0</v>
      </c>
      <c r="P226" s="60">
        <f>(1*MATERIALES!$C$204)+(1*MATERIALES!$C$205)+(3*MATERIALES!$C$207)+(2*MATERIALES!$C$189)+(2*MATERIALES!$C$190)+(2*MATERIALES!$C$191)+(10*MATERIALES!$C$158)+(10*MATERIALES!$C$159)+((M226+(2*N226))*MATERIALES!$C$210)+((M226+(2*N226))*MATERIALES!$C$209)+(((M226*6)+(N226*4))*MATERIALES!$C$166)+(2*MATERIALES!$C$187)+(((M226*5)*2)*MATERIALES!$C$147)+(4*MATERIALES!$C$148)</f>
        <v>4902.6671199999992</v>
      </c>
      <c r="Q226" s="76"/>
      <c r="R226" s="56">
        <f>(M226*N226)*MATERIALES!$D$89</f>
        <v>3383.1000000000004</v>
      </c>
      <c r="S226" s="60">
        <f t="shared" si="65"/>
        <v>8285.7671200000004</v>
      </c>
      <c r="T226" s="73">
        <f t="shared" si="66"/>
        <v>11448.117256</v>
      </c>
      <c r="U226" s="788"/>
    </row>
    <row r="228" spans="1:21" ht="15.75" thickBot="1">
      <c r="O228" s="78"/>
    </row>
    <row r="229" spans="1:21" ht="15.75" thickBot="1">
      <c r="A229" s="32"/>
      <c r="B229" s="32"/>
      <c r="C229" s="801">
        <v>0.3</v>
      </c>
      <c r="D229" s="802"/>
      <c r="E229" s="803"/>
      <c r="F229" s="61">
        <v>0.5</v>
      </c>
      <c r="G229" s="32"/>
      <c r="H229" s="46" t="s">
        <v>163</v>
      </c>
      <c r="M229" s="32"/>
      <c r="N229" s="32"/>
      <c r="O229" s="801">
        <v>0.3</v>
      </c>
      <c r="P229" s="802"/>
      <c r="Q229" s="803"/>
      <c r="R229" s="61">
        <v>0.5</v>
      </c>
      <c r="S229" s="32"/>
      <c r="T229" s="46" t="s">
        <v>163</v>
      </c>
    </row>
    <row r="230" spans="1:21" ht="15.75" thickBot="1">
      <c r="A230" s="792" t="s">
        <v>683</v>
      </c>
      <c r="B230" s="793"/>
      <c r="C230" s="793"/>
      <c r="D230" s="793"/>
      <c r="E230" s="793"/>
      <c r="F230" s="793"/>
      <c r="G230" s="793"/>
      <c r="H230" s="794"/>
      <c r="M230" s="792" t="s">
        <v>690</v>
      </c>
      <c r="N230" s="793"/>
      <c r="O230" s="793"/>
      <c r="P230" s="793"/>
      <c r="Q230" s="793"/>
      <c r="R230" s="793"/>
      <c r="S230" s="793"/>
      <c r="T230" s="794"/>
      <c r="U230" s="882" t="s">
        <v>254</v>
      </c>
    </row>
    <row r="231" spans="1:21" ht="15.75" thickBot="1">
      <c r="A231" s="36" t="s">
        <v>116</v>
      </c>
      <c r="B231" s="36" t="s">
        <v>117</v>
      </c>
      <c r="C231" s="36" t="s">
        <v>162</v>
      </c>
      <c r="D231" s="36" t="s">
        <v>119</v>
      </c>
      <c r="E231" s="36" t="s">
        <v>120</v>
      </c>
      <c r="F231" s="36" t="s">
        <v>118</v>
      </c>
      <c r="G231" s="36" t="s">
        <v>121</v>
      </c>
      <c r="H231" s="36" t="s">
        <v>122</v>
      </c>
      <c r="M231" s="36" t="s">
        <v>116</v>
      </c>
      <c r="N231" s="36" t="s">
        <v>117</v>
      </c>
      <c r="O231" s="36" t="s">
        <v>162</v>
      </c>
      <c r="P231" s="36" t="s">
        <v>119</v>
      </c>
      <c r="Q231" s="36" t="s">
        <v>120</v>
      </c>
      <c r="R231" s="36" t="s">
        <v>118</v>
      </c>
      <c r="S231" s="36" t="s">
        <v>121</v>
      </c>
      <c r="T231" s="36" t="s">
        <v>122</v>
      </c>
      <c r="U231" s="883"/>
    </row>
    <row r="232" spans="1:21" ht="15.75" thickBot="1">
      <c r="A232" s="795"/>
      <c r="B232" s="796"/>
      <c r="C232" s="796"/>
      <c r="D232" s="796"/>
      <c r="E232" s="796"/>
      <c r="F232" s="796"/>
      <c r="G232" s="796"/>
      <c r="H232" s="797"/>
      <c r="M232" s="795"/>
      <c r="N232" s="796"/>
      <c r="O232" s="796"/>
      <c r="P232" s="796"/>
      <c r="Q232" s="796"/>
      <c r="R232" s="796"/>
      <c r="S232" s="796"/>
      <c r="T232" s="797"/>
      <c r="U232" s="883"/>
    </row>
    <row r="233" spans="1:21">
      <c r="A233" s="65">
        <v>0.6</v>
      </c>
      <c r="B233" s="66">
        <v>2</v>
      </c>
      <c r="C233" s="58">
        <f>(((A233+(2*B233))*MATERIALES!$C$57)+((A233+(2*B233))*MATERIALES!$C$55)+(A233*MATERIALES!$C$59)+(((A233*1)+(0.6*2))*MATERIALES!$C$58)+((((A233*4)+(B233*2)+(0.6*4))*MATERIALES!$C$73)*2)+(((A233-0.2)*MATERIALES!$C$30)*((B233-0.36)/0.12)))*(MATERIALES!$F$2*MATERIALES!$J$15)</f>
        <v>0</v>
      </c>
      <c r="D233" s="58">
        <f>(1*MATERIALES!$C$204)+(1*MATERIALES!$C$205)+(3*MATERIALES!$C$207)+(2*MATERIALES!$C$189)+(2*MATERIALES!$C$190)+(2*MATERIALES!$C$191)+(16*MATERIALES!$C$158)+(16*MATERIALES!$C$159)+((A233+(2*B233))*MATERIALES!$C$210)+((A233+(2*B233))*MATERIALES!$C$209)+(((A233*2)*(0.6*6))*MATERIALES!$C$141)+(((A233*2)+(B233*2))*MATERIALES!$C$165)+(0.5*MATERIALES!$C$167)+(2*MATERIALES!$C$187)+(((((A233*4)+(0.6*4)+(B233*2))/0.1)*MATERIALES!$C$192)*2)+(((A233*5)*2)*MATERIALES!$C$147)+(4*MATERIALES!$C$148)</f>
        <v>5427.7708160000002</v>
      </c>
      <c r="E233" s="74"/>
      <c r="F233" s="54">
        <f>(A233*0.6)*MATERIALES!$D$89</f>
        <v>644.4</v>
      </c>
      <c r="G233" s="58">
        <f>SUM(C233:F233)</f>
        <v>6072.1708159999998</v>
      </c>
      <c r="H233" s="67">
        <f>(SUM(C233:E233)*1.3)+(F233*1.5)</f>
        <v>8022.7020608000003</v>
      </c>
      <c r="M233" s="65">
        <v>0.6</v>
      </c>
      <c r="N233" s="66">
        <v>2</v>
      </c>
      <c r="O233" s="58">
        <f>(((M233+(2*N233))*MATERIALES!$C$57)+((M233+(2*N233))*MATERIALES!$C$55)+(M233*MATERIALES!$C$59)+(M233*MATERIALES!$C$58)+(((M233*2)+(N233*2))*MATERIALES!$C$31)+(((M233*2)+(N233))*MATERIALES!$C$32)+(((M233-0.2)*MATERIALES!$C$30)*((N233/3)/0.12))+((((M233*2)+((N233/3)*2))*MATERIALES!$C$73)*2))*(MATERIALES!$F$2*MATERIALES!$J$15)</f>
        <v>0</v>
      </c>
      <c r="P233" s="58">
        <f>(1*MATERIALES!$C$204)+(1*MATERIALES!$C$205)+(3*MATERIALES!$C$207)+(2*MATERIALES!$C$189)+(2*MATERIALES!$C$190)+(2*MATERIALES!$C$191)+(14*MATERIALES!$C$158)+(14*MATERIALES!$C$159)+((M233+(2*N233))*MATERIALES!$C$210)+((M233+(2*N233))*MATERIALES!$C$209)+(((M233*6)+(N233*4))*MATERIALES!$C$166)+(((M233*2)+((N233/3)*2))*MATERIALES!$C$165)+(2*MATERIALES!$C$187)+(((((M233*2)+((N233/3)*2))/0.1)*MATERIALES!$C$192)*2)+(((M233*5)*2)*MATERIALES!$C$147)+(4*MATERIALES!$C$148)</f>
        <v>5056.7608</v>
      </c>
      <c r="Q233" s="74"/>
      <c r="R233" s="54">
        <f>(M233*N233)*MATERIALES!$D$89</f>
        <v>2148</v>
      </c>
      <c r="S233" s="58">
        <f>SUM(O233:R233)</f>
        <v>7204.7608</v>
      </c>
      <c r="T233" s="67">
        <f>(SUM(O233:Q233)*1.3)+(R233*1.5)</f>
        <v>9795.7890399999997</v>
      </c>
      <c r="U233" s="787"/>
    </row>
    <row r="234" spans="1:21">
      <c r="A234" s="68">
        <v>0.7</v>
      </c>
      <c r="B234" s="69">
        <v>2</v>
      </c>
      <c r="C234" s="59">
        <f>(((A234+(2*B234))*MATERIALES!$C$57)+((A234+(2*B234))*MATERIALES!$C$55)+(A234*MATERIALES!$C$59)+(((A234*1)+(0.6*2))*MATERIALES!$C$58)+((((A234*4)+(B234*2)+(0.6*4))*MATERIALES!$C$73)*2)+(((A234-0.2)*MATERIALES!$C$30)*((B234-0.36)/0.12)))*(MATERIALES!$F$2*MATERIALES!$J$15)</f>
        <v>0</v>
      </c>
      <c r="D234" s="59">
        <f>(1*MATERIALES!$C$204)+(1*MATERIALES!$C$205)+(3*MATERIALES!$C$207)+(2*MATERIALES!$C$189)+(2*MATERIALES!$C$190)+(2*MATERIALES!$C$191)+(16*MATERIALES!$C$158)+(16*MATERIALES!$C$159)+((A234+(2*B234))*MATERIALES!$C$210)+((A234+(2*B234))*MATERIALES!$C$209)+(((A234*2)*(0.6*6))*MATERIALES!$C$141)+(((A234*2)+(B234*2))*MATERIALES!$C$165)+(0.5*MATERIALES!$C$167)+(2*MATERIALES!$C$187)+(((((A234*4)+(0.6*4)+(B234*2))/0.1)*MATERIALES!$C$192)*2)+(((A234*5)*2)*MATERIALES!$C$147)+(4*MATERIALES!$C$148)</f>
        <v>5470.7783519999984</v>
      </c>
      <c r="E234" s="75"/>
      <c r="F234" s="55">
        <f>(A234*0.6)*MATERIALES!$D$89</f>
        <v>751.8</v>
      </c>
      <c r="G234" s="59">
        <f t="shared" ref="G234:G240" si="68">SUM(C234:F234)</f>
        <v>6222.5783519999986</v>
      </c>
      <c r="H234" s="70">
        <f t="shared" ref="H234:H240" si="69">(SUM(C234:E234)*1.3)+(F234*1.5)</f>
        <v>8239.7118575999993</v>
      </c>
      <c r="M234" s="68">
        <v>0.7</v>
      </c>
      <c r="N234" s="69">
        <v>2</v>
      </c>
      <c r="O234" s="59">
        <f>(((M234+(2*N234))*MATERIALES!$C$57)+((M234+(2*N234))*MATERIALES!$C$55)+(M234*MATERIALES!$C$59)+(M234*MATERIALES!$C$58)+(((M234*2)+(N234*2))*MATERIALES!$C$31)+(((M234*2)+(N234))*MATERIALES!$C$32)+(((M234-0.2)*MATERIALES!$C$30)*((N234/3)/0.12))+((((M234*2)+((N234/3)*2))*MATERIALES!$C$73)*2))*(MATERIALES!$F$2*MATERIALES!$J$15)</f>
        <v>0</v>
      </c>
      <c r="P234" s="59">
        <f>(1*MATERIALES!$C$204)+(1*MATERIALES!$C$205)+(3*MATERIALES!$C$207)+(2*MATERIALES!$C$189)+(2*MATERIALES!$C$190)+(2*MATERIALES!$C$191)+(14*MATERIALES!$C$158)+(14*MATERIALES!$C$159)+((M234+(2*N234))*MATERIALES!$C$210)+((M234+(2*N234))*MATERIALES!$C$209)+(((M234*6)+(N234*4))*MATERIALES!$C$166)+(((M234*2)+((N234/3)*2))*MATERIALES!$C$165)+(2*MATERIALES!$C$187)+(((((M234*2)+((N234/3)*2))/0.1)*MATERIALES!$C$192)*2)+(((M234*5)*2)*MATERIALES!$C$147)+(4*MATERIALES!$C$148)</f>
        <v>5086.9675999999981</v>
      </c>
      <c r="Q234" s="75"/>
      <c r="R234" s="55">
        <f>(M234*N234)*MATERIALES!$D$89</f>
        <v>2506</v>
      </c>
      <c r="S234" s="59">
        <f t="shared" ref="S234:S240" si="70">SUM(O234:R234)</f>
        <v>7592.9675999999981</v>
      </c>
      <c r="T234" s="70">
        <f t="shared" ref="T234:T240" si="71">(SUM(O234:Q234)*1.3)+(R234*1.5)</f>
        <v>10372.057879999997</v>
      </c>
      <c r="U234" s="787"/>
    </row>
    <row r="235" spans="1:21">
      <c r="A235" s="68">
        <v>0.8</v>
      </c>
      <c r="B235" s="69">
        <v>2</v>
      </c>
      <c r="C235" s="59">
        <f>(((A235+(2*B235))*MATERIALES!$C$57)+((A235+(2*B235))*MATERIALES!$C$55)+(A235*MATERIALES!$C$59)+(((A235*1)+(0.6*2))*MATERIALES!$C$58)+((((A235*4)+(B235*2)+(0.6*4))*MATERIALES!$C$73)*2)+(((A235-0.2)*MATERIALES!$C$30)*((B235-0.36)/0.12)))*(MATERIALES!$F$2*MATERIALES!$J$15)</f>
        <v>0</v>
      </c>
      <c r="D235" s="59">
        <f>(1*MATERIALES!$C$204)+(1*MATERIALES!$C$205)+(3*MATERIALES!$C$207)+(2*MATERIALES!$C$189)+(2*MATERIALES!$C$190)+(2*MATERIALES!$C$191)+(16*MATERIALES!$C$158)+(16*MATERIALES!$C$159)+((A235+(2*B235))*MATERIALES!$C$210)+((A235+(2*B235))*MATERIALES!$C$209)+(((A235*2)*(0.6*6))*MATERIALES!$C$141)+(((A235*2)+(B235*2))*MATERIALES!$C$165)+(0.5*MATERIALES!$C$167)+(2*MATERIALES!$C$187)+(((((A235*4)+(0.6*4)+(B235*2))/0.1)*MATERIALES!$C$192)*2)+(((A235*5)*2)*MATERIALES!$C$147)+(4*MATERIALES!$C$148)</f>
        <v>5513.7858880000003</v>
      </c>
      <c r="E235" s="75"/>
      <c r="F235" s="55">
        <f>(A235*0.6)*MATERIALES!$D$89</f>
        <v>859.19999999999993</v>
      </c>
      <c r="G235" s="59">
        <f t="shared" si="68"/>
        <v>6372.9858880000002</v>
      </c>
      <c r="H235" s="70">
        <f t="shared" si="69"/>
        <v>8456.7216544000003</v>
      </c>
      <c r="M235" s="68">
        <v>0.8</v>
      </c>
      <c r="N235" s="69">
        <v>2</v>
      </c>
      <c r="O235" s="59">
        <f>(((M235+(2*N235))*MATERIALES!$C$57)+((M235+(2*N235))*MATERIALES!$C$55)+(M235*MATERIALES!$C$59)+(M235*MATERIALES!$C$58)+(((M235*2)+(N235*2))*MATERIALES!$C$31)+(((M235*2)+(N235))*MATERIALES!$C$32)+(((M235-0.2)*MATERIALES!$C$30)*((N235/3)/0.12))+((((M235*2)+((N235/3)*2))*MATERIALES!$C$73)*2))*(MATERIALES!$F$2*MATERIALES!$J$15)</f>
        <v>0</v>
      </c>
      <c r="P235" s="59">
        <f>(1*MATERIALES!$C$204)+(1*MATERIALES!$C$205)+(3*MATERIALES!$C$207)+(2*MATERIALES!$C$189)+(2*MATERIALES!$C$190)+(2*MATERIALES!$C$191)+(14*MATERIALES!$C$158)+(14*MATERIALES!$C$159)+((M235+(2*N235))*MATERIALES!$C$210)+((M235+(2*N235))*MATERIALES!$C$209)+(((M235*6)+(N235*4))*MATERIALES!$C$166)+(((M235*2)+((N235/3)*2))*MATERIALES!$C$165)+(2*MATERIALES!$C$187)+(((((M235*2)+((N235/3)*2))/0.1)*MATERIALES!$C$192)*2)+(((M235*5)*2)*MATERIALES!$C$147)+(4*MATERIALES!$C$148)</f>
        <v>5117.1743999999999</v>
      </c>
      <c r="Q235" s="75"/>
      <c r="R235" s="55">
        <f>(M235*N235)*MATERIALES!$D$89</f>
        <v>2864</v>
      </c>
      <c r="S235" s="59">
        <f t="shared" si="70"/>
        <v>7981.1743999999999</v>
      </c>
      <c r="T235" s="70">
        <f t="shared" si="71"/>
        <v>10948.326720000001</v>
      </c>
      <c r="U235" s="787"/>
    </row>
    <row r="236" spans="1:21">
      <c r="A236" s="68">
        <v>0.9</v>
      </c>
      <c r="B236" s="69">
        <v>2</v>
      </c>
      <c r="C236" s="59">
        <f>(((A236+(2*B236))*MATERIALES!$C$57)+((A236+(2*B236))*MATERIALES!$C$55)+(A236*MATERIALES!$C$59)+(((A236*1)+(0.6*2))*MATERIALES!$C$58)+((((A236*4)+(B236*2)+(0.6*4))*MATERIALES!$C$73)*2)+(((A236-0.2)*MATERIALES!$C$30)*((B236-0.36)/0.12)))*(MATERIALES!$F$2*MATERIALES!$J$15)</f>
        <v>0</v>
      </c>
      <c r="D236" s="59">
        <f>(1*MATERIALES!$C$204)+(1*MATERIALES!$C$205)+(3*MATERIALES!$C$207)+(2*MATERIALES!$C$189)+(2*MATERIALES!$C$190)+(2*MATERIALES!$C$191)+(16*MATERIALES!$C$158)+(16*MATERIALES!$C$159)+((A236+(2*B236))*MATERIALES!$C$210)+((A236+(2*B236))*MATERIALES!$C$209)+(((A236*2)*(0.6*6))*MATERIALES!$C$141)+(((A236*2)+(B236*2))*MATERIALES!$C$165)+(0.5*MATERIALES!$C$167)+(2*MATERIALES!$C$187)+(((((A236*4)+(0.6*4)+(B236*2))/0.1)*MATERIALES!$C$192)*2)+(((A236*5)*2)*MATERIALES!$C$147)+(4*MATERIALES!$C$148)</f>
        <v>5556.7934240000004</v>
      </c>
      <c r="E236" s="75"/>
      <c r="F236" s="55">
        <f>(A236*0.6)*MATERIALES!$D$89</f>
        <v>966.6</v>
      </c>
      <c r="G236" s="59">
        <f t="shared" si="68"/>
        <v>6523.3934240000008</v>
      </c>
      <c r="H236" s="70">
        <f t="shared" si="69"/>
        <v>8673.7314512000012</v>
      </c>
      <c r="M236" s="68">
        <v>0.9</v>
      </c>
      <c r="N236" s="69">
        <v>2</v>
      </c>
      <c r="O236" s="59">
        <f>(((M236+(2*N236))*MATERIALES!$C$57)+((M236+(2*N236))*MATERIALES!$C$55)+(M236*MATERIALES!$C$59)+(M236*MATERIALES!$C$58)+(((M236*2)+(N236*2))*MATERIALES!$C$31)+(((M236*2)+(N236))*MATERIALES!$C$32)+(((M236-0.2)*MATERIALES!$C$30)*((N236/3)/0.12))+((((M236*2)+((N236/3)*2))*MATERIALES!$C$73)*2))*(MATERIALES!$F$2*MATERIALES!$J$15)</f>
        <v>0</v>
      </c>
      <c r="P236" s="59">
        <f>(1*MATERIALES!$C$204)+(1*MATERIALES!$C$205)+(3*MATERIALES!$C$207)+(2*MATERIALES!$C$189)+(2*MATERIALES!$C$190)+(2*MATERIALES!$C$191)+(14*MATERIALES!$C$158)+(14*MATERIALES!$C$159)+((M236+(2*N236))*MATERIALES!$C$210)+((M236+(2*N236))*MATERIALES!$C$209)+(((M236*6)+(N236*4))*MATERIALES!$C$166)+(((M236*2)+((N236/3)*2))*MATERIALES!$C$165)+(2*MATERIALES!$C$187)+(((((M236*2)+((N236/3)*2))/0.1)*MATERIALES!$C$192)*2)+(((M236*5)*2)*MATERIALES!$C$147)+(4*MATERIALES!$C$148)</f>
        <v>5147.3811999999998</v>
      </c>
      <c r="Q236" s="75"/>
      <c r="R236" s="55">
        <f>(M236*N236)*MATERIALES!$D$89</f>
        <v>3222</v>
      </c>
      <c r="S236" s="59">
        <f t="shared" si="70"/>
        <v>8369.3811999999998</v>
      </c>
      <c r="T236" s="70">
        <f t="shared" si="71"/>
        <v>11524.59556</v>
      </c>
      <c r="U236" s="787"/>
    </row>
    <row r="237" spans="1:21">
      <c r="A237" s="68">
        <v>0.6</v>
      </c>
      <c r="B237" s="69">
        <v>2.1</v>
      </c>
      <c r="C237" s="59">
        <f>(((A237+(2*B237))*MATERIALES!$C$57)+((A237+(2*B237))*MATERIALES!$C$55)+(A237*MATERIALES!$C$59)+(((A237*1)+(0.6*2))*MATERIALES!$C$58)+((((A237*4)+(B237*2)+(0.6*4))*MATERIALES!$C$73)*2)+(((A237-0.2)*MATERIALES!$C$30)*((B237-0.36)/0.12)))*(MATERIALES!$F$2*MATERIALES!$J$15)</f>
        <v>0</v>
      </c>
      <c r="D237" s="59">
        <f>(1*MATERIALES!$C$204)+(1*MATERIALES!$C$205)+(3*MATERIALES!$C$207)+(2*MATERIALES!$C$189)+(2*MATERIALES!$C$190)+(2*MATERIALES!$C$191)+(16*MATERIALES!$C$158)+(16*MATERIALES!$C$159)+((A237+(2*B237))*MATERIALES!$C$210)+((A237+(2*B237))*MATERIALES!$C$209)+(((A237*2)*(0.6*6))*MATERIALES!$C$141)+(((A237*2)+(B237*2))*MATERIALES!$C$165)+(0.5*MATERIALES!$C$167)+(2*MATERIALES!$C$187)+(((((A237*4)+(0.6*4)+(B237*2))/0.1)*MATERIALES!$C$192)*2)+(((A237*5)*2)*MATERIALES!$C$147)+(4*MATERIALES!$C$148)</f>
        <v>5452.5789759999998</v>
      </c>
      <c r="E237" s="75"/>
      <c r="F237" s="55">
        <f>(A237*0.6)*MATERIALES!$D$89</f>
        <v>644.4</v>
      </c>
      <c r="G237" s="59">
        <f t="shared" si="68"/>
        <v>6096.9789759999994</v>
      </c>
      <c r="H237" s="70">
        <f t="shared" si="69"/>
        <v>8054.9526688000005</v>
      </c>
      <c r="M237" s="68">
        <v>0.6</v>
      </c>
      <c r="N237" s="69">
        <v>2.1</v>
      </c>
      <c r="O237" s="59">
        <f>(((M237+(2*N237))*MATERIALES!$C$57)+((M237+(2*N237))*MATERIALES!$C$55)+(M237*MATERIALES!$C$59)+(M237*MATERIALES!$C$58)+(((M237*2)+(N237*2))*MATERIALES!$C$31)+(((M237*2)+(N237))*MATERIALES!$C$32)+(((M237-0.2)*MATERIALES!$C$30)*((N237/3)/0.12))+((((M237*2)+((N237/3)*2))*MATERIALES!$C$73)*2))*(MATERIALES!$F$2*MATERIALES!$J$15)</f>
        <v>0</v>
      </c>
      <c r="P237" s="59">
        <f>(1*MATERIALES!$C$204)+(1*MATERIALES!$C$205)+(3*MATERIALES!$C$207)+(2*MATERIALES!$C$189)+(2*MATERIALES!$C$190)+(2*MATERIALES!$C$191)+(14*MATERIALES!$C$158)+(14*MATERIALES!$C$159)+((M237+(2*N237))*MATERIALES!$C$210)+((M237+(2*N237))*MATERIALES!$C$209)+(((M237*6)+(N237*4))*MATERIALES!$C$166)+(((M237*2)+((N237/3)*2))*MATERIALES!$C$165)+(2*MATERIALES!$C$187)+(((((M237*2)+((N237/3)*2))/0.1)*MATERIALES!$C$192)*2)+(((M237*5)*2)*MATERIALES!$C$147)+(4*MATERIALES!$C$148)</f>
        <v>5080.4332799999993</v>
      </c>
      <c r="Q237" s="75"/>
      <c r="R237" s="55">
        <f>(M237*N237)*MATERIALES!$D$89</f>
        <v>2255.4</v>
      </c>
      <c r="S237" s="59">
        <f t="shared" si="70"/>
        <v>7335.8332799999989</v>
      </c>
      <c r="T237" s="70">
        <f t="shared" si="71"/>
        <v>9987.6632639999989</v>
      </c>
      <c r="U237" s="787"/>
    </row>
    <row r="238" spans="1:21">
      <c r="A238" s="68">
        <v>0.7</v>
      </c>
      <c r="B238" s="69">
        <v>2.1</v>
      </c>
      <c r="C238" s="59">
        <f>(((A238+(2*B238))*MATERIALES!$C$57)+((A238+(2*B238))*MATERIALES!$C$55)+(A238*MATERIALES!$C$59)+(((A238*1)+(0.6*2))*MATERIALES!$C$58)+((((A238*4)+(B238*2)+(0.6*4))*MATERIALES!$C$73)*2)+(((A238-0.2)*MATERIALES!$C$30)*((B238-0.36)/0.12)))*(MATERIALES!$F$2*MATERIALES!$J$15)</f>
        <v>0</v>
      </c>
      <c r="D238" s="59">
        <f>(1*MATERIALES!$C$204)+(1*MATERIALES!$C$205)+(3*MATERIALES!$C$207)+(2*MATERIALES!$C$189)+(2*MATERIALES!$C$190)+(2*MATERIALES!$C$191)+(16*MATERIALES!$C$158)+(16*MATERIALES!$C$159)+((A238+(2*B238))*MATERIALES!$C$210)+((A238+(2*B238))*MATERIALES!$C$209)+(((A238*2)*(0.6*6))*MATERIALES!$C$141)+(((A238*2)+(B238*2))*MATERIALES!$C$165)+(0.5*MATERIALES!$C$167)+(2*MATERIALES!$C$187)+(((((A238*4)+(0.6*4)+(B238*2))/0.1)*MATERIALES!$C$192)*2)+(((A238*5)*2)*MATERIALES!$C$147)+(4*MATERIALES!$C$148)</f>
        <v>5495.5865119999999</v>
      </c>
      <c r="E238" s="75"/>
      <c r="F238" s="55">
        <f>(A238*0.6)*MATERIALES!$D$89</f>
        <v>751.8</v>
      </c>
      <c r="G238" s="59">
        <f t="shared" si="68"/>
        <v>6247.386512</v>
      </c>
      <c r="H238" s="70">
        <f t="shared" si="69"/>
        <v>8271.9624655999996</v>
      </c>
      <c r="M238" s="68">
        <v>0.7</v>
      </c>
      <c r="N238" s="69">
        <v>2.1</v>
      </c>
      <c r="O238" s="59">
        <f>(((M238+(2*N238))*MATERIALES!$C$57)+((M238+(2*N238))*MATERIALES!$C$55)+(M238*MATERIALES!$C$59)+(M238*MATERIALES!$C$58)+(((M238*2)+(N238*2))*MATERIALES!$C$31)+(((M238*2)+(N238))*MATERIALES!$C$32)+(((M238-0.2)*MATERIALES!$C$30)*((N238/3)/0.12))+((((M238*2)+((N238/3)*2))*MATERIALES!$C$73)*2))*(MATERIALES!$F$2*MATERIALES!$J$15)</f>
        <v>0</v>
      </c>
      <c r="P238" s="59">
        <f>(1*MATERIALES!$C$204)+(1*MATERIALES!$C$205)+(3*MATERIALES!$C$207)+(2*MATERIALES!$C$189)+(2*MATERIALES!$C$190)+(2*MATERIALES!$C$191)+(14*MATERIALES!$C$158)+(14*MATERIALES!$C$159)+((M238+(2*N238))*MATERIALES!$C$210)+((M238+(2*N238))*MATERIALES!$C$209)+(((M238*6)+(N238*4))*MATERIALES!$C$166)+(((M238*2)+((N238/3)*2))*MATERIALES!$C$165)+(2*MATERIALES!$C$187)+(((((M238*2)+((N238/3)*2))/0.1)*MATERIALES!$C$192)*2)+(((M238*5)*2)*MATERIALES!$C$147)+(4*MATERIALES!$C$148)</f>
        <v>5110.6400800000001</v>
      </c>
      <c r="Q238" s="75"/>
      <c r="R238" s="55">
        <f>(M238*N238)*MATERIALES!$D$89</f>
        <v>2631.2999999999997</v>
      </c>
      <c r="S238" s="59">
        <f t="shared" si="70"/>
        <v>7741.9400800000003</v>
      </c>
      <c r="T238" s="70">
        <f t="shared" si="71"/>
        <v>10590.782104</v>
      </c>
      <c r="U238" s="787"/>
    </row>
    <row r="239" spans="1:21">
      <c r="A239" s="68">
        <v>0.8</v>
      </c>
      <c r="B239" s="69">
        <v>2.1</v>
      </c>
      <c r="C239" s="59">
        <f>(((A239+(2*B239))*MATERIALES!$C$57)+((A239+(2*B239))*MATERIALES!$C$55)+(A239*MATERIALES!$C$59)+(((A239*1)+(0.6*2))*MATERIALES!$C$58)+((((A239*4)+(B239*2)+(0.6*4))*MATERIALES!$C$73)*2)+(((A239-0.2)*MATERIALES!$C$30)*((B239-0.36)/0.12)))*(MATERIALES!$F$2*MATERIALES!$J$15)</f>
        <v>0</v>
      </c>
      <c r="D239" s="59">
        <f>(1*MATERIALES!$C$204)+(1*MATERIALES!$C$205)+(3*MATERIALES!$C$207)+(2*MATERIALES!$C$189)+(2*MATERIALES!$C$190)+(2*MATERIALES!$C$191)+(16*MATERIALES!$C$158)+(16*MATERIALES!$C$159)+((A239+(2*B239))*MATERIALES!$C$210)+((A239+(2*B239))*MATERIALES!$C$209)+(((A239*2)*(0.6*6))*MATERIALES!$C$141)+(((A239*2)+(B239*2))*MATERIALES!$C$165)+(0.5*MATERIALES!$C$167)+(2*MATERIALES!$C$187)+(((((A239*4)+(0.6*4)+(B239*2))/0.1)*MATERIALES!$C$192)*2)+(((A239*5)*2)*MATERIALES!$C$147)+(4*MATERIALES!$C$148)</f>
        <v>5538.5940479999999</v>
      </c>
      <c r="E239" s="75"/>
      <c r="F239" s="55">
        <f>(A239*0.6)*MATERIALES!$D$89</f>
        <v>859.19999999999993</v>
      </c>
      <c r="G239" s="59">
        <f t="shared" si="68"/>
        <v>6397.7940479999997</v>
      </c>
      <c r="H239" s="70">
        <f t="shared" si="69"/>
        <v>8488.9722624000005</v>
      </c>
      <c r="M239" s="68">
        <v>0.8</v>
      </c>
      <c r="N239" s="69">
        <v>2.1</v>
      </c>
      <c r="O239" s="59">
        <f>(((M239+(2*N239))*MATERIALES!$C$57)+((M239+(2*N239))*MATERIALES!$C$55)+(M239*MATERIALES!$C$59)+(M239*MATERIALES!$C$58)+(((M239*2)+(N239*2))*MATERIALES!$C$31)+(((M239*2)+(N239))*MATERIALES!$C$32)+(((M239-0.2)*MATERIALES!$C$30)*((N239/3)/0.12))+((((M239*2)+((N239/3)*2))*MATERIALES!$C$73)*2))*(MATERIALES!$F$2*MATERIALES!$J$15)</f>
        <v>0</v>
      </c>
      <c r="P239" s="59">
        <f>(1*MATERIALES!$C$204)+(1*MATERIALES!$C$205)+(3*MATERIALES!$C$207)+(2*MATERIALES!$C$189)+(2*MATERIALES!$C$190)+(2*MATERIALES!$C$191)+(14*MATERIALES!$C$158)+(14*MATERIALES!$C$159)+((M239+(2*N239))*MATERIALES!$C$210)+((M239+(2*N239))*MATERIALES!$C$209)+(((M239*6)+(N239*4))*MATERIALES!$C$166)+(((M239*2)+((N239/3)*2))*MATERIALES!$C$165)+(2*MATERIALES!$C$187)+(((((M239*2)+((N239/3)*2))/0.1)*MATERIALES!$C$192)*2)+(((M239*5)*2)*MATERIALES!$C$147)+(4*MATERIALES!$C$148)</f>
        <v>5140.8468800000001</v>
      </c>
      <c r="Q239" s="75"/>
      <c r="R239" s="55">
        <f>(M239*N239)*MATERIALES!$D$89</f>
        <v>3007.2000000000003</v>
      </c>
      <c r="S239" s="59">
        <f t="shared" si="70"/>
        <v>8148.0468799999999</v>
      </c>
      <c r="T239" s="70">
        <f t="shared" si="71"/>
        <v>11193.900944000001</v>
      </c>
      <c r="U239" s="787"/>
    </row>
    <row r="240" spans="1:21" ht="15.75" thickBot="1">
      <c r="A240" s="71">
        <v>0.9</v>
      </c>
      <c r="B240" s="72">
        <v>2.1</v>
      </c>
      <c r="C240" s="60">
        <f>(((A240+(2*B240))*MATERIALES!$C$57)+((A240+(2*B240))*MATERIALES!$C$55)+(A240*MATERIALES!$C$59)+(((A240*1)+(0.6*2))*MATERIALES!$C$58)+((((A240*4)+(B240*2)+(0.6*4))*MATERIALES!$C$73)*2)+(((A240-0.2)*MATERIALES!$C$30)*((B240-0.36)/0.12)))*(MATERIALES!$F$2*MATERIALES!$J$15)</f>
        <v>0</v>
      </c>
      <c r="D240" s="60">
        <f>(1*MATERIALES!$C$204)+(1*MATERIALES!$C$205)+(3*MATERIALES!$C$207)+(2*MATERIALES!$C$189)+(2*MATERIALES!$C$190)+(2*MATERIALES!$C$191)+(16*MATERIALES!$C$158)+(16*MATERIALES!$C$159)+((A240+(2*B240))*MATERIALES!$C$210)+((A240+(2*B240))*MATERIALES!$C$209)+(((A240*2)*(0.6*6))*MATERIALES!$C$141)+(((A240*2)+(B240*2))*MATERIALES!$C$165)+(0.5*MATERIALES!$C$167)+(2*MATERIALES!$C$187)+(((((A240*4)+(0.6*4)+(B240*2))/0.1)*MATERIALES!$C$192)*2)+(((A240*5)*2)*MATERIALES!$C$147)+(4*MATERIALES!$C$148)</f>
        <v>5581.6015839999991</v>
      </c>
      <c r="E240" s="76"/>
      <c r="F240" s="56">
        <f>(A240*0.6)*MATERIALES!$D$89</f>
        <v>966.6</v>
      </c>
      <c r="G240" s="60">
        <f t="shared" si="68"/>
        <v>6548.2015839999995</v>
      </c>
      <c r="H240" s="73">
        <f t="shared" si="69"/>
        <v>8705.9820591999996</v>
      </c>
      <c r="M240" s="71">
        <v>0.9</v>
      </c>
      <c r="N240" s="72">
        <v>2.1</v>
      </c>
      <c r="O240" s="60">
        <f>(((M240+(2*N240))*MATERIALES!$C$57)+((M240+(2*N240))*MATERIALES!$C$55)+(M240*MATERIALES!$C$59)+(M240*MATERIALES!$C$58)+(((M240*2)+(N240*2))*MATERIALES!$C$31)+(((M240*2)+(N240))*MATERIALES!$C$32)+(((M240-0.2)*MATERIALES!$C$30)*((N240/3)/0.12))+((((M240*2)+((N240/3)*2))*MATERIALES!$C$73)*2))*(MATERIALES!$F$2*MATERIALES!$J$15)</f>
        <v>0</v>
      </c>
      <c r="P240" s="60">
        <f>(1*MATERIALES!$C$204)+(1*MATERIALES!$C$205)+(3*MATERIALES!$C$207)+(2*MATERIALES!$C$189)+(2*MATERIALES!$C$190)+(2*MATERIALES!$C$191)+(14*MATERIALES!$C$158)+(14*MATERIALES!$C$159)+((M240+(2*N240))*MATERIALES!$C$210)+((M240+(2*N240))*MATERIALES!$C$209)+(((M240*6)+(N240*4))*MATERIALES!$C$166)+(((M240*2)+((N240/3)*2))*MATERIALES!$C$165)+(2*MATERIALES!$C$187)+(((((M240*2)+((N240/3)*2))/0.1)*MATERIALES!$C$192)*2)+(((M240*5)*2)*MATERIALES!$C$147)+(4*MATERIALES!$C$148)</f>
        <v>5171.0536799999991</v>
      </c>
      <c r="Q240" s="76"/>
      <c r="R240" s="56">
        <f>(M240*N240)*MATERIALES!$D$89</f>
        <v>3383.1000000000004</v>
      </c>
      <c r="S240" s="60">
        <f t="shared" si="70"/>
        <v>8554.1536799999994</v>
      </c>
      <c r="T240" s="73">
        <f t="shared" si="71"/>
        <v>11797.019784</v>
      </c>
      <c r="U240" s="788"/>
    </row>
    <row r="242" spans="1:21" ht="15.75" thickBot="1">
      <c r="C242" s="78"/>
      <c r="O242" s="78"/>
    </row>
    <row r="243" spans="1:21" ht="15.75" thickBot="1">
      <c r="A243" s="32"/>
      <c r="B243" s="32"/>
      <c r="C243" s="801">
        <v>0.3</v>
      </c>
      <c r="D243" s="802"/>
      <c r="E243" s="803"/>
      <c r="F243" s="61">
        <v>0.5</v>
      </c>
      <c r="G243" s="32"/>
      <c r="H243" s="46" t="s">
        <v>163</v>
      </c>
      <c r="M243" s="32"/>
      <c r="N243" s="32"/>
      <c r="O243" s="801">
        <v>0.3</v>
      </c>
      <c r="P243" s="802"/>
      <c r="Q243" s="803"/>
      <c r="R243" s="61">
        <v>0.5</v>
      </c>
      <c r="S243" s="32"/>
      <c r="T243" s="46" t="s">
        <v>163</v>
      </c>
    </row>
    <row r="244" spans="1:21" ht="15.75" thickBot="1">
      <c r="A244" s="792" t="s">
        <v>684</v>
      </c>
      <c r="B244" s="793"/>
      <c r="C244" s="793"/>
      <c r="D244" s="793"/>
      <c r="E244" s="793"/>
      <c r="F244" s="793"/>
      <c r="G244" s="793"/>
      <c r="H244" s="794"/>
      <c r="I244" s="882" t="s">
        <v>255</v>
      </c>
      <c r="M244" s="792" t="s">
        <v>691</v>
      </c>
      <c r="N244" s="793"/>
      <c r="O244" s="793"/>
      <c r="P244" s="793"/>
      <c r="Q244" s="793"/>
      <c r="R244" s="793"/>
      <c r="S244" s="793"/>
      <c r="T244" s="794"/>
      <c r="U244" s="882" t="s">
        <v>255</v>
      </c>
    </row>
    <row r="245" spans="1:21" ht="15.75" thickBot="1">
      <c r="A245" s="36" t="s">
        <v>116</v>
      </c>
      <c r="B245" s="36" t="s">
        <v>117</v>
      </c>
      <c r="C245" s="36" t="s">
        <v>162</v>
      </c>
      <c r="D245" s="36" t="s">
        <v>119</v>
      </c>
      <c r="E245" s="36" t="s">
        <v>120</v>
      </c>
      <c r="F245" s="36" t="s">
        <v>118</v>
      </c>
      <c r="G245" s="36" t="s">
        <v>121</v>
      </c>
      <c r="H245" s="36" t="s">
        <v>122</v>
      </c>
      <c r="I245" s="883"/>
      <c r="M245" s="36" t="s">
        <v>116</v>
      </c>
      <c r="N245" s="36" t="s">
        <v>117</v>
      </c>
      <c r="O245" s="36" t="s">
        <v>162</v>
      </c>
      <c r="P245" s="36" t="s">
        <v>119</v>
      </c>
      <c r="Q245" s="36" t="s">
        <v>120</v>
      </c>
      <c r="R245" s="36" t="s">
        <v>118</v>
      </c>
      <c r="S245" s="36" t="s">
        <v>121</v>
      </c>
      <c r="T245" s="36" t="s">
        <v>122</v>
      </c>
      <c r="U245" s="883"/>
    </row>
    <row r="246" spans="1:21" ht="15.75" thickBot="1">
      <c r="A246" s="795"/>
      <c r="B246" s="796"/>
      <c r="C246" s="796"/>
      <c r="D246" s="796"/>
      <c r="E246" s="796"/>
      <c r="F246" s="796"/>
      <c r="G246" s="796"/>
      <c r="H246" s="797"/>
      <c r="I246" s="883"/>
      <c r="M246" s="795"/>
      <c r="N246" s="796"/>
      <c r="O246" s="796"/>
      <c r="P246" s="796"/>
      <c r="Q246" s="796"/>
      <c r="R246" s="796"/>
      <c r="S246" s="796"/>
      <c r="T246" s="797"/>
      <c r="U246" s="883"/>
    </row>
    <row r="247" spans="1:21">
      <c r="A247" s="65">
        <v>0.6</v>
      </c>
      <c r="B247" s="66">
        <v>2</v>
      </c>
      <c r="C247" s="58">
        <f>(((A247+(2*B247))*MATERIALES!$C$57)+((A247+(2*B247))*MATERIALES!$C$55)+(A247*MATERIALES!$C$59)+((A247*1)*MATERIALES!$C$58)+((((A247*2)+(B247*2))*MATERIALES!$C$73)*2)+(((A247*2)+(0.6*2))*MATERIALES!$C$31)+((A247+0.6)*MATERIALES!$C$32)+(((A247-0.2)*MATERIALES!$C$30)*((B247-0.36)/0.12)))*(MATERIALES!$F$2*MATERIALES!$J$15)</f>
        <v>0</v>
      </c>
      <c r="D247" s="58">
        <f>(1*MATERIALES!$C$204)+(1*MATERIALES!$C$205)+(3*MATERIALES!$C$207)+(2*MATERIALES!$C$189)+(2*MATERIALES!$C$190)+(2*MATERIALES!$C$191)+(12*MATERIALES!$C$158)+(12*MATERIALES!$C$159)+((A247+(2*B247))*MATERIALES!$C$210)+((A247+(2*B247))*MATERIALES!$C$209)+(((A247*2)+(B247*2))*MATERIALES!$C$165)+(((A247*4)+(0.6*4))*MATERIALES!$C$166)+(0.5*MATERIALES!$C$167)+(((((A247*2)+(B247*2))/0.1)*MATERIALES!$C$192)*2)+(2*MATERIALES!$C$187)+(((A247*5)*2)*MATERIALES!$C$147)+(4*MATERIALES!$C$148)</f>
        <v>5208.415680000001</v>
      </c>
      <c r="E247" s="74"/>
      <c r="F247" s="54">
        <f>(A247*0.6)*MATERIALES!$D$89</f>
        <v>644.4</v>
      </c>
      <c r="G247" s="58">
        <f>SUM(C247:F247)</f>
        <v>5852.8156800000006</v>
      </c>
      <c r="H247" s="67">
        <f>(SUM(C247:E247)*1.3)+(F247*1.5)</f>
        <v>7737.5403840000017</v>
      </c>
      <c r="I247" s="787"/>
      <c r="M247" s="65">
        <v>0.6</v>
      </c>
      <c r="N247" s="66">
        <v>2</v>
      </c>
      <c r="O247" s="58">
        <f>(((M247+(2*N247))*MATERIALES!$C$57)+((M247+(2*N247))*MATERIALES!$C$55)+(M247*MATERIALES!$C$59)+(M247*MATERIALES!$C$58)+(((M247-0.2)*MATERIALES!$C$30)*((N247/2)/0.12))+((((M247*2)+(N247*1))*MATERIALES!$C$73)*2)+(((M247*2)+(N247*1))*MATERIALES!$C$31)+((M247+(N247/2))*MATERIALES!$C$32))*(MATERIALES!$F$2*MATERIALES!$J$15)</f>
        <v>0</v>
      </c>
      <c r="P247" s="58">
        <f>(1*MATERIALES!$C$204)+(1*MATERIALES!$C$205)+(3*MATERIALES!$C$207)+(2*MATERIALES!$C$189)+(2*MATERIALES!$C$190)+(2*MATERIALES!$C$191)+(12*MATERIALES!$C$158)+(12*MATERIALES!$C$159)+((M247+(2*N247))*MATERIALES!$C$210)+((M247+(2*N247))*MATERIALES!$C$209)+(((M247*2)+(N247*1))*MATERIALES!$C$165)+(((M247*4)+(N247*4))*MATERIALES!$C$166)+(((((M247*2)+(N247*1))/0.1)*MATERIALES!$C$192)*2)+(2*MATERIALES!$C$187)+(0.5*MATERIALES!$C$167)+(((M247*5)*2)*MATERIALES!$C$147)+(4*MATERIALES!$C$148)</f>
        <v>5183.8467200000005</v>
      </c>
      <c r="Q247" s="74"/>
      <c r="R247" s="54">
        <f>(M247*(N247/2))*MATERIALES!$D$89</f>
        <v>1074</v>
      </c>
      <c r="S247" s="58">
        <f>SUM(O247:R247)</f>
        <v>6257.8467200000005</v>
      </c>
      <c r="T247" s="67">
        <f>(SUM(O247:Q247)*1.3)+(R247*1.5)</f>
        <v>8350.0007360000018</v>
      </c>
      <c r="U247" s="787"/>
    </row>
    <row r="248" spans="1:21">
      <c r="A248" s="68">
        <v>0.7</v>
      </c>
      <c r="B248" s="69">
        <v>2</v>
      </c>
      <c r="C248" s="59">
        <f>(((A248+(2*B248))*MATERIALES!$C$57)+((A248+(2*B248))*MATERIALES!$C$55)+(A248*MATERIALES!$C$59)+((A248*1)*MATERIALES!$C$58)+((((A248*2)+(B248*2))*MATERIALES!$C$73)*2)+(((A248*2)+(0.6*2))*MATERIALES!$C$31)+((A248+0.6)*MATERIALES!$C$32)+(((A248-0.2)*MATERIALES!$C$30)*((B248-0.36)/0.12)))*(MATERIALES!$F$2*MATERIALES!$J$15)</f>
        <v>0</v>
      </c>
      <c r="D248" s="59">
        <f>(1*MATERIALES!$C$204)+(1*MATERIALES!$C$205)+(3*MATERIALES!$C$207)+(2*MATERIALES!$C$189)+(2*MATERIALES!$C$190)+(2*MATERIALES!$C$191)+(12*MATERIALES!$C$158)+(12*MATERIALES!$C$159)+((A248+(2*B248))*MATERIALES!$C$210)+((A248+(2*B248))*MATERIALES!$C$209)+(((A248*2)+(B248*2))*MATERIALES!$C$165)+(((A248*4)+(0.6*4))*MATERIALES!$C$166)+(0.5*MATERIALES!$C$167)+(((((A248*2)+(B248*2))/0.1)*MATERIALES!$C$192)*2)+(2*MATERIALES!$C$187)+(((A248*5)*2)*MATERIALES!$C$147)+(4*MATERIALES!$C$148)</f>
        <v>5234.855599999999</v>
      </c>
      <c r="E248" s="75"/>
      <c r="F248" s="55">
        <f>(A248*0.6)*MATERIALES!$D$89</f>
        <v>751.8</v>
      </c>
      <c r="G248" s="59">
        <f t="shared" ref="G248:G254" si="72">SUM(C248:F248)</f>
        <v>5986.6555999999991</v>
      </c>
      <c r="H248" s="70">
        <f t="shared" ref="H248:H254" si="73">(SUM(C248:E248)*1.3)+(F248*1.5)</f>
        <v>7933.012279999999</v>
      </c>
      <c r="I248" s="787"/>
      <c r="M248" s="68">
        <v>0.7</v>
      </c>
      <c r="N248" s="69">
        <v>2</v>
      </c>
      <c r="O248" s="59">
        <f>(((M248+(2*N248))*MATERIALES!$C$57)+((M248+(2*N248))*MATERIALES!$C$55)+(M248*MATERIALES!$C$59)+(M248*MATERIALES!$C$58)+(((M248-0.2)*MATERIALES!$C$30)*((N248/2)/0.12))+((((M248*2)+(N248*1))*MATERIALES!$C$73)*2)+(((M248*2)+(N248*1))*MATERIALES!$C$31)+((M248+(N248/2))*MATERIALES!$C$32))*(MATERIALES!$F$2*MATERIALES!$J$15)</f>
        <v>0</v>
      </c>
      <c r="P248" s="59">
        <f>(1*MATERIALES!$C$204)+(1*MATERIALES!$C$205)+(3*MATERIALES!$C$207)+(2*MATERIALES!$C$189)+(2*MATERIALES!$C$190)+(2*MATERIALES!$C$191)+(12*MATERIALES!$C$158)+(12*MATERIALES!$C$159)+((M248+(2*N248))*MATERIALES!$C$210)+((M248+(2*N248))*MATERIALES!$C$209)+(((M248*2)+(N248*1))*MATERIALES!$C$165)+(((M248*4)+(N248*4))*MATERIALES!$C$166)+(((((M248*2)+(N248*1))/0.1)*MATERIALES!$C$192)*2)+(2*MATERIALES!$C$187)+(0.5*MATERIALES!$C$167)+(((M248*5)*2)*MATERIALES!$C$147)+(4*MATERIALES!$C$148)</f>
        <v>5210.2866399999984</v>
      </c>
      <c r="Q248" s="75"/>
      <c r="R248" s="55">
        <f>(M248*(N248/2))*MATERIALES!$D$89</f>
        <v>1253</v>
      </c>
      <c r="S248" s="59">
        <f t="shared" ref="S248:S254" si="74">SUM(O248:R248)</f>
        <v>6463.2866399999984</v>
      </c>
      <c r="T248" s="70">
        <f t="shared" ref="T248:T254" si="75">(SUM(O248:Q248)*1.3)+(R248*1.5)</f>
        <v>8652.8726319999987</v>
      </c>
      <c r="U248" s="787"/>
    </row>
    <row r="249" spans="1:21">
      <c r="A249" s="68">
        <v>0.8</v>
      </c>
      <c r="B249" s="69">
        <v>2</v>
      </c>
      <c r="C249" s="59">
        <f>(((A249+(2*B249))*MATERIALES!$C$57)+((A249+(2*B249))*MATERIALES!$C$55)+(A249*MATERIALES!$C$59)+((A249*1)*MATERIALES!$C$58)+((((A249*2)+(B249*2))*MATERIALES!$C$73)*2)+(((A249*2)+(0.6*2))*MATERIALES!$C$31)+((A249+0.6)*MATERIALES!$C$32)+(((A249-0.2)*MATERIALES!$C$30)*((B249-0.36)/0.12)))*(MATERIALES!$F$2*MATERIALES!$J$15)</f>
        <v>0</v>
      </c>
      <c r="D249" s="59">
        <f>(1*MATERIALES!$C$204)+(1*MATERIALES!$C$205)+(3*MATERIALES!$C$207)+(2*MATERIALES!$C$189)+(2*MATERIALES!$C$190)+(2*MATERIALES!$C$191)+(12*MATERIALES!$C$158)+(12*MATERIALES!$C$159)+((A249+(2*B249))*MATERIALES!$C$210)+((A249+(2*B249))*MATERIALES!$C$209)+(((A249*2)+(B249*2))*MATERIALES!$C$165)+(((A249*4)+(0.6*4))*MATERIALES!$C$166)+(0.5*MATERIALES!$C$167)+(((((A249*2)+(B249*2))/0.1)*MATERIALES!$C$192)*2)+(2*MATERIALES!$C$187)+(((A249*5)*2)*MATERIALES!$C$147)+(4*MATERIALES!$C$148)</f>
        <v>5261.2955200000006</v>
      </c>
      <c r="E249" s="75"/>
      <c r="F249" s="55">
        <f>(A249*0.6)*MATERIALES!$D$89</f>
        <v>859.19999999999993</v>
      </c>
      <c r="G249" s="59">
        <f t="shared" si="72"/>
        <v>6120.4955200000004</v>
      </c>
      <c r="H249" s="70">
        <f t="shared" si="73"/>
        <v>8128.4841760000008</v>
      </c>
      <c r="I249" s="787"/>
      <c r="M249" s="68">
        <v>0.8</v>
      </c>
      <c r="N249" s="69">
        <v>2</v>
      </c>
      <c r="O249" s="59">
        <f>(((M249+(2*N249))*MATERIALES!$C$57)+((M249+(2*N249))*MATERIALES!$C$55)+(M249*MATERIALES!$C$59)+(M249*MATERIALES!$C$58)+(((M249-0.2)*MATERIALES!$C$30)*((N249/2)/0.12))+((((M249*2)+(N249*1))*MATERIALES!$C$73)*2)+(((M249*2)+(N249*1))*MATERIALES!$C$31)+((M249+(N249/2))*MATERIALES!$C$32))*(MATERIALES!$F$2*MATERIALES!$J$15)</f>
        <v>0</v>
      </c>
      <c r="P249" s="59">
        <f>(1*MATERIALES!$C$204)+(1*MATERIALES!$C$205)+(3*MATERIALES!$C$207)+(2*MATERIALES!$C$189)+(2*MATERIALES!$C$190)+(2*MATERIALES!$C$191)+(12*MATERIALES!$C$158)+(12*MATERIALES!$C$159)+((M249+(2*N249))*MATERIALES!$C$210)+((M249+(2*N249))*MATERIALES!$C$209)+(((M249*2)+(N249*1))*MATERIALES!$C$165)+(((M249*4)+(N249*4))*MATERIALES!$C$166)+(((((M249*2)+(N249*1))/0.1)*MATERIALES!$C$192)*2)+(2*MATERIALES!$C$187)+(0.5*MATERIALES!$C$167)+(((M249*5)*2)*MATERIALES!$C$147)+(4*MATERIALES!$C$148)</f>
        <v>5236.7265599999992</v>
      </c>
      <c r="Q249" s="75"/>
      <c r="R249" s="55">
        <f>(M249*(N249/2))*MATERIALES!$D$89</f>
        <v>1432</v>
      </c>
      <c r="S249" s="59">
        <f t="shared" si="74"/>
        <v>6668.7265599999992</v>
      </c>
      <c r="T249" s="70">
        <f t="shared" si="75"/>
        <v>8955.7445279999993</v>
      </c>
      <c r="U249" s="787"/>
    </row>
    <row r="250" spans="1:21">
      <c r="A250" s="68">
        <v>0.9</v>
      </c>
      <c r="B250" s="69">
        <v>2</v>
      </c>
      <c r="C250" s="59">
        <f>(((A250+(2*B250))*MATERIALES!$C$57)+((A250+(2*B250))*MATERIALES!$C$55)+(A250*MATERIALES!$C$59)+((A250*1)*MATERIALES!$C$58)+((((A250*2)+(B250*2))*MATERIALES!$C$73)*2)+(((A250*2)+(0.6*2))*MATERIALES!$C$31)+((A250+0.6)*MATERIALES!$C$32)+(((A250-0.2)*MATERIALES!$C$30)*((B250-0.36)/0.12)))*(MATERIALES!$F$2*MATERIALES!$J$15)</f>
        <v>0</v>
      </c>
      <c r="D250" s="59">
        <f>(1*MATERIALES!$C$204)+(1*MATERIALES!$C$205)+(3*MATERIALES!$C$207)+(2*MATERIALES!$C$189)+(2*MATERIALES!$C$190)+(2*MATERIALES!$C$191)+(12*MATERIALES!$C$158)+(12*MATERIALES!$C$159)+((A250+(2*B250))*MATERIALES!$C$210)+((A250+(2*B250))*MATERIALES!$C$209)+(((A250*2)+(B250*2))*MATERIALES!$C$165)+(((A250*4)+(0.6*4))*MATERIALES!$C$166)+(0.5*MATERIALES!$C$167)+(((((A250*2)+(B250*2))/0.1)*MATERIALES!$C$192)*2)+(2*MATERIALES!$C$187)+(((A250*5)*2)*MATERIALES!$C$147)+(4*MATERIALES!$C$148)</f>
        <v>5287.7354400000004</v>
      </c>
      <c r="E250" s="75"/>
      <c r="F250" s="55">
        <f>(A250*0.6)*MATERIALES!$D$89</f>
        <v>966.6</v>
      </c>
      <c r="G250" s="59">
        <f t="shared" si="72"/>
        <v>6254.3354400000007</v>
      </c>
      <c r="H250" s="70">
        <f t="shared" si="73"/>
        <v>8323.9560720000009</v>
      </c>
      <c r="I250" s="787"/>
      <c r="M250" s="68">
        <v>0.9</v>
      </c>
      <c r="N250" s="69">
        <v>2</v>
      </c>
      <c r="O250" s="59">
        <f>(((M250+(2*N250))*MATERIALES!$C$57)+((M250+(2*N250))*MATERIALES!$C$55)+(M250*MATERIALES!$C$59)+(M250*MATERIALES!$C$58)+(((M250-0.2)*MATERIALES!$C$30)*((N250/2)/0.12))+((((M250*2)+(N250*1))*MATERIALES!$C$73)*2)+(((M250*2)+(N250*1))*MATERIALES!$C$31)+((M250+(N250/2))*MATERIALES!$C$32))*(MATERIALES!$F$2*MATERIALES!$J$15)</f>
        <v>0</v>
      </c>
      <c r="P250" s="59">
        <f>(1*MATERIALES!$C$204)+(1*MATERIALES!$C$205)+(3*MATERIALES!$C$207)+(2*MATERIALES!$C$189)+(2*MATERIALES!$C$190)+(2*MATERIALES!$C$191)+(12*MATERIALES!$C$158)+(12*MATERIALES!$C$159)+((M250+(2*N250))*MATERIALES!$C$210)+((M250+(2*N250))*MATERIALES!$C$209)+(((M250*2)+(N250*1))*MATERIALES!$C$165)+(((M250*4)+(N250*4))*MATERIALES!$C$166)+(((((M250*2)+(N250*1))/0.1)*MATERIALES!$C$192)*2)+(2*MATERIALES!$C$187)+(0.5*MATERIALES!$C$167)+(((M250*5)*2)*MATERIALES!$C$147)+(4*MATERIALES!$C$148)</f>
        <v>5263.1664800000008</v>
      </c>
      <c r="Q250" s="75"/>
      <c r="R250" s="55">
        <f>(M250*(N250/2))*MATERIALES!$D$89</f>
        <v>1611</v>
      </c>
      <c r="S250" s="59">
        <f t="shared" si="74"/>
        <v>6874.1664800000008</v>
      </c>
      <c r="T250" s="70">
        <f t="shared" si="75"/>
        <v>9258.6164240000016</v>
      </c>
      <c r="U250" s="787"/>
    </row>
    <row r="251" spans="1:21">
      <c r="A251" s="68">
        <v>0.6</v>
      </c>
      <c r="B251" s="69">
        <v>2.1</v>
      </c>
      <c r="C251" s="59">
        <f>(((A251+(2*B251))*MATERIALES!$C$57)+((A251+(2*B251))*MATERIALES!$C$55)+(A251*MATERIALES!$C$59)+((A251*1)*MATERIALES!$C$58)+((((A251*2)+(B251*2))*MATERIALES!$C$73)*2)+(((A251*2)+(0.6*2))*MATERIALES!$C$31)+((A251+0.6)*MATERIALES!$C$32)+(((A251-0.2)*MATERIALES!$C$30)*((B251-0.36)/0.12)))*(MATERIALES!$F$2*MATERIALES!$J$15)</f>
        <v>0</v>
      </c>
      <c r="D251" s="59">
        <f>(1*MATERIALES!$C$204)+(1*MATERIALES!$C$205)+(3*MATERIALES!$C$207)+(2*MATERIALES!$C$189)+(2*MATERIALES!$C$190)+(2*MATERIALES!$C$191)+(12*MATERIALES!$C$158)+(12*MATERIALES!$C$159)+((A251+(2*B251))*MATERIALES!$C$210)+((A251+(2*B251))*MATERIALES!$C$209)+(((A251*2)+(B251*2))*MATERIALES!$C$165)+(((A251*4)+(0.6*4))*MATERIALES!$C$166)+(0.5*MATERIALES!$C$167)+(((((A251*2)+(B251*2))/0.1)*MATERIALES!$C$192)*2)+(2*MATERIALES!$C$187)+(((A251*5)*2)*MATERIALES!$C$147)+(4*MATERIALES!$C$148)</f>
        <v>5233.2238400000006</v>
      </c>
      <c r="E251" s="75"/>
      <c r="F251" s="55">
        <f>(A251*0.6)*MATERIALES!$D$89</f>
        <v>644.4</v>
      </c>
      <c r="G251" s="59">
        <f t="shared" si="72"/>
        <v>5877.6238400000002</v>
      </c>
      <c r="H251" s="70">
        <f t="shared" si="73"/>
        <v>7769.7909920000002</v>
      </c>
      <c r="I251" s="787"/>
      <c r="M251" s="68">
        <v>0.6</v>
      </c>
      <c r="N251" s="69">
        <v>2.1</v>
      </c>
      <c r="O251" s="59">
        <f>(((M251+(2*N251))*MATERIALES!$C$57)+((M251+(2*N251))*MATERIALES!$C$55)+(M251*MATERIALES!$C$59)+(M251*MATERIALES!$C$58)+(((M251-0.2)*MATERIALES!$C$30)*((N251/2)/0.12))+((((M251*2)+(N251*1))*MATERIALES!$C$73)*2)+(((M251*2)+(N251*1))*MATERIALES!$C$31)+((M251+(N251/2))*MATERIALES!$C$32))*(MATERIALES!$F$2*MATERIALES!$J$15)</f>
        <v>0</v>
      </c>
      <c r="P251" s="59">
        <f>(1*MATERIALES!$C$204)+(1*MATERIALES!$C$205)+(3*MATERIALES!$C$207)+(2*MATERIALES!$C$189)+(2*MATERIALES!$C$190)+(2*MATERIALES!$C$191)+(12*MATERIALES!$C$158)+(12*MATERIALES!$C$159)+((M251+(2*N251))*MATERIALES!$C$210)+((M251+(2*N251))*MATERIALES!$C$209)+(((M251*2)+(N251*1))*MATERIALES!$C$165)+(((M251*4)+(N251*4))*MATERIALES!$C$166)+(((((M251*2)+(N251*1))/0.1)*MATERIALES!$C$192)*2)+(2*MATERIALES!$C$187)+(0.5*MATERIALES!$C$167)+(((M251*5)*2)*MATERIALES!$C$147)+(4*MATERIALES!$C$148)</f>
        <v>5209.6865600000001</v>
      </c>
      <c r="Q251" s="75"/>
      <c r="R251" s="55">
        <f>(M251*(N251/2))*MATERIALES!$D$89</f>
        <v>1127.7</v>
      </c>
      <c r="S251" s="59">
        <f t="shared" si="74"/>
        <v>6337.3865599999999</v>
      </c>
      <c r="T251" s="70">
        <f t="shared" si="75"/>
        <v>8464.1425280000003</v>
      </c>
      <c r="U251" s="787"/>
    </row>
    <row r="252" spans="1:21">
      <c r="A252" s="68">
        <v>0.7</v>
      </c>
      <c r="B252" s="69">
        <v>2.1</v>
      </c>
      <c r="C252" s="59">
        <f>(((A252+(2*B252))*MATERIALES!$C$57)+((A252+(2*B252))*MATERIALES!$C$55)+(A252*MATERIALES!$C$59)+((A252*1)*MATERIALES!$C$58)+((((A252*2)+(B252*2))*MATERIALES!$C$73)*2)+(((A252*2)+(0.6*2))*MATERIALES!$C$31)+((A252+0.6)*MATERIALES!$C$32)+(((A252-0.2)*MATERIALES!$C$30)*((B252-0.36)/0.12)))*(MATERIALES!$F$2*MATERIALES!$J$15)</f>
        <v>0</v>
      </c>
      <c r="D252" s="59">
        <f>(1*MATERIALES!$C$204)+(1*MATERIALES!$C$205)+(3*MATERIALES!$C$207)+(2*MATERIALES!$C$189)+(2*MATERIALES!$C$190)+(2*MATERIALES!$C$191)+(12*MATERIALES!$C$158)+(12*MATERIALES!$C$159)+((A252+(2*B252))*MATERIALES!$C$210)+((A252+(2*B252))*MATERIALES!$C$209)+(((A252*2)+(B252*2))*MATERIALES!$C$165)+(((A252*4)+(0.6*4))*MATERIALES!$C$166)+(0.5*MATERIALES!$C$167)+(((((A252*2)+(B252*2))/0.1)*MATERIALES!$C$192)*2)+(2*MATERIALES!$C$187)+(((A252*5)*2)*MATERIALES!$C$147)+(4*MATERIALES!$C$148)</f>
        <v>5259.6637600000004</v>
      </c>
      <c r="E252" s="75"/>
      <c r="F252" s="55">
        <f>(A252*0.6)*MATERIALES!$D$89</f>
        <v>751.8</v>
      </c>
      <c r="G252" s="59">
        <f t="shared" si="72"/>
        <v>6011.4637600000005</v>
      </c>
      <c r="H252" s="70">
        <f t="shared" si="73"/>
        <v>7965.2628880000002</v>
      </c>
      <c r="I252" s="787"/>
      <c r="M252" s="68">
        <v>0.7</v>
      </c>
      <c r="N252" s="69">
        <v>2.1</v>
      </c>
      <c r="O252" s="59">
        <f>(((M252+(2*N252))*MATERIALES!$C$57)+((M252+(2*N252))*MATERIALES!$C$55)+(M252*MATERIALES!$C$59)+(M252*MATERIALES!$C$58)+(((M252-0.2)*MATERIALES!$C$30)*((N252/2)/0.12))+((((M252*2)+(N252*1))*MATERIALES!$C$73)*2)+(((M252*2)+(N252*1))*MATERIALES!$C$31)+((M252+(N252/2))*MATERIALES!$C$32))*(MATERIALES!$F$2*MATERIALES!$J$15)</f>
        <v>0</v>
      </c>
      <c r="P252" s="59">
        <f>(1*MATERIALES!$C$204)+(1*MATERIALES!$C$205)+(3*MATERIALES!$C$207)+(2*MATERIALES!$C$189)+(2*MATERIALES!$C$190)+(2*MATERIALES!$C$191)+(12*MATERIALES!$C$158)+(12*MATERIALES!$C$159)+((M252+(2*N252))*MATERIALES!$C$210)+((M252+(2*N252))*MATERIALES!$C$209)+(((M252*2)+(N252*1))*MATERIALES!$C$165)+(((M252*4)+(N252*4))*MATERIALES!$C$166)+(((((M252*2)+(N252*1))/0.1)*MATERIALES!$C$192)*2)+(2*MATERIALES!$C$187)+(0.5*MATERIALES!$C$167)+(((M252*5)*2)*MATERIALES!$C$147)+(4*MATERIALES!$C$148)</f>
        <v>5236.1264799999999</v>
      </c>
      <c r="Q252" s="75"/>
      <c r="R252" s="55">
        <f>(M252*(N252/2))*MATERIALES!$D$89</f>
        <v>1315.6499999999999</v>
      </c>
      <c r="S252" s="59">
        <f t="shared" si="74"/>
        <v>6551.7764799999995</v>
      </c>
      <c r="T252" s="70">
        <f t="shared" si="75"/>
        <v>8780.4394240000001</v>
      </c>
      <c r="U252" s="787"/>
    </row>
    <row r="253" spans="1:21">
      <c r="A253" s="68">
        <v>0.8</v>
      </c>
      <c r="B253" s="69">
        <v>2.1</v>
      </c>
      <c r="C253" s="59">
        <f>(((A253+(2*B253))*MATERIALES!$C$57)+((A253+(2*B253))*MATERIALES!$C$55)+(A253*MATERIALES!$C$59)+((A253*1)*MATERIALES!$C$58)+((((A253*2)+(B253*2))*MATERIALES!$C$73)*2)+(((A253*2)+(0.6*2))*MATERIALES!$C$31)+((A253+0.6)*MATERIALES!$C$32)+(((A253-0.2)*MATERIALES!$C$30)*((B253-0.36)/0.12)))*(MATERIALES!$F$2*MATERIALES!$J$15)</f>
        <v>0</v>
      </c>
      <c r="D253" s="59">
        <f>(1*MATERIALES!$C$204)+(1*MATERIALES!$C$205)+(3*MATERIALES!$C$207)+(2*MATERIALES!$C$189)+(2*MATERIALES!$C$190)+(2*MATERIALES!$C$191)+(12*MATERIALES!$C$158)+(12*MATERIALES!$C$159)+((A253+(2*B253))*MATERIALES!$C$210)+((A253+(2*B253))*MATERIALES!$C$209)+(((A253*2)+(B253*2))*MATERIALES!$C$165)+(((A253*4)+(0.6*4))*MATERIALES!$C$166)+(0.5*MATERIALES!$C$167)+(((((A253*2)+(B253*2))/0.1)*MATERIALES!$C$192)*2)+(2*MATERIALES!$C$187)+(((A253*5)*2)*MATERIALES!$C$147)+(4*MATERIALES!$C$148)</f>
        <v>5286.1036800000002</v>
      </c>
      <c r="E253" s="75"/>
      <c r="F253" s="55">
        <f>(A253*0.6)*MATERIALES!$D$89</f>
        <v>859.19999999999993</v>
      </c>
      <c r="G253" s="59">
        <f t="shared" si="72"/>
        <v>6145.30368</v>
      </c>
      <c r="H253" s="70">
        <f t="shared" si="73"/>
        <v>8160.7347840000002</v>
      </c>
      <c r="I253" s="787"/>
      <c r="M253" s="68">
        <v>0.8</v>
      </c>
      <c r="N253" s="69">
        <v>2.1</v>
      </c>
      <c r="O253" s="59">
        <f>(((M253+(2*N253))*MATERIALES!$C$57)+((M253+(2*N253))*MATERIALES!$C$55)+(M253*MATERIALES!$C$59)+(M253*MATERIALES!$C$58)+(((M253-0.2)*MATERIALES!$C$30)*((N253/2)/0.12))+((((M253*2)+(N253*1))*MATERIALES!$C$73)*2)+(((M253*2)+(N253*1))*MATERIALES!$C$31)+((M253+(N253/2))*MATERIALES!$C$32))*(MATERIALES!$F$2*MATERIALES!$J$15)</f>
        <v>0</v>
      </c>
      <c r="P253" s="59">
        <f>(1*MATERIALES!$C$204)+(1*MATERIALES!$C$205)+(3*MATERIALES!$C$207)+(2*MATERIALES!$C$189)+(2*MATERIALES!$C$190)+(2*MATERIALES!$C$191)+(12*MATERIALES!$C$158)+(12*MATERIALES!$C$159)+((M253+(2*N253))*MATERIALES!$C$210)+((M253+(2*N253))*MATERIALES!$C$209)+(((M253*2)+(N253*1))*MATERIALES!$C$165)+(((M253*4)+(N253*4))*MATERIALES!$C$166)+(((((M253*2)+(N253*1))/0.1)*MATERIALES!$C$192)*2)+(2*MATERIALES!$C$187)+(0.5*MATERIALES!$C$167)+(((M253*5)*2)*MATERIALES!$C$147)+(4*MATERIALES!$C$148)</f>
        <v>5262.5664000000006</v>
      </c>
      <c r="Q253" s="75"/>
      <c r="R253" s="55">
        <f>(M253*(N253/2))*MATERIALES!$D$89</f>
        <v>1503.6000000000001</v>
      </c>
      <c r="S253" s="59">
        <f t="shared" si="74"/>
        <v>6766.166400000001</v>
      </c>
      <c r="T253" s="70">
        <f t="shared" si="75"/>
        <v>9096.7363200000018</v>
      </c>
      <c r="U253" s="787"/>
    </row>
    <row r="254" spans="1:21" ht="15.75" thickBot="1">
      <c r="A254" s="71">
        <v>0.9</v>
      </c>
      <c r="B254" s="72">
        <v>2.1</v>
      </c>
      <c r="C254" s="60">
        <f>(((A254+(2*B254))*MATERIALES!$C$57)+((A254+(2*B254))*MATERIALES!$C$55)+(A254*MATERIALES!$C$59)+((A254*1)*MATERIALES!$C$58)+((((A254*2)+(B254*2))*MATERIALES!$C$73)*2)+(((A254*2)+(0.6*2))*MATERIALES!$C$31)+((A254+0.6)*MATERIALES!$C$32)+(((A254-0.2)*MATERIALES!$C$30)*((B254-0.36)/0.12)))*(MATERIALES!$F$2*MATERIALES!$J$15)</f>
        <v>0</v>
      </c>
      <c r="D254" s="60">
        <f>(1*MATERIALES!$C$204)+(1*MATERIALES!$C$205)+(3*MATERIALES!$C$207)+(2*MATERIALES!$C$189)+(2*MATERIALES!$C$190)+(2*MATERIALES!$C$191)+(12*MATERIALES!$C$158)+(12*MATERIALES!$C$159)+((A254+(2*B254))*MATERIALES!$C$210)+((A254+(2*B254))*MATERIALES!$C$209)+(((A254*2)+(B254*2))*MATERIALES!$C$165)+(((A254*4)+(0.6*4))*MATERIALES!$C$166)+(0.5*MATERIALES!$C$167)+(((((A254*2)+(B254*2))/0.1)*MATERIALES!$C$192)*2)+(2*MATERIALES!$C$187)+(((A254*5)*2)*MATERIALES!$C$147)+(4*MATERIALES!$C$148)</f>
        <v>5312.5435999999991</v>
      </c>
      <c r="E254" s="76"/>
      <c r="F254" s="56">
        <f>(A254*0.6)*MATERIALES!$D$89</f>
        <v>966.6</v>
      </c>
      <c r="G254" s="60">
        <f t="shared" si="72"/>
        <v>6279.1435999999994</v>
      </c>
      <c r="H254" s="73">
        <f t="shared" si="73"/>
        <v>8356.2066799999993</v>
      </c>
      <c r="I254" s="788"/>
      <c r="M254" s="71">
        <v>0.9</v>
      </c>
      <c r="N254" s="72">
        <v>2.1</v>
      </c>
      <c r="O254" s="60">
        <f>(((M254+(2*N254))*MATERIALES!$C$57)+((M254+(2*N254))*MATERIALES!$C$55)+(M254*MATERIALES!$C$59)+(M254*MATERIALES!$C$58)+(((M254-0.2)*MATERIALES!$C$30)*((N254/2)/0.12))+((((M254*2)+(N254*1))*MATERIALES!$C$73)*2)+(((M254*2)+(N254*1))*MATERIALES!$C$31)+((M254+(N254/2))*MATERIALES!$C$32))*(MATERIALES!$F$2*MATERIALES!$J$15)</f>
        <v>0</v>
      </c>
      <c r="P254" s="60">
        <f>(1*MATERIALES!$C$204)+(1*MATERIALES!$C$205)+(3*MATERIALES!$C$207)+(2*MATERIALES!$C$189)+(2*MATERIALES!$C$190)+(2*MATERIALES!$C$191)+(12*MATERIALES!$C$158)+(12*MATERIALES!$C$159)+((M254+(2*N254))*MATERIALES!$C$210)+((M254+(2*N254))*MATERIALES!$C$209)+(((M254*2)+(N254*1))*MATERIALES!$C$165)+(((M254*4)+(N254*4))*MATERIALES!$C$166)+(((((M254*2)+(N254*1))/0.1)*MATERIALES!$C$192)*2)+(2*MATERIALES!$C$187)+(0.5*MATERIALES!$C$167)+(((M254*5)*2)*MATERIALES!$C$147)+(4*MATERIALES!$C$148)</f>
        <v>5289.0063199999995</v>
      </c>
      <c r="Q254" s="76"/>
      <c r="R254" s="56">
        <f>(M254*(N254/2))*MATERIALES!$D$89</f>
        <v>1691.5500000000002</v>
      </c>
      <c r="S254" s="60">
        <f t="shared" si="74"/>
        <v>6980.5563199999997</v>
      </c>
      <c r="T254" s="73">
        <f t="shared" si="75"/>
        <v>9413.0332159999998</v>
      </c>
      <c r="U254" s="788"/>
    </row>
    <row r="257" spans="1:20" s="430" customFormat="1"/>
    <row r="258" spans="1:20" ht="15.75" thickBot="1"/>
    <row r="259" spans="1:20" ht="15.75" thickBot="1">
      <c r="A259" s="32"/>
      <c r="B259" s="32"/>
      <c r="C259" s="801">
        <v>0.3</v>
      </c>
      <c r="D259" s="802"/>
      <c r="E259" s="803"/>
      <c r="F259" s="61">
        <v>1</v>
      </c>
      <c r="G259" s="32"/>
      <c r="H259" s="46" t="s">
        <v>163</v>
      </c>
      <c r="M259" s="32"/>
      <c r="N259" s="32"/>
      <c r="O259" s="801">
        <v>0.3</v>
      </c>
      <c r="P259" s="802"/>
      <c r="Q259" s="802"/>
      <c r="R259" s="803"/>
      <c r="S259" s="32"/>
      <c r="T259" s="46" t="s">
        <v>163</v>
      </c>
    </row>
    <row r="260" spans="1:20" ht="15.75" thickBot="1">
      <c r="A260" s="792" t="s">
        <v>704</v>
      </c>
      <c r="B260" s="793"/>
      <c r="C260" s="793"/>
      <c r="D260" s="793"/>
      <c r="E260" s="793"/>
      <c r="F260" s="793"/>
      <c r="G260" s="793"/>
      <c r="H260" s="794"/>
      <c r="M260" s="792" t="s">
        <v>208</v>
      </c>
      <c r="N260" s="793"/>
      <c r="O260" s="793"/>
      <c r="P260" s="793"/>
      <c r="Q260" s="793"/>
      <c r="R260" s="793"/>
      <c r="S260" s="793"/>
      <c r="T260" s="794"/>
    </row>
    <row r="261" spans="1:20" ht="15.75" thickBot="1">
      <c r="A261" s="36" t="s">
        <v>116</v>
      </c>
      <c r="B261" s="36" t="s">
        <v>117</v>
      </c>
      <c r="C261" s="36" t="s">
        <v>162</v>
      </c>
      <c r="D261" s="36" t="s">
        <v>119</v>
      </c>
      <c r="E261" s="36" t="s">
        <v>120</v>
      </c>
      <c r="F261" s="36" t="s">
        <v>692</v>
      </c>
      <c r="G261" s="36" t="s">
        <v>121</v>
      </c>
      <c r="H261" s="36" t="s">
        <v>122</v>
      </c>
      <c r="M261" s="36" t="s">
        <v>116</v>
      </c>
      <c r="N261" s="36" t="s">
        <v>117</v>
      </c>
      <c r="O261" s="36" t="s">
        <v>162</v>
      </c>
      <c r="P261" s="36" t="s">
        <v>119</v>
      </c>
      <c r="Q261" s="36" t="s">
        <v>120</v>
      </c>
      <c r="R261" s="36" t="s">
        <v>207</v>
      </c>
      <c r="S261" s="36" t="s">
        <v>121</v>
      </c>
      <c r="T261" s="36" t="s">
        <v>122</v>
      </c>
    </row>
    <row r="262" spans="1:20" ht="15.75" thickBot="1">
      <c r="A262" s="795"/>
      <c r="B262" s="796"/>
      <c r="C262" s="796"/>
      <c r="D262" s="796"/>
      <c r="E262" s="796"/>
      <c r="F262" s="796"/>
      <c r="G262" s="796"/>
      <c r="H262" s="797"/>
      <c r="M262" s="795"/>
      <c r="N262" s="796"/>
      <c r="O262" s="796"/>
      <c r="P262" s="796"/>
      <c r="Q262" s="796"/>
      <c r="R262" s="796"/>
      <c r="S262" s="796"/>
      <c r="T262" s="797"/>
    </row>
    <row r="263" spans="1:20">
      <c r="A263" s="65">
        <v>0.6</v>
      </c>
      <c r="B263" s="66">
        <v>2</v>
      </c>
      <c r="C263" s="58">
        <f>(((A263+(2*B263))*MATERIALES!$C$57)+((A263+(2*B263))*MATERIALES!$C$55)+(A263*MATERIALES!$C$59)+((((A263*2)+(B263*2))*MATERIALES!$C$73)*2))*(MATERIALES!$F$2*MATERIALES!$J$15)</f>
        <v>0</v>
      </c>
      <c r="D263" s="58">
        <f>(1*MATERIALES!$C$204)+(1*MATERIALES!$C$205)+(3*MATERIALES!$C$207)+(2*MATERIALES!$C$189)+(2*MATERIALES!$C$190)+(2*MATERIALES!$C$191)+(4*MATERIALES!$C$158)+(4*MATERIALES!$C$159)+((A263+(2*B263))*MATERIALES!$C$210)+((A263+(2*B263))*MATERIALES!$C$209)+(((A263*2)+(B263*2))*MATERIALES!$C$141)+(((((A263*2)+(B263*2))/0.1)*MATERIALES!$C$192)*2)+(2*MATERIALES!$C$187)+(((A263*5)*2)*MATERIALES!$C$147)+(4*MATERIALES!$C$148)</f>
        <v>4860.8705600000003</v>
      </c>
      <c r="E263" s="74"/>
      <c r="F263" s="54">
        <f>(((A263*B263)*2)*MATERIALES!$D$83)+(4*MATERIALES!$C$229)+(((A263*2)+(B263*2))*MATERIALES!$C$230)+(((A263*2)+(B263*2))*MATERIALES!$C$231)+((((A263*2)+(B263*2))/15)*MATERIALES!$C$232)+((((A263*2)+(B263*2))/15)*(MATERIALES!$C$233*0.15))</f>
        <v>2789.0678399999997</v>
      </c>
      <c r="G263" s="58">
        <f>SUM(C263:F263)</f>
        <v>7649.9384</v>
      </c>
      <c r="H263" s="67">
        <f>(SUM(C263:E263)*1.3)+(F263*2)</f>
        <v>11897.267408</v>
      </c>
      <c r="M263" s="65">
        <v>0.6</v>
      </c>
      <c r="N263" s="66">
        <v>2</v>
      </c>
      <c r="O263" s="58">
        <f>(((M263+(2*N263))*MATERIALES!$C$57)+((M263+(2*N263))*MATERIALES!$C$55)+(M263*MATERIALES!$C$59)+((((M263*2)+(N263*2))*MATERIALES!$C$73)*2))*(MATERIALES!$F$2*MATERIALES!$J$15)</f>
        <v>0</v>
      </c>
      <c r="P263" s="58">
        <f>(1*MATERIALES!$C$204)+(1*MATERIALES!$C$205)+(3*MATERIALES!$C$207)+(2*MATERIALES!$C$189)+(2*MATERIALES!$C$190)+(2*MATERIALES!$C$191)+(4*MATERIALES!$C$158)+(4*MATERIALES!$C$159)+((M263+(2*N263))*MATERIALES!$C$210)+((M263+(2*N263))*MATERIALES!$C$209)+(((M263*2)+(N263*2))*MATERIALES!$C$165)+(0.5*MATERIALES!$C$167)+(((((M263*2)+(N263*2))/0.1)*MATERIALES!$C$192)*2)+(2*MATERIALES!$C$187)+(((M263*5)*2)*MATERIALES!$C$147)+(4*MATERIALES!$C$148)</f>
        <v>4997.3705600000003</v>
      </c>
      <c r="Q263" s="74"/>
      <c r="R263" s="54">
        <f>(((M263-0.2)*MATERIALES!$C$30)*(N263/0.12))*MATERIALES!$F$2</f>
        <v>4315.5839999999998</v>
      </c>
      <c r="S263" s="58">
        <f>SUM(O263:R263)</f>
        <v>9312.9545600000001</v>
      </c>
      <c r="T263" s="67">
        <f>(SUM(O263:R263)*1.3)</f>
        <v>12106.840928000001</v>
      </c>
    </row>
    <row r="264" spans="1:20">
      <c r="A264" s="68">
        <v>0.7</v>
      </c>
      <c r="B264" s="69">
        <v>2</v>
      </c>
      <c r="C264" s="59">
        <f>(((A264+(2*B264))*MATERIALES!$C$57)+((A264+(2*B264))*MATERIALES!$C$55)+(A264*MATERIALES!$C$59)+((((A264*2)+(B264*2))*MATERIALES!$C$73)*2))*(MATERIALES!$F$2*MATERIALES!$J$15)</f>
        <v>0</v>
      </c>
      <c r="D264" s="59">
        <f>(1*MATERIALES!$C$204)+(1*MATERIALES!$C$205)+(3*MATERIALES!$C$207)+(2*MATERIALES!$C$189)+(2*MATERIALES!$C$190)+(2*MATERIALES!$C$191)+(4*MATERIALES!$C$158)+(4*MATERIALES!$C$159)+((A264+(2*B264))*MATERIALES!$C$210)+((A264+(2*B264))*MATERIALES!$C$209)+(((A264*2)+(B264*2))*MATERIALES!$C$141)+(((((A264*2)+(B264*2))/0.1)*MATERIALES!$C$192)*2)+(2*MATERIALES!$C$187)+(((A264*5)*2)*MATERIALES!$C$147)+(4*MATERIALES!$C$148)</f>
        <v>4879.7767199999989</v>
      </c>
      <c r="E264" s="75"/>
      <c r="F264" s="55">
        <f>(((A264*B264)*2)*MATERIALES!$D$83)+(4*MATERIALES!$C$229)+(((A264*2)+(B264*2))*MATERIALES!$C$230)+(((A264*2)+(B264*2))*MATERIALES!$C$231)+((((A264*2)+(B264*2))/15)*MATERIALES!$C$232)+((((A264*2)+(B264*2))/15)*(MATERIALES!$C$233*0.15))</f>
        <v>3095.4996799999999</v>
      </c>
      <c r="G264" s="59">
        <f t="shared" ref="G264:G270" si="76">SUM(C264:F264)</f>
        <v>7975.2763999999988</v>
      </c>
      <c r="H264" s="70">
        <f t="shared" ref="H264:H270" si="77">(SUM(C264:E264)*1.3)+(F264*2)</f>
        <v>12534.709095999999</v>
      </c>
      <c r="M264" s="68">
        <v>0.7</v>
      </c>
      <c r="N264" s="69">
        <v>2</v>
      </c>
      <c r="O264" s="59">
        <f>(((M264+(2*N264))*MATERIALES!$C$57)+((M264+(2*N264))*MATERIALES!$C$55)+(M264*MATERIALES!$C$59)+((((M264*2)+(N264*2))*MATERIALES!$C$73)*2))*(MATERIALES!$F$2*MATERIALES!$J$15)</f>
        <v>0</v>
      </c>
      <c r="P264" s="59">
        <f>(1*MATERIALES!$C$204)+(1*MATERIALES!$C$205)+(3*MATERIALES!$C$207)+(2*MATERIALES!$C$189)+(2*MATERIALES!$C$190)+(2*MATERIALES!$C$191)+(4*MATERIALES!$C$158)+(4*MATERIALES!$C$159)+((M264+(2*N264))*MATERIALES!$C$210)+((M264+(2*N264))*MATERIALES!$C$209)+(((M264*2)+(N264*2))*MATERIALES!$C$165)+(0.5*MATERIALES!$C$167)+(((((M264*2)+(N264*2))/0.1)*MATERIALES!$C$192)*2)+(2*MATERIALES!$C$187)+(((M264*5)*2)*MATERIALES!$C$147)+(4*MATERIALES!$C$148)</f>
        <v>5016.2767199999989</v>
      </c>
      <c r="Q264" s="75"/>
      <c r="R264" s="55">
        <f>(((M264-0.2)*MATERIALES!$C$30)*(N264/0.12))*MATERIALES!$F$2</f>
        <v>5394.48</v>
      </c>
      <c r="S264" s="59">
        <f t="shared" ref="S264:S270" si="78">SUM(O264:R264)</f>
        <v>10410.756719999998</v>
      </c>
      <c r="T264" s="70">
        <f t="shared" ref="T264:T270" si="79">(SUM(O264:R264)*1.3)</f>
        <v>13533.983735999996</v>
      </c>
    </row>
    <row r="265" spans="1:20">
      <c r="A265" s="68">
        <v>0.8</v>
      </c>
      <c r="B265" s="69">
        <v>2</v>
      </c>
      <c r="C265" s="59">
        <f>(((A265+(2*B265))*MATERIALES!$C$57)+((A265+(2*B265))*MATERIALES!$C$55)+(A265*MATERIALES!$C$59)+((((A265*2)+(B265*2))*MATERIALES!$C$73)*2))*(MATERIALES!$F$2*MATERIALES!$J$15)</f>
        <v>0</v>
      </c>
      <c r="D265" s="59">
        <f>(1*MATERIALES!$C$204)+(1*MATERIALES!$C$205)+(3*MATERIALES!$C$207)+(2*MATERIALES!$C$189)+(2*MATERIALES!$C$190)+(2*MATERIALES!$C$191)+(4*MATERIALES!$C$158)+(4*MATERIALES!$C$159)+((A265+(2*B265))*MATERIALES!$C$210)+((A265+(2*B265))*MATERIALES!$C$209)+(((A265*2)+(B265*2))*MATERIALES!$C$141)+(((((A265*2)+(B265*2))/0.1)*MATERIALES!$C$192)*2)+(2*MATERIALES!$C$187)+(((A265*5)*2)*MATERIALES!$C$147)+(4*MATERIALES!$C$148)</f>
        <v>4898.6828800000003</v>
      </c>
      <c r="E265" s="75"/>
      <c r="F265" s="55">
        <f>(((A265*B265)*2)*MATERIALES!$D$83)+(4*MATERIALES!$C$229)+(((A265*2)+(B265*2))*MATERIALES!$C$230)+(((A265*2)+(B265*2))*MATERIALES!$C$231)+((((A265*2)+(B265*2))/15)*MATERIALES!$C$232)+((((A265*2)+(B265*2))/15)*(MATERIALES!$C$233*0.15))</f>
        <v>3401.9315200000001</v>
      </c>
      <c r="G265" s="59">
        <f t="shared" si="76"/>
        <v>8300.6144000000004</v>
      </c>
      <c r="H265" s="70">
        <f t="shared" si="77"/>
        <v>13172.150784000001</v>
      </c>
      <c r="M265" s="68">
        <v>0.8</v>
      </c>
      <c r="N265" s="69">
        <v>2</v>
      </c>
      <c r="O265" s="59">
        <f>(((M265+(2*N265))*MATERIALES!$C$57)+((M265+(2*N265))*MATERIALES!$C$55)+(M265*MATERIALES!$C$59)+((((M265*2)+(N265*2))*MATERIALES!$C$73)*2))*(MATERIALES!$F$2*MATERIALES!$J$15)</f>
        <v>0</v>
      </c>
      <c r="P265" s="59">
        <f>(1*MATERIALES!$C$204)+(1*MATERIALES!$C$205)+(3*MATERIALES!$C$207)+(2*MATERIALES!$C$189)+(2*MATERIALES!$C$190)+(2*MATERIALES!$C$191)+(4*MATERIALES!$C$158)+(4*MATERIALES!$C$159)+((M265+(2*N265))*MATERIALES!$C$210)+((M265+(2*N265))*MATERIALES!$C$209)+(((M265*2)+(N265*2))*MATERIALES!$C$165)+(0.5*MATERIALES!$C$167)+(((((M265*2)+(N265*2))/0.1)*MATERIALES!$C$192)*2)+(2*MATERIALES!$C$187)+(((M265*5)*2)*MATERIALES!$C$147)+(4*MATERIALES!$C$148)</f>
        <v>5035.1828800000003</v>
      </c>
      <c r="Q265" s="75"/>
      <c r="R265" s="55">
        <f>(((M265-0.2)*MATERIALES!$C$30)*(N265/0.12))*MATERIALES!$F$2</f>
        <v>6473.376000000002</v>
      </c>
      <c r="S265" s="59">
        <f t="shared" si="78"/>
        <v>11508.558880000002</v>
      </c>
      <c r="T265" s="70">
        <f t="shared" si="79"/>
        <v>14961.126544000004</v>
      </c>
    </row>
    <row r="266" spans="1:20">
      <c r="A266" s="68">
        <v>0.9</v>
      </c>
      <c r="B266" s="69">
        <v>2</v>
      </c>
      <c r="C266" s="59">
        <f>(((A266+(2*B266))*MATERIALES!$C$57)+((A266+(2*B266))*MATERIALES!$C$55)+(A266*MATERIALES!$C$59)+((((A266*2)+(B266*2))*MATERIALES!$C$73)*2))*(MATERIALES!$F$2*MATERIALES!$J$15)</f>
        <v>0</v>
      </c>
      <c r="D266" s="59">
        <f>(1*MATERIALES!$C$204)+(1*MATERIALES!$C$205)+(3*MATERIALES!$C$207)+(2*MATERIALES!$C$189)+(2*MATERIALES!$C$190)+(2*MATERIALES!$C$191)+(4*MATERIALES!$C$158)+(4*MATERIALES!$C$159)+((A266+(2*B266))*MATERIALES!$C$210)+((A266+(2*B266))*MATERIALES!$C$209)+(((A266*2)+(B266*2))*MATERIALES!$C$141)+(((((A266*2)+(B266*2))/0.1)*MATERIALES!$C$192)*2)+(2*MATERIALES!$C$187)+(((A266*5)*2)*MATERIALES!$C$147)+(4*MATERIALES!$C$148)</f>
        <v>4917.5890399999998</v>
      </c>
      <c r="E266" s="75"/>
      <c r="F266" s="55">
        <f>(((A266*B266)*2)*MATERIALES!$D$83)+(4*MATERIALES!$C$229)+(((A266*2)+(B266*2))*MATERIALES!$C$230)+(((A266*2)+(B266*2))*MATERIALES!$C$231)+((((A266*2)+(B266*2))/15)*MATERIALES!$C$232)+((((A266*2)+(B266*2))/15)*(MATERIALES!$C$233*0.15))</f>
        <v>3708.3633599999998</v>
      </c>
      <c r="G266" s="59">
        <f t="shared" si="76"/>
        <v>8625.9524000000001</v>
      </c>
      <c r="H266" s="70">
        <f t="shared" si="77"/>
        <v>13809.592472</v>
      </c>
      <c r="M266" s="68">
        <v>0.9</v>
      </c>
      <c r="N266" s="69">
        <v>2</v>
      </c>
      <c r="O266" s="59">
        <f>(((M266+(2*N266))*MATERIALES!$C$57)+((M266+(2*N266))*MATERIALES!$C$55)+(M266*MATERIALES!$C$59)+((((M266*2)+(N266*2))*MATERIALES!$C$73)*2))*(MATERIALES!$F$2*MATERIALES!$J$15)</f>
        <v>0</v>
      </c>
      <c r="P266" s="59">
        <f>(1*MATERIALES!$C$204)+(1*MATERIALES!$C$205)+(3*MATERIALES!$C$207)+(2*MATERIALES!$C$189)+(2*MATERIALES!$C$190)+(2*MATERIALES!$C$191)+(4*MATERIALES!$C$158)+(4*MATERIALES!$C$159)+((M266+(2*N266))*MATERIALES!$C$210)+((M266+(2*N266))*MATERIALES!$C$209)+(((M266*2)+(N266*2))*MATERIALES!$C$165)+(0.5*MATERIALES!$C$167)+(((((M266*2)+(N266*2))/0.1)*MATERIALES!$C$192)*2)+(2*MATERIALES!$C$187)+(((M266*5)*2)*MATERIALES!$C$147)+(4*MATERIALES!$C$148)</f>
        <v>5054.0890399999998</v>
      </c>
      <c r="Q266" s="75"/>
      <c r="R266" s="55">
        <f>(((M266-0.2)*MATERIALES!$C$30)*(N266/0.12))*MATERIALES!$F$2</f>
        <v>7552.2720000000008</v>
      </c>
      <c r="S266" s="59">
        <f t="shared" si="78"/>
        <v>12606.36104</v>
      </c>
      <c r="T266" s="70">
        <f t="shared" si="79"/>
        <v>16388.269351999999</v>
      </c>
    </row>
    <row r="267" spans="1:20">
      <c r="A267" s="68">
        <v>0.6</v>
      </c>
      <c r="B267" s="69">
        <v>2.1</v>
      </c>
      <c r="C267" s="59">
        <f>(((A267+(2*B267))*MATERIALES!$C$57)+((A267+(2*B267))*MATERIALES!$C$55)+(A267*MATERIALES!$C$59)+((((A267*2)+(B267*2))*MATERIALES!$C$73)*2))*(MATERIALES!$F$2*MATERIALES!$J$15)</f>
        <v>0</v>
      </c>
      <c r="D267" s="59">
        <f>(1*MATERIALES!$C$204)+(1*MATERIALES!$C$205)+(3*MATERIALES!$C$207)+(2*MATERIALES!$C$189)+(2*MATERIALES!$C$190)+(2*MATERIALES!$C$191)+(4*MATERIALES!$C$158)+(4*MATERIALES!$C$159)+((A267+(2*B267))*MATERIALES!$C$210)+((A267+(2*B267))*MATERIALES!$C$209)+(((A267*2)+(B267*2))*MATERIALES!$C$141)+(((((A267*2)+(B267*2))/0.1)*MATERIALES!$C$192)*2)+(2*MATERIALES!$C$187)+(((A267*5)*2)*MATERIALES!$C$147)+(4*MATERIALES!$C$148)</f>
        <v>4885.6787199999999</v>
      </c>
      <c r="E267" s="75"/>
      <c r="F267" s="55">
        <f>(((A267*B267)*2)*MATERIALES!$D$83)+(4*MATERIALES!$C$229)+(((A267*2)+(B267*2))*MATERIALES!$C$230)+(((A267*2)+(B267*2))*MATERIALES!$C$231)+((((A267*2)+(B267*2))/15)*MATERIALES!$C$232)+((((A267*2)+(B267*2))/15)*(MATERIALES!$C$233*0.15))</f>
        <v>2913.4996800000004</v>
      </c>
      <c r="G267" s="59">
        <f t="shared" si="76"/>
        <v>7799.1784000000007</v>
      </c>
      <c r="H267" s="70">
        <f t="shared" si="77"/>
        <v>12178.381696</v>
      </c>
      <c r="M267" s="68">
        <v>0.6</v>
      </c>
      <c r="N267" s="69">
        <v>2.1</v>
      </c>
      <c r="O267" s="59">
        <f>(((M267+(2*N267))*MATERIALES!$C$57)+((M267+(2*N267))*MATERIALES!$C$55)+(M267*MATERIALES!$C$59)+((((M267*2)+(N267*2))*MATERIALES!$C$73)*2))*(MATERIALES!$F$2*MATERIALES!$J$15)</f>
        <v>0</v>
      </c>
      <c r="P267" s="59">
        <f>(1*MATERIALES!$C$204)+(1*MATERIALES!$C$205)+(3*MATERIALES!$C$207)+(2*MATERIALES!$C$189)+(2*MATERIALES!$C$190)+(2*MATERIALES!$C$191)+(4*MATERIALES!$C$158)+(4*MATERIALES!$C$159)+((M267+(2*N267))*MATERIALES!$C$210)+((M267+(2*N267))*MATERIALES!$C$209)+(((M267*2)+(N267*2))*MATERIALES!$C$165)+(0.5*MATERIALES!$C$167)+(((((M267*2)+(N267*2))/0.1)*MATERIALES!$C$192)*2)+(2*MATERIALES!$C$187)+(((M267*5)*2)*MATERIALES!$C$147)+(4*MATERIALES!$C$148)</f>
        <v>5022.1787199999999</v>
      </c>
      <c r="Q267" s="75"/>
      <c r="R267" s="55">
        <f>(((M267-0.2)*MATERIALES!$C$30)*(N267/0.12))*MATERIALES!$F$2</f>
        <v>4531.3631999999998</v>
      </c>
      <c r="S267" s="59">
        <f t="shared" si="78"/>
        <v>9553.5419199999997</v>
      </c>
      <c r="T267" s="70">
        <f t="shared" si="79"/>
        <v>12419.604496</v>
      </c>
    </row>
    <row r="268" spans="1:20">
      <c r="A268" s="68">
        <v>0.7</v>
      </c>
      <c r="B268" s="69">
        <v>2.1</v>
      </c>
      <c r="C268" s="59">
        <f>(((A268+(2*B268))*MATERIALES!$C$57)+((A268+(2*B268))*MATERIALES!$C$55)+(A268*MATERIALES!$C$59)+((((A268*2)+(B268*2))*MATERIALES!$C$73)*2))*(MATERIALES!$F$2*MATERIALES!$J$15)</f>
        <v>0</v>
      </c>
      <c r="D268" s="59">
        <f>(1*MATERIALES!$C$204)+(1*MATERIALES!$C$205)+(3*MATERIALES!$C$207)+(2*MATERIALES!$C$189)+(2*MATERIALES!$C$190)+(2*MATERIALES!$C$191)+(4*MATERIALES!$C$158)+(4*MATERIALES!$C$159)+((A268+(2*B268))*MATERIALES!$C$210)+((A268+(2*B268))*MATERIALES!$C$209)+(((A268*2)+(B268*2))*MATERIALES!$C$141)+(((((A268*2)+(B268*2))/0.1)*MATERIALES!$C$192)*2)+(2*MATERIALES!$C$187)+(((A268*5)*2)*MATERIALES!$C$147)+(4*MATERIALES!$C$148)</f>
        <v>4904.5848800000003</v>
      </c>
      <c r="E268" s="75"/>
      <c r="F268" s="55">
        <f>(((A268*B268)*2)*MATERIALES!$D$83)+(4*MATERIALES!$C$229)+(((A268*2)+(B268*2))*MATERIALES!$C$230)+(((A268*2)+(B268*2))*MATERIALES!$C$231)+((((A268*2)+(B268*2))/15)*MATERIALES!$C$232)+((((A268*2)+(B268*2))/15)*(MATERIALES!$C$233*0.15))</f>
        <v>3232.9315200000001</v>
      </c>
      <c r="G268" s="59">
        <f t="shared" si="76"/>
        <v>8137.5164000000004</v>
      </c>
      <c r="H268" s="70">
        <f t="shared" si="77"/>
        <v>12841.823384000001</v>
      </c>
      <c r="M268" s="68">
        <v>0.7</v>
      </c>
      <c r="N268" s="69">
        <v>2.1</v>
      </c>
      <c r="O268" s="59">
        <f>(((M268+(2*N268))*MATERIALES!$C$57)+((M268+(2*N268))*MATERIALES!$C$55)+(M268*MATERIALES!$C$59)+((((M268*2)+(N268*2))*MATERIALES!$C$73)*2))*(MATERIALES!$F$2*MATERIALES!$J$15)</f>
        <v>0</v>
      </c>
      <c r="P268" s="59">
        <f>(1*MATERIALES!$C$204)+(1*MATERIALES!$C$205)+(3*MATERIALES!$C$207)+(2*MATERIALES!$C$189)+(2*MATERIALES!$C$190)+(2*MATERIALES!$C$191)+(4*MATERIALES!$C$158)+(4*MATERIALES!$C$159)+((M268+(2*N268))*MATERIALES!$C$210)+((M268+(2*N268))*MATERIALES!$C$209)+(((M268*2)+(N268*2))*MATERIALES!$C$165)+(0.5*MATERIALES!$C$167)+(((((M268*2)+(N268*2))/0.1)*MATERIALES!$C$192)*2)+(2*MATERIALES!$C$187)+(((M268*5)*2)*MATERIALES!$C$147)+(4*MATERIALES!$C$148)</f>
        <v>5041.0848800000003</v>
      </c>
      <c r="Q268" s="75"/>
      <c r="R268" s="55">
        <f>(((M268-0.2)*MATERIALES!$C$30)*(N268/0.12))*MATERIALES!$F$2</f>
        <v>5664.2039999999997</v>
      </c>
      <c r="S268" s="59">
        <f t="shared" si="78"/>
        <v>10705.28888</v>
      </c>
      <c r="T268" s="70">
        <f t="shared" si="79"/>
        <v>13916.875544</v>
      </c>
    </row>
    <row r="269" spans="1:20">
      <c r="A269" s="68">
        <v>0.8</v>
      </c>
      <c r="B269" s="69">
        <v>2.1</v>
      </c>
      <c r="C269" s="59">
        <f>(((A269+(2*B269))*MATERIALES!$C$57)+((A269+(2*B269))*MATERIALES!$C$55)+(A269*MATERIALES!$C$59)+((((A269*2)+(B269*2))*MATERIALES!$C$73)*2))*(MATERIALES!$F$2*MATERIALES!$J$15)</f>
        <v>0</v>
      </c>
      <c r="D269" s="59">
        <f>(1*MATERIALES!$C$204)+(1*MATERIALES!$C$205)+(3*MATERIALES!$C$207)+(2*MATERIALES!$C$189)+(2*MATERIALES!$C$190)+(2*MATERIALES!$C$191)+(4*MATERIALES!$C$158)+(4*MATERIALES!$C$159)+((A269+(2*B269))*MATERIALES!$C$210)+((A269+(2*B269))*MATERIALES!$C$209)+(((A269*2)+(B269*2))*MATERIALES!$C$141)+(((((A269*2)+(B269*2))/0.1)*MATERIALES!$C$192)*2)+(2*MATERIALES!$C$187)+(((A269*5)*2)*MATERIALES!$C$147)+(4*MATERIALES!$C$148)</f>
        <v>4923.4910399999999</v>
      </c>
      <c r="E269" s="75"/>
      <c r="F269" s="55">
        <f>(((A269*B269)*2)*MATERIALES!$D$83)+(4*MATERIALES!$C$229)+(((A269*2)+(B269*2))*MATERIALES!$C$230)+(((A269*2)+(B269*2))*MATERIALES!$C$231)+((((A269*2)+(B269*2))/15)*MATERIALES!$C$232)+((((A269*2)+(B269*2))/15)*(MATERIALES!$C$233*0.15))</f>
        <v>3552.3633599999998</v>
      </c>
      <c r="G269" s="59">
        <f t="shared" si="76"/>
        <v>8475.8544000000002</v>
      </c>
      <c r="H269" s="70">
        <f t="shared" si="77"/>
        <v>13505.265072</v>
      </c>
      <c r="M269" s="68">
        <v>0.8</v>
      </c>
      <c r="N269" s="69">
        <v>2.1</v>
      </c>
      <c r="O269" s="59">
        <f>(((M269+(2*N269))*MATERIALES!$C$57)+((M269+(2*N269))*MATERIALES!$C$55)+(M269*MATERIALES!$C$59)+((((M269*2)+(N269*2))*MATERIALES!$C$73)*2))*(MATERIALES!$F$2*MATERIALES!$J$15)</f>
        <v>0</v>
      </c>
      <c r="P269" s="59">
        <f>(1*MATERIALES!$C$204)+(1*MATERIALES!$C$205)+(3*MATERIALES!$C$207)+(2*MATERIALES!$C$189)+(2*MATERIALES!$C$190)+(2*MATERIALES!$C$191)+(4*MATERIALES!$C$158)+(4*MATERIALES!$C$159)+((M269+(2*N269))*MATERIALES!$C$210)+((M269+(2*N269))*MATERIALES!$C$209)+(((M269*2)+(N269*2))*MATERIALES!$C$165)+(0.5*MATERIALES!$C$167)+(((((M269*2)+(N269*2))/0.1)*MATERIALES!$C$192)*2)+(2*MATERIALES!$C$187)+(((M269*5)*2)*MATERIALES!$C$147)+(4*MATERIALES!$C$148)</f>
        <v>5059.9910399999999</v>
      </c>
      <c r="Q269" s="75"/>
      <c r="R269" s="55">
        <f>(((M269-0.2)*MATERIALES!$C$30)*(N269/0.12))*MATERIALES!$F$2</f>
        <v>6797.0448000000024</v>
      </c>
      <c r="S269" s="59">
        <f t="shared" si="78"/>
        <v>11857.035840000002</v>
      </c>
      <c r="T269" s="70">
        <f t="shared" si="79"/>
        <v>15414.146592000003</v>
      </c>
    </row>
    <row r="270" spans="1:20" ht="15.75" thickBot="1">
      <c r="A270" s="71">
        <v>0.9</v>
      </c>
      <c r="B270" s="72">
        <v>2.1</v>
      </c>
      <c r="C270" s="60">
        <f>(((A270+(2*B270))*MATERIALES!$C$57)+((A270+(2*B270))*MATERIALES!$C$55)+(A270*MATERIALES!$C$59)+((((A270*2)+(B270*2))*MATERIALES!$C$73)*2))*(MATERIALES!$F$2*MATERIALES!$J$15)</f>
        <v>0</v>
      </c>
      <c r="D270" s="60">
        <f>(1*MATERIALES!$C$204)+(1*MATERIALES!$C$205)+(3*MATERIALES!$C$207)+(2*MATERIALES!$C$189)+(2*MATERIALES!$C$190)+(2*MATERIALES!$C$191)+(4*MATERIALES!$C$158)+(4*MATERIALES!$C$159)+((A270+(2*B270))*MATERIALES!$C$210)+((A270+(2*B270))*MATERIALES!$C$209)+(((A270*2)+(B270*2))*MATERIALES!$C$141)+(((((A270*2)+(B270*2))/0.1)*MATERIALES!$C$192)*2)+(2*MATERIALES!$C$187)+(((A270*5)*2)*MATERIALES!$C$147)+(4*MATERIALES!$C$148)</f>
        <v>4942.3971999999985</v>
      </c>
      <c r="E270" s="76"/>
      <c r="F270" s="56">
        <f>(((A270*B270)*2)*MATERIALES!$D$83)+(4*MATERIALES!$C$229)+(((A270*2)+(B270*2))*MATERIALES!$C$230)+(((A270*2)+(B270*2))*MATERIALES!$C$231)+((((A270*2)+(B270*2))/15)*MATERIALES!$C$232)+((((A270*2)+(B270*2))/15)*(MATERIALES!$C$233*0.15))</f>
        <v>3871.7952000000005</v>
      </c>
      <c r="G270" s="60">
        <f t="shared" si="76"/>
        <v>8814.1923999999999</v>
      </c>
      <c r="H270" s="73">
        <f t="shared" si="77"/>
        <v>14168.706759999999</v>
      </c>
      <c r="M270" s="71">
        <v>0.9</v>
      </c>
      <c r="N270" s="72">
        <v>2.1</v>
      </c>
      <c r="O270" s="60">
        <f>(((M270+(2*N270))*MATERIALES!$C$57)+((M270+(2*N270))*MATERIALES!$C$55)+(M270*MATERIALES!$C$59)+((((M270*2)+(N270*2))*MATERIALES!$C$73)*2))*(MATERIALES!$F$2*MATERIALES!$J$15)</f>
        <v>0</v>
      </c>
      <c r="P270" s="60">
        <f>(1*MATERIALES!$C$204)+(1*MATERIALES!$C$205)+(3*MATERIALES!$C$207)+(2*MATERIALES!$C$189)+(2*MATERIALES!$C$190)+(2*MATERIALES!$C$191)+(4*MATERIALES!$C$158)+(4*MATERIALES!$C$159)+((M270+(2*N270))*MATERIALES!$C$210)+((M270+(2*N270))*MATERIALES!$C$209)+(((M270*2)+(N270*2))*MATERIALES!$C$165)+(0.5*MATERIALES!$C$167)+(((((M270*2)+(N270*2))/0.1)*MATERIALES!$C$192)*2)+(2*MATERIALES!$C$187)+(((M270*5)*2)*MATERIALES!$C$147)+(4*MATERIALES!$C$148)</f>
        <v>5078.8971999999985</v>
      </c>
      <c r="Q270" s="76"/>
      <c r="R270" s="56">
        <f>(((M270-0.2)*MATERIALES!$C$30)*(N270/0.12))*MATERIALES!$F$2</f>
        <v>7929.8856000000005</v>
      </c>
      <c r="S270" s="60">
        <f t="shared" si="78"/>
        <v>13008.782799999999</v>
      </c>
      <c r="T270" s="73">
        <f t="shared" si="79"/>
        <v>16911.41764</v>
      </c>
    </row>
    <row r="272" spans="1:20" ht="15.75" thickBot="1"/>
    <row r="273" spans="1:21" ht="15.75" thickBot="1">
      <c r="A273" s="32"/>
      <c r="B273" s="32"/>
      <c r="C273" s="801">
        <v>0.3</v>
      </c>
      <c r="D273" s="802"/>
      <c r="E273" s="803"/>
      <c r="F273" s="61">
        <v>1</v>
      </c>
      <c r="G273" s="32"/>
      <c r="H273" s="46" t="s">
        <v>163</v>
      </c>
      <c r="M273" s="32"/>
      <c r="N273" s="32"/>
      <c r="O273" s="801">
        <v>0.3</v>
      </c>
      <c r="P273" s="802"/>
      <c r="Q273" s="803"/>
      <c r="R273" s="61">
        <v>1</v>
      </c>
      <c r="S273" s="32"/>
      <c r="T273" s="46" t="s">
        <v>163</v>
      </c>
    </row>
    <row r="274" spans="1:21" ht="15.75" thickBot="1">
      <c r="A274" s="792" t="s">
        <v>705</v>
      </c>
      <c r="B274" s="793"/>
      <c r="C274" s="793"/>
      <c r="D274" s="793"/>
      <c r="E274" s="793"/>
      <c r="F274" s="793"/>
      <c r="G274" s="793"/>
      <c r="H274" s="794"/>
      <c r="M274" s="792" t="s">
        <v>706</v>
      </c>
      <c r="N274" s="793"/>
      <c r="O274" s="793"/>
      <c r="P274" s="793"/>
      <c r="Q274" s="793"/>
      <c r="R274" s="793"/>
      <c r="S274" s="793"/>
      <c r="T274" s="794"/>
    </row>
    <row r="275" spans="1:21" ht="15.75" thickBot="1">
      <c r="A275" s="36" t="s">
        <v>116</v>
      </c>
      <c r="B275" s="36" t="s">
        <v>117</v>
      </c>
      <c r="C275" s="36" t="s">
        <v>162</v>
      </c>
      <c r="D275" s="36" t="s">
        <v>119</v>
      </c>
      <c r="E275" s="36" t="s">
        <v>120</v>
      </c>
      <c r="F275" s="36" t="s">
        <v>692</v>
      </c>
      <c r="G275" s="36" t="s">
        <v>121</v>
      </c>
      <c r="H275" s="36" t="s">
        <v>122</v>
      </c>
      <c r="M275" s="36" t="s">
        <v>116</v>
      </c>
      <c r="N275" s="36" t="s">
        <v>117</v>
      </c>
      <c r="O275" s="36" t="s">
        <v>162</v>
      </c>
      <c r="P275" s="36" t="s">
        <v>119</v>
      </c>
      <c r="Q275" s="36" t="s">
        <v>120</v>
      </c>
      <c r="R275" s="36" t="s">
        <v>692</v>
      </c>
      <c r="S275" s="36" t="s">
        <v>121</v>
      </c>
      <c r="T275" s="36" t="s">
        <v>122</v>
      </c>
    </row>
    <row r="276" spans="1:21" ht="15.75" thickBot="1">
      <c r="A276" s="795"/>
      <c r="B276" s="796"/>
      <c r="C276" s="796"/>
      <c r="D276" s="796"/>
      <c r="E276" s="796"/>
      <c r="F276" s="796"/>
      <c r="G276" s="796"/>
      <c r="H276" s="797"/>
      <c r="M276" s="795"/>
      <c r="N276" s="796"/>
      <c r="O276" s="796"/>
      <c r="P276" s="796"/>
      <c r="Q276" s="796"/>
      <c r="R276" s="796"/>
      <c r="S276" s="796"/>
      <c r="T276" s="797"/>
    </row>
    <row r="277" spans="1:21">
      <c r="A277" s="65">
        <v>0.6</v>
      </c>
      <c r="B277" s="66">
        <v>2</v>
      </c>
      <c r="C277" s="58">
        <f>(((A277+(2*B277))*MATERIALES!$C$57)+((A277+(2*B277))*MATERIALES!$C$55)+(A277*MATERIALES!$C$59)+((((A277*4)+(B277*2))*MATERIALES!$C$73)*2)+(A277*MATERIALES!$C$58))*(MATERIALES!$F$2*MATERIALES!$J$15)</f>
        <v>0</v>
      </c>
      <c r="D277" s="58">
        <f>(1*MATERIALES!$C$204)+(1*MATERIALES!$C$205)+(3*MATERIALES!$C$207)+(2*MATERIALES!$C$189)+(2*MATERIALES!$C$190)+(2*MATERIALES!$C$191)+(8*MATERIALES!$C$158)+(8*MATERIALES!$C$159)+((A277+(2*B277))*MATERIALES!$C$210)+((A277+(2*B277))*MATERIALES!$C$209)+(((A277*4)+(B277*2))*MATERIALES!$C$141)+(((((A277*4)+(B277*2))/0.1)*MATERIALES!$C$192)*2)+(2*MATERIALES!$C$187)+(((A277*5)*2)*MATERIALES!$C$147)+(4*MATERIALES!$C$148)</f>
        <v>4999.2155199999997</v>
      </c>
      <c r="E277" s="74"/>
      <c r="F277" s="54">
        <f>(((A277*B277)*2)*MATERIALES!$D$83)+(8*MATERIALES!$C$229)+(((A277*4)+(B277*2))*MATERIALES!$C$230)+(((A277*4)+(B277*2))*MATERIALES!$C$231)+((((A277*4)+(B277*2))/15)*MATERIALES!$C$232)+((((A277*4)+(B277*2))/15)*(MATERIALES!$C$233*0.15))</f>
        <v>3089.4988800000001</v>
      </c>
      <c r="G277" s="58">
        <f>SUM(C277:F277)</f>
        <v>8088.7143999999998</v>
      </c>
      <c r="H277" s="67">
        <f>(SUM(C277:E277)*1.3)+(F277*2)</f>
        <v>12677.977935999999</v>
      </c>
      <c r="M277" s="65">
        <v>0.6</v>
      </c>
      <c r="N277" s="66">
        <v>2</v>
      </c>
      <c r="O277" s="58">
        <f>(((M277+(2*N277))*MATERIALES!$C$57)+((M277+(2*N277))*MATERIALES!$C$55)+(M277*MATERIALES!$C$59)+(M277*MATERIALES!$C$58)+(((M277-0.2)*MATERIALES!$C$30)*((N277/2)/0.12))+((((M277*2)+(N277*1))*MATERIALES!$C$73)*2))*(MATERIALES!$F$2*MATERIALES!$J$15)</f>
        <v>0</v>
      </c>
      <c r="P277" s="58">
        <f>(1*MATERIALES!$C$204)+(1*MATERIALES!$C$205)+(3*MATERIALES!$C$207)+(2*MATERIALES!$C$189)+(2*MATERIALES!$C$190)+(2*MATERIALES!$C$191)+(8*MATERIALES!$C$158)+(8*MATERIALES!$C$159)+((M277+(2*N277))*MATERIALES!$C$210)+((M277+(2*N277))*MATERIALES!$C$209)+(((M277*2)+(N277*1))*MATERIALES!$C$141)+(((M277*2)+(N277*1))*MATERIALES!$C$165)+(((((M277*4)+(N277*2))/0.1)*MATERIALES!$C$192)*2)+(0.25*MATERIALES!$C$167)+(2*MATERIALES!$C$187)+(((M277*5)*2)*MATERIALES!$C$147)+(4*MATERIALES!$C$148)</f>
        <v>5067.4655200000007</v>
      </c>
      <c r="Q277" s="74"/>
      <c r="R277" s="54">
        <f>(((M277*(N277/2))*2)*MATERIALES!$D$83)+(4*MATERIALES!$C$229)+(((M277*2)+((N277/2)*2))*MATERIALES!$C$230)+(((M277*2)+((N277/2)*2))*MATERIALES!$C$231)+((((M277*2)+((N277/2)*2))/15)*MATERIALES!$C$232)+((((M277*2)+((N277/2)*2))/15)*(MATERIALES!$C$233*0.15))</f>
        <v>1544.74944</v>
      </c>
      <c r="S277" s="58">
        <f>SUM(O277:R277)</f>
        <v>6612.2149600000012</v>
      </c>
      <c r="T277" s="67">
        <f>(SUM(O277:Q277)*1.3)+(R277*2)</f>
        <v>9677.2040560000023</v>
      </c>
    </row>
    <row r="278" spans="1:21">
      <c r="A278" s="68">
        <v>0.7</v>
      </c>
      <c r="B278" s="69">
        <v>2</v>
      </c>
      <c r="C278" s="59">
        <f>(((A278+(2*B278))*MATERIALES!$C$57)+((A278+(2*B278))*MATERIALES!$C$55)+(A278*MATERIALES!$C$59)+((((A278*4)+(B278*2))*MATERIALES!$C$73)*2)+(A278*MATERIALES!$C$58))*(MATERIALES!$F$2*MATERIALES!$J$15)</f>
        <v>0</v>
      </c>
      <c r="D278" s="59">
        <f>(1*MATERIALES!$C$204)+(1*MATERIALES!$C$205)+(3*MATERIALES!$C$207)+(2*MATERIALES!$C$189)+(2*MATERIALES!$C$190)+(2*MATERIALES!$C$191)+(8*MATERIALES!$C$158)+(8*MATERIALES!$C$159)+((A278+(2*B278))*MATERIALES!$C$210)+((A278+(2*B278))*MATERIALES!$C$209)+(((A278*4)+(B278*2))*MATERIALES!$C$141)+(((((A278*4)+(B278*2))/0.1)*MATERIALES!$C$192)*2)+(2*MATERIALES!$C$187)+(((A278*5)*2)*MATERIALES!$C$147)+(4*MATERIALES!$C$148)</f>
        <v>5031.1258399999997</v>
      </c>
      <c r="E278" s="75"/>
      <c r="F278" s="55">
        <f>(((A278*B278)*2)*MATERIALES!$D$83)+(8*MATERIALES!$C$229)+(((A278*4)+(B278*2))*MATERIALES!$C$230)+(((A278*4)+(B278*2))*MATERIALES!$C$231)+((((A278*4)+(B278*2))/15)*MATERIALES!$C$232)+((((A278*4)+(B278*2))/15)*(MATERIALES!$C$233*0.15))</f>
        <v>3442.36256</v>
      </c>
      <c r="G278" s="59">
        <f t="shared" ref="G278:G284" si="80">SUM(C278:F278)</f>
        <v>8473.4884000000002</v>
      </c>
      <c r="H278" s="70">
        <f t="shared" ref="H278:H284" si="81">(SUM(C278:E278)*1.3)+(F278*2)</f>
        <v>13425.188711999999</v>
      </c>
      <c r="M278" s="68">
        <v>0.7</v>
      </c>
      <c r="N278" s="69">
        <v>2</v>
      </c>
      <c r="O278" s="59">
        <f>(((M278+(2*N278))*MATERIALES!$C$57)+((M278+(2*N278))*MATERIALES!$C$55)+(M278*MATERIALES!$C$59)+(M278*MATERIALES!$C$58)+(((M278-0.2)*MATERIALES!$C$30)*((N278/2)/0.12))+((((M278*2)+(N278*1))*MATERIALES!$C$73)*2))*(MATERIALES!$F$2*MATERIALES!$J$15)</f>
        <v>0</v>
      </c>
      <c r="P278" s="59">
        <f>(1*MATERIALES!$C$204)+(1*MATERIALES!$C$205)+(3*MATERIALES!$C$207)+(2*MATERIALES!$C$189)+(2*MATERIALES!$C$190)+(2*MATERIALES!$C$191)+(8*MATERIALES!$C$158)+(8*MATERIALES!$C$159)+((M278+(2*N278))*MATERIALES!$C$210)+((M278+(2*N278))*MATERIALES!$C$209)+(((M278*2)+(N278*1))*MATERIALES!$C$141)+(((M278*2)+(N278*1))*MATERIALES!$C$165)+(((((M278*4)+(N278*2))/0.1)*MATERIALES!$C$192)*2)+(0.25*MATERIALES!$C$167)+(2*MATERIALES!$C$187)+(((M278*5)*2)*MATERIALES!$C$147)+(4*MATERIALES!$C$148)</f>
        <v>5099.3758399999997</v>
      </c>
      <c r="Q278" s="75"/>
      <c r="R278" s="55">
        <f>(((M278*(N278/2))*2)*MATERIALES!$D$83)+(4*MATERIALES!$C$229)+(((M278*2)+((N278/2)*2))*MATERIALES!$C$230)+(((M278*2)+((N278/2)*2))*MATERIALES!$C$231)+((((M278*2)+((N278/2)*2))/15)*MATERIALES!$C$232)+((((M278*2)+((N278/2)*2))/15)*(MATERIALES!$C$233*0.15))</f>
        <v>1721.18128</v>
      </c>
      <c r="S278" s="59">
        <f t="shared" ref="S278:S284" si="82">SUM(O278:R278)</f>
        <v>6820.5571199999995</v>
      </c>
      <c r="T278" s="70">
        <f t="shared" ref="T278:T284" si="83">(SUM(O278:Q278)*1.3)+(R278*2)</f>
        <v>10071.551152</v>
      </c>
    </row>
    <row r="279" spans="1:21">
      <c r="A279" s="68">
        <v>0.8</v>
      </c>
      <c r="B279" s="69">
        <v>2</v>
      </c>
      <c r="C279" s="59">
        <f>(((A279+(2*B279))*MATERIALES!$C$57)+((A279+(2*B279))*MATERIALES!$C$55)+(A279*MATERIALES!$C$59)+((((A279*4)+(B279*2))*MATERIALES!$C$73)*2)+(A279*MATERIALES!$C$58))*(MATERIALES!$F$2*MATERIALES!$J$15)</f>
        <v>0</v>
      </c>
      <c r="D279" s="59">
        <f>(1*MATERIALES!$C$204)+(1*MATERIALES!$C$205)+(3*MATERIALES!$C$207)+(2*MATERIALES!$C$189)+(2*MATERIALES!$C$190)+(2*MATERIALES!$C$191)+(8*MATERIALES!$C$158)+(8*MATERIALES!$C$159)+((A279+(2*B279))*MATERIALES!$C$210)+((A279+(2*B279))*MATERIALES!$C$209)+(((A279*4)+(B279*2))*MATERIALES!$C$141)+(((((A279*4)+(B279*2))/0.1)*MATERIALES!$C$192)*2)+(2*MATERIALES!$C$187)+(((A279*5)*2)*MATERIALES!$C$147)+(4*MATERIALES!$C$148)</f>
        <v>5063.0361600000006</v>
      </c>
      <c r="E279" s="75"/>
      <c r="F279" s="55">
        <f>(((A279*B279)*2)*MATERIALES!$D$83)+(8*MATERIALES!$C$229)+(((A279*4)+(B279*2))*MATERIALES!$C$230)+(((A279*4)+(B279*2))*MATERIALES!$C$231)+((((A279*4)+(B279*2))/15)*MATERIALES!$C$232)+((((A279*4)+(B279*2))/15)*(MATERIALES!$C$233*0.15))</f>
        <v>3795.2262399999995</v>
      </c>
      <c r="G279" s="59">
        <f t="shared" si="80"/>
        <v>8858.2623999999996</v>
      </c>
      <c r="H279" s="70">
        <f t="shared" si="81"/>
        <v>14172.399487999999</v>
      </c>
      <c r="M279" s="68">
        <v>0.8</v>
      </c>
      <c r="N279" s="69">
        <v>2</v>
      </c>
      <c r="O279" s="59">
        <f>(((M279+(2*N279))*MATERIALES!$C$57)+((M279+(2*N279))*MATERIALES!$C$55)+(M279*MATERIALES!$C$59)+(M279*MATERIALES!$C$58)+(((M279-0.2)*MATERIALES!$C$30)*((N279/2)/0.12))+((((M279*2)+(N279*1))*MATERIALES!$C$73)*2))*(MATERIALES!$F$2*MATERIALES!$J$15)</f>
        <v>0</v>
      </c>
      <c r="P279" s="59">
        <f>(1*MATERIALES!$C$204)+(1*MATERIALES!$C$205)+(3*MATERIALES!$C$207)+(2*MATERIALES!$C$189)+(2*MATERIALES!$C$190)+(2*MATERIALES!$C$191)+(8*MATERIALES!$C$158)+(8*MATERIALES!$C$159)+((M279+(2*N279))*MATERIALES!$C$210)+((M279+(2*N279))*MATERIALES!$C$209)+(((M279*2)+(N279*1))*MATERIALES!$C$141)+(((M279*2)+(N279*1))*MATERIALES!$C$165)+(((((M279*4)+(N279*2))/0.1)*MATERIALES!$C$192)*2)+(0.25*MATERIALES!$C$167)+(2*MATERIALES!$C$187)+(((M279*5)*2)*MATERIALES!$C$147)+(4*MATERIALES!$C$148)</f>
        <v>5131.2861599999997</v>
      </c>
      <c r="Q279" s="75"/>
      <c r="R279" s="55">
        <f>(((M279*(N279/2))*2)*MATERIALES!$D$83)+(4*MATERIALES!$C$229)+(((M279*2)+((N279/2)*2))*MATERIALES!$C$230)+(((M279*2)+((N279/2)*2))*MATERIALES!$C$231)+((((M279*2)+((N279/2)*2))/15)*MATERIALES!$C$232)+((((M279*2)+((N279/2)*2))/15)*(MATERIALES!$C$233*0.15))</f>
        <v>1897.6131199999998</v>
      </c>
      <c r="S279" s="59">
        <f t="shared" si="82"/>
        <v>7028.8992799999996</v>
      </c>
      <c r="T279" s="70">
        <f t="shared" si="83"/>
        <v>10465.898248</v>
      </c>
    </row>
    <row r="280" spans="1:21">
      <c r="A280" s="68">
        <v>0.9</v>
      </c>
      <c r="B280" s="69">
        <v>2</v>
      </c>
      <c r="C280" s="59">
        <f>(((A280+(2*B280))*MATERIALES!$C$57)+((A280+(2*B280))*MATERIALES!$C$55)+(A280*MATERIALES!$C$59)+((((A280*4)+(B280*2))*MATERIALES!$C$73)*2)+(A280*MATERIALES!$C$58))*(MATERIALES!$F$2*MATERIALES!$J$15)</f>
        <v>0</v>
      </c>
      <c r="D280" s="59">
        <f>(1*MATERIALES!$C$204)+(1*MATERIALES!$C$205)+(3*MATERIALES!$C$207)+(2*MATERIALES!$C$189)+(2*MATERIALES!$C$190)+(2*MATERIALES!$C$191)+(8*MATERIALES!$C$158)+(8*MATERIALES!$C$159)+((A280+(2*B280))*MATERIALES!$C$210)+((A280+(2*B280))*MATERIALES!$C$209)+(((A280*4)+(B280*2))*MATERIALES!$C$141)+(((((A280*4)+(B280*2))/0.1)*MATERIALES!$C$192)*2)+(2*MATERIALES!$C$187)+(((A280*5)*2)*MATERIALES!$C$147)+(4*MATERIALES!$C$148)</f>
        <v>5094.9464800000005</v>
      </c>
      <c r="E280" s="75"/>
      <c r="F280" s="55">
        <f>(((A280*B280)*2)*MATERIALES!$D$83)+(8*MATERIALES!$C$229)+(((A280*4)+(B280*2))*MATERIALES!$C$230)+(((A280*4)+(B280*2))*MATERIALES!$C$231)+((((A280*4)+(B280*2))/15)*MATERIALES!$C$232)+((((A280*4)+(B280*2))/15)*(MATERIALES!$C$233*0.15))</f>
        <v>4148.0899200000003</v>
      </c>
      <c r="G280" s="59">
        <f t="shared" si="80"/>
        <v>9243.0364000000009</v>
      </c>
      <c r="H280" s="70">
        <f t="shared" si="81"/>
        <v>14919.610264000003</v>
      </c>
      <c r="M280" s="68">
        <v>0.9</v>
      </c>
      <c r="N280" s="69">
        <v>2</v>
      </c>
      <c r="O280" s="59">
        <f>(((M280+(2*N280))*MATERIALES!$C$57)+((M280+(2*N280))*MATERIALES!$C$55)+(M280*MATERIALES!$C$59)+(M280*MATERIALES!$C$58)+(((M280-0.2)*MATERIALES!$C$30)*((N280/2)/0.12))+((((M280*2)+(N280*1))*MATERIALES!$C$73)*2))*(MATERIALES!$F$2*MATERIALES!$J$15)</f>
        <v>0</v>
      </c>
      <c r="P280" s="59">
        <f>(1*MATERIALES!$C$204)+(1*MATERIALES!$C$205)+(3*MATERIALES!$C$207)+(2*MATERIALES!$C$189)+(2*MATERIALES!$C$190)+(2*MATERIALES!$C$191)+(8*MATERIALES!$C$158)+(8*MATERIALES!$C$159)+((M280+(2*N280))*MATERIALES!$C$210)+((M280+(2*N280))*MATERIALES!$C$209)+(((M280*2)+(N280*1))*MATERIALES!$C$141)+(((M280*2)+(N280*1))*MATERIALES!$C$165)+(((((M280*4)+(N280*2))/0.1)*MATERIALES!$C$192)*2)+(0.25*MATERIALES!$C$167)+(2*MATERIALES!$C$187)+(((M280*5)*2)*MATERIALES!$C$147)+(4*MATERIALES!$C$148)</f>
        <v>5163.1964800000005</v>
      </c>
      <c r="Q280" s="75"/>
      <c r="R280" s="55">
        <f>(((M280*(N280/2))*2)*MATERIALES!$D$83)+(4*MATERIALES!$C$229)+(((M280*2)+((N280/2)*2))*MATERIALES!$C$230)+(((M280*2)+((N280/2)*2))*MATERIALES!$C$231)+((((M280*2)+((N280/2)*2))/15)*MATERIALES!$C$232)+((((M280*2)+((N280/2)*2))/15)*(MATERIALES!$C$233*0.15))</f>
        <v>2074.0449600000002</v>
      </c>
      <c r="S280" s="59">
        <f t="shared" si="82"/>
        <v>7237.2414400000007</v>
      </c>
      <c r="T280" s="70">
        <f t="shared" si="83"/>
        <v>10860.245344000001</v>
      </c>
    </row>
    <row r="281" spans="1:21">
      <c r="A281" s="68">
        <v>0.6</v>
      </c>
      <c r="B281" s="69">
        <v>2.1</v>
      </c>
      <c r="C281" s="59">
        <f>(((A281+(2*B281))*MATERIALES!$C$57)+((A281+(2*B281))*MATERIALES!$C$55)+(A281*MATERIALES!$C$59)+((((A281*4)+(B281*2))*MATERIALES!$C$73)*2)+(A281*MATERIALES!$C$58))*(MATERIALES!$F$2*MATERIALES!$J$15)</f>
        <v>0</v>
      </c>
      <c r="D281" s="59">
        <f>(1*MATERIALES!$C$204)+(1*MATERIALES!$C$205)+(3*MATERIALES!$C$207)+(2*MATERIALES!$C$189)+(2*MATERIALES!$C$190)+(2*MATERIALES!$C$191)+(8*MATERIALES!$C$158)+(8*MATERIALES!$C$159)+((A281+(2*B281))*MATERIALES!$C$210)+((A281+(2*B281))*MATERIALES!$C$209)+(((A281*4)+(B281*2))*MATERIALES!$C$141)+(((((A281*4)+(B281*2))/0.1)*MATERIALES!$C$192)*2)+(2*MATERIALES!$C$187)+(((A281*5)*2)*MATERIALES!$C$147)+(4*MATERIALES!$C$148)</f>
        <v>5024.0236800000002</v>
      </c>
      <c r="E281" s="75"/>
      <c r="F281" s="55">
        <f>(((A281*B281)*2)*MATERIALES!$D$83)+(8*MATERIALES!$C$229)+(((A281*4)+(B281*2))*MATERIALES!$C$230)+(((A281*4)+(B281*2))*MATERIALES!$C$231)+((((A281*4)+(B281*2))/15)*MATERIALES!$C$232)+((((A281*4)+(B281*2))/15)*(MATERIALES!$C$233*0.15))</f>
        <v>3213.9307200000003</v>
      </c>
      <c r="G281" s="59">
        <f t="shared" si="80"/>
        <v>8237.9544000000005</v>
      </c>
      <c r="H281" s="70">
        <f t="shared" si="81"/>
        <v>12959.092224</v>
      </c>
      <c r="M281" s="68">
        <v>0.6</v>
      </c>
      <c r="N281" s="69">
        <v>2.1</v>
      </c>
      <c r="O281" s="59">
        <f>(((M281+(2*N281))*MATERIALES!$C$57)+((M281+(2*N281))*MATERIALES!$C$55)+(M281*MATERIALES!$C$59)+(M281*MATERIALES!$C$58)+(((M281-0.2)*MATERIALES!$C$30)*((N281/2)/0.12))+((((M281*2)+(N281*1))*MATERIALES!$C$73)*2))*(MATERIALES!$F$2*MATERIALES!$J$15)</f>
        <v>0</v>
      </c>
      <c r="P281" s="59">
        <f>(1*MATERIALES!$C$204)+(1*MATERIALES!$C$205)+(3*MATERIALES!$C$207)+(2*MATERIALES!$C$189)+(2*MATERIALES!$C$190)+(2*MATERIALES!$C$191)+(8*MATERIALES!$C$158)+(8*MATERIALES!$C$159)+((M281+(2*N281))*MATERIALES!$C$210)+((M281+(2*N281))*MATERIALES!$C$209)+(((M281*2)+(N281*1))*MATERIALES!$C$141)+(((M281*2)+(N281*1))*MATERIALES!$C$165)+(((((M281*4)+(N281*2))/0.1)*MATERIALES!$C$192)*2)+(0.25*MATERIALES!$C$167)+(2*MATERIALES!$C$187)+(((M281*5)*2)*MATERIALES!$C$147)+(4*MATERIALES!$C$148)</f>
        <v>5092.2736800000002</v>
      </c>
      <c r="Q281" s="75"/>
      <c r="R281" s="55">
        <f>(((M281*(N281/2))*2)*MATERIALES!$D$83)+(4*MATERIALES!$C$229)+(((M281*2)+((N281/2)*2))*MATERIALES!$C$230)+(((M281*2)+((N281/2)*2))*MATERIALES!$C$231)+((((M281*2)+((N281/2)*2))/15)*MATERIALES!$C$232)+((((M281*2)+((N281/2)*2))/15)*(MATERIALES!$C$233*0.15))</f>
        <v>1606.9653600000001</v>
      </c>
      <c r="S281" s="59">
        <f t="shared" si="82"/>
        <v>6699.2390400000004</v>
      </c>
      <c r="T281" s="70">
        <f t="shared" si="83"/>
        <v>9833.8865040000019</v>
      </c>
    </row>
    <row r="282" spans="1:21">
      <c r="A282" s="68">
        <v>0.7</v>
      </c>
      <c r="B282" s="69">
        <v>2.1</v>
      </c>
      <c r="C282" s="59">
        <f>(((A282+(2*B282))*MATERIALES!$C$57)+((A282+(2*B282))*MATERIALES!$C$55)+(A282*MATERIALES!$C$59)+((((A282*4)+(B282*2))*MATERIALES!$C$73)*2)+(A282*MATERIALES!$C$58))*(MATERIALES!$F$2*MATERIALES!$J$15)</f>
        <v>0</v>
      </c>
      <c r="D282" s="59">
        <f>(1*MATERIALES!$C$204)+(1*MATERIALES!$C$205)+(3*MATERIALES!$C$207)+(2*MATERIALES!$C$189)+(2*MATERIALES!$C$190)+(2*MATERIALES!$C$191)+(8*MATERIALES!$C$158)+(8*MATERIALES!$C$159)+((A282+(2*B282))*MATERIALES!$C$210)+((A282+(2*B282))*MATERIALES!$C$209)+(((A282*4)+(B282*2))*MATERIALES!$C$141)+(((((A282*4)+(B282*2))/0.1)*MATERIALES!$C$192)*2)+(2*MATERIALES!$C$187)+(((A282*5)*2)*MATERIALES!$C$147)+(4*MATERIALES!$C$148)</f>
        <v>5055.9340000000002</v>
      </c>
      <c r="E282" s="75"/>
      <c r="F282" s="55">
        <f>(((A282*B282)*2)*MATERIALES!$D$83)+(8*MATERIALES!$C$229)+(((A282*4)+(B282*2))*MATERIALES!$C$230)+(((A282*4)+(B282*2))*MATERIALES!$C$231)+((((A282*4)+(B282*2))/15)*MATERIALES!$C$232)+((((A282*4)+(B282*2))/15)*(MATERIALES!$C$233*0.15))</f>
        <v>3579.7944000000002</v>
      </c>
      <c r="G282" s="59">
        <f t="shared" si="80"/>
        <v>8635.7284</v>
      </c>
      <c r="H282" s="70">
        <f t="shared" si="81"/>
        <v>13732.303</v>
      </c>
      <c r="M282" s="68">
        <v>0.7</v>
      </c>
      <c r="N282" s="69">
        <v>2.1</v>
      </c>
      <c r="O282" s="59">
        <f>(((M282+(2*N282))*MATERIALES!$C$57)+((M282+(2*N282))*MATERIALES!$C$55)+(M282*MATERIALES!$C$59)+(M282*MATERIALES!$C$58)+(((M282-0.2)*MATERIALES!$C$30)*((N282/2)/0.12))+((((M282*2)+(N282*1))*MATERIALES!$C$73)*2))*(MATERIALES!$F$2*MATERIALES!$J$15)</f>
        <v>0</v>
      </c>
      <c r="P282" s="59">
        <f>(1*MATERIALES!$C$204)+(1*MATERIALES!$C$205)+(3*MATERIALES!$C$207)+(2*MATERIALES!$C$189)+(2*MATERIALES!$C$190)+(2*MATERIALES!$C$191)+(8*MATERIALES!$C$158)+(8*MATERIALES!$C$159)+((M282+(2*N282))*MATERIALES!$C$210)+((M282+(2*N282))*MATERIALES!$C$209)+(((M282*2)+(N282*1))*MATERIALES!$C$141)+(((M282*2)+(N282*1))*MATERIALES!$C$165)+(((((M282*4)+(N282*2))/0.1)*MATERIALES!$C$192)*2)+(0.25*MATERIALES!$C$167)+(2*MATERIALES!$C$187)+(((M282*5)*2)*MATERIALES!$C$147)+(4*MATERIALES!$C$148)</f>
        <v>5124.1840000000002</v>
      </c>
      <c r="Q282" s="75"/>
      <c r="R282" s="55">
        <f>(((M282*(N282/2))*2)*MATERIALES!$D$83)+(4*MATERIALES!$C$229)+(((M282*2)+((N282/2)*2))*MATERIALES!$C$230)+(((M282*2)+((N282/2)*2))*MATERIALES!$C$231)+((((M282*2)+((N282/2)*2))/15)*MATERIALES!$C$232)+((((M282*2)+((N282/2)*2))/15)*(MATERIALES!$C$233*0.15))</f>
        <v>1789.8972000000001</v>
      </c>
      <c r="S282" s="59">
        <f t="shared" si="82"/>
        <v>6914.0812000000005</v>
      </c>
      <c r="T282" s="70">
        <f t="shared" si="83"/>
        <v>10241.233600000001</v>
      </c>
    </row>
    <row r="283" spans="1:21">
      <c r="A283" s="68">
        <v>0.8</v>
      </c>
      <c r="B283" s="69">
        <v>2.1</v>
      </c>
      <c r="C283" s="59">
        <f>(((A283+(2*B283))*MATERIALES!$C$57)+((A283+(2*B283))*MATERIALES!$C$55)+(A283*MATERIALES!$C$59)+((((A283*4)+(B283*2))*MATERIALES!$C$73)*2)+(A283*MATERIALES!$C$58))*(MATERIALES!$F$2*MATERIALES!$J$15)</f>
        <v>0</v>
      </c>
      <c r="D283" s="59">
        <f>(1*MATERIALES!$C$204)+(1*MATERIALES!$C$205)+(3*MATERIALES!$C$207)+(2*MATERIALES!$C$189)+(2*MATERIALES!$C$190)+(2*MATERIALES!$C$191)+(8*MATERIALES!$C$158)+(8*MATERIALES!$C$159)+((A283+(2*B283))*MATERIALES!$C$210)+((A283+(2*B283))*MATERIALES!$C$209)+(((A283*4)+(B283*2))*MATERIALES!$C$141)+(((((A283*4)+(B283*2))/0.1)*MATERIALES!$C$192)*2)+(2*MATERIALES!$C$187)+(((A283*5)*2)*MATERIALES!$C$147)+(4*MATERIALES!$C$148)</f>
        <v>5087.8443200000002</v>
      </c>
      <c r="E283" s="75"/>
      <c r="F283" s="55">
        <f>(((A283*B283)*2)*MATERIALES!$D$83)+(8*MATERIALES!$C$229)+(((A283*4)+(B283*2))*MATERIALES!$C$230)+(((A283*4)+(B283*2))*MATERIALES!$C$231)+((((A283*4)+(B283*2))/15)*MATERIALES!$C$232)+((((A283*4)+(B283*2))/15)*(MATERIALES!$C$233*0.15))</f>
        <v>3945.6580800000006</v>
      </c>
      <c r="G283" s="59">
        <f t="shared" si="80"/>
        <v>9033.5024000000012</v>
      </c>
      <c r="H283" s="70">
        <f t="shared" si="81"/>
        <v>14505.513776000002</v>
      </c>
      <c r="M283" s="68">
        <v>0.8</v>
      </c>
      <c r="N283" s="69">
        <v>2.1</v>
      </c>
      <c r="O283" s="59">
        <f>(((M283+(2*N283))*MATERIALES!$C$57)+((M283+(2*N283))*MATERIALES!$C$55)+(M283*MATERIALES!$C$59)+(M283*MATERIALES!$C$58)+(((M283-0.2)*MATERIALES!$C$30)*((N283/2)/0.12))+((((M283*2)+(N283*1))*MATERIALES!$C$73)*2))*(MATERIALES!$F$2*MATERIALES!$J$15)</f>
        <v>0</v>
      </c>
      <c r="P283" s="59">
        <f>(1*MATERIALES!$C$204)+(1*MATERIALES!$C$205)+(3*MATERIALES!$C$207)+(2*MATERIALES!$C$189)+(2*MATERIALES!$C$190)+(2*MATERIALES!$C$191)+(8*MATERIALES!$C$158)+(8*MATERIALES!$C$159)+((M283+(2*N283))*MATERIALES!$C$210)+((M283+(2*N283))*MATERIALES!$C$209)+(((M283*2)+(N283*1))*MATERIALES!$C$141)+(((M283*2)+(N283*1))*MATERIALES!$C$165)+(((((M283*4)+(N283*2))/0.1)*MATERIALES!$C$192)*2)+(0.25*MATERIALES!$C$167)+(2*MATERIALES!$C$187)+(((M283*5)*2)*MATERIALES!$C$147)+(4*MATERIALES!$C$148)</f>
        <v>5156.0943200000011</v>
      </c>
      <c r="Q283" s="75"/>
      <c r="R283" s="55">
        <f>(((M283*(N283/2))*2)*MATERIALES!$D$83)+(4*MATERIALES!$C$229)+(((M283*2)+((N283/2)*2))*MATERIALES!$C$230)+(((M283*2)+((N283/2)*2))*MATERIALES!$C$231)+((((M283*2)+((N283/2)*2))/15)*MATERIALES!$C$232)+((((M283*2)+((N283/2)*2))/15)*(MATERIALES!$C$233*0.15))</f>
        <v>1972.8290400000003</v>
      </c>
      <c r="S283" s="59">
        <f t="shared" si="82"/>
        <v>7128.9233600000016</v>
      </c>
      <c r="T283" s="70">
        <f t="shared" si="83"/>
        <v>10648.580696000003</v>
      </c>
    </row>
    <row r="284" spans="1:21" ht="15.75" thickBot="1">
      <c r="A284" s="71">
        <v>0.9</v>
      </c>
      <c r="B284" s="72">
        <v>2.1</v>
      </c>
      <c r="C284" s="60">
        <f>(((A284+(2*B284))*MATERIALES!$C$57)+((A284+(2*B284))*MATERIALES!$C$55)+(A284*MATERIALES!$C$59)+((((A284*4)+(B284*2))*MATERIALES!$C$73)*2)+(A284*MATERIALES!$C$58))*(MATERIALES!$F$2*MATERIALES!$J$15)</f>
        <v>0</v>
      </c>
      <c r="D284" s="60">
        <f>(1*MATERIALES!$C$204)+(1*MATERIALES!$C$205)+(3*MATERIALES!$C$207)+(2*MATERIALES!$C$189)+(2*MATERIALES!$C$190)+(2*MATERIALES!$C$191)+(8*MATERIALES!$C$158)+(8*MATERIALES!$C$159)+((A284+(2*B284))*MATERIALES!$C$210)+((A284+(2*B284))*MATERIALES!$C$209)+(((A284*4)+(B284*2))*MATERIALES!$C$141)+(((((A284*4)+(B284*2))/0.1)*MATERIALES!$C$192)*2)+(2*MATERIALES!$C$187)+(((A284*5)*2)*MATERIALES!$C$147)+(4*MATERIALES!$C$148)</f>
        <v>5119.7546399999992</v>
      </c>
      <c r="E284" s="76"/>
      <c r="F284" s="56">
        <f>(((A284*B284)*2)*MATERIALES!$D$83)+(8*MATERIALES!$C$229)+(((A284*4)+(B284*2))*MATERIALES!$C$230)+(((A284*4)+(B284*2))*MATERIALES!$C$231)+((((A284*4)+(B284*2))/15)*MATERIALES!$C$232)+((((A284*4)+(B284*2))/15)*(MATERIALES!$C$233*0.15))</f>
        <v>4311.5217599999996</v>
      </c>
      <c r="G284" s="60">
        <f t="shared" si="80"/>
        <v>9431.2763999999988</v>
      </c>
      <c r="H284" s="73">
        <f t="shared" si="81"/>
        <v>15278.724552</v>
      </c>
      <c r="M284" s="71">
        <v>0.9</v>
      </c>
      <c r="N284" s="72">
        <v>2.1</v>
      </c>
      <c r="O284" s="60">
        <f>(((M284+(2*N284))*MATERIALES!$C$57)+((M284+(2*N284))*MATERIALES!$C$55)+(M284*MATERIALES!$C$59)+(M284*MATERIALES!$C$58)+(((M284-0.2)*MATERIALES!$C$30)*((N284/2)/0.12))+((((M284*2)+(N284*1))*MATERIALES!$C$73)*2))*(MATERIALES!$F$2*MATERIALES!$J$15)</f>
        <v>0</v>
      </c>
      <c r="P284" s="60">
        <f>(1*MATERIALES!$C$204)+(1*MATERIALES!$C$205)+(3*MATERIALES!$C$207)+(2*MATERIALES!$C$189)+(2*MATERIALES!$C$190)+(2*MATERIALES!$C$191)+(8*MATERIALES!$C$158)+(8*MATERIALES!$C$159)+((M284+(2*N284))*MATERIALES!$C$210)+((M284+(2*N284))*MATERIALES!$C$209)+(((M284*2)+(N284*1))*MATERIALES!$C$141)+(((M284*2)+(N284*1))*MATERIALES!$C$165)+(((((M284*4)+(N284*2))/0.1)*MATERIALES!$C$192)*2)+(0.25*MATERIALES!$C$167)+(2*MATERIALES!$C$187)+(((M284*5)*2)*MATERIALES!$C$147)+(4*MATERIALES!$C$148)</f>
        <v>5188.0046399999992</v>
      </c>
      <c r="Q284" s="76"/>
      <c r="R284" s="56">
        <f>(((M284*(N284/2))*2)*MATERIALES!$D$83)+(4*MATERIALES!$C$229)+(((M284*2)+((N284/2)*2))*MATERIALES!$C$230)+(((M284*2)+((N284/2)*2))*MATERIALES!$C$231)+((((M284*2)+((N284/2)*2))/15)*MATERIALES!$C$232)+((((M284*2)+((N284/2)*2))/15)*(MATERIALES!$C$233*0.15))</f>
        <v>2155.7608799999998</v>
      </c>
      <c r="S284" s="60">
        <f t="shared" si="82"/>
        <v>7343.765519999999</v>
      </c>
      <c r="T284" s="73">
        <f t="shared" si="83"/>
        <v>11055.927791999999</v>
      </c>
    </row>
    <row r="286" spans="1:21" ht="15.75" thickBot="1"/>
    <row r="287" spans="1:21" ht="15.75" thickBot="1">
      <c r="A287" s="32"/>
      <c r="B287" s="32"/>
      <c r="C287" s="801">
        <v>0.3</v>
      </c>
      <c r="D287" s="802"/>
      <c r="E287" s="803"/>
      <c r="F287" s="61">
        <v>1</v>
      </c>
      <c r="G287" s="32"/>
      <c r="H287" s="46" t="s">
        <v>163</v>
      </c>
      <c r="M287" s="32"/>
      <c r="N287" s="32"/>
      <c r="O287" s="801">
        <v>0.3</v>
      </c>
      <c r="P287" s="802"/>
      <c r="Q287" s="803"/>
      <c r="R287" s="61">
        <v>1</v>
      </c>
      <c r="S287" s="32"/>
      <c r="T287" s="46" t="s">
        <v>163</v>
      </c>
    </row>
    <row r="288" spans="1:21" ht="15.75" thickBot="1">
      <c r="A288" s="792" t="s">
        <v>708</v>
      </c>
      <c r="B288" s="793"/>
      <c r="C288" s="793"/>
      <c r="D288" s="793"/>
      <c r="E288" s="793"/>
      <c r="F288" s="793"/>
      <c r="G288" s="793"/>
      <c r="H288" s="794"/>
      <c r="M288" s="792" t="s">
        <v>707</v>
      </c>
      <c r="N288" s="793"/>
      <c r="O288" s="793"/>
      <c r="P288" s="793"/>
      <c r="Q288" s="793"/>
      <c r="R288" s="793"/>
      <c r="S288" s="793"/>
      <c r="T288" s="794"/>
      <c r="U288" s="64" t="s">
        <v>381</v>
      </c>
    </row>
    <row r="289" spans="1:30" ht="15.75" thickBot="1">
      <c r="A289" s="36" t="s">
        <v>116</v>
      </c>
      <c r="B289" s="36" t="s">
        <v>117</v>
      </c>
      <c r="C289" s="36" t="s">
        <v>162</v>
      </c>
      <c r="D289" s="36" t="s">
        <v>119</v>
      </c>
      <c r="E289" s="36" t="s">
        <v>120</v>
      </c>
      <c r="F289" s="36" t="s">
        <v>692</v>
      </c>
      <c r="G289" s="36" t="s">
        <v>121</v>
      </c>
      <c r="H289" s="36" t="s">
        <v>122</v>
      </c>
      <c r="M289" s="36" t="s">
        <v>116</v>
      </c>
      <c r="N289" s="36" t="s">
        <v>117</v>
      </c>
      <c r="O289" s="36" t="s">
        <v>162</v>
      </c>
      <c r="P289" s="36" t="s">
        <v>119</v>
      </c>
      <c r="Q289" s="36" t="s">
        <v>120</v>
      </c>
      <c r="R289" s="36" t="s">
        <v>692</v>
      </c>
      <c r="S289" s="36" t="s">
        <v>121</v>
      </c>
      <c r="T289" s="36" t="s">
        <v>122</v>
      </c>
    </row>
    <row r="290" spans="1:30" ht="15.75" thickBot="1">
      <c r="A290" s="795"/>
      <c r="B290" s="796"/>
      <c r="C290" s="796"/>
      <c r="D290" s="796"/>
      <c r="E290" s="796"/>
      <c r="F290" s="796"/>
      <c r="G290" s="796"/>
      <c r="H290" s="797"/>
      <c r="M290" s="795"/>
      <c r="N290" s="796"/>
      <c r="O290" s="796"/>
      <c r="P290" s="796"/>
      <c r="Q290" s="796"/>
      <c r="R290" s="796"/>
      <c r="S290" s="796"/>
      <c r="T290" s="797"/>
    </row>
    <row r="291" spans="1:30">
      <c r="A291" s="65">
        <v>0.6</v>
      </c>
      <c r="B291" s="66">
        <v>2</v>
      </c>
      <c r="C291" s="58">
        <f>(((A291+(2*B291))*MATERIALES!$C$57)+((A291+(2*B291))*MATERIALES!$C$55)+(A291*MATERIALES!$C$59)+((((A291*2)+(B291*6))*MATERIALES!$C$73)*2)+((B291*2)*MATERIALES!$C$58))*(MATERIALES!$F$2*MATERIALES!$J$15)</f>
        <v>0</v>
      </c>
      <c r="D291" s="58">
        <f>(1*MATERIALES!$C$204)+(1*MATERIALES!$C$205)+(3*MATERIALES!$C$207)+(2*MATERIALES!$C$189)+(2*MATERIALES!$C$190)+(2*MATERIALES!$C$191)+(12*MATERIALES!$C$158)+(12*MATERIALES!$C$159)+((A291+(2*B291))*MATERIALES!$C$210)+((A291+(2*B291))*MATERIALES!$C$209)+(((A291*2)+(B291*6))*MATERIALES!$C$141)+(((((A291*2)+(B291*6))/0.1)*MATERIALES!$C$192)*2)+(2*MATERIALES!$C$187)+(((A291*5)*2)*MATERIALES!$C$147)+(4*MATERIALES!$C$148)</f>
        <v>5501.6769599999998</v>
      </c>
      <c r="E291" s="74"/>
      <c r="F291" s="54">
        <f>(((A291*B291)*2)*MATERIALES!$D$83)+(12*MATERIALES!$C$229)+(((A291*2)+(B291*6))*MATERIALES!$C$230)+(((A291*2)+(B291*6))*MATERIALES!$C$231)+((((A291*2)+(B291*6))/15)*MATERIALES!$C$232)+((((A291*2)+(B291*6))/15)*(MATERIALES!$C$233*0.15))</f>
        <v>4690.0214399999995</v>
      </c>
      <c r="G291" s="58">
        <f>SUM(C291:F291)</f>
        <v>10191.698399999999</v>
      </c>
      <c r="H291" s="67">
        <f>(SUM(C291:E291)*1.3)+(F291*2)</f>
        <v>16532.222927999999</v>
      </c>
      <c r="M291" s="65">
        <v>0.6</v>
      </c>
      <c r="N291" s="66">
        <v>2</v>
      </c>
      <c r="O291" s="58">
        <f>(((M291+(2*N291))*MATERIALES!$C$57)+((M291+(2*N291))*MATERIALES!$C$55)+(M291*MATERIALES!$C$59)+((M291*4)*MATERIALES!$C$58)+((((M291*10)+(N291*2))*MATERIALES!$C$73)*2))*(MATERIALES!$F$2*MATERIALES!$J$15)</f>
        <v>0</v>
      </c>
      <c r="P291" s="58">
        <f>(1*MATERIALES!$C$204)+(1*MATERIALES!$C$205)+(3*MATERIALES!$C$207)+(2*MATERIALES!$C$189)+(2*MATERIALES!$C$190)+(2*MATERIALES!$C$191)+(20*MATERIALES!$C$158)+(20*MATERIALES!$C$159)+((M291+(2*N291))*MATERIALES!$C$210)+((M291+(2*N291))*MATERIALES!$C$209)+(((M291*10)+(N291*2))*MATERIALES!$C$141)+(((((M291*10)+(N291*2))/0.1)*MATERIALES!$C$192)*2)+(2*MATERIALES!$C$187)+(((M291*5)*2)*MATERIALES!$C$147)+(4*MATERIALES!$C$148)</f>
        <v>5414.2503999999999</v>
      </c>
      <c r="Q291" s="74"/>
      <c r="R291" s="54">
        <f>(((M291*N291)*2)*MATERIALES!$D$83)+(20*MATERIALES!$C$229)+(((M291*10)+(N291*2))*MATERIALES!$C$230)+(((M291*10)+(N291*2))*MATERIALES!$C$231)+((((M291*10)+(N291*2))/15)*MATERIALES!$C$232)+((((M291*10)+(N291*2))/15)*(MATERIALES!$C$233*0.15))</f>
        <v>3990.7919999999995</v>
      </c>
      <c r="S291" s="58">
        <f>SUM(O291:R291)</f>
        <v>9405.0423999999985</v>
      </c>
      <c r="T291" s="67">
        <f>(SUM(O291:Q291)*1.3)+(R291*2)</f>
        <v>15020.109519999998</v>
      </c>
    </row>
    <row r="292" spans="1:30">
      <c r="A292" s="68">
        <v>0.7</v>
      </c>
      <c r="B292" s="69">
        <v>2</v>
      </c>
      <c r="C292" s="59">
        <f>(((A292+(2*B292))*MATERIALES!$C$57)+((A292+(2*B292))*MATERIALES!$C$55)+(A292*MATERIALES!$C$59)+((((A292*2)+(B292*6))*MATERIALES!$C$73)*2)+((B292*2)*MATERIALES!$C$58))*(MATERIALES!$F$2*MATERIALES!$J$15)</f>
        <v>0</v>
      </c>
      <c r="D292" s="59">
        <f>(1*MATERIALES!$C$204)+(1*MATERIALES!$C$205)+(3*MATERIALES!$C$207)+(2*MATERIALES!$C$189)+(2*MATERIALES!$C$190)+(2*MATERIALES!$C$191)+(12*MATERIALES!$C$158)+(12*MATERIALES!$C$159)+((A292+(2*B292))*MATERIALES!$C$210)+((A292+(2*B292))*MATERIALES!$C$209)+(((A292*2)+(B292*6))*MATERIALES!$C$141)+(((((A292*2)+(B292*6))/0.1)*MATERIALES!$C$192)*2)+(2*MATERIALES!$C$187)+(((A292*5)*2)*MATERIALES!$C$147)+(4*MATERIALES!$C$148)</f>
        <v>5520.5831199999993</v>
      </c>
      <c r="E292" s="75"/>
      <c r="F292" s="55">
        <f>(((A292*B292)*2)*MATERIALES!$D$83)+(12*MATERIALES!$C$229)+(((A292*2)+(B292*6))*MATERIALES!$C$230)+(((A292*2)+(B292*6))*MATERIALES!$C$231)+((((A292*2)+(B292*6))/15)*MATERIALES!$C$232)+((((A292*2)+(B292*6))/15)*(MATERIALES!$C$233*0.15))</f>
        <v>4996.4532799999997</v>
      </c>
      <c r="G292" s="59">
        <f t="shared" ref="G292:G298" si="84">SUM(C292:F292)</f>
        <v>10517.036399999999</v>
      </c>
      <c r="H292" s="70">
        <f t="shared" ref="H292:H298" si="85">(SUM(C292:E292)*1.3)+(F292*2)</f>
        <v>17169.664615999998</v>
      </c>
      <c r="M292" s="68">
        <v>0.7</v>
      </c>
      <c r="N292" s="69">
        <v>2</v>
      </c>
      <c r="O292" s="59">
        <f>(((M292+(2*N292))*MATERIALES!$C$57)+((M292+(2*N292))*MATERIALES!$C$55)+(M292*MATERIALES!$C$59)+((M292*4)*MATERIALES!$C$58)+((((M292*10)+(N292*2))*MATERIALES!$C$73)*2))*(MATERIALES!$F$2*MATERIALES!$J$15)</f>
        <v>0</v>
      </c>
      <c r="P292" s="59">
        <f>(1*MATERIALES!$C$204)+(1*MATERIALES!$C$205)+(3*MATERIALES!$C$207)+(2*MATERIALES!$C$189)+(2*MATERIALES!$C$190)+(2*MATERIALES!$C$191)+(20*MATERIALES!$C$158)+(20*MATERIALES!$C$159)+((M292+(2*N292))*MATERIALES!$C$210)+((M292+(2*N292))*MATERIALES!$C$209)+(((M292*10)+(N292*2))*MATERIALES!$C$141)+(((((M292*10)+(N292*2))/0.1)*MATERIALES!$C$192)*2)+(2*MATERIALES!$C$187)+(((M292*5)*2)*MATERIALES!$C$147)+(4*MATERIALES!$C$148)</f>
        <v>5485.1731999999993</v>
      </c>
      <c r="Q292" s="75"/>
      <c r="R292" s="55">
        <f>(((M292*N292)*2)*MATERIALES!$D$83)+(20*MATERIALES!$C$229)+(((M292*10)+(N292*2))*MATERIALES!$C$230)+(((M292*10)+(N292*2))*MATERIALES!$C$231)+((((M292*10)+(N292*2))/15)*MATERIALES!$C$232)+((((M292*10)+(N292*2))/15)*(MATERIALES!$C$233*0.15))</f>
        <v>4482.9511999999995</v>
      </c>
      <c r="S292" s="59">
        <f t="shared" ref="S292:S298" si="86">SUM(O292:R292)</f>
        <v>9968.1243999999988</v>
      </c>
      <c r="T292" s="70">
        <f t="shared" ref="T292:T298" si="87">(SUM(O292:Q292)*1.3)+(R292*2)</f>
        <v>16096.627559999997</v>
      </c>
    </row>
    <row r="293" spans="1:30">
      <c r="A293" s="68">
        <v>0.8</v>
      </c>
      <c r="B293" s="69">
        <v>2</v>
      </c>
      <c r="C293" s="59">
        <f>(((A293+(2*B293))*MATERIALES!$C$57)+((A293+(2*B293))*MATERIALES!$C$55)+(A293*MATERIALES!$C$59)+((((A293*2)+(B293*6))*MATERIALES!$C$73)*2)+((B293*2)*MATERIALES!$C$58))*(MATERIALES!$F$2*MATERIALES!$J$15)</f>
        <v>0</v>
      </c>
      <c r="D293" s="59">
        <f>(1*MATERIALES!$C$204)+(1*MATERIALES!$C$205)+(3*MATERIALES!$C$207)+(2*MATERIALES!$C$189)+(2*MATERIALES!$C$190)+(2*MATERIALES!$C$191)+(12*MATERIALES!$C$158)+(12*MATERIALES!$C$159)+((A293+(2*B293))*MATERIALES!$C$210)+((A293+(2*B293))*MATERIALES!$C$209)+(((A293*2)+(B293*6))*MATERIALES!$C$141)+(((((A293*2)+(B293*6))/0.1)*MATERIALES!$C$192)*2)+(2*MATERIALES!$C$187)+(((A293*5)*2)*MATERIALES!$C$147)+(4*MATERIALES!$C$148)</f>
        <v>5539.4892799999998</v>
      </c>
      <c r="E293" s="75"/>
      <c r="F293" s="55">
        <f>(((A293*B293)*2)*MATERIALES!$D$83)+(12*MATERIALES!$C$229)+(((A293*2)+(B293*6))*MATERIALES!$C$230)+(((A293*2)+(B293*6))*MATERIALES!$C$231)+((((A293*2)+(B293*6))/15)*MATERIALES!$C$232)+((((A293*2)+(B293*6))/15)*(MATERIALES!$C$233*0.15))</f>
        <v>5302.8851200000008</v>
      </c>
      <c r="G293" s="59">
        <f t="shared" si="84"/>
        <v>10842.374400000001</v>
      </c>
      <c r="H293" s="70">
        <f t="shared" si="85"/>
        <v>17807.106304000001</v>
      </c>
      <c r="M293" s="68">
        <v>0.8</v>
      </c>
      <c r="N293" s="69">
        <v>2</v>
      </c>
      <c r="O293" s="59">
        <f>(((M293+(2*N293))*MATERIALES!$C$57)+((M293+(2*N293))*MATERIALES!$C$55)+(M293*MATERIALES!$C$59)+((M293*4)*MATERIALES!$C$58)+((((M293*10)+(N293*2))*MATERIALES!$C$73)*2))*(MATERIALES!$F$2*MATERIALES!$J$15)</f>
        <v>0</v>
      </c>
      <c r="P293" s="59">
        <f>(1*MATERIALES!$C$204)+(1*MATERIALES!$C$205)+(3*MATERIALES!$C$207)+(2*MATERIALES!$C$189)+(2*MATERIALES!$C$190)+(2*MATERIALES!$C$191)+(20*MATERIALES!$C$158)+(20*MATERIALES!$C$159)+((M293+(2*N293))*MATERIALES!$C$210)+((M293+(2*N293))*MATERIALES!$C$209)+(((M293*10)+(N293*2))*MATERIALES!$C$141)+(((((M293*10)+(N293*2))/0.1)*MATERIALES!$C$192)*2)+(2*MATERIALES!$C$187)+(((M293*5)*2)*MATERIALES!$C$147)+(4*MATERIALES!$C$148)</f>
        <v>5556.0959999999995</v>
      </c>
      <c r="Q293" s="75"/>
      <c r="R293" s="55">
        <f>(((M293*N293)*2)*MATERIALES!$D$83)+(20*MATERIALES!$C$229)+(((M293*10)+(N293*2))*MATERIALES!$C$230)+(((M293*10)+(N293*2))*MATERIALES!$C$231)+((((M293*10)+(N293*2))/15)*MATERIALES!$C$232)+((((M293*10)+(N293*2))/15)*(MATERIALES!$C$233*0.15))</f>
        <v>4975.1103999999996</v>
      </c>
      <c r="S293" s="59">
        <f t="shared" si="86"/>
        <v>10531.206399999999</v>
      </c>
      <c r="T293" s="70">
        <f t="shared" si="87"/>
        <v>17173.1456</v>
      </c>
    </row>
    <row r="294" spans="1:30">
      <c r="A294" s="68">
        <v>0.9</v>
      </c>
      <c r="B294" s="69">
        <v>2</v>
      </c>
      <c r="C294" s="59">
        <f>(((A294+(2*B294))*MATERIALES!$C$57)+((A294+(2*B294))*MATERIALES!$C$55)+(A294*MATERIALES!$C$59)+((((A294*2)+(B294*6))*MATERIALES!$C$73)*2)+((B294*2)*MATERIALES!$C$58))*(MATERIALES!$F$2*MATERIALES!$J$15)</f>
        <v>0</v>
      </c>
      <c r="D294" s="59">
        <f>(1*MATERIALES!$C$204)+(1*MATERIALES!$C$205)+(3*MATERIALES!$C$207)+(2*MATERIALES!$C$189)+(2*MATERIALES!$C$190)+(2*MATERIALES!$C$191)+(12*MATERIALES!$C$158)+(12*MATERIALES!$C$159)+((A294+(2*B294))*MATERIALES!$C$210)+((A294+(2*B294))*MATERIALES!$C$209)+(((A294*2)+(B294*6))*MATERIALES!$C$141)+(((((A294*2)+(B294*6))/0.1)*MATERIALES!$C$192)*2)+(2*MATERIALES!$C$187)+(((A294*5)*2)*MATERIALES!$C$147)+(4*MATERIALES!$C$148)</f>
        <v>5558.3954400000002</v>
      </c>
      <c r="E294" s="75"/>
      <c r="F294" s="55">
        <f>(((A294*B294)*2)*MATERIALES!$D$83)+(12*MATERIALES!$C$229)+(((A294*2)+(B294*6))*MATERIALES!$C$230)+(((A294*2)+(B294*6))*MATERIALES!$C$231)+((((A294*2)+(B294*6))/15)*MATERIALES!$C$232)+((((A294*2)+(B294*6))/15)*(MATERIALES!$C$233*0.15))</f>
        <v>5609.3169600000001</v>
      </c>
      <c r="G294" s="59">
        <f t="shared" si="84"/>
        <v>11167.7124</v>
      </c>
      <c r="H294" s="70">
        <f t="shared" si="85"/>
        <v>18444.547992</v>
      </c>
      <c r="M294" s="68">
        <v>0.9</v>
      </c>
      <c r="N294" s="69">
        <v>2</v>
      </c>
      <c r="O294" s="59">
        <f>(((M294+(2*N294))*MATERIALES!$C$57)+((M294+(2*N294))*MATERIALES!$C$55)+(M294*MATERIALES!$C$59)+((M294*4)*MATERIALES!$C$58)+((((M294*10)+(N294*2))*MATERIALES!$C$73)*2))*(MATERIALES!$F$2*MATERIALES!$J$15)</f>
        <v>0</v>
      </c>
      <c r="P294" s="59">
        <f>(1*MATERIALES!$C$204)+(1*MATERIALES!$C$205)+(3*MATERIALES!$C$207)+(2*MATERIALES!$C$189)+(2*MATERIALES!$C$190)+(2*MATERIALES!$C$191)+(20*MATERIALES!$C$158)+(20*MATERIALES!$C$159)+((M294+(2*N294))*MATERIALES!$C$210)+((M294+(2*N294))*MATERIALES!$C$209)+(((M294*10)+(N294*2))*MATERIALES!$C$141)+(((((M294*10)+(N294*2))/0.1)*MATERIALES!$C$192)*2)+(2*MATERIALES!$C$187)+(((M294*5)*2)*MATERIALES!$C$147)+(4*MATERIALES!$C$148)</f>
        <v>5627.0187999999998</v>
      </c>
      <c r="Q294" s="75"/>
      <c r="R294" s="55">
        <f>(((M294*N294)*2)*MATERIALES!$D$83)+(20*MATERIALES!$C$229)+(((M294*10)+(N294*2))*MATERIALES!$C$230)+(((M294*10)+(N294*2))*MATERIALES!$C$231)+((((M294*10)+(N294*2))/15)*MATERIALES!$C$232)+((((M294*10)+(N294*2))/15)*(MATERIALES!$C$233*0.15))</f>
        <v>5467.2696000000005</v>
      </c>
      <c r="S294" s="59">
        <f t="shared" si="86"/>
        <v>11094.288400000001</v>
      </c>
      <c r="T294" s="70">
        <f t="shared" si="87"/>
        <v>18249.663639999999</v>
      </c>
    </row>
    <row r="295" spans="1:30">
      <c r="A295" s="68">
        <v>0.6</v>
      </c>
      <c r="B295" s="69">
        <v>2.1</v>
      </c>
      <c r="C295" s="59">
        <f>(((A295+(2*B295))*MATERIALES!$C$57)+((A295+(2*B295))*MATERIALES!$C$55)+(A295*MATERIALES!$C$59)+((((A295*2)+(B295*6))*MATERIALES!$C$73)*2)+((B295*2)*MATERIALES!$C$58))*(MATERIALES!$F$2*MATERIALES!$J$15)</f>
        <v>0</v>
      </c>
      <c r="D295" s="59">
        <f>(1*MATERIALES!$C$204)+(1*MATERIALES!$C$205)+(3*MATERIALES!$C$207)+(2*MATERIALES!$C$189)+(2*MATERIALES!$C$190)+(2*MATERIALES!$C$191)+(12*MATERIALES!$C$158)+(12*MATERIALES!$C$159)+((A295+(2*B295))*MATERIALES!$C$210)+((A295+(2*B295))*MATERIALES!$C$209)+(((A295*2)+(B295*6))*MATERIALES!$C$141)+(((((A295*2)+(B295*6))/0.1)*MATERIALES!$C$192)*2)+(2*MATERIALES!$C$187)+(((A295*5)*2)*MATERIALES!$C$147)+(4*MATERIALES!$C$148)</f>
        <v>5552.4934400000002</v>
      </c>
      <c r="E295" s="75"/>
      <c r="F295" s="55">
        <f>(((A295*B295)*2)*MATERIALES!$D$83)+(12*MATERIALES!$C$229)+(((A295*2)+(B295*6))*MATERIALES!$C$230)+(((A295*2)+(B295*6))*MATERIALES!$C$231)+((((A295*2)+(B295*6))/15)*MATERIALES!$C$232)+((((A295*2)+(B295*6))/15)*(MATERIALES!$C$233*0.15))</f>
        <v>4907.3169600000001</v>
      </c>
      <c r="G295" s="59">
        <f t="shared" si="84"/>
        <v>10459.8104</v>
      </c>
      <c r="H295" s="70">
        <f t="shared" si="85"/>
        <v>17032.875392000002</v>
      </c>
      <c r="M295" s="68">
        <v>0.6</v>
      </c>
      <c r="N295" s="69">
        <v>2.1</v>
      </c>
      <c r="O295" s="59">
        <f>(((M295+(2*N295))*MATERIALES!$C$57)+((M295+(2*N295))*MATERIALES!$C$55)+(M295*MATERIALES!$C$59)+((M295*4)*MATERIALES!$C$58)+((((M295*10)+(N295*2))*MATERIALES!$C$73)*2))*(MATERIALES!$F$2*MATERIALES!$J$15)</f>
        <v>0</v>
      </c>
      <c r="P295" s="59">
        <f>(1*MATERIALES!$C$204)+(1*MATERIALES!$C$205)+(3*MATERIALES!$C$207)+(2*MATERIALES!$C$189)+(2*MATERIALES!$C$190)+(2*MATERIALES!$C$191)+(20*MATERIALES!$C$158)+(20*MATERIALES!$C$159)+((M295+(2*N295))*MATERIALES!$C$210)+((M295+(2*N295))*MATERIALES!$C$209)+(((M295*10)+(N295*2))*MATERIALES!$C$141)+(((((M295*10)+(N295*2))/0.1)*MATERIALES!$C$192)*2)+(2*MATERIALES!$C$187)+(((M295*5)*2)*MATERIALES!$C$147)+(4*MATERIALES!$C$148)</f>
        <v>5439.0585599999995</v>
      </c>
      <c r="Q295" s="75"/>
      <c r="R295" s="55">
        <f>(((M295*N295)*2)*MATERIALES!$D$83)+(20*MATERIALES!$C$229)+(((M295*10)+(N295*2))*MATERIALES!$C$230)+(((M295*10)+(N295*2))*MATERIALES!$C$231)+((((M295*10)+(N295*2))/15)*MATERIALES!$C$232)+((((M295*10)+(N295*2))/15)*(MATERIALES!$C$233*0.15))</f>
        <v>4115.2238399999997</v>
      </c>
      <c r="S295" s="59">
        <f t="shared" si="86"/>
        <v>9554.2824000000001</v>
      </c>
      <c r="T295" s="70">
        <f t="shared" si="87"/>
        <v>15301.223807999999</v>
      </c>
    </row>
    <row r="296" spans="1:30">
      <c r="A296" s="68">
        <v>0.7</v>
      </c>
      <c r="B296" s="69">
        <v>2.1</v>
      </c>
      <c r="C296" s="59">
        <f>(((A296+(2*B296))*MATERIALES!$C$57)+((A296+(2*B296))*MATERIALES!$C$55)+(A296*MATERIALES!$C$59)+((((A296*2)+(B296*6))*MATERIALES!$C$73)*2)+((B296*2)*MATERIALES!$C$58))*(MATERIALES!$F$2*MATERIALES!$J$15)</f>
        <v>0</v>
      </c>
      <c r="D296" s="59">
        <f>(1*MATERIALES!$C$204)+(1*MATERIALES!$C$205)+(3*MATERIALES!$C$207)+(2*MATERIALES!$C$189)+(2*MATERIALES!$C$190)+(2*MATERIALES!$C$191)+(12*MATERIALES!$C$158)+(12*MATERIALES!$C$159)+((A296+(2*B296))*MATERIALES!$C$210)+((A296+(2*B296))*MATERIALES!$C$209)+(((A296*2)+(B296*6))*MATERIALES!$C$141)+(((((A296*2)+(B296*6))/0.1)*MATERIALES!$C$192)*2)+(2*MATERIALES!$C$187)+(((A296*5)*2)*MATERIALES!$C$147)+(4*MATERIALES!$C$148)</f>
        <v>5571.3996000000006</v>
      </c>
      <c r="E296" s="75"/>
      <c r="F296" s="55">
        <f>(((A296*B296)*2)*MATERIALES!$D$83)+(12*MATERIALES!$C$229)+(((A296*2)+(B296*6))*MATERIALES!$C$230)+(((A296*2)+(B296*6))*MATERIALES!$C$231)+((((A296*2)+(B296*6))/15)*MATERIALES!$C$232)+((((A296*2)+(B296*6))/15)*(MATERIALES!$C$233*0.15))</f>
        <v>5226.7488000000003</v>
      </c>
      <c r="G296" s="59">
        <f t="shared" si="84"/>
        <v>10798.148400000002</v>
      </c>
      <c r="H296" s="70">
        <f t="shared" si="85"/>
        <v>17696.317080000001</v>
      </c>
      <c r="M296" s="68">
        <v>0.7</v>
      </c>
      <c r="N296" s="69">
        <v>2.1</v>
      </c>
      <c r="O296" s="59">
        <f>(((M296+(2*N296))*MATERIALES!$C$57)+((M296+(2*N296))*MATERIALES!$C$55)+(M296*MATERIALES!$C$59)+((M296*4)*MATERIALES!$C$58)+((((M296*10)+(N296*2))*MATERIALES!$C$73)*2))*(MATERIALES!$F$2*MATERIALES!$J$15)</f>
        <v>0</v>
      </c>
      <c r="P296" s="59">
        <f>(1*MATERIALES!$C$204)+(1*MATERIALES!$C$205)+(3*MATERIALES!$C$207)+(2*MATERIALES!$C$189)+(2*MATERIALES!$C$190)+(2*MATERIALES!$C$191)+(20*MATERIALES!$C$158)+(20*MATERIALES!$C$159)+((M296+(2*N296))*MATERIALES!$C$210)+((M296+(2*N296))*MATERIALES!$C$209)+(((M296*10)+(N296*2))*MATERIALES!$C$141)+(((((M296*10)+(N296*2))/0.1)*MATERIALES!$C$192)*2)+(2*MATERIALES!$C$187)+(((M296*5)*2)*MATERIALES!$C$147)+(4*MATERIALES!$C$148)</f>
        <v>5509.9813599999998</v>
      </c>
      <c r="Q296" s="75"/>
      <c r="R296" s="55">
        <f>(((M296*N296)*2)*MATERIALES!$D$83)+(20*MATERIALES!$C$229)+(((M296*10)+(N296*2))*MATERIALES!$C$230)+(((M296*10)+(N296*2))*MATERIALES!$C$231)+((((M296*10)+(N296*2))/15)*MATERIALES!$C$232)+((((M296*10)+(N296*2))/15)*(MATERIALES!$C$233*0.15))</f>
        <v>4620.3830400000006</v>
      </c>
      <c r="S296" s="59">
        <f t="shared" si="86"/>
        <v>10130.3644</v>
      </c>
      <c r="T296" s="70">
        <f t="shared" si="87"/>
        <v>16403.741848000001</v>
      </c>
    </row>
    <row r="297" spans="1:30">
      <c r="A297" s="68">
        <v>0.8</v>
      </c>
      <c r="B297" s="69">
        <v>2.1</v>
      </c>
      <c r="C297" s="59">
        <f>(((A297+(2*B297))*MATERIALES!$C$57)+((A297+(2*B297))*MATERIALES!$C$55)+(A297*MATERIALES!$C$59)+((((A297*2)+(B297*6))*MATERIALES!$C$73)*2)+((B297*2)*MATERIALES!$C$58))*(MATERIALES!$F$2*MATERIALES!$J$15)</f>
        <v>0</v>
      </c>
      <c r="D297" s="59">
        <f>(1*MATERIALES!$C$204)+(1*MATERIALES!$C$205)+(3*MATERIALES!$C$207)+(2*MATERIALES!$C$189)+(2*MATERIALES!$C$190)+(2*MATERIALES!$C$191)+(12*MATERIALES!$C$158)+(12*MATERIALES!$C$159)+((A297+(2*B297))*MATERIALES!$C$210)+((A297+(2*B297))*MATERIALES!$C$209)+(((A297*2)+(B297*6))*MATERIALES!$C$141)+(((((A297*2)+(B297*6))/0.1)*MATERIALES!$C$192)*2)+(2*MATERIALES!$C$187)+(((A297*5)*2)*MATERIALES!$C$147)+(4*MATERIALES!$C$148)</f>
        <v>5590.3057600000002</v>
      </c>
      <c r="E297" s="75"/>
      <c r="F297" s="55">
        <f>(((A297*B297)*2)*MATERIALES!$D$83)+(12*MATERIALES!$C$229)+(((A297*2)+(B297*6))*MATERIALES!$C$230)+(((A297*2)+(B297*6))*MATERIALES!$C$231)+((((A297*2)+(B297*6))/15)*MATERIALES!$C$232)+((((A297*2)+(B297*6))/15)*(MATERIALES!$C$233*0.15))</f>
        <v>5546.1806400000014</v>
      </c>
      <c r="G297" s="59">
        <f t="shared" si="84"/>
        <v>11136.486400000002</v>
      </c>
      <c r="H297" s="70">
        <f t="shared" si="85"/>
        <v>18359.758768000003</v>
      </c>
      <c r="M297" s="68">
        <v>0.8</v>
      </c>
      <c r="N297" s="69">
        <v>2.1</v>
      </c>
      <c r="O297" s="59">
        <f>(((M297+(2*N297))*MATERIALES!$C$57)+((M297+(2*N297))*MATERIALES!$C$55)+(M297*MATERIALES!$C$59)+((M297*4)*MATERIALES!$C$58)+((((M297*10)+(N297*2))*MATERIALES!$C$73)*2))*(MATERIALES!$F$2*MATERIALES!$J$15)</f>
        <v>0</v>
      </c>
      <c r="P297" s="59">
        <f>(1*MATERIALES!$C$204)+(1*MATERIALES!$C$205)+(3*MATERIALES!$C$207)+(2*MATERIALES!$C$189)+(2*MATERIALES!$C$190)+(2*MATERIALES!$C$191)+(20*MATERIALES!$C$158)+(20*MATERIALES!$C$159)+((M297+(2*N297))*MATERIALES!$C$210)+((M297+(2*N297))*MATERIALES!$C$209)+(((M297*10)+(N297*2))*MATERIALES!$C$141)+(((((M297*10)+(N297*2))/0.1)*MATERIALES!$C$192)*2)+(2*MATERIALES!$C$187)+(((M297*5)*2)*MATERIALES!$C$147)+(4*MATERIALES!$C$148)</f>
        <v>5580.9041599999991</v>
      </c>
      <c r="Q297" s="75"/>
      <c r="R297" s="55">
        <f>(((M297*N297)*2)*MATERIALES!$D$83)+(20*MATERIALES!$C$229)+(((M297*10)+(N297*2))*MATERIALES!$C$230)+(((M297*10)+(N297*2))*MATERIALES!$C$231)+((((M297*10)+(N297*2))/15)*MATERIALES!$C$232)+((((M297*10)+(N297*2))/15)*(MATERIALES!$C$233*0.15))</f>
        <v>5125.5422399999998</v>
      </c>
      <c r="S297" s="59">
        <f t="shared" si="86"/>
        <v>10706.446399999999</v>
      </c>
      <c r="T297" s="70">
        <f t="shared" si="87"/>
        <v>17506.259888000001</v>
      </c>
    </row>
    <row r="298" spans="1:30" ht="15.75" thickBot="1">
      <c r="A298" s="71">
        <v>0.9</v>
      </c>
      <c r="B298" s="72">
        <v>2.1</v>
      </c>
      <c r="C298" s="60">
        <f>(((A298+(2*B298))*MATERIALES!$C$57)+((A298+(2*B298))*MATERIALES!$C$55)+(A298*MATERIALES!$C$59)+((((A298*2)+(B298*6))*MATERIALES!$C$73)*2)+((B298*2)*MATERIALES!$C$58))*(MATERIALES!$F$2*MATERIALES!$J$15)</f>
        <v>0</v>
      </c>
      <c r="D298" s="60">
        <f>(1*MATERIALES!$C$204)+(1*MATERIALES!$C$205)+(3*MATERIALES!$C$207)+(2*MATERIALES!$C$189)+(2*MATERIALES!$C$190)+(2*MATERIALES!$C$191)+(12*MATERIALES!$C$158)+(12*MATERIALES!$C$159)+((A298+(2*B298))*MATERIALES!$C$210)+((A298+(2*B298))*MATERIALES!$C$209)+(((A298*2)+(B298*6))*MATERIALES!$C$141)+(((((A298*2)+(B298*6))/0.1)*MATERIALES!$C$192)*2)+(2*MATERIALES!$C$187)+(((A298*5)*2)*MATERIALES!$C$147)+(4*MATERIALES!$C$148)</f>
        <v>5609.2119199999997</v>
      </c>
      <c r="E298" s="76"/>
      <c r="F298" s="56">
        <f>(((A298*B298)*2)*MATERIALES!$D$83)+(12*MATERIALES!$C$229)+(((A298*2)+(B298*6))*MATERIALES!$C$230)+(((A298*2)+(B298*6))*MATERIALES!$C$231)+((((A298*2)+(B298*6))/15)*MATERIALES!$C$232)+((((A298*2)+(B298*6))/15)*(MATERIALES!$C$233*0.15))</f>
        <v>5865.6124799999998</v>
      </c>
      <c r="G298" s="60">
        <f t="shared" si="84"/>
        <v>11474.8244</v>
      </c>
      <c r="H298" s="73">
        <f t="shared" si="85"/>
        <v>19023.200455999999</v>
      </c>
      <c r="M298" s="71">
        <v>0.9</v>
      </c>
      <c r="N298" s="72">
        <v>2.1</v>
      </c>
      <c r="O298" s="60">
        <f>(((M298+(2*N298))*MATERIALES!$C$57)+((M298+(2*N298))*MATERIALES!$C$55)+(M298*MATERIALES!$C$59)+((M298*4)*MATERIALES!$C$58)+((((M298*10)+(N298*2))*MATERIALES!$C$73)*2))*(MATERIALES!$F$2*MATERIALES!$J$15)</f>
        <v>0</v>
      </c>
      <c r="P298" s="60">
        <f>(1*MATERIALES!$C$204)+(1*MATERIALES!$C$205)+(3*MATERIALES!$C$207)+(2*MATERIALES!$C$189)+(2*MATERIALES!$C$190)+(2*MATERIALES!$C$191)+(20*MATERIALES!$C$158)+(20*MATERIALES!$C$159)+((M298+(2*N298))*MATERIALES!$C$210)+((M298+(2*N298))*MATERIALES!$C$209)+(((M298*10)+(N298*2))*MATERIALES!$C$141)+(((((M298*10)+(N298*2))/0.1)*MATERIALES!$C$192)*2)+(2*MATERIALES!$C$187)+(((M298*5)*2)*MATERIALES!$C$147)+(4*MATERIALES!$C$148)</f>
        <v>5651.8269599999985</v>
      </c>
      <c r="Q298" s="76"/>
      <c r="R298" s="56">
        <f>(((M298*N298)*2)*MATERIALES!$D$83)+(20*MATERIALES!$C$229)+(((M298*10)+(N298*2))*MATERIALES!$C$230)+(((M298*10)+(N298*2))*MATERIALES!$C$231)+((((M298*10)+(N298*2))/15)*MATERIALES!$C$232)+((((M298*10)+(N298*2))/15)*(MATERIALES!$C$233*0.15))</f>
        <v>5630.7014399999998</v>
      </c>
      <c r="S298" s="60">
        <f t="shared" si="86"/>
        <v>11282.528399999999</v>
      </c>
      <c r="T298" s="73">
        <f t="shared" si="87"/>
        <v>18608.777927999996</v>
      </c>
    </row>
    <row r="300" spans="1:30" ht="15.75" thickBot="1">
      <c r="C300" s="878" t="s">
        <v>221</v>
      </c>
      <c r="D300" s="878"/>
      <c r="E300" s="878"/>
      <c r="F300" s="878"/>
      <c r="G300" s="78"/>
      <c r="O300" s="878" t="s">
        <v>221</v>
      </c>
      <c r="P300" s="878"/>
      <c r="Q300" s="878"/>
      <c r="R300" s="878"/>
      <c r="Y300" s="878" t="s">
        <v>221</v>
      </c>
      <c r="Z300" s="878"/>
      <c r="AA300" s="878"/>
      <c r="AB300" s="878"/>
      <c r="AC300" s="78"/>
    </row>
    <row r="301" spans="1:30" ht="15.75" thickBot="1">
      <c r="A301" s="32"/>
      <c r="B301" s="32"/>
      <c r="C301" s="801">
        <v>0.3</v>
      </c>
      <c r="D301" s="802"/>
      <c r="E301" s="803"/>
      <c r="F301" s="61">
        <v>1</v>
      </c>
      <c r="G301" s="32"/>
      <c r="H301" s="46" t="s">
        <v>163</v>
      </c>
      <c r="M301" s="32"/>
      <c r="N301" s="32"/>
      <c r="O301" s="801">
        <v>0.3</v>
      </c>
      <c r="P301" s="802"/>
      <c r="Q301" s="802"/>
      <c r="R301" s="803"/>
      <c r="S301" s="32"/>
      <c r="T301" s="46" t="s">
        <v>163</v>
      </c>
      <c r="W301" s="32"/>
      <c r="X301" s="32"/>
      <c r="Y301" s="801">
        <v>0.3</v>
      </c>
      <c r="Z301" s="802"/>
      <c r="AA301" s="803"/>
      <c r="AB301" s="61">
        <v>0.5</v>
      </c>
      <c r="AC301" s="32"/>
      <c r="AD301" s="46" t="s">
        <v>163</v>
      </c>
    </row>
    <row r="302" spans="1:30" ht="15.75" thickBot="1">
      <c r="A302" s="792" t="s">
        <v>709</v>
      </c>
      <c r="B302" s="793"/>
      <c r="C302" s="793"/>
      <c r="D302" s="793"/>
      <c r="E302" s="793"/>
      <c r="F302" s="793"/>
      <c r="G302" s="793"/>
      <c r="H302" s="794"/>
      <c r="M302" s="792" t="s">
        <v>219</v>
      </c>
      <c r="N302" s="793"/>
      <c r="O302" s="793"/>
      <c r="P302" s="793"/>
      <c r="Q302" s="793"/>
      <c r="R302" s="793"/>
      <c r="S302" s="793"/>
      <c r="T302" s="794"/>
      <c r="W302" s="792" t="s">
        <v>710</v>
      </c>
      <c r="X302" s="793"/>
      <c r="Y302" s="793"/>
      <c r="Z302" s="793"/>
      <c r="AA302" s="793"/>
      <c r="AB302" s="793"/>
      <c r="AC302" s="793"/>
      <c r="AD302" s="794"/>
    </row>
    <row r="303" spans="1:30" ht="15.75" thickBot="1">
      <c r="A303" s="36" t="s">
        <v>116</v>
      </c>
      <c r="B303" s="36" t="s">
        <v>117</v>
      </c>
      <c r="C303" s="36" t="s">
        <v>162</v>
      </c>
      <c r="D303" s="36" t="s">
        <v>119</v>
      </c>
      <c r="E303" s="36" t="s">
        <v>120</v>
      </c>
      <c r="F303" s="36" t="s">
        <v>692</v>
      </c>
      <c r="G303" s="36" t="s">
        <v>121</v>
      </c>
      <c r="H303" s="36" t="s">
        <v>122</v>
      </c>
      <c r="M303" s="36" t="s">
        <v>116</v>
      </c>
      <c r="N303" s="36" t="s">
        <v>117</v>
      </c>
      <c r="O303" s="36" t="s">
        <v>162</v>
      </c>
      <c r="P303" s="36" t="s">
        <v>119</v>
      </c>
      <c r="Q303" s="36" t="s">
        <v>120</v>
      </c>
      <c r="R303" s="36" t="s">
        <v>217</v>
      </c>
      <c r="S303" s="36" t="s">
        <v>121</v>
      </c>
      <c r="T303" s="36" t="s">
        <v>122</v>
      </c>
      <c r="W303" s="36" t="s">
        <v>116</v>
      </c>
      <c r="X303" s="36" t="s">
        <v>117</v>
      </c>
      <c r="Y303" s="36" t="s">
        <v>162</v>
      </c>
      <c r="Z303" s="36" t="s">
        <v>119</v>
      </c>
      <c r="AA303" s="36" t="s">
        <v>120</v>
      </c>
      <c r="AB303" s="36" t="s">
        <v>692</v>
      </c>
      <c r="AC303" s="36" t="s">
        <v>121</v>
      </c>
      <c r="AD303" s="36" t="s">
        <v>122</v>
      </c>
    </row>
    <row r="304" spans="1:30" ht="15.75" thickBot="1">
      <c r="A304" s="795"/>
      <c r="B304" s="796"/>
      <c r="C304" s="796"/>
      <c r="D304" s="796"/>
      <c r="E304" s="796"/>
      <c r="F304" s="796"/>
      <c r="G304" s="796"/>
      <c r="H304" s="797"/>
      <c r="M304" s="795"/>
      <c r="N304" s="796"/>
      <c r="O304" s="796"/>
      <c r="P304" s="796"/>
      <c r="Q304" s="796"/>
      <c r="R304" s="796"/>
      <c r="S304" s="796"/>
      <c r="T304" s="797"/>
      <c r="W304" s="795"/>
      <c r="X304" s="796"/>
      <c r="Y304" s="796"/>
      <c r="Z304" s="796"/>
      <c r="AA304" s="796"/>
      <c r="AB304" s="796"/>
      <c r="AC304" s="796"/>
      <c r="AD304" s="797"/>
    </row>
    <row r="305" spans="1:30">
      <c r="A305" s="158">
        <v>0.6</v>
      </c>
      <c r="B305" s="159">
        <v>2</v>
      </c>
      <c r="C305" s="74">
        <f>((((A305+(2*B305))*MATERIALES!$C$57)+((A305+(2*B305))*MATERIALES!$C$55)+(A305*MATERIALES!$C$59)+((((A305*2)+(B305*4))*MATERIALES!$C$73)*2))*(MATERIALES!$F$2*MATERIALES!$J$15))+(1*MATERIALES!$D$243)</f>
        <v>3927.27</v>
      </c>
      <c r="D305" s="74">
        <f>(1*MATERIALES!$C$204)+(1*MATERIALES!$C$205)+(3*MATERIALES!$C$207)+(2*MATERIALES!$C$189)+(2*MATERIALES!$C$190)+(2*MATERIALES!$C$191)+(8*MATERIALES!$C$158)+(8*MATERIALES!$C$159)+((A305+(2*B305))*MATERIALES!$C$210)+((A305+(2*B305))*MATERIALES!$C$209)+(((A305*2)+(B305*2))*MATERIALES!$C$165)+(((A305*2)+(B305*2))*MATERIALES!$C$141)+(0.5*MATERIALES!$C$167)+(((((A305*2)+(B305*4))/0.1)*MATERIALES!$C$192)*2)+(2*MATERIALES!$C$187)+(((A305*5)*2)*MATERIALES!$C$147)+(4*MATERIALES!$C$148)</f>
        <v>5343.3827200000005</v>
      </c>
      <c r="E305" s="74"/>
      <c r="F305" s="111">
        <f>(((((A305/2)*B305))*2)*MATERIALES!$D$83)+(4*MATERIALES!$C$229)+((((A305/2)*2)+(B305*2))*MATERIALES!$C$230)+((((A305/2)*2)+(B305*2))*MATERIALES!$C$231)+(((((A305/2)*2)+(B305*2))/15)*MATERIALES!$C$232)+(((((A305/2)*2)+(B305*2))/15)*(MATERIALES!$C$233*0.15))</f>
        <v>1869.77232</v>
      </c>
      <c r="G305" s="74">
        <f>SUM(C305:F305)</f>
        <v>11140.42504</v>
      </c>
      <c r="H305" s="160">
        <f>(SUM(C305:E305)*1.3)+(F305*2)</f>
        <v>15791.393176000001</v>
      </c>
      <c r="I305" s="77"/>
      <c r="K305" s="77"/>
      <c r="L305" s="77"/>
      <c r="M305" s="65">
        <v>0.6</v>
      </c>
      <c r="N305" s="66">
        <v>2</v>
      </c>
      <c r="O305" s="58">
        <f>(((M305+(2*N305))*MATERIALES!$C$57)+((M305+(2*N305))*MATERIALES!$C$55)+(M305*MATERIALES!$C$59)+((((M305*2)+(N305*2))*MATERIALES!$C$73)*2))*(MATERIALES!$F$2*MATERIALES!$J$15)</f>
        <v>0</v>
      </c>
      <c r="P305" s="58">
        <f>(1*MATERIALES!$C$204)+(1*MATERIALES!$C$205)+(3*MATERIALES!$C$207)+(2*MATERIALES!$C$189)+(2*MATERIALES!$C$190)+(2*MATERIALES!$C$191)+(4*MATERIALES!$C$158)+(4*MATERIALES!$C$159)+((M305+(2*N305))*MATERIALES!$C$210)+((M305+(2*N305))*MATERIALES!$C$209)+(((M305*2)+(N305*2))*MATERIALES!$C$165)+(0.5*MATERIALES!$C$167)+(((((M305*2)+(N305*2))/0.1)*MATERIALES!$C$192)*2)+(2*MATERIALES!$C$187)+(((M305*5)*2)*MATERIALES!$C$147)+(4*MATERIALES!$C$148)</f>
        <v>4997.3705600000003</v>
      </c>
      <c r="Q305" s="74"/>
      <c r="R305" s="54">
        <f>(1*MATERIALES!$D$243)</f>
        <v>3927.27</v>
      </c>
      <c r="S305" s="58">
        <f>SUM(O305:R305)</f>
        <v>8924.6405599999998</v>
      </c>
      <c r="T305" s="67">
        <f>(SUM(O305:R305)*1.3)</f>
        <v>11602.032728</v>
      </c>
      <c r="U305" s="77"/>
      <c r="W305" s="65">
        <v>0.6</v>
      </c>
      <c r="X305" s="66">
        <v>2</v>
      </c>
      <c r="Y305" s="58">
        <f>(((W305+(2*X305))*MATERIALES!$C$57)+((W305+(2*X305))*MATERIALES!$C$55)+(W305*MATERIALES!$C$59)+((((W305*2)+(X305*4))*MATERIALES!$C$73)*2)+((((W305/2)-0.2)*MATERIALES!$C$30)*(X305/0.12)))*MATERIALES!$F$2</f>
        <v>8723.7695999999996</v>
      </c>
      <c r="Z305" s="58">
        <f>(1*MATERIALES!$C$204)+(1*MATERIALES!$C$205)+(3*MATERIALES!$C$207)+(2*MATERIALES!$C$189)+(2*MATERIALES!$C$190)+(2*MATERIALES!$C$191)+(8*MATERIALES!$C$158)+(8*MATERIALES!$C$159)+((W305+(2*X305))*MATERIALES!$C$210)+((W305+(2*X305))*MATERIALES!$C$209)+(((W305*2)+(X305*2))*MATERIALES!$C$165)+(((W305*2)+(X305*2))*MATERIALES!$C$141)+(0.5*MATERIALES!$C$167)+(((((W305*2)+(X305*4))/0.1)*MATERIALES!$C$192)*2)+(2*MATERIALES!$C$187)+(((W305*5)*2)*MATERIALES!$C$147)+(4*MATERIALES!$C$148)</f>
        <v>5343.3827200000005</v>
      </c>
      <c r="AA305" s="58">
        <f>(0.5*MATERIALES!$D$254)</f>
        <v>557</v>
      </c>
      <c r="AB305" s="54">
        <f>(((((W305/2)*X305))*2)*MATERIALES!$D$83)+(4*MATERIALES!$C$229)+((((W305/2)*2)+(X305*2))*MATERIALES!$C$230)+((((W305/2)*2)+(X305*2))*MATERIALES!$C$231)+(((((W305/2)*2)+(X305*2))/15)*MATERIALES!$C$232)+(((((W305/2)*2)+(X305*2))/15)*(MATERIALES!$C$233*0.15))</f>
        <v>1869.77232</v>
      </c>
      <c r="AC305" s="58">
        <f>SUM(Y305:AB305)</f>
        <v>16493.924640000001</v>
      </c>
      <c r="AD305" s="67">
        <f>(SUM(Y305:AA305)*1.3)+(AB305*1.5)</f>
        <v>21816.056496000005</v>
      </c>
    </row>
    <row r="306" spans="1:30">
      <c r="A306" s="161">
        <v>0.7</v>
      </c>
      <c r="B306" s="162">
        <v>2</v>
      </c>
      <c r="C306" s="75">
        <f>((((A306+(2*B306))*MATERIALES!$C$57)+((A306+(2*B306))*MATERIALES!$C$55)+(A306*MATERIALES!$C$59)+((((A306*2)+(B306*4))*MATERIALES!$C$73)*2))*(MATERIALES!$F$2*MATERIALES!$J$15))+(1*MATERIALES!$D$243)</f>
        <v>3927.27</v>
      </c>
      <c r="D306" s="75">
        <f>(1*MATERIALES!$C$204)+(1*MATERIALES!$C$205)+(3*MATERIALES!$C$207)+(2*MATERIALES!$C$189)+(2*MATERIALES!$C$190)+(2*MATERIALES!$C$191)+(8*MATERIALES!$C$158)+(8*MATERIALES!$C$159)+((A306+(2*B306))*MATERIALES!$C$210)+((A306+(2*B306))*MATERIALES!$C$209)+(((A306*2)+(B306*2))*MATERIALES!$C$165)+(((A306*2)+(B306*2))*MATERIALES!$C$141)+(0.5*MATERIALES!$C$167)+(((((A306*2)+(B306*4))/0.1)*MATERIALES!$C$192)*2)+(2*MATERIALES!$C$187)+(((A306*5)*2)*MATERIALES!$C$147)+(4*MATERIALES!$C$148)</f>
        <v>5366.5570399999988</v>
      </c>
      <c r="E306" s="75"/>
      <c r="F306" s="112">
        <f>(((((A306/2)*B306))*2)*MATERIALES!$D$83)+(4*MATERIALES!$C$229)+((((A306/2)*2)+(B306*2))*MATERIALES!$C$230)+((((A306/2)*2)+(B306*2))*MATERIALES!$C$231)+(((((A306/2)*2)+(B306*2))/15)*MATERIALES!$C$232)+(((((A306/2)*2)+(B306*2))/15)*(MATERIALES!$C$233*0.15))</f>
        <v>2022.9882400000001</v>
      </c>
      <c r="G306" s="75">
        <f t="shared" ref="G306:G312" si="88">SUM(C306:F306)</f>
        <v>11316.815279999999</v>
      </c>
      <c r="H306" s="163">
        <f t="shared" ref="H306:H312" si="89">(SUM(C306:E306)*1.3)+(F306*2)</f>
        <v>16127.951632</v>
      </c>
      <c r="I306" s="77"/>
      <c r="K306" s="77"/>
      <c r="L306" s="77"/>
      <c r="M306" s="68">
        <v>0.7</v>
      </c>
      <c r="N306" s="69">
        <v>2</v>
      </c>
      <c r="O306" s="59">
        <f>(((M306+(2*N306))*MATERIALES!$C$57)+((M306+(2*N306))*MATERIALES!$C$55)+(M306*MATERIALES!$C$59)+((((M306*2)+(N306*2))*MATERIALES!$C$73)*2))*(MATERIALES!$F$2*MATERIALES!$J$15)</f>
        <v>0</v>
      </c>
      <c r="P306" s="59">
        <f>(1*MATERIALES!$C$204)+(1*MATERIALES!$C$205)+(3*MATERIALES!$C$207)+(2*MATERIALES!$C$189)+(2*MATERIALES!$C$190)+(2*MATERIALES!$C$191)+(4*MATERIALES!$C$158)+(4*MATERIALES!$C$159)+((M306+(2*N306))*MATERIALES!$C$210)+((M306+(2*N306))*MATERIALES!$C$209)+(((M306*2)+(N306*2))*MATERIALES!$C$165)+(0.5*MATERIALES!$C$167)+(((((M306*2)+(N306*2))/0.1)*MATERIALES!$C$192)*2)+(2*MATERIALES!$C$187)+(((M306*5)*2)*MATERIALES!$C$147)+(4*MATERIALES!$C$148)</f>
        <v>5016.2767199999989</v>
      </c>
      <c r="Q306" s="75"/>
      <c r="R306" s="55">
        <f>(1*MATERIALES!$D$243)</f>
        <v>3927.27</v>
      </c>
      <c r="S306" s="59">
        <f t="shared" ref="S306:S312" si="90">SUM(O306:R306)</f>
        <v>8943.5467199999985</v>
      </c>
      <c r="T306" s="70">
        <f t="shared" ref="T306:T312" si="91">(SUM(O306:R306)*1.3)</f>
        <v>11626.610735999999</v>
      </c>
      <c r="U306" s="77"/>
      <c r="W306" s="68">
        <v>0.7</v>
      </c>
      <c r="X306" s="69">
        <v>2</v>
      </c>
      <c r="Y306" s="59">
        <f>(((W306+(2*X306))*MATERIALES!$C$57)+((W306+(2*X306))*MATERIALES!$C$55)+(W306*MATERIALES!$C$59)+((((W306*2)+(X306*4))*MATERIALES!$C$73)*2)+((((W306/2)-0.2)*MATERIALES!$C$30)*(X306/0.12)))*MATERIALES!$F$2</f>
        <v>9512.1935999999987</v>
      </c>
      <c r="Z306" s="59">
        <f>(1*MATERIALES!$C$204)+(1*MATERIALES!$C$205)+(3*MATERIALES!$C$207)+(2*MATERIALES!$C$189)+(2*MATERIALES!$C$190)+(2*MATERIALES!$C$191)+(8*MATERIALES!$C$158)+(8*MATERIALES!$C$159)+((W306+(2*X306))*MATERIALES!$C$210)+((W306+(2*X306))*MATERIALES!$C$209)+(((W306*2)+(X306*2))*MATERIALES!$C$165)+(((W306*2)+(X306*2))*MATERIALES!$C$141)+(0.5*MATERIALES!$C$167)+(((((W306*2)+(X306*4))/0.1)*MATERIALES!$C$192)*2)+(2*MATERIALES!$C$187)+(((W306*5)*2)*MATERIALES!$C$147)+(4*MATERIALES!$C$148)</f>
        <v>5366.5570399999988</v>
      </c>
      <c r="AA306" s="59">
        <f>(0.5*MATERIALES!$D$254)</f>
        <v>557</v>
      </c>
      <c r="AB306" s="55">
        <f>(((((W306/2)*X306))*2)*MATERIALES!$D$83)+(4*MATERIALES!$C$229)+((((W306/2)*2)+(X306*2))*MATERIALES!$C$230)+((((W306/2)*2)+(X306*2))*MATERIALES!$C$231)+(((((W306/2)*2)+(X306*2))/15)*MATERIALES!$C$232)+(((((W306/2)*2)+(X306*2))/15)*(MATERIALES!$C$233*0.15))</f>
        <v>2022.9882400000001</v>
      </c>
      <c r="AC306" s="59">
        <f t="shared" ref="AC306:AC312" si="92">SUM(Y306:AB306)</f>
        <v>17458.738879999997</v>
      </c>
      <c r="AD306" s="70">
        <f>(SUM(Y306:AA306)*1.3)+(AB306*1.5)</f>
        <v>23100.958191999998</v>
      </c>
    </row>
    <row r="307" spans="1:30">
      <c r="A307" s="161">
        <v>0.8</v>
      </c>
      <c r="B307" s="162">
        <v>2</v>
      </c>
      <c r="C307" s="75">
        <f>((((A307+(2*B307))*MATERIALES!$C$57)+((A307+(2*B307))*MATERIALES!$C$55)+(A307*MATERIALES!$C$59)+((((A307*2)+(B307*4))*MATERIALES!$C$73)*2))*(MATERIALES!$F$2*MATERIALES!$J$15))+(1*MATERIALES!$D$243)</f>
        <v>3927.27</v>
      </c>
      <c r="D307" s="75">
        <f>(1*MATERIALES!$C$204)+(1*MATERIALES!$C$205)+(3*MATERIALES!$C$207)+(2*MATERIALES!$C$189)+(2*MATERIALES!$C$190)+(2*MATERIALES!$C$191)+(8*MATERIALES!$C$158)+(8*MATERIALES!$C$159)+((A307+(2*B307))*MATERIALES!$C$210)+((A307+(2*B307))*MATERIALES!$C$209)+(((A307*2)+(B307*2))*MATERIALES!$C$165)+(((A307*2)+(B307*2))*MATERIALES!$C$141)+(0.5*MATERIALES!$C$167)+(((((A307*2)+(B307*4))/0.1)*MATERIALES!$C$192)*2)+(2*MATERIALES!$C$187)+(((A307*5)*2)*MATERIALES!$C$147)+(4*MATERIALES!$C$148)</f>
        <v>5389.7313600000016</v>
      </c>
      <c r="E307" s="75"/>
      <c r="F307" s="112">
        <f>(((((A307/2)*B307))*2)*MATERIALES!$D$83)+(4*MATERIALES!$C$229)+((((A307/2)*2)+(B307*2))*MATERIALES!$C$230)+((((A307/2)*2)+(B307*2))*MATERIALES!$C$231)+(((((A307/2)*2)+(B307*2))/15)*MATERIALES!$C$232)+(((((A307/2)*2)+(B307*2))/15)*(MATERIALES!$C$233*0.15))</f>
        <v>2176.2041599999998</v>
      </c>
      <c r="G307" s="75">
        <f t="shared" si="88"/>
        <v>11493.205520000001</v>
      </c>
      <c r="H307" s="163">
        <f t="shared" si="89"/>
        <v>16464.510088000003</v>
      </c>
      <c r="I307" s="77"/>
      <c r="K307" s="77"/>
      <c r="L307" s="77"/>
      <c r="M307" s="68">
        <v>0.8</v>
      </c>
      <c r="N307" s="69">
        <v>2</v>
      </c>
      <c r="O307" s="59">
        <f>(((M307+(2*N307))*MATERIALES!$C$57)+((M307+(2*N307))*MATERIALES!$C$55)+(M307*MATERIALES!$C$59)+((((M307*2)+(N307*2))*MATERIALES!$C$73)*2))*(MATERIALES!$F$2*MATERIALES!$J$15)</f>
        <v>0</v>
      </c>
      <c r="P307" s="59">
        <f>(1*MATERIALES!$C$204)+(1*MATERIALES!$C$205)+(3*MATERIALES!$C$207)+(2*MATERIALES!$C$189)+(2*MATERIALES!$C$190)+(2*MATERIALES!$C$191)+(4*MATERIALES!$C$158)+(4*MATERIALES!$C$159)+((M307+(2*N307))*MATERIALES!$C$210)+((M307+(2*N307))*MATERIALES!$C$209)+(((M307*2)+(N307*2))*MATERIALES!$C$165)+(0.5*MATERIALES!$C$167)+(((((M307*2)+(N307*2))/0.1)*MATERIALES!$C$192)*2)+(2*MATERIALES!$C$187)+(((M307*5)*2)*MATERIALES!$C$147)+(4*MATERIALES!$C$148)</f>
        <v>5035.1828800000003</v>
      </c>
      <c r="Q307" s="75"/>
      <c r="R307" s="55">
        <f>(1*MATERIALES!$D$243)</f>
        <v>3927.27</v>
      </c>
      <c r="S307" s="59">
        <f t="shared" si="90"/>
        <v>8962.4528800000007</v>
      </c>
      <c r="T307" s="70">
        <f t="shared" si="91"/>
        <v>11651.188744000001</v>
      </c>
      <c r="U307" s="77"/>
      <c r="W307" s="68">
        <v>0.8</v>
      </c>
      <c r="X307" s="69">
        <v>2</v>
      </c>
      <c r="Y307" s="59">
        <f>(((W307+(2*X307))*MATERIALES!$C$57)+((W307+(2*X307))*MATERIALES!$C$55)+(W307*MATERIALES!$C$59)+((((W307*2)+(X307*4))*MATERIALES!$C$73)*2)+((((W307/2)-0.2)*MATERIALES!$C$30)*(X307/0.12)))*MATERIALES!$F$2</f>
        <v>10300.617600000001</v>
      </c>
      <c r="Z307" s="59">
        <f>(1*MATERIALES!$C$204)+(1*MATERIALES!$C$205)+(3*MATERIALES!$C$207)+(2*MATERIALES!$C$189)+(2*MATERIALES!$C$190)+(2*MATERIALES!$C$191)+(8*MATERIALES!$C$158)+(8*MATERIALES!$C$159)+((W307+(2*X307))*MATERIALES!$C$210)+((W307+(2*X307))*MATERIALES!$C$209)+(((W307*2)+(X307*2))*MATERIALES!$C$165)+(((W307*2)+(X307*2))*MATERIALES!$C$141)+(0.5*MATERIALES!$C$167)+(((((W307*2)+(X307*4))/0.1)*MATERIALES!$C$192)*2)+(2*MATERIALES!$C$187)+(((W307*5)*2)*MATERIALES!$C$147)+(4*MATERIALES!$C$148)</f>
        <v>5389.7313600000016</v>
      </c>
      <c r="AA307" s="59">
        <f>(0.5*MATERIALES!$D$254)</f>
        <v>557</v>
      </c>
      <c r="AB307" s="55">
        <f>(((((W307/2)*X307))*2)*MATERIALES!$D$83)+(4*MATERIALES!$C$229)+((((W307/2)*2)+(X307*2))*MATERIALES!$C$230)+((((W307/2)*2)+(X307*2))*MATERIALES!$C$231)+(((((W307/2)*2)+(X307*2))/15)*MATERIALES!$C$232)+(((((W307/2)*2)+(X307*2))/15)*(MATERIALES!$C$233*0.15))</f>
        <v>2176.2041599999998</v>
      </c>
      <c r="AC307" s="59">
        <f t="shared" si="92"/>
        <v>18423.553120000004</v>
      </c>
      <c r="AD307" s="70">
        <f t="shared" ref="AD307:AD311" si="93">(SUM(Y307:AA307)*1.3)+(AB307*1.5)</f>
        <v>24385.859888000006</v>
      </c>
    </row>
    <row r="308" spans="1:30">
      <c r="A308" s="161">
        <v>0.9</v>
      </c>
      <c r="B308" s="162">
        <v>2</v>
      </c>
      <c r="C308" s="75">
        <f>((((A308+(2*B308))*MATERIALES!$C$57)+((A308+(2*B308))*MATERIALES!$C$55)+(A308*MATERIALES!$C$59)+((((A308*2)+(B308*4))*MATERIALES!$C$73)*2))*(MATERIALES!$F$2*MATERIALES!$J$15))+(1*MATERIALES!$D$243)</f>
        <v>3927.27</v>
      </c>
      <c r="D308" s="75">
        <f>(1*MATERIALES!$C$204)+(1*MATERIALES!$C$205)+(3*MATERIALES!$C$207)+(2*MATERIALES!$C$189)+(2*MATERIALES!$C$190)+(2*MATERIALES!$C$191)+(8*MATERIALES!$C$158)+(8*MATERIALES!$C$159)+((A308+(2*B308))*MATERIALES!$C$210)+((A308+(2*B308))*MATERIALES!$C$209)+(((A308*2)+(B308*2))*MATERIALES!$C$165)+(((A308*2)+(B308*2))*MATERIALES!$C$141)+(0.5*MATERIALES!$C$167)+(((((A308*2)+(B308*4))/0.1)*MATERIALES!$C$192)*2)+(2*MATERIALES!$C$187)+(((A308*5)*2)*MATERIALES!$C$147)+(4*MATERIALES!$C$148)</f>
        <v>5412.9056800000008</v>
      </c>
      <c r="E308" s="75"/>
      <c r="F308" s="112">
        <f>(((((A308/2)*B308))*2)*MATERIALES!$D$83)+(4*MATERIALES!$C$229)+((((A308/2)*2)+(B308*2))*MATERIALES!$C$230)+((((A308/2)*2)+(B308*2))*MATERIALES!$C$231)+(((((A308/2)*2)+(B308*2))/15)*MATERIALES!$C$232)+(((((A308/2)*2)+(B308*2))/15)*(MATERIALES!$C$233*0.15))</f>
        <v>2329.4200800000003</v>
      </c>
      <c r="G308" s="75">
        <f t="shared" si="88"/>
        <v>11669.59576</v>
      </c>
      <c r="H308" s="163">
        <f t="shared" si="89"/>
        <v>16801.068544000002</v>
      </c>
      <c r="I308" s="77"/>
      <c r="K308" s="77"/>
      <c r="L308" s="77"/>
      <c r="M308" s="68">
        <v>0.9</v>
      </c>
      <c r="N308" s="69">
        <v>2</v>
      </c>
      <c r="O308" s="59">
        <f>(((M308+(2*N308))*MATERIALES!$C$57)+((M308+(2*N308))*MATERIALES!$C$55)+(M308*MATERIALES!$C$59)+((((M308*2)+(N308*2))*MATERIALES!$C$73)*2))*(MATERIALES!$F$2*MATERIALES!$J$15)</f>
        <v>0</v>
      </c>
      <c r="P308" s="59">
        <f>(1*MATERIALES!$C$204)+(1*MATERIALES!$C$205)+(3*MATERIALES!$C$207)+(2*MATERIALES!$C$189)+(2*MATERIALES!$C$190)+(2*MATERIALES!$C$191)+(4*MATERIALES!$C$158)+(4*MATERIALES!$C$159)+((M308+(2*N308))*MATERIALES!$C$210)+((M308+(2*N308))*MATERIALES!$C$209)+(((M308*2)+(N308*2))*MATERIALES!$C$165)+(0.5*MATERIALES!$C$167)+(((((M308*2)+(N308*2))/0.1)*MATERIALES!$C$192)*2)+(2*MATERIALES!$C$187)+(((M308*5)*2)*MATERIALES!$C$147)+(4*MATERIALES!$C$148)</f>
        <v>5054.0890399999998</v>
      </c>
      <c r="Q308" s="75"/>
      <c r="R308" s="55">
        <f>(1*MATERIALES!$D$243)</f>
        <v>3927.27</v>
      </c>
      <c r="S308" s="59">
        <f t="shared" si="90"/>
        <v>8981.3590399999994</v>
      </c>
      <c r="T308" s="70">
        <f t="shared" si="91"/>
        <v>11675.766752</v>
      </c>
      <c r="U308" s="77"/>
      <c r="W308" s="68">
        <v>0.9</v>
      </c>
      <c r="X308" s="69">
        <v>2</v>
      </c>
      <c r="Y308" s="59">
        <f>(((W308+(2*X308))*MATERIALES!$C$57)+((W308+(2*X308))*MATERIALES!$C$55)+(W308*MATERIALES!$C$59)+((((W308*2)+(X308*4))*MATERIALES!$C$73)*2)+((((W308/2)-0.2)*MATERIALES!$C$30)*(X308/0.12)))*MATERIALES!$F$2</f>
        <v>11089.0416</v>
      </c>
      <c r="Z308" s="59">
        <f>(1*MATERIALES!$C$204)+(1*MATERIALES!$C$205)+(3*MATERIALES!$C$207)+(2*MATERIALES!$C$189)+(2*MATERIALES!$C$190)+(2*MATERIALES!$C$191)+(8*MATERIALES!$C$158)+(8*MATERIALES!$C$159)+((W308+(2*X308))*MATERIALES!$C$210)+((W308+(2*X308))*MATERIALES!$C$209)+(((W308*2)+(X308*2))*MATERIALES!$C$165)+(((W308*2)+(X308*2))*MATERIALES!$C$141)+(0.5*MATERIALES!$C$167)+(((((W308*2)+(X308*4))/0.1)*MATERIALES!$C$192)*2)+(2*MATERIALES!$C$187)+(((W308*5)*2)*MATERIALES!$C$147)+(4*MATERIALES!$C$148)</f>
        <v>5412.9056800000008</v>
      </c>
      <c r="AA308" s="59">
        <f>(0.5*MATERIALES!$D$254)</f>
        <v>557</v>
      </c>
      <c r="AB308" s="55">
        <f>(((((W308/2)*X308))*2)*MATERIALES!$D$83)+(4*MATERIALES!$C$229)+((((W308/2)*2)+(X308*2))*MATERIALES!$C$230)+((((W308/2)*2)+(X308*2))*MATERIALES!$C$231)+(((((W308/2)*2)+(X308*2))/15)*MATERIALES!$C$232)+(((((W308/2)*2)+(X308*2))/15)*(MATERIALES!$C$233*0.15))</f>
        <v>2329.4200800000003</v>
      </c>
      <c r="AC308" s="59">
        <f t="shared" si="92"/>
        <v>19388.36736</v>
      </c>
      <c r="AD308" s="70">
        <f t="shared" si="93"/>
        <v>25670.761584000003</v>
      </c>
    </row>
    <row r="309" spans="1:30">
      <c r="A309" s="161">
        <v>0.6</v>
      </c>
      <c r="B309" s="162">
        <v>2.1</v>
      </c>
      <c r="C309" s="75">
        <f>((((A309+(2*B309))*MATERIALES!$C$57)+((A309+(2*B309))*MATERIALES!$C$55)+(A309*MATERIALES!$C$59)+((((A309*2)+(B309*4))*MATERIALES!$C$73)*2))*(MATERIALES!$F$2*MATERIALES!$J$15))+(1*MATERIALES!$D$243)</f>
        <v>3927.27</v>
      </c>
      <c r="D309" s="75">
        <f>(1*MATERIALES!$C$204)+(1*MATERIALES!$C$205)+(3*MATERIALES!$C$207)+(2*MATERIALES!$C$189)+(2*MATERIALES!$C$190)+(2*MATERIALES!$C$191)+(8*MATERIALES!$C$158)+(8*MATERIALES!$C$159)+((A309+(2*B309))*MATERIALES!$C$210)+((A309+(2*B309))*MATERIALES!$C$209)+(((A309*2)+(B309*2))*MATERIALES!$C$165)+(((A309*2)+(B309*2))*MATERIALES!$C$141)+(0.5*MATERIALES!$C$167)+(((((A309*2)+(B309*4))/0.1)*MATERIALES!$C$192)*2)+(2*MATERIALES!$C$187)+(((A309*5)*2)*MATERIALES!$C$147)+(4*MATERIALES!$C$148)</f>
        <v>5381.1950400000005</v>
      </c>
      <c r="E309" s="75"/>
      <c r="F309" s="112">
        <f>(((((A309/2)*B309))*2)*MATERIALES!$D$83)+(4*MATERIALES!$C$229)+((((A309/2)*2)+(B309*2))*MATERIALES!$C$230)+((((A309/2)*2)+(B309*2))*MATERIALES!$C$231)+(((((A309/2)*2)+(B309*2))/15)*MATERIALES!$C$232)+(((((A309/2)*2)+(B309*2))/15)*(MATERIALES!$C$233*0.15))</f>
        <v>1955.2041599999998</v>
      </c>
      <c r="G309" s="75">
        <f t="shared" si="88"/>
        <v>11263.6692</v>
      </c>
      <c r="H309" s="163">
        <f t="shared" si="89"/>
        <v>16011.412872000001</v>
      </c>
      <c r="I309" s="77"/>
      <c r="K309" s="77"/>
      <c r="L309" s="77"/>
      <c r="M309" s="68">
        <v>0.6</v>
      </c>
      <c r="N309" s="69">
        <v>2.1</v>
      </c>
      <c r="O309" s="59">
        <f>(((M309+(2*N309))*MATERIALES!$C$57)+((M309+(2*N309))*MATERIALES!$C$55)+(M309*MATERIALES!$C$59)+((((M309*2)+(N309*2))*MATERIALES!$C$73)*2))*(MATERIALES!$F$2*MATERIALES!$J$15)</f>
        <v>0</v>
      </c>
      <c r="P309" s="59">
        <f>(1*MATERIALES!$C$204)+(1*MATERIALES!$C$205)+(3*MATERIALES!$C$207)+(2*MATERIALES!$C$189)+(2*MATERIALES!$C$190)+(2*MATERIALES!$C$191)+(4*MATERIALES!$C$158)+(4*MATERIALES!$C$159)+((M309+(2*N309))*MATERIALES!$C$210)+((M309+(2*N309))*MATERIALES!$C$209)+(((M309*2)+(N309*2))*MATERIALES!$C$165)+(0.5*MATERIALES!$C$167)+(((((M309*2)+(N309*2))/0.1)*MATERIALES!$C$192)*2)+(2*MATERIALES!$C$187)+(((M309*5)*2)*MATERIALES!$C$147)+(4*MATERIALES!$C$148)</f>
        <v>5022.1787199999999</v>
      </c>
      <c r="Q309" s="75"/>
      <c r="R309" s="55">
        <f>(1*MATERIALES!$D$243)</f>
        <v>3927.27</v>
      </c>
      <c r="S309" s="59">
        <f t="shared" si="90"/>
        <v>8949.4487200000003</v>
      </c>
      <c r="T309" s="70">
        <f t="shared" si="91"/>
        <v>11634.283336</v>
      </c>
      <c r="U309" s="77"/>
      <c r="W309" s="68">
        <v>0.6</v>
      </c>
      <c r="X309" s="69">
        <v>2.1</v>
      </c>
      <c r="Y309" s="59">
        <f>(((W309+(2*X309))*MATERIALES!$C$57)+((W309+(2*X309))*MATERIALES!$C$55)+(W309*MATERIALES!$C$59)+((((W309*2)+(X309*4))*MATERIALES!$C$73)*2)+((((W309/2)-0.2)*MATERIALES!$C$30)*(X309/0.12)))*MATERIALES!$F$2</f>
        <v>9085.2652799999996</v>
      </c>
      <c r="Z309" s="59">
        <f>(1*MATERIALES!$C$204)+(1*MATERIALES!$C$205)+(3*MATERIALES!$C$207)+(2*MATERIALES!$C$189)+(2*MATERIALES!$C$190)+(2*MATERIALES!$C$191)+(8*MATERIALES!$C$158)+(8*MATERIALES!$C$159)+((W309+(2*X309))*MATERIALES!$C$210)+((W309+(2*X309))*MATERIALES!$C$209)+(((W309*2)+(X309*2))*MATERIALES!$C$165)+(((W309*2)+(X309*2))*MATERIALES!$C$141)+(0.5*MATERIALES!$C$167)+(((((W309*2)+(X309*4))/0.1)*MATERIALES!$C$192)*2)+(2*MATERIALES!$C$187)+(((W309*5)*2)*MATERIALES!$C$147)+(4*MATERIALES!$C$148)</f>
        <v>5381.1950400000005</v>
      </c>
      <c r="AA309" s="59">
        <f>(0.5*MATERIALES!$D$254)</f>
        <v>557</v>
      </c>
      <c r="AB309" s="55">
        <f>(((((W309/2)*X309))*2)*MATERIALES!$D$83)+(4*MATERIALES!$C$229)+((((W309/2)*2)+(X309*2))*MATERIALES!$C$230)+((((W309/2)*2)+(X309*2))*MATERIALES!$C$231)+(((((W309/2)*2)+(X309*2))/15)*MATERIALES!$C$232)+(((((W309/2)*2)+(X309*2))/15)*(MATERIALES!$C$233*0.15))</f>
        <v>1955.2041599999998</v>
      </c>
      <c r="AC309" s="59">
        <f t="shared" si="92"/>
        <v>16978.664479999999</v>
      </c>
      <c r="AD309" s="70">
        <f t="shared" si="93"/>
        <v>22463.304656</v>
      </c>
    </row>
    <row r="310" spans="1:30">
      <c r="A310" s="161">
        <v>0.7</v>
      </c>
      <c r="B310" s="162">
        <v>2.1</v>
      </c>
      <c r="C310" s="75">
        <f>((((A310+(2*B310))*MATERIALES!$C$57)+((A310+(2*B310))*MATERIALES!$C$55)+(A310*MATERIALES!$C$59)+((((A310*2)+(B310*4))*MATERIALES!$C$73)*2))*(MATERIALES!$F$2*MATERIALES!$J$15))+(1*MATERIALES!$D$243)</f>
        <v>3927.27</v>
      </c>
      <c r="D310" s="75">
        <f>(1*MATERIALES!$C$204)+(1*MATERIALES!$C$205)+(3*MATERIALES!$C$207)+(2*MATERIALES!$C$189)+(2*MATERIALES!$C$190)+(2*MATERIALES!$C$191)+(8*MATERIALES!$C$158)+(8*MATERIALES!$C$159)+((A310+(2*B310))*MATERIALES!$C$210)+((A310+(2*B310))*MATERIALES!$C$209)+(((A310*2)+(B310*2))*MATERIALES!$C$165)+(((A310*2)+(B310*2))*MATERIALES!$C$141)+(0.5*MATERIALES!$C$167)+(((((A310*2)+(B310*4))/0.1)*MATERIALES!$C$192)*2)+(2*MATERIALES!$C$187)+(((A310*5)*2)*MATERIALES!$C$147)+(4*MATERIALES!$C$148)</f>
        <v>5404.3693600000015</v>
      </c>
      <c r="E310" s="75"/>
      <c r="F310" s="112">
        <f>(((((A310/2)*B310))*2)*MATERIALES!$D$83)+(4*MATERIALES!$C$229)+((((A310/2)*2)+(B310*2))*MATERIALES!$C$230)+((((A310/2)*2)+(B310*2))*MATERIALES!$C$231)+(((((A310/2)*2)+(B310*2))/15)*MATERIALES!$C$232)+(((((A310/2)*2)+(B310*2))/15)*(MATERIALES!$C$233*0.15))</f>
        <v>2114.9200800000003</v>
      </c>
      <c r="G310" s="75">
        <f t="shared" si="88"/>
        <v>11446.559440000001</v>
      </c>
      <c r="H310" s="163">
        <f t="shared" si="89"/>
        <v>16360.971328000003</v>
      </c>
      <c r="I310" s="77"/>
      <c r="K310" s="77"/>
      <c r="L310" s="77"/>
      <c r="M310" s="68">
        <v>0.7</v>
      </c>
      <c r="N310" s="69">
        <v>2.1</v>
      </c>
      <c r="O310" s="59">
        <f>(((M310+(2*N310))*MATERIALES!$C$57)+((M310+(2*N310))*MATERIALES!$C$55)+(M310*MATERIALES!$C$59)+((((M310*2)+(N310*2))*MATERIALES!$C$73)*2))*(MATERIALES!$F$2*MATERIALES!$J$15)</f>
        <v>0</v>
      </c>
      <c r="P310" s="59">
        <f>(1*MATERIALES!$C$204)+(1*MATERIALES!$C$205)+(3*MATERIALES!$C$207)+(2*MATERIALES!$C$189)+(2*MATERIALES!$C$190)+(2*MATERIALES!$C$191)+(4*MATERIALES!$C$158)+(4*MATERIALES!$C$159)+((M310+(2*N310))*MATERIALES!$C$210)+((M310+(2*N310))*MATERIALES!$C$209)+(((M310*2)+(N310*2))*MATERIALES!$C$165)+(0.5*MATERIALES!$C$167)+(((((M310*2)+(N310*2))/0.1)*MATERIALES!$C$192)*2)+(2*MATERIALES!$C$187)+(((M310*5)*2)*MATERIALES!$C$147)+(4*MATERIALES!$C$148)</f>
        <v>5041.0848800000003</v>
      </c>
      <c r="Q310" s="75"/>
      <c r="R310" s="55">
        <f>(1*MATERIALES!$D$243)</f>
        <v>3927.27</v>
      </c>
      <c r="S310" s="59">
        <f t="shared" si="90"/>
        <v>8968.3548800000008</v>
      </c>
      <c r="T310" s="70">
        <f t="shared" si="91"/>
        <v>11658.861344000001</v>
      </c>
      <c r="U310" s="77"/>
      <c r="W310" s="68">
        <v>0.7</v>
      </c>
      <c r="X310" s="69">
        <v>2.1</v>
      </c>
      <c r="Y310" s="59">
        <f>(((W310+(2*X310))*MATERIALES!$C$57)+((W310+(2*X310))*MATERIALES!$C$55)+(W310*MATERIALES!$C$59)+((((W310*2)+(X310*4))*MATERIALES!$C$73)*2)+((((W310/2)-0.2)*MATERIALES!$C$30)*(X310/0.12)))*MATERIALES!$F$2</f>
        <v>9900.6616799999993</v>
      </c>
      <c r="Z310" s="59">
        <f>(1*MATERIALES!$C$204)+(1*MATERIALES!$C$205)+(3*MATERIALES!$C$207)+(2*MATERIALES!$C$189)+(2*MATERIALES!$C$190)+(2*MATERIALES!$C$191)+(8*MATERIALES!$C$158)+(8*MATERIALES!$C$159)+((W310+(2*X310))*MATERIALES!$C$210)+((W310+(2*X310))*MATERIALES!$C$209)+(((W310*2)+(X310*2))*MATERIALES!$C$165)+(((W310*2)+(X310*2))*MATERIALES!$C$141)+(0.5*MATERIALES!$C$167)+(((((W310*2)+(X310*4))/0.1)*MATERIALES!$C$192)*2)+(2*MATERIALES!$C$187)+(((W310*5)*2)*MATERIALES!$C$147)+(4*MATERIALES!$C$148)</f>
        <v>5404.3693600000015</v>
      </c>
      <c r="AA310" s="59">
        <f>(0.5*MATERIALES!$D$254)</f>
        <v>557</v>
      </c>
      <c r="AB310" s="55">
        <f>(((((W310/2)*X310))*2)*MATERIALES!$D$83)+(4*MATERIALES!$C$229)+((((W310/2)*2)+(X310*2))*MATERIALES!$C$230)+((((W310/2)*2)+(X310*2))*MATERIALES!$C$231)+(((((W310/2)*2)+(X310*2))/15)*MATERIALES!$C$232)+(((((W310/2)*2)+(X310*2))/15)*(MATERIALES!$C$233*0.15))</f>
        <v>2114.9200800000003</v>
      </c>
      <c r="AC310" s="59">
        <f t="shared" si="92"/>
        <v>17976.951120000002</v>
      </c>
      <c r="AD310" s="70">
        <f t="shared" si="93"/>
        <v>23793.020472000004</v>
      </c>
    </row>
    <row r="311" spans="1:30">
      <c r="A311" s="161">
        <v>0.8</v>
      </c>
      <c r="B311" s="162">
        <v>2.1</v>
      </c>
      <c r="C311" s="75">
        <f>((((A311+(2*B311))*MATERIALES!$C$57)+((A311+(2*B311))*MATERIALES!$C$55)+(A311*MATERIALES!$C$59)+((((A311*2)+(B311*4))*MATERIALES!$C$73)*2))*(MATERIALES!$F$2*MATERIALES!$J$15))+(1*MATERIALES!$D$243)</f>
        <v>3927.27</v>
      </c>
      <c r="D311" s="75">
        <f>(1*MATERIALES!$C$204)+(1*MATERIALES!$C$205)+(3*MATERIALES!$C$207)+(2*MATERIALES!$C$189)+(2*MATERIALES!$C$190)+(2*MATERIALES!$C$191)+(8*MATERIALES!$C$158)+(8*MATERIALES!$C$159)+((A311+(2*B311))*MATERIALES!$C$210)+((A311+(2*B311))*MATERIALES!$C$209)+(((A311*2)+(B311*2))*MATERIALES!$C$165)+(((A311*2)+(B311*2))*MATERIALES!$C$141)+(0.5*MATERIALES!$C$167)+(((((A311*2)+(B311*4))/0.1)*MATERIALES!$C$192)*2)+(2*MATERIALES!$C$187)+(((A311*5)*2)*MATERIALES!$C$147)+(4*MATERIALES!$C$148)</f>
        <v>5427.5436800000007</v>
      </c>
      <c r="E311" s="75"/>
      <c r="F311" s="112">
        <f>(((((A311/2)*B311))*2)*MATERIALES!$D$83)+(4*MATERIALES!$C$229)+((((A311/2)*2)+(B311*2))*MATERIALES!$C$230)+((((A311/2)*2)+(B311*2))*MATERIALES!$C$231)+(((((A311/2)*2)+(B311*2))/15)*MATERIALES!$C$232)+(((((A311/2)*2)+(B311*2))/15)*(MATERIALES!$C$233*0.15))</f>
        <v>2274.6359999999995</v>
      </c>
      <c r="G311" s="75">
        <f t="shared" si="88"/>
        <v>11629.449680000002</v>
      </c>
      <c r="H311" s="163">
        <f t="shared" si="89"/>
        <v>16710.529783999998</v>
      </c>
      <c r="I311" s="77"/>
      <c r="K311" s="77"/>
      <c r="L311" s="77"/>
      <c r="M311" s="68">
        <v>0.8</v>
      </c>
      <c r="N311" s="69">
        <v>2.1</v>
      </c>
      <c r="O311" s="59">
        <f>(((M311+(2*N311))*MATERIALES!$C$57)+((M311+(2*N311))*MATERIALES!$C$55)+(M311*MATERIALES!$C$59)+((((M311*2)+(N311*2))*MATERIALES!$C$73)*2))*(MATERIALES!$F$2*MATERIALES!$J$15)</f>
        <v>0</v>
      </c>
      <c r="P311" s="59">
        <f>(1*MATERIALES!$C$204)+(1*MATERIALES!$C$205)+(3*MATERIALES!$C$207)+(2*MATERIALES!$C$189)+(2*MATERIALES!$C$190)+(2*MATERIALES!$C$191)+(4*MATERIALES!$C$158)+(4*MATERIALES!$C$159)+((M311+(2*N311))*MATERIALES!$C$210)+((M311+(2*N311))*MATERIALES!$C$209)+(((M311*2)+(N311*2))*MATERIALES!$C$165)+(0.5*MATERIALES!$C$167)+(((((M311*2)+(N311*2))/0.1)*MATERIALES!$C$192)*2)+(2*MATERIALES!$C$187)+(((M311*5)*2)*MATERIALES!$C$147)+(4*MATERIALES!$C$148)</f>
        <v>5059.9910399999999</v>
      </c>
      <c r="Q311" s="75"/>
      <c r="R311" s="55">
        <f>(1*MATERIALES!$D$243)</f>
        <v>3927.27</v>
      </c>
      <c r="S311" s="59">
        <f t="shared" si="90"/>
        <v>8987.2610399999994</v>
      </c>
      <c r="T311" s="70">
        <f t="shared" si="91"/>
        <v>11683.439351999999</v>
      </c>
      <c r="U311" s="77"/>
      <c r="W311" s="68">
        <v>0.8</v>
      </c>
      <c r="X311" s="69">
        <v>2.1</v>
      </c>
      <c r="Y311" s="59">
        <f>(((W311+(2*X311))*MATERIALES!$C$57)+((W311+(2*X311))*MATERIALES!$C$55)+(W311*MATERIALES!$C$59)+((((W311*2)+(X311*4))*MATERIALES!$C$73)*2)+((((W311/2)-0.2)*MATERIALES!$C$30)*(X311/0.12)))*MATERIALES!$F$2</f>
        <v>10716.058080000003</v>
      </c>
      <c r="Z311" s="59">
        <f>(1*MATERIALES!$C$204)+(1*MATERIALES!$C$205)+(3*MATERIALES!$C$207)+(2*MATERIALES!$C$189)+(2*MATERIALES!$C$190)+(2*MATERIALES!$C$191)+(8*MATERIALES!$C$158)+(8*MATERIALES!$C$159)+((W311+(2*X311))*MATERIALES!$C$210)+((W311+(2*X311))*MATERIALES!$C$209)+(((W311*2)+(X311*2))*MATERIALES!$C$165)+(((W311*2)+(X311*2))*MATERIALES!$C$141)+(0.5*MATERIALES!$C$167)+(((((W311*2)+(X311*4))/0.1)*MATERIALES!$C$192)*2)+(2*MATERIALES!$C$187)+(((W311*5)*2)*MATERIALES!$C$147)+(4*MATERIALES!$C$148)</f>
        <v>5427.5436800000007</v>
      </c>
      <c r="AA311" s="59">
        <f>(0.5*MATERIALES!$D$254)</f>
        <v>557</v>
      </c>
      <c r="AB311" s="55">
        <f>(((((W311/2)*X311))*2)*MATERIALES!$D$83)+(4*MATERIALES!$C$229)+((((W311/2)*2)+(X311*2))*MATERIALES!$C$230)+((((W311/2)*2)+(X311*2))*MATERIALES!$C$231)+(((((W311/2)*2)+(X311*2))/15)*MATERIALES!$C$232)+(((((W311/2)*2)+(X311*2))/15)*(MATERIALES!$C$233*0.15))</f>
        <v>2274.6359999999995</v>
      </c>
      <c r="AC311" s="59">
        <f t="shared" si="92"/>
        <v>18975.237760000004</v>
      </c>
      <c r="AD311" s="70">
        <f t="shared" si="93"/>
        <v>25122.736288000004</v>
      </c>
    </row>
    <row r="312" spans="1:30" ht="15.75" thickBot="1">
      <c r="A312" s="164">
        <v>0.9</v>
      </c>
      <c r="B312" s="165">
        <v>2.1</v>
      </c>
      <c r="C312" s="76">
        <f>((((A312+(2*B312))*MATERIALES!$C$57)+((A312+(2*B312))*MATERIALES!$C$55)+(A312*MATERIALES!$C$59)+((((A312*2)+(B312*4))*MATERIALES!$C$73)*2))*(MATERIALES!$F$2*MATERIALES!$J$15))+(1*MATERIALES!$D$243)</f>
        <v>3927.27</v>
      </c>
      <c r="D312" s="76">
        <f>(1*MATERIALES!$C$204)+(1*MATERIALES!$C$205)+(3*MATERIALES!$C$207)+(2*MATERIALES!$C$189)+(2*MATERIALES!$C$190)+(2*MATERIALES!$C$191)+(8*MATERIALES!$C$158)+(8*MATERIALES!$C$159)+((A312+(2*B312))*MATERIALES!$C$210)+((A312+(2*B312))*MATERIALES!$C$209)+(((A312*2)+(B312*2))*MATERIALES!$C$165)+(((A312*2)+(B312*2))*MATERIALES!$C$141)+(0.5*MATERIALES!$C$167)+(((((A312*2)+(B312*4))/0.1)*MATERIALES!$C$192)*2)+(2*MATERIALES!$C$187)+(((A312*5)*2)*MATERIALES!$C$147)+(4*MATERIALES!$C$148)</f>
        <v>5450.7179999999989</v>
      </c>
      <c r="E312" s="76"/>
      <c r="F312" s="113">
        <f>(((((A312/2)*B312))*2)*MATERIALES!$D$83)+(4*MATERIALES!$C$229)+((((A312/2)*2)+(B312*2))*MATERIALES!$C$230)+((((A312/2)*2)+(B312*2))*MATERIALES!$C$231)+(((((A312/2)*2)+(B312*2))/15)*MATERIALES!$C$232)+(((((A312/2)*2)+(B312*2))/15)*(MATERIALES!$C$233*0.15))</f>
        <v>2434.3519200000005</v>
      </c>
      <c r="G312" s="76">
        <f t="shared" si="88"/>
        <v>11812.33992</v>
      </c>
      <c r="H312" s="166">
        <f t="shared" si="89"/>
        <v>17060.088240000001</v>
      </c>
      <c r="I312" s="77"/>
      <c r="K312" s="77"/>
      <c r="L312" s="77"/>
      <c r="M312" s="71">
        <v>0.9</v>
      </c>
      <c r="N312" s="72">
        <v>2.1</v>
      </c>
      <c r="O312" s="60">
        <f>(((M312+(2*N312))*MATERIALES!$C$57)+((M312+(2*N312))*MATERIALES!$C$55)+(M312*MATERIALES!$C$59)+((((M312*2)+(N312*2))*MATERIALES!$C$73)*2))*(MATERIALES!$F$2*MATERIALES!$J$15)</f>
        <v>0</v>
      </c>
      <c r="P312" s="60">
        <f>(1*MATERIALES!$C$204)+(1*MATERIALES!$C$205)+(3*MATERIALES!$C$207)+(2*MATERIALES!$C$189)+(2*MATERIALES!$C$190)+(2*MATERIALES!$C$191)+(4*MATERIALES!$C$158)+(4*MATERIALES!$C$159)+((M312+(2*N312))*MATERIALES!$C$210)+((M312+(2*N312))*MATERIALES!$C$209)+(((M312*2)+(N312*2))*MATERIALES!$C$165)+(0.5*MATERIALES!$C$167)+(((((M312*2)+(N312*2))/0.1)*MATERIALES!$C$192)*2)+(2*MATERIALES!$C$187)+(((M312*5)*2)*MATERIALES!$C$147)+(4*MATERIALES!$C$148)</f>
        <v>5078.8971999999985</v>
      </c>
      <c r="Q312" s="76"/>
      <c r="R312" s="56">
        <f>(1*MATERIALES!$D$243)</f>
        <v>3927.27</v>
      </c>
      <c r="S312" s="60">
        <f t="shared" si="90"/>
        <v>9006.167199999998</v>
      </c>
      <c r="T312" s="73">
        <f t="shared" si="91"/>
        <v>11708.017359999998</v>
      </c>
      <c r="U312" s="77"/>
      <c r="W312" s="71">
        <v>0.9</v>
      </c>
      <c r="X312" s="72">
        <v>2.1</v>
      </c>
      <c r="Y312" s="60">
        <f>(((W312+(2*X312))*MATERIALES!$C$57)+((W312+(2*X312))*MATERIALES!$C$55)+(W312*MATERIALES!$C$59)+((((W312*2)+(X312*4))*MATERIALES!$C$73)*2)+((((W312/2)-0.2)*MATERIALES!$C$30)*(X312/0.12)))*MATERIALES!$F$2</f>
        <v>11531.45448</v>
      </c>
      <c r="Z312" s="60">
        <f>(1*MATERIALES!$C$204)+(1*MATERIALES!$C$205)+(3*MATERIALES!$C$207)+(2*MATERIALES!$C$189)+(2*MATERIALES!$C$190)+(2*MATERIALES!$C$191)+(8*MATERIALES!$C$158)+(8*MATERIALES!$C$159)+((W312+(2*X312))*MATERIALES!$C$210)+((W312+(2*X312))*MATERIALES!$C$209)+(((W312*2)+(X312*2))*MATERIALES!$C$165)+(((W312*2)+(X312*2))*MATERIALES!$C$141)+(0.5*MATERIALES!$C$167)+(((((W312*2)+(X312*4))/0.1)*MATERIALES!$C$192)*2)+(2*MATERIALES!$C$187)+(((W312*5)*2)*MATERIALES!$C$147)+(4*MATERIALES!$C$148)</f>
        <v>5450.7179999999989</v>
      </c>
      <c r="AA312" s="60">
        <f>(0.5*MATERIALES!$D$254)</f>
        <v>557</v>
      </c>
      <c r="AB312" s="56">
        <f>(((((W312/2)*X312))*2)*MATERIALES!$D$83)+(4*MATERIALES!$C$229)+((((W312/2)*2)+(X312*2))*MATERIALES!$C$230)+((((W312/2)*2)+(X312*2))*MATERIALES!$C$231)+(((((W312/2)*2)+(X312*2))/15)*MATERIALES!$C$232)+(((((W312/2)*2)+(X312*2))/15)*(MATERIALES!$C$233*0.15))</f>
        <v>2434.3519200000005</v>
      </c>
      <c r="AC312" s="60">
        <f t="shared" si="92"/>
        <v>19973.524400000002</v>
      </c>
      <c r="AD312" s="73">
        <f>(SUM(Y312:AA312)*1.3)+(AB312*1.5)</f>
        <v>26452.452104000004</v>
      </c>
    </row>
    <row r="313" spans="1:30">
      <c r="U313" s="77"/>
    </row>
    <row r="314" spans="1:30" ht="15.75" thickBot="1"/>
    <row r="315" spans="1:30" ht="15.75" thickBot="1">
      <c r="A315" s="32"/>
      <c r="B315" s="32"/>
      <c r="C315" s="801">
        <v>0.3</v>
      </c>
      <c r="D315" s="802"/>
      <c r="E315" s="803"/>
      <c r="F315" s="61">
        <v>1</v>
      </c>
      <c r="G315" s="32"/>
      <c r="H315" s="46" t="s">
        <v>163</v>
      </c>
      <c r="M315" s="32"/>
      <c r="N315" s="32"/>
      <c r="O315" s="801">
        <v>0.3</v>
      </c>
      <c r="P315" s="802"/>
      <c r="Q315" s="803"/>
      <c r="R315" s="61">
        <v>1</v>
      </c>
      <c r="S315" s="32"/>
      <c r="T315" s="46" t="s">
        <v>163</v>
      </c>
    </row>
    <row r="316" spans="1:30" ht="15.75" thickBot="1">
      <c r="A316" s="792" t="s">
        <v>711</v>
      </c>
      <c r="B316" s="793"/>
      <c r="C316" s="793"/>
      <c r="D316" s="793"/>
      <c r="E316" s="793"/>
      <c r="F316" s="793"/>
      <c r="G316" s="793"/>
      <c r="H316" s="794"/>
      <c r="M316" s="792" t="s">
        <v>712</v>
      </c>
      <c r="N316" s="793"/>
      <c r="O316" s="793"/>
      <c r="P316" s="793"/>
      <c r="Q316" s="793"/>
      <c r="R316" s="793"/>
      <c r="S316" s="793"/>
      <c r="T316" s="794"/>
    </row>
    <row r="317" spans="1:30" ht="15.75" thickBot="1">
      <c r="A317" s="36" t="s">
        <v>116</v>
      </c>
      <c r="B317" s="36" t="s">
        <v>117</v>
      </c>
      <c r="C317" s="36" t="s">
        <v>162</v>
      </c>
      <c r="D317" s="36" t="s">
        <v>119</v>
      </c>
      <c r="E317" s="36" t="s">
        <v>120</v>
      </c>
      <c r="F317" s="36" t="s">
        <v>692</v>
      </c>
      <c r="G317" s="36" t="s">
        <v>121</v>
      </c>
      <c r="H317" s="36" t="s">
        <v>122</v>
      </c>
      <c r="M317" s="36" t="s">
        <v>116</v>
      </c>
      <c r="N317" s="36" t="s">
        <v>117</v>
      </c>
      <c r="O317" s="36" t="s">
        <v>162</v>
      </c>
      <c r="P317" s="36" t="s">
        <v>119</v>
      </c>
      <c r="Q317" s="36" t="s">
        <v>120</v>
      </c>
      <c r="R317" s="36" t="s">
        <v>692</v>
      </c>
      <c r="S317" s="36" t="s">
        <v>121</v>
      </c>
      <c r="T317" s="36" t="s">
        <v>122</v>
      </c>
    </row>
    <row r="318" spans="1:30" ht="15.75" thickBot="1">
      <c r="A318" s="795"/>
      <c r="B318" s="796"/>
      <c r="C318" s="796"/>
      <c r="D318" s="796"/>
      <c r="E318" s="796"/>
      <c r="F318" s="796"/>
      <c r="G318" s="796"/>
      <c r="H318" s="797"/>
      <c r="M318" s="795"/>
      <c r="N318" s="796"/>
      <c r="O318" s="796"/>
      <c r="P318" s="796"/>
      <c r="Q318" s="796"/>
      <c r="R318" s="796"/>
      <c r="S318" s="796"/>
      <c r="T318" s="797"/>
    </row>
    <row r="319" spans="1:30">
      <c r="A319" s="65">
        <v>0.6</v>
      </c>
      <c r="B319" s="66">
        <v>2</v>
      </c>
      <c r="C319" s="58">
        <f>(((A319+(2*B319))*MATERIALES!$C$57)+((A319+(2*B319))*MATERIALES!$C$55)+(A319*MATERIALES!$C$59)+((A319*3)*MATERIALES!$C$58)+(((A319-0.2)*MATERIALES!$C$30)*((B319/2)/0.12))+((((A319*8)+(B319*2))*MATERIALES!$C$73)*1))*(MATERIALES!$F$2*MATERIALES!$J$15)</f>
        <v>0</v>
      </c>
      <c r="D319" s="58">
        <f>(1*MATERIALES!$C$204)+(1*MATERIALES!$C$205)+(3*MATERIALES!$C$207)+(2*MATERIALES!$C$189)+(2*MATERIALES!$C$190)+(2*MATERIALES!$C$191)+(16*MATERIALES!$C$158)+(16*MATERIALES!$C$159)+((A319+(2*B319))*MATERIALES!$C$210)+((A319+(2*B319))*MATERIALES!$C$209)+(((A319*6)+(B319*1))*MATERIALES!$C$141)+(((A319*2)+(B319*1))*MATERIALES!$C$165)+(((((A319*8)+(B319*2))/0.1)*MATERIALES!$C$192)*2)+(0.5*MATERIALES!$C$167)+(2*MATERIALES!$C$187)+(((A319*5)*2)*MATERIALES!$C$147)+(4*MATERIALES!$C$148)</f>
        <v>5412.4054400000005</v>
      </c>
      <c r="E319" s="74"/>
      <c r="F319" s="54">
        <f>(((A319*(B319/2))*2)*MATERIALES!$D$83)+(12*MATERIALES!$C$229)+(((A319*6)+((B319/2)*2))*MATERIALES!$C$230)+(((A319*6)+((B319/2)*2))*MATERIALES!$C$231)+((((A319*6)+((B319/2)*2))/15)*MATERIALES!$C$232)+((((A319*6)+((B319/2)*2))/15)*(MATERIALES!$C$233*0.15))</f>
        <v>2145.6115199999999</v>
      </c>
      <c r="G319" s="58">
        <f>SUM(C319:F319)</f>
        <v>7558.0169600000008</v>
      </c>
      <c r="H319" s="67">
        <f>(SUM(C319:E319)*1.3)+(F319*2)</f>
        <v>11327.350112</v>
      </c>
      <c r="M319" s="65">
        <v>0.6</v>
      </c>
      <c r="N319" s="66">
        <v>2</v>
      </c>
      <c r="O319" s="58">
        <f>(((M319+(2*N319))*MATERIALES!$C$57)+((M319+(2*N319))*MATERIALES!$C$55)+(M319*MATERIALES!$C$59)+((M319+N319)*MATERIALES!$C$58)+(((M319-0.2)*MATERIALES!$C$30)*((N319/2)/0.12))+((((M319*4)+(N319*6))*MATERIALES!$C$73)*2))*(MATERIALES!$F$2*MATERIALES!$J$15)</f>
        <v>0</v>
      </c>
      <c r="P319" s="58">
        <f>(1*MATERIALES!$C$204)+(1*MATERIALES!$C$205)+(3*MATERIALES!$C$207)+(2*MATERIALES!$C$189)+(2*MATERIALES!$C$190)+(2*MATERIALES!$C$191)+(16*MATERIALES!$C$158)+(16*MATERIALES!$C$159)+((M319+(2*N319))*MATERIALES!$C$210)+((M319+(2*N319))*MATERIALES!$C$209)+(((M319*2)+((N319/2)*6))*MATERIALES!$C$141)+(((M319*2)+(N319*1))*MATERIALES!$C$165)+(((((M319*4)+(N319*2)+((N319/2)*6))/0.1)*MATERIALES!$C$192)*2)+(2*MATERIALES!$C$187)+(0.5*MATERIALES!$C$167)+(((M319*5)*2)*MATERIALES!$C$147)+(4*MATERIALES!$C$148)</f>
        <v>5603.7987200000007</v>
      </c>
      <c r="Q319" s="74"/>
      <c r="R319" s="54">
        <f>(((M319*(N319/2))*2)*MATERIALES!$D$83)+(12*MATERIALES!$C$229)+(((M319*2)+((N319/2)*6))*MATERIALES!$C$230)+(((M319*2)+((N319/2)*6))*MATERIALES!$C$231)+((((M319*2)+((N319/2)*6))/15)*MATERIALES!$C$232)+((((M319*2)+((N319/2)*6))/15)*(MATERIALES!$C$233*0.15))</f>
        <v>2517.0662399999997</v>
      </c>
      <c r="S319" s="58">
        <f>SUM(O319:R319)</f>
        <v>8120.8649600000008</v>
      </c>
      <c r="T319" s="67">
        <f>(SUM(O319:Q319)*1.3)+(R319*2)</f>
        <v>12319.070815999999</v>
      </c>
    </row>
    <row r="320" spans="1:30">
      <c r="A320" s="68">
        <v>0.7</v>
      </c>
      <c r="B320" s="69">
        <v>2</v>
      </c>
      <c r="C320" s="59">
        <f>(((A320+(2*B320))*MATERIALES!$C$57)+((A320+(2*B320))*MATERIALES!$C$55)+(A320*MATERIALES!$C$59)+((A320*3)*MATERIALES!$C$58)+(((A320-0.2)*MATERIALES!$C$30)*((B320/2)/0.12))+((((A320*8)+(B320*2))*MATERIALES!$C$73)*1))*(MATERIALES!$F$2*MATERIALES!$J$15)</f>
        <v>0</v>
      </c>
      <c r="D320" s="59">
        <f>(1*MATERIALES!$C$204)+(1*MATERIALES!$C$205)+(3*MATERIALES!$C$207)+(2*MATERIALES!$C$189)+(2*MATERIALES!$C$190)+(2*MATERIALES!$C$191)+(16*MATERIALES!$C$158)+(16*MATERIALES!$C$159)+((A320+(2*B320))*MATERIALES!$C$210)+((A320+(2*B320))*MATERIALES!$C$209)+(((A320*6)+(B320*1))*MATERIALES!$C$141)+(((A320*2)+(B320*1))*MATERIALES!$C$165)+(((((A320*8)+(B320*2))/0.1)*MATERIALES!$C$192)*2)+(0.5*MATERIALES!$C$167)+(2*MATERIALES!$C$187)+(((A320*5)*2)*MATERIALES!$C$147)+(4*MATERIALES!$C$148)</f>
        <v>5470.3240799999985</v>
      </c>
      <c r="E320" s="75"/>
      <c r="F320" s="55">
        <f>(((A320*(B320/2))*2)*MATERIALES!$D$83)+(12*MATERIALES!$C$229)+(((A320*6)+((B320/2)*2))*MATERIALES!$C$230)+(((A320*6)+((B320/2)*2))*MATERIALES!$C$231)+((((A320*6)+((B320/2)*2))/15)*MATERIALES!$C$232)+((((A320*6)+((B320/2)*2))/15)*(MATERIALES!$C$233*0.15))</f>
        <v>2414.9070400000001</v>
      </c>
      <c r="G320" s="59">
        <f t="shared" ref="G320:G326" si="94">SUM(C320:F320)</f>
        <v>7885.2311199999986</v>
      </c>
      <c r="H320" s="70">
        <f t="shared" ref="H320:H326" si="95">(SUM(C320:E320)*1.3)+(F320*2)</f>
        <v>11941.235384</v>
      </c>
      <c r="M320" s="68">
        <v>0.7</v>
      </c>
      <c r="N320" s="69">
        <v>2</v>
      </c>
      <c r="O320" s="59">
        <f>(((M320+(2*N320))*MATERIALES!$C$57)+((M320+(2*N320))*MATERIALES!$C$55)+(M320*MATERIALES!$C$59)+((M320+N320)*MATERIALES!$C$58)+(((M320-0.2)*MATERIALES!$C$30)*((N320/2)/0.12))+((((M320*4)+(N320*6))*MATERIALES!$C$73)*2))*(MATERIALES!$F$2*MATERIALES!$J$15)</f>
        <v>0</v>
      </c>
      <c r="P320" s="59">
        <f>(1*MATERIALES!$C$204)+(1*MATERIALES!$C$205)+(3*MATERIALES!$C$207)+(2*MATERIALES!$C$189)+(2*MATERIALES!$C$190)+(2*MATERIALES!$C$191)+(16*MATERIALES!$C$158)+(16*MATERIALES!$C$159)+((M320+(2*N320))*MATERIALES!$C$210)+((M320+(2*N320))*MATERIALES!$C$209)+(((M320*2)+((N320/2)*6))*MATERIALES!$C$141)+(((M320*2)+(N320*1))*MATERIALES!$C$165)+(((((M320*4)+(N320*2)+((N320/2)*6))/0.1)*MATERIALES!$C$192)*2)+(2*MATERIALES!$C$187)+(0.5*MATERIALES!$C$167)+(((M320*5)*2)*MATERIALES!$C$147)+(4*MATERIALES!$C$148)</f>
        <v>5635.7090399999988</v>
      </c>
      <c r="Q320" s="75"/>
      <c r="R320" s="55">
        <f>(((M320*(N320/2))*2)*MATERIALES!$D$83)+(12*MATERIALES!$C$229)+(((M320*2)+((N320/2)*6))*MATERIALES!$C$230)+(((M320*2)+((N320/2)*6))*MATERIALES!$C$231)+((((M320*2)+((N320/2)*6))/15)*MATERIALES!$C$232)+((((M320*2)+((N320/2)*6))/15)*(MATERIALES!$C$233*0.15))</f>
        <v>2693.4980799999998</v>
      </c>
      <c r="S320" s="59">
        <f t="shared" ref="S320:S326" si="96">SUM(O320:R320)</f>
        <v>8329.2071199999991</v>
      </c>
      <c r="T320" s="70">
        <f t="shared" ref="T320:T326" si="97">(SUM(O320:Q320)*1.3)+(R320*2)</f>
        <v>12713.417911999997</v>
      </c>
    </row>
    <row r="321" spans="1:20">
      <c r="A321" s="68">
        <v>0.8</v>
      </c>
      <c r="B321" s="69">
        <v>2</v>
      </c>
      <c r="C321" s="59">
        <f>(((A321+(2*B321))*MATERIALES!$C$57)+((A321+(2*B321))*MATERIALES!$C$55)+(A321*MATERIALES!$C$59)+((A321*3)*MATERIALES!$C$58)+(((A321-0.2)*MATERIALES!$C$30)*((B321/2)/0.12))+((((A321*8)+(B321*2))*MATERIALES!$C$73)*1))*(MATERIALES!$F$2*MATERIALES!$J$15)</f>
        <v>0</v>
      </c>
      <c r="D321" s="59">
        <f>(1*MATERIALES!$C$204)+(1*MATERIALES!$C$205)+(3*MATERIALES!$C$207)+(2*MATERIALES!$C$189)+(2*MATERIALES!$C$190)+(2*MATERIALES!$C$191)+(16*MATERIALES!$C$158)+(16*MATERIALES!$C$159)+((A321+(2*B321))*MATERIALES!$C$210)+((A321+(2*B321))*MATERIALES!$C$209)+(((A321*6)+(B321*1))*MATERIALES!$C$141)+(((A321*2)+(B321*1))*MATERIALES!$C$165)+(((((A321*8)+(B321*2))/0.1)*MATERIALES!$C$192)*2)+(0.5*MATERIALES!$C$167)+(2*MATERIALES!$C$187)+(((A321*5)*2)*MATERIALES!$C$147)+(4*MATERIALES!$C$148)</f>
        <v>5528.2427199999993</v>
      </c>
      <c r="E321" s="75"/>
      <c r="F321" s="55">
        <f>(((A321*(B321/2))*2)*MATERIALES!$D$83)+(12*MATERIALES!$C$229)+(((A321*6)+((B321/2)*2))*MATERIALES!$C$230)+(((A321*6)+((B321/2)*2))*MATERIALES!$C$231)+((((A321*6)+((B321/2)*2))/15)*MATERIALES!$C$232)+((((A321*6)+((B321/2)*2))/15)*(MATERIALES!$C$233*0.15))</f>
        <v>2684.2025600000002</v>
      </c>
      <c r="G321" s="59">
        <f t="shared" si="94"/>
        <v>8212.4452799999999</v>
      </c>
      <c r="H321" s="70">
        <f t="shared" si="95"/>
        <v>12555.120655999999</v>
      </c>
      <c r="M321" s="68">
        <v>0.8</v>
      </c>
      <c r="N321" s="69">
        <v>2</v>
      </c>
      <c r="O321" s="59">
        <f>(((M321+(2*N321))*MATERIALES!$C$57)+((M321+(2*N321))*MATERIALES!$C$55)+(M321*MATERIALES!$C$59)+((M321+N321)*MATERIALES!$C$58)+(((M321-0.2)*MATERIALES!$C$30)*((N321/2)/0.12))+((((M321*4)+(N321*6))*MATERIALES!$C$73)*2))*(MATERIALES!$F$2*MATERIALES!$J$15)</f>
        <v>0</v>
      </c>
      <c r="P321" s="59">
        <f>(1*MATERIALES!$C$204)+(1*MATERIALES!$C$205)+(3*MATERIALES!$C$207)+(2*MATERIALES!$C$189)+(2*MATERIALES!$C$190)+(2*MATERIALES!$C$191)+(16*MATERIALES!$C$158)+(16*MATERIALES!$C$159)+((M321+(2*N321))*MATERIALES!$C$210)+((M321+(2*N321))*MATERIALES!$C$209)+(((M321*2)+((N321/2)*6))*MATERIALES!$C$141)+(((M321*2)+(N321*1))*MATERIALES!$C$165)+(((((M321*4)+(N321*2)+((N321/2)*6))/0.1)*MATERIALES!$C$192)*2)+(2*MATERIALES!$C$187)+(0.5*MATERIALES!$C$167)+(((M321*5)*2)*MATERIALES!$C$147)+(4*MATERIALES!$C$148)</f>
        <v>5667.6193599999997</v>
      </c>
      <c r="Q321" s="75"/>
      <c r="R321" s="55">
        <f>(((M321*(N321/2))*2)*MATERIALES!$D$83)+(12*MATERIALES!$C$229)+(((M321*2)+((N321/2)*6))*MATERIALES!$C$230)+(((M321*2)+((N321/2)*6))*MATERIALES!$C$231)+((((M321*2)+((N321/2)*6))/15)*MATERIALES!$C$232)+((((M321*2)+((N321/2)*6))/15)*(MATERIALES!$C$233*0.15))</f>
        <v>2869.9299200000005</v>
      </c>
      <c r="S321" s="59">
        <f t="shared" si="96"/>
        <v>8537.5492799999993</v>
      </c>
      <c r="T321" s="70">
        <f t="shared" si="97"/>
        <v>13107.765008000002</v>
      </c>
    </row>
    <row r="322" spans="1:20">
      <c r="A322" s="68">
        <v>0.9</v>
      </c>
      <c r="B322" s="69">
        <v>2</v>
      </c>
      <c r="C322" s="59">
        <f>(((A322+(2*B322))*MATERIALES!$C$57)+((A322+(2*B322))*MATERIALES!$C$55)+(A322*MATERIALES!$C$59)+((A322*3)*MATERIALES!$C$58)+(((A322-0.2)*MATERIALES!$C$30)*((B322/2)/0.12))+((((A322*8)+(B322*2))*MATERIALES!$C$73)*1))*(MATERIALES!$F$2*MATERIALES!$J$15)</f>
        <v>0</v>
      </c>
      <c r="D322" s="59">
        <f>(1*MATERIALES!$C$204)+(1*MATERIALES!$C$205)+(3*MATERIALES!$C$207)+(2*MATERIALES!$C$189)+(2*MATERIALES!$C$190)+(2*MATERIALES!$C$191)+(16*MATERIALES!$C$158)+(16*MATERIALES!$C$159)+((A322+(2*B322))*MATERIALES!$C$210)+((A322+(2*B322))*MATERIALES!$C$209)+(((A322*6)+(B322*1))*MATERIALES!$C$141)+(((A322*2)+(B322*1))*MATERIALES!$C$165)+(((((A322*8)+(B322*2))/0.1)*MATERIALES!$C$192)*2)+(0.5*MATERIALES!$C$167)+(2*MATERIALES!$C$187)+(((A322*5)*2)*MATERIALES!$C$147)+(4*MATERIALES!$C$148)</f>
        <v>5586.1613600000001</v>
      </c>
      <c r="E322" s="75"/>
      <c r="F322" s="55">
        <f>(((A322*(B322/2))*2)*MATERIALES!$D$83)+(12*MATERIALES!$C$229)+(((A322*6)+((B322/2)*2))*MATERIALES!$C$230)+(((A322*6)+((B322/2)*2))*MATERIALES!$C$231)+((((A322*6)+((B322/2)*2))/15)*MATERIALES!$C$232)+((((A322*6)+((B322/2)*2))/15)*(MATERIALES!$C$233*0.15))</f>
        <v>2953.4980800000008</v>
      </c>
      <c r="G322" s="59">
        <f t="shared" si="94"/>
        <v>8539.6594400000013</v>
      </c>
      <c r="H322" s="70">
        <f t="shared" si="95"/>
        <v>13169.005928000002</v>
      </c>
      <c r="M322" s="68">
        <v>0.9</v>
      </c>
      <c r="N322" s="69">
        <v>2</v>
      </c>
      <c r="O322" s="59">
        <f>(((M322+(2*N322))*MATERIALES!$C$57)+((M322+(2*N322))*MATERIALES!$C$55)+(M322*MATERIALES!$C$59)+((M322+N322)*MATERIALES!$C$58)+(((M322-0.2)*MATERIALES!$C$30)*((N322/2)/0.12))+((((M322*4)+(N322*6))*MATERIALES!$C$73)*2))*(MATERIALES!$F$2*MATERIALES!$J$15)</f>
        <v>0</v>
      </c>
      <c r="P322" s="59">
        <f>(1*MATERIALES!$C$204)+(1*MATERIALES!$C$205)+(3*MATERIALES!$C$207)+(2*MATERIALES!$C$189)+(2*MATERIALES!$C$190)+(2*MATERIALES!$C$191)+(16*MATERIALES!$C$158)+(16*MATERIALES!$C$159)+((M322+(2*N322))*MATERIALES!$C$210)+((M322+(2*N322))*MATERIALES!$C$209)+(((M322*2)+((N322/2)*6))*MATERIALES!$C$141)+(((M322*2)+(N322*1))*MATERIALES!$C$165)+(((((M322*4)+(N322*2)+((N322/2)*6))/0.1)*MATERIALES!$C$192)*2)+(2*MATERIALES!$C$187)+(0.5*MATERIALES!$C$167)+(((M322*5)*2)*MATERIALES!$C$147)+(4*MATERIALES!$C$148)</f>
        <v>5699.5296799999996</v>
      </c>
      <c r="Q322" s="75"/>
      <c r="R322" s="55">
        <f>(((M322*(N322/2))*2)*MATERIALES!$D$83)+(12*MATERIALES!$C$229)+(((M322*2)+((N322/2)*6))*MATERIALES!$C$230)+(((M322*2)+((N322/2)*6))*MATERIALES!$C$231)+((((M322*2)+((N322/2)*6))/15)*MATERIALES!$C$232)+((((M322*2)+((N322/2)*6))/15)*(MATERIALES!$C$233*0.15))</f>
        <v>3046.3617599999998</v>
      </c>
      <c r="S322" s="59">
        <f t="shared" si="96"/>
        <v>8745.8914399999994</v>
      </c>
      <c r="T322" s="70">
        <f t="shared" si="97"/>
        <v>13502.112104</v>
      </c>
    </row>
    <row r="323" spans="1:20">
      <c r="A323" s="68">
        <v>0.6</v>
      </c>
      <c r="B323" s="69">
        <v>2.1</v>
      </c>
      <c r="C323" s="59">
        <f>(((A323+(2*B323))*MATERIALES!$C$57)+((A323+(2*B323))*MATERIALES!$C$55)+(A323*MATERIALES!$C$59)+((A323*3)*MATERIALES!$C$58)+(((A323-0.2)*MATERIALES!$C$30)*((B323/2)/0.12))+((((A323*8)+(B323*2))*MATERIALES!$C$73)*1))*(MATERIALES!$F$2*MATERIALES!$J$15)</f>
        <v>0</v>
      </c>
      <c r="D323" s="59">
        <f>(1*MATERIALES!$C$204)+(1*MATERIALES!$C$205)+(3*MATERIALES!$C$207)+(2*MATERIALES!$C$189)+(2*MATERIALES!$C$190)+(2*MATERIALES!$C$191)+(16*MATERIALES!$C$158)+(16*MATERIALES!$C$159)+((A323+(2*B323))*MATERIALES!$C$210)+((A323+(2*B323))*MATERIALES!$C$209)+(((A323*6)+(B323*1))*MATERIALES!$C$141)+(((A323*2)+(B323*1))*MATERIALES!$C$165)+(((((A323*8)+(B323*2))/0.1)*MATERIALES!$C$192)*2)+(0.5*MATERIALES!$C$167)+(2*MATERIALES!$C$187)+(((A323*5)*2)*MATERIALES!$C$147)+(4*MATERIALES!$C$148)</f>
        <v>5437.2136</v>
      </c>
      <c r="E323" s="75"/>
      <c r="F323" s="55">
        <f>(((A323*(B323/2))*2)*MATERIALES!$D$83)+(12*MATERIALES!$C$229)+(((A323*6)+((B323/2)*2))*MATERIALES!$C$230)+(((A323*6)+((B323/2)*2))*MATERIALES!$C$231)+((((A323*6)+((B323/2)*2))/15)*MATERIALES!$C$232)+((((A323*6)+((B323/2)*2))/15)*(MATERIALES!$C$233*0.15))</f>
        <v>2207.8274399999996</v>
      </c>
      <c r="G323" s="59">
        <f t="shared" si="94"/>
        <v>7645.0410400000001</v>
      </c>
      <c r="H323" s="70">
        <f t="shared" si="95"/>
        <v>11484.03256</v>
      </c>
      <c r="M323" s="68">
        <v>0.6</v>
      </c>
      <c r="N323" s="69">
        <v>2.1</v>
      </c>
      <c r="O323" s="59">
        <f>(((M323+(2*N323))*MATERIALES!$C$57)+((M323+(2*N323))*MATERIALES!$C$55)+(M323*MATERIALES!$C$59)+((M323+N323)*MATERIALES!$C$58)+(((M323-0.2)*MATERIALES!$C$30)*((N323/2)/0.12))+((((M323*4)+(N323*6))*MATERIALES!$C$73)*2))*(MATERIALES!$F$2*MATERIALES!$J$15)</f>
        <v>0</v>
      </c>
      <c r="P323" s="59">
        <f>(1*MATERIALES!$C$204)+(1*MATERIALES!$C$205)+(3*MATERIALES!$C$207)+(2*MATERIALES!$C$189)+(2*MATERIALES!$C$190)+(2*MATERIALES!$C$191)+(16*MATERIALES!$C$158)+(16*MATERIALES!$C$159)+((M323+(2*N323))*MATERIALES!$C$210)+((M323+(2*N323))*MATERIALES!$C$209)+(((M323*2)+((N323/2)*6))*MATERIALES!$C$141)+(((M323*2)+(N323*1))*MATERIALES!$C$165)+(((((M323*4)+(N323*2)+((N323/2)*6))/0.1)*MATERIALES!$C$192)*2)+(2*MATERIALES!$C$187)+(0.5*MATERIALES!$C$167)+(((M323*5)*2)*MATERIALES!$C$147)+(4*MATERIALES!$C$148)</f>
        <v>5645.9790399999993</v>
      </c>
      <c r="Q323" s="75"/>
      <c r="R323" s="55">
        <f>(((M323*(N323/2))*2)*MATERIALES!$D$83)+(12*MATERIALES!$C$229)+(((M323*2)+((N323/2)*6))*MATERIALES!$C$230)+(((M323*2)+((N323/2)*6))*MATERIALES!$C$231)+((((M323*2)+((N323/2)*6))/15)*MATERIALES!$C$232)+((((M323*2)+((N323/2)*6))/15)*(MATERIALES!$C$233*0.15))</f>
        <v>2625.7140000000004</v>
      </c>
      <c r="S323" s="59">
        <f t="shared" si="96"/>
        <v>8271.6930400000001</v>
      </c>
      <c r="T323" s="70">
        <f t="shared" si="97"/>
        <v>12591.200752000001</v>
      </c>
    </row>
    <row r="324" spans="1:20">
      <c r="A324" s="68">
        <v>0.7</v>
      </c>
      <c r="B324" s="69">
        <v>2.1</v>
      </c>
      <c r="C324" s="59">
        <f>(((A324+(2*B324))*MATERIALES!$C$57)+((A324+(2*B324))*MATERIALES!$C$55)+(A324*MATERIALES!$C$59)+((A324*3)*MATERIALES!$C$58)+(((A324-0.2)*MATERIALES!$C$30)*((B324/2)/0.12))+((((A324*8)+(B324*2))*MATERIALES!$C$73)*1))*(MATERIALES!$F$2*MATERIALES!$J$15)</f>
        <v>0</v>
      </c>
      <c r="D324" s="59">
        <f>(1*MATERIALES!$C$204)+(1*MATERIALES!$C$205)+(3*MATERIALES!$C$207)+(2*MATERIALES!$C$189)+(2*MATERIALES!$C$190)+(2*MATERIALES!$C$191)+(16*MATERIALES!$C$158)+(16*MATERIALES!$C$159)+((A324+(2*B324))*MATERIALES!$C$210)+((A324+(2*B324))*MATERIALES!$C$209)+(((A324*6)+(B324*1))*MATERIALES!$C$141)+(((A324*2)+(B324*1))*MATERIALES!$C$165)+(((((A324*8)+(B324*2))/0.1)*MATERIALES!$C$192)*2)+(0.5*MATERIALES!$C$167)+(2*MATERIALES!$C$187)+(((A324*5)*2)*MATERIALES!$C$147)+(4*MATERIALES!$C$148)</f>
        <v>5495.1322399999999</v>
      </c>
      <c r="E324" s="75"/>
      <c r="F324" s="55">
        <f>(((A324*(B324/2))*2)*MATERIALES!$D$83)+(12*MATERIALES!$C$229)+(((A324*6)+((B324/2)*2))*MATERIALES!$C$230)+(((A324*6)+((B324/2)*2))*MATERIALES!$C$231)+((((A324*6)+((B324/2)*2))/15)*MATERIALES!$C$232)+((((A324*6)+((B324/2)*2))/15)*(MATERIALES!$C$233*0.15))</f>
        <v>2483.6229599999997</v>
      </c>
      <c r="G324" s="59">
        <f t="shared" si="94"/>
        <v>7978.7551999999996</v>
      </c>
      <c r="H324" s="70">
        <f t="shared" si="95"/>
        <v>12110.917831999999</v>
      </c>
      <c r="M324" s="68">
        <v>0.7</v>
      </c>
      <c r="N324" s="69">
        <v>2.1</v>
      </c>
      <c r="O324" s="59">
        <f>(((M324+(2*N324))*MATERIALES!$C$57)+((M324+(2*N324))*MATERIALES!$C$55)+(M324*MATERIALES!$C$59)+((M324+N324)*MATERIALES!$C$58)+(((M324-0.2)*MATERIALES!$C$30)*((N324/2)/0.12))+((((M324*4)+(N324*6))*MATERIALES!$C$73)*2))*(MATERIALES!$F$2*MATERIALES!$J$15)</f>
        <v>0</v>
      </c>
      <c r="P324" s="59">
        <f>(1*MATERIALES!$C$204)+(1*MATERIALES!$C$205)+(3*MATERIALES!$C$207)+(2*MATERIALES!$C$189)+(2*MATERIALES!$C$190)+(2*MATERIALES!$C$191)+(16*MATERIALES!$C$158)+(16*MATERIALES!$C$159)+((M324+(2*N324))*MATERIALES!$C$210)+((M324+(2*N324))*MATERIALES!$C$209)+(((M324*2)+((N324/2)*6))*MATERIALES!$C$141)+(((M324*2)+(N324*1))*MATERIALES!$C$165)+(((((M324*4)+(N324*2)+((N324/2)*6))/0.1)*MATERIALES!$C$192)*2)+(2*MATERIALES!$C$187)+(0.5*MATERIALES!$C$167)+(((M324*5)*2)*MATERIALES!$C$147)+(4*MATERIALES!$C$148)</f>
        <v>5677.8893600000001</v>
      </c>
      <c r="Q324" s="75"/>
      <c r="R324" s="55">
        <f>(((M324*(N324/2))*2)*MATERIALES!$D$83)+(12*MATERIALES!$C$229)+(((M324*2)+((N324/2)*6))*MATERIALES!$C$230)+(((M324*2)+((N324/2)*6))*MATERIALES!$C$231)+((((M324*2)+((N324/2)*6))/15)*MATERIALES!$C$232)+((((M324*2)+((N324/2)*6))/15)*(MATERIALES!$C$233*0.15))</f>
        <v>2808.6458400000001</v>
      </c>
      <c r="S324" s="59">
        <f t="shared" si="96"/>
        <v>8486.5352000000003</v>
      </c>
      <c r="T324" s="70">
        <f t="shared" si="97"/>
        <v>12998.547848000002</v>
      </c>
    </row>
    <row r="325" spans="1:20">
      <c r="A325" s="68">
        <v>0.8</v>
      </c>
      <c r="B325" s="69">
        <v>2.1</v>
      </c>
      <c r="C325" s="59">
        <f>(((A325+(2*B325))*MATERIALES!$C$57)+((A325+(2*B325))*MATERIALES!$C$55)+(A325*MATERIALES!$C$59)+((A325*3)*MATERIALES!$C$58)+(((A325-0.2)*MATERIALES!$C$30)*((B325/2)/0.12))+((((A325*8)+(B325*2))*MATERIALES!$C$73)*1))*(MATERIALES!$F$2*MATERIALES!$J$15)</f>
        <v>0</v>
      </c>
      <c r="D325" s="59">
        <f>(1*MATERIALES!$C$204)+(1*MATERIALES!$C$205)+(3*MATERIALES!$C$207)+(2*MATERIALES!$C$189)+(2*MATERIALES!$C$190)+(2*MATERIALES!$C$191)+(16*MATERIALES!$C$158)+(16*MATERIALES!$C$159)+((A325+(2*B325))*MATERIALES!$C$210)+((A325+(2*B325))*MATERIALES!$C$209)+(((A325*6)+(B325*1))*MATERIALES!$C$141)+(((A325*2)+(B325*1))*MATERIALES!$C$165)+(((((A325*8)+(B325*2))/0.1)*MATERIALES!$C$192)*2)+(0.5*MATERIALES!$C$167)+(2*MATERIALES!$C$187)+(((A325*5)*2)*MATERIALES!$C$147)+(4*MATERIALES!$C$148)</f>
        <v>5553.0508799999998</v>
      </c>
      <c r="E325" s="75"/>
      <c r="F325" s="55">
        <f>(((A325*(B325/2))*2)*MATERIALES!$D$83)+(12*MATERIALES!$C$229)+(((A325*6)+((B325/2)*2))*MATERIALES!$C$230)+(((A325*6)+((B325/2)*2))*MATERIALES!$C$231)+((((A325*6)+((B325/2)*2))/15)*MATERIALES!$C$232)+((((A325*6)+((B325/2)*2))/15)*(MATERIALES!$C$233*0.15))</f>
        <v>2759.4184799999998</v>
      </c>
      <c r="G325" s="59">
        <f t="shared" si="94"/>
        <v>8312.4693599999991</v>
      </c>
      <c r="H325" s="70">
        <f t="shared" si="95"/>
        <v>12737.803103999999</v>
      </c>
      <c r="M325" s="68">
        <v>0.8</v>
      </c>
      <c r="N325" s="69">
        <v>2.1</v>
      </c>
      <c r="O325" s="59">
        <f>(((M325+(2*N325))*MATERIALES!$C$57)+((M325+(2*N325))*MATERIALES!$C$55)+(M325*MATERIALES!$C$59)+((M325+N325)*MATERIALES!$C$58)+(((M325-0.2)*MATERIALES!$C$30)*((N325/2)/0.12))+((((M325*4)+(N325*6))*MATERIALES!$C$73)*2))*(MATERIALES!$F$2*MATERIALES!$J$15)</f>
        <v>0</v>
      </c>
      <c r="P325" s="59">
        <f>(1*MATERIALES!$C$204)+(1*MATERIALES!$C$205)+(3*MATERIALES!$C$207)+(2*MATERIALES!$C$189)+(2*MATERIALES!$C$190)+(2*MATERIALES!$C$191)+(16*MATERIALES!$C$158)+(16*MATERIALES!$C$159)+((M325+(2*N325))*MATERIALES!$C$210)+((M325+(2*N325))*MATERIALES!$C$209)+(((M325*2)+((N325/2)*6))*MATERIALES!$C$141)+(((M325*2)+(N325*1))*MATERIALES!$C$165)+(((((M325*4)+(N325*2)+((N325/2)*6))/0.1)*MATERIALES!$C$192)*2)+(2*MATERIALES!$C$187)+(0.5*MATERIALES!$C$167)+(((M325*5)*2)*MATERIALES!$C$147)+(4*MATERIALES!$C$148)</f>
        <v>5709.7996800000001</v>
      </c>
      <c r="Q325" s="75"/>
      <c r="R325" s="55">
        <f>(((M325*(N325/2))*2)*MATERIALES!$D$83)+(12*MATERIALES!$C$229)+(((M325*2)+((N325/2)*6))*MATERIALES!$C$230)+(((M325*2)+((N325/2)*6))*MATERIALES!$C$231)+((((M325*2)+((N325/2)*6))/15)*MATERIALES!$C$232)+((((M325*2)+((N325/2)*6))/15)*(MATERIALES!$C$233*0.15))</f>
        <v>2991.5776800000003</v>
      </c>
      <c r="S325" s="59">
        <f t="shared" si="96"/>
        <v>8701.3773600000004</v>
      </c>
      <c r="T325" s="70">
        <f t="shared" si="97"/>
        <v>13405.894944</v>
      </c>
    </row>
    <row r="326" spans="1:20" ht="15.75" thickBot="1">
      <c r="A326" s="71">
        <v>0.9</v>
      </c>
      <c r="B326" s="72">
        <v>2.1</v>
      </c>
      <c r="C326" s="60">
        <f>(((A326+(2*B326))*MATERIALES!$C$57)+((A326+(2*B326))*MATERIALES!$C$55)+(A326*MATERIALES!$C$59)+((A326*3)*MATERIALES!$C$58)+(((A326-0.2)*MATERIALES!$C$30)*((B326/2)/0.12))+((((A326*8)+(B326*2))*MATERIALES!$C$73)*1))*(MATERIALES!$F$2*MATERIALES!$J$15)</f>
        <v>0</v>
      </c>
      <c r="D326" s="60">
        <f>(1*MATERIALES!$C$204)+(1*MATERIALES!$C$205)+(3*MATERIALES!$C$207)+(2*MATERIALES!$C$189)+(2*MATERIALES!$C$190)+(2*MATERIALES!$C$191)+(16*MATERIALES!$C$158)+(16*MATERIALES!$C$159)+((A326+(2*B326))*MATERIALES!$C$210)+((A326+(2*B326))*MATERIALES!$C$209)+(((A326*6)+(B326*1))*MATERIALES!$C$141)+(((A326*2)+(B326*1))*MATERIALES!$C$165)+(((((A326*8)+(B326*2))/0.1)*MATERIALES!$C$192)*2)+(0.5*MATERIALES!$C$167)+(2*MATERIALES!$C$187)+(((A326*5)*2)*MATERIALES!$C$147)+(4*MATERIALES!$C$148)</f>
        <v>5610.9695199999987</v>
      </c>
      <c r="E326" s="76"/>
      <c r="F326" s="56">
        <f>(((A326*(B326/2))*2)*MATERIALES!$D$83)+(12*MATERIALES!$C$229)+(((A326*6)+((B326/2)*2))*MATERIALES!$C$230)+(((A326*6)+((B326/2)*2))*MATERIALES!$C$231)+((((A326*6)+((B326/2)*2))/15)*MATERIALES!$C$232)+((((A326*6)+((B326/2)*2))/15)*(MATERIALES!$C$233*0.15))</f>
        <v>3035.2139999999999</v>
      </c>
      <c r="G326" s="60">
        <f t="shared" si="94"/>
        <v>8646.1835199999987</v>
      </c>
      <c r="H326" s="73">
        <f t="shared" si="95"/>
        <v>13364.688375999998</v>
      </c>
      <c r="M326" s="71">
        <v>0.9</v>
      </c>
      <c r="N326" s="72">
        <v>2.1</v>
      </c>
      <c r="O326" s="60">
        <f>(((M326+(2*N326))*MATERIALES!$C$57)+((M326+(2*N326))*MATERIALES!$C$55)+(M326*MATERIALES!$C$59)+((M326+N326)*MATERIALES!$C$58)+(((M326-0.2)*MATERIALES!$C$30)*((N326/2)/0.12))+((((M326*4)+(N326*6))*MATERIALES!$C$73)*2))*(MATERIALES!$F$2*MATERIALES!$J$15)</f>
        <v>0</v>
      </c>
      <c r="P326" s="60">
        <f>(1*MATERIALES!$C$204)+(1*MATERIALES!$C$205)+(3*MATERIALES!$C$207)+(2*MATERIALES!$C$189)+(2*MATERIALES!$C$190)+(2*MATERIALES!$C$191)+(16*MATERIALES!$C$158)+(16*MATERIALES!$C$159)+((M326+(2*N326))*MATERIALES!$C$210)+((M326+(2*N326))*MATERIALES!$C$209)+(((M326*2)+((N326/2)*6))*MATERIALES!$C$141)+(((M326*2)+(N326*1))*MATERIALES!$C$165)+(((((M326*4)+(N326*2)+((N326/2)*6))/0.1)*MATERIALES!$C$192)*2)+(2*MATERIALES!$C$187)+(0.5*MATERIALES!$C$167)+(((M326*5)*2)*MATERIALES!$C$147)+(4*MATERIALES!$C$148)</f>
        <v>5741.7099999999991</v>
      </c>
      <c r="Q326" s="76"/>
      <c r="R326" s="56">
        <f>(((M326*(N326/2))*2)*MATERIALES!$D$83)+(12*MATERIALES!$C$229)+(((M326*2)+((N326/2)*6))*MATERIALES!$C$230)+(((M326*2)+((N326/2)*6))*MATERIALES!$C$231)+((((M326*2)+((N326/2)*6))/15)*MATERIALES!$C$232)+((((M326*2)+((N326/2)*6))/15)*(MATERIALES!$C$233*0.15))</f>
        <v>3174.5095200000005</v>
      </c>
      <c r="S326" s="60">
        <f t="shared" si="96"/>
        <v>8916.2195199999987</v>
      </c>
      <c r="T326" s="73">
        <f t="shared" si="97"/>
        <v>13813.242040000001</v>
      </c>
    </row>
    <row r="328" spans="1:20" ht="15.75" thickBot="1"/>
    <row r="329" spans="1:20" ht="15.75" thickBot="1">
      <c r="A329" s="32"/>
      <c r="B329" s="32"/>
      <c r="C329" s="801">
        <v>0.3</v>
      </c>
      <c r="D329" s="802"/>
      <c r="E329" s="803"/>
      <c r="F329" s="61">
        <v>1</v>
      </c>
      <c r="G329" s="32"/>
      <c r="H329" s="46" t="s">
        <v>163</v>
      </c>
      <c r="M329" s="32"/>
      <c r="N329" s="32"/>
      <c r="O329" s="801">
        <v>0.3</v>
      </c>
      <c r="P329" s="802"/>
      <c r="Q329" s="803"/>
      <c r="R329" s="61">
        <v>1</v>
      </c>
      <c r="S329" s="32"/>
      <c r="T329" s="46" t="s">
        <v>163</v>
      </c>
    </row>
    <row r="330" spans="1:20" ht="15.75" thickBot="1">
      <c r="A330" s="792" t="s">
        <v>224</v>
      </c>
      <c r="B330" s="793"/>
      <c r="C330" s="793"/>
      <c r="D330" s="793"/>
      <c r="E330" s="793"/>
      <c r="F330" s="793"/>
      <c r="G330" s="793"/>
      <c r="H330" s="794"/>
      <c r="M330" s="792" t="s">
        <v>227</v>
      </c>
      <c r="N330" s="793"/>
      <c r="O330" s="793"/>
      <c r="P330" s="793"/>
      <c r="Q330" s="793"/>
      <c r="R330" s="793"/>
      <c r="S330" s="793"/>
      <c r="T330" s="794"/>
    </row>
    <row r="331" spans="1:20" ht="15.75" thickBot="1">
      <c r="A331" s="36" t="s">
        <v>116</v>
      </c>
      <c r="B331" s="36" t="s">
        <v>117</v>
      </c>
      <c r="C331" s="36" t="s">
        <v>162</v>
      </c>
      <c r="D331" s="36" t="s">
        <v>119</v>
      </c>
      <c r="E331" s="36" t="s">
        <v>120</v>
      </c>
      <c r="F331" s="36" t="s">
        <v>692</v>
      </c>
      <c r="G331" s="36" t="s">
        <v>121</v>
      </c>
      <c r="H331" s="36" t="s">
        <v>122</v>
      </c>
      <c r="M331" s="36" t="s">
        <v>116</v>
      </c>
      <c r="N331" s="36" t="s">
        <v>117</v>
      </c>
      <c r="O331" s="36" t="s">
        <v>162</v>
      </c>
      <c r="P331" s="36" t="s">
        <v>119</v>
      </c>
      <c r="Q331" s="36" t="s">
        <v>120</v>
      </c>
      <c r="R331" s="36" t="s">
        <v>692</v>
      </c>
      <c r="S331" s="36" t="s">
        <v>121</v>
      </c>
      <c r="T331" s="36" t="s">
        <v>122</v>
      </c>
    </row>
    <row r="332" spans="1:20" ht="15.75" thickBot="1">
      <c r="A332" s="795"/>
      <c r="B332" s="796"/>
      <c r="C332" s="796"/>
      <c r="D332" s="796"/>
      <c r="E332" s="796"/>
      <c r="F332" s="796"/>
      <c r="G332" s="796"/>
      <c r="H332" s="797"/>
      <c r="M332" s="795"/>
      <c r="N332" s="796"/>
      <c r="O332" s="796"/>
      <c r="P332" s="796"/>
      <c r="Q332" s="796"/>
      <c r="R332" s="796"/>
      <c r="S332" s="796"/>
      <c r="T332" s="797"/>
    </row>
    <row r="333" spans="1:20">
      <c r="A333" s="65">
        <v>0.6</v>
      </c>
      <c r="B333" s="66">
        <v>2</v>
      </c>
      <c r="C333" s="58">
        <f>(((A333+(2*B333))*MATERIALES!$C$57)+((A333+(2*B333))*MATERIALES!$C$55)+(A333*MATERIALES!$C$59)+((A333*2)*MATERIALES!$C$58)+((((A333*6)+(B333*2))*MATERIALES!$C$73)*2)+(((A333-0.2)*MATERIALES!$C$30)*((B333-0.12)/0.12)))*(MATERIALES!$F$2*MATERIALES!$J$15)</f>
        <v>0</v>
      </c>
      <c r="D333" s="58">
        <f>(1*MATERIALES!$C$204)+(1*MATERIALES!$C$205)+(3*MATERIALES!$C$207)+(2*MATERIALES!$C$189)+(2*MATERIALES!$C$190)+(2*MATERIALES!$C$191)+(12*MATERIALES!$C$158)+(12*MATERIALES!$C$159)+((A333+(2*B333))*MATERIALES!$C$210)+((A333+(2*B333))*MATERIALES!$C$209)+(((A333*2)*(0.6*2))*MATERIALES!$C$141)+(((A333*4)+(B333*2))*MATERIALES!$C$165)+(0.5*MATERIALES!$C$167)+(((((A333*6)+(B333*2))/0.1)*MATERIALES!$C$192)*2)+(2*MATERIALES!$C$640)+(((A333*5)*2)*MATERIALES!$C$147)+(4*MATERIALES!$C$148)</f>
        <v>5272.6302720000003</v>
      </c>
      <c r="E333" s="74"/>
      <c r="F333" s="54">
        <f>(((A263*0.6)*2)*MATERIALES!$D$83)+(4*MATERIALES!$C$229)+(((A263*2)+(0.6*2))*MATERIALES!$C$230)+(((A263*2)+(0.6*2))*MATERIALES!$C$231)+((((A263*2)+(0.6*2))/15)*MATERIALES!$C$232)+((((A263*2)+(0.6*2))/15)*(MATERIALES!$C$233*0.15))</f>
        <v>1047.02208</v>
      </c>
      <c r="G333" s="58">
        <f>SUM(C333:F333)</f>
        <v>6319.6523520000001</v>
      </c>
      <c r="H333" s="67">
        <f>(SUM(C333:E333)*1.3)+(F333*2)</f>
        <v>8948.4635135999997</v>
      </c>
      <c r="M333" s="65">
        <v>0.6</v>
      </c>
      <c r="N333" s="66">
        <v>2</v>
      </c>
      <c r="O333" s="58">
        <f>(((M333+(2*N333))*MATERIALES!$C$57)+((M333+(2*N333))*MATERIALES!$C$55)+(M333*MATERIALES!$C$59)+((M333+(N333*2))*MATERIALES!$C$58)+(((M333-0.2)*MATERIALES!$C$30)*((N333/3)/0.12))+((((M333*4)+(N333*6))*MATERIALES!$C$73)*2))*(MATERIALES!$F$2*MATERIALES!$J$15)</f>
        <v>0</v>
      </c>
      <c r="P333" s="58">
        <f>(1*MATERIALES!$C$204)+(1*MATERIALES!$C$205)+(3*MATERIALES!$C$207)+(2*MATERIALES!$C$189)+(2*MATERIALES!$C$190)+(2*MATERIALES!$C$191)+(16*MATERIALES!$C$158)+(16*MATERIALES!$C$159)+((M333+(2*N333))*MATERIALES!$C$210)+((M333+(2*N333))*MATERIALES!$C$209)+(((M333*2)+(N333*6))*MATERIALES!$C$141)+((((((M333*4)+(N333*6))/0.1))*MATERIALES!$C$192)*2)+(2*MATERIALES!$C$187)+(((M333*2)+((N333/3)*2))*MATERIALES!$C$165)+(0.25*MATERIALES!$C$167)+(((M333*5)*2)*MATERIALES!$C$147)+(4*MATERIALES!$C$148)</f>
        <v>5736.7263199999998</v>
      </c>
      <c r="Q333" s="74"/>
      <c r="R333" s="54">
        <f>(((M333*N333)*2)*MATERIALES!$D$83)+(12*MATERIALES!$C$229)+((M333*2)+((N333*6))*MATERIALES!$C$230)+(((M333*2)+(N333*6))*MATERIALES!$C$231)+(((M333*2)+(N333*6)/15)*MATERIALES!$C$232)+((((M333*2)+(N333*6))/15)*(MATERIALES!$C$233*0.15))</f>
        <v>5393.59584</v>
      </c>
      <c r="S333" s="58">
        <f>SUM(O333:R333)</f>
        <v>11130.32216</v>
      </c>
      <c r="T333" s="67">
        <f>(SUM(O333:Q333)*1.3)+(R333*2)</f>
        <v>18244.935895999999</v>
      </c>
    </row>
    <row r="334" spans="1:20">
      <c r="A334" s="68">
        <v>0.7</v>
      </c>
      <c r="B334" s="69">
        <v>2</v>
      </c>
      <c r="C334" s="59">
        <f>(((A334+(2*B334))*MATERIALES!$C$57)+((A334+(2*B334))*MATERIALES!$C$55)+(A334*MATERIALES!$C$59)+((A334*2)*MATERIALES!$C$58)+((((A334*6)+(B334*2))*MATERIALES!$C$73)*2)+(((A334-0.2)*MATERIALES!$C$30)*((B334-0.12)/0.12)))*(MATERIALES!$F$2*MATERIALES!$J$15)</f>
        <v>0</v>
      </c>
      <c r="D334" s="59">
        <f>(1*MATERIALES!$C$204)+(1*MATERIALES!$C$205)+(3*MATERIALES!$C$207)+(2*MATERIALES!$C$189)+(2*MATERIALES!$C$190)+(2*MATERIALES!$C$191)+(12*MATERIALES!$C$158)+(12*MATERIALES!$C$159)+((A334+(2*B334))*MATERIALES!$C$210)+((A334+(2*B334))*MATERIALES!$C$209)+(((A334*2)*(0.6*2))*MATERIALES!$C$141)+(((A334*4)+(B334*2))*MATERIALES!$C$165)+(0.5*MATERIALES!$C$167)+(((((A334*6)+(B334*2))/0.1)*MATERIALES!$C$192)*2)+(2*MATERIALES!$C$640)+(((A334*5)*2)*MATERIALES!$C$147)+(4*MATERIALES!$C$148)</f>
        <v>5318.3983840000001</v>
      </c>
      <c r="E334" s="75"/>
      <c r="F334" s="55">
        <f>(((A264*0.6)*2)*MATERIALES!$D$83)+(4*MATERIALES!$C$229)+(((A264*2)+(0.6*2))*MATERIALES!$C$230)+(((A264*2)+(0.6*2))*MATERIALES!$C$231)+((((A264*2)+(0.6*2))/15)*MATERIALES!$C$232)+((((A264*2)+(0.6*2))/15)*(MATERIALES!$C$233*0.15))</f>
        <v>1171.4539199999999</v>
      </c>
      <c r="G334" s="59">
        <f t="shared" ref="G334:G340" si="98">SUM(C334:F334)</f>
        <v>6489.852304</v>
      </c>
      <c r="H334" s="70">
        <f t="shared" ref="H334:H340" si="99">(SUM(C334:E334)*1.3)+(F334*2)</f>
        <v>9256.8257392000014</v>
      </c>
      <c r="M334" s="68">
        <v>0.7</v>
      </c>
      <c r="N334" s="69">
        <v>2</v>
      </c>
      <c r="O334" s="59">
        <f>(((M334+(2*N334))*MATERIALES!$C$57)+((M334+(2*N334))*MATERIALES!$C$55)+(M334*MATERIALES!$C$59)+((M334+(N334*2))*MATERIALES!$C$58)+(((M334-0.2)*MATERIALES!$C$30)*((N334/3)/0.12))+((((M334*4)+(N334*6))*MATERIALES!$C$73)*2))*(MATERIALES!$F$2*MATERIALES!$J$15)</f>
        <v>0</v>
      </c>
      <c r="P334" s="59">
        <f>(1*MATERIALES!$C$204)+(1*MATERIALES!$C$205)+(3*MATERIALES!$C$207)+(2*MATERIALES!$C$189)+(2*MATERIALES!$C$190)+(2*MATERIALES!$C$191)+(16*MATERIALES!$C$158)+(16*MATERIALES!$C$159)+((M334+(2*N334))*MATERIALES!$C$210)+((M334+(2*N334))*MATERIALES!$C$209)+(((M334*2)+(N334*6))*MATERIALES!$C$141)+((((((M334*4)+(N334*6))/0.1))*MATERIALES!$C$192)*2)+(2*MATERIALES!$C$187)+(((M334*2)+((N334/3)*2))*MATERIALES!$C$165)+(0.25*MATERIALES!$C$167)+(((M334*5)*2)*MATERIALES!$C$147)+(4*MATERIALES!$C$148)</f>
        <v>5768.6366399999988</v>
      </c>
      <c r="Q334" s="75"/>
      <c r="R334" s="55">
        <f>(((M334*N334)*2)*MATERIALES!$D$83)+(12*MATERIALES!$C$229)+((M334*2)+((N334*6))*MATERIALES!$C$230)+(((M334*2)+(N334*6))*MATERIALES!$C$231)+(((M334*2)+(N334*6)/15)*MATERIALES!$C$232)+((((M334*2)+(N334*6))/15)*(MATERIALES!$C$233*0.15))</f>
        <v>5817.2900799999998</v>
      </c>
      <c r="S334" s="59">
        <f t="shared" ref="S334:S340" si="100">SUM(O334:R334)</f>
        <v>11585.926719999999</v>
      </c>
      <c r="T334" s="70">
        <f t="shared" ref="T334:T340" si="101">(SUM(O334:Q334)*1.3)+(R334*2)</f>
        <v>19133.807792</v>
      </c>
    </row>
    <row r="335" spans="1:20">
      <c r="A335" s="68">
        <v>0.8</v>
      </c>
      <c r="B335" s="69">
        <v>2</v>
      </c>
      <c r="C335" s="59">
        <f>(((A335+(2*B335))*MATERIALES!$C$57)+((A335+(2*B335))*MATERIALES!$C$55)+(A335*MATERIALES!$C$59)+((A335*2)*MATERIALES!$C$58)+((((A335*6)+(B335*2))*MATERIALES!$C$73)*2)+(((A335-0.2)*MATERIALES!$C$30)*((B335-0.12)/0.12)))*(MATERIALES!$F$2*MATERIALES!$J$15)</f>
        <v>0</v>
      </c>
      <c r="D335" s="59">
        <f>(1*MATERIALES!$C$204)+(1*MATERIALES!$C$205)+(3*MATERIALES!$C$207)+(2*MATERIALES!$C$189)+(2*MATERIALES!$C$190)+(2*MATERIALES!$C$191)+(12*MATERIALES!$C$158)+(12*MATERIALES!$C$159)+((A335+(2*B335))*MATERIALES!$C$210)+((A335+(2*B335))*MATERIALES!$C$209)+(((A335*2)*(0.6*2))*MATERIALES!$C$141)+(((A335*4)+(B335*2))*MATERIALES!$C$165)+(0.5*MATERIALES!$C$167)+(((((A335*6)+(B335*2))/0.1)*MATERIALES!$C$192)*2)+(2*MATERIALES!$C$640)+(((A335*5)*2)*MATERIALES!$C$147)+(4*MATERIALES!$C$148)</f>
        <v>5364.1664960000007</v>
      </c>
      <c r="E335" s="75"/>
      <c r="F335" s="55">
        <f>(((A265*0.6)*2)*MATERIALES!$D$83)+(4*MATERIALES!$C$229)+(((A265*2)+(0.6*2))*MATERIALES!$C$230)+(((A265*2)+(0.6*2))*MATERIALES!$C$231)+((((A265*2)+(0.6*2))/15)*MATERIALES!$C$232)+((((A265*2)+(0.6*2))/15)*(MATERIALES!$C$233*0.15))</f>
        <v>1295.8857600000001</v>
      </c>
      <c r="G335" s="59">
        <f t="shared" si="98"/>
        <v>6660.0522560000009</v>
      </c>
      <c r="H335" s="70">
        <f t="shared" si="99"/>
        <v>9565.1879648000013</v>
      </c>
      <c r="M335" s="68">
        <v>0.8</v>
      </c>
      <c r="N335" s="69">
        <v>2</v>
      </c>
      <c r="O335" s="59">
        <f>(((M335+(2*N335))*MATERIALES!$C$57)+((M335+(2*N335))*MATERIALES!$C$55)+(M335*MATERIALES!$C$59)+((M335+(N335*2))*MATERIALES!$C$58)+(((M335-0.2)*MATERIALES!$C$30)*((N335/3)/0.12))+((((M335*4)+(N335*6))*MATERIALES!$C$73)*2))*(MATERIALES!$F$2*MATERIALES!$J$15)</f>
        <v>0</v>
      </c>
      <c r="P335" s="59">
        <f>(1*MATERIALES!$C$204)+(1*MATERIALES!$C$205)+(3*MATERIALES!$C$207)+(2*MATERIALES!$C$189)+(2*MATERIALES!$C$190)+(2*MATERIALES!$C$191)+(16*MATERIALES!$C$158)+(16*MATERIALES!$C$159)+((M335+(2*N335))*MATERIALES!$C$210)+((M335+(2*N335))*MATERIALES!$C$209)+(((M335*2)+(N335*6))*MATERIALES!$C$141)+((((((M335*4)+(N335*6))/0.1))*MATERIALES!$C$192)*2)+(2*MATERIALES!$C$187)+(((M335*2)+((N335/3)*2))*MATERIALES!$C$165)+(0.25*MATERIALES!$C$167)+(((M335*5)*2)*MATERIALES!$C$147)+(4*MATERIALES!$C$148)</f>
        <v>5800.5469599999997</v>
      </c>
      <c r="Q335" s="75"/>
      <c r="R335" s="55">
        <f>(((M335*N335)*2)*MATERIALES!$D$83)+(12*MATERIALES!$C$229)+((M335*2)+((N335*6))*MATERIALES!$C$230)+(((M335*2)+(N335*6))*MATERIALES!$C$231)+(((M335*2)+(N335*6)/15)*MATERIALES!$C$232)+((((M335*2)+(N335*6))/15)*(MATERIALES!$C$233*0.15))</f>
        <v>6240.9843200000005</v>
      </c>
      <c r="S335" s="59">
        <f t="shared" si="100"/>
        <v>12041.531279999999</v>
      </c>
      <c r="T335" s="70">
        <f t="shared" si="101"/>
        <v>20022.679688</v>
      </c>
    </row>
    <row r="336" spans="1:20">
      <c r="A336" s="68">
        <v>0.9</v>
      </c>
      <c r="B336" s="69">
        <v>2</v>
      </c>
      <c r="C336" s="59">
        <f>(((A336+(2*B336))*MATERIALES!$C$57)+((A336+(2*B336))*MATERIALES!$C$55)+(A336*MATERIALES!$C$59)+((A336*2)*MATERIALES!$C$58)+((((A336*6)+(B336*2))*MATERIALES!$C$73)*2)+(((A336-0.2)*MATERIALES!$C$30)*((B336-0.12)/0.12)))*(MATERIALES!$F$2*MATERIALES!$J$15)</f>
        <v>0</v>
      </c>
      <c r="D336" s="59">
        <f>(1*MATERIALES!$C$204)+(1*MATERIALES!$C$205)+(3*MATERIALES!$C$207)+(2*MATERIALES!$C$189)+(2*MATERIALES!$C$190)+(2*MATERIALES!$C$191)+(12*MATERIALES!$C$158)+(12*MATERIALES!$C$159)+((A336+(2*B336))*MATERIALES!$C$210)+((A336+(2*B336))*MATERIALES!$C$209)+(((A336*2)*(0.6*2))*MATERIALES!$C$141)+(((A336*4)+(B336*2))*MATERIALES!$C$165)+(0.5*MATERIALES!$C$167)+(((((A336*6)+(B336*2))/0.1)*MATERIALES!$C$192)*2)+(2*MATERIALES!$C$640)+(((A336*5)*2)*MATERIALES!$C$147)+(4*MATERIALES!$C$148)</f>
        <v>5409.9346080000005</v>
      </c>
      <c r="E336" s="75"/>
      <c r="F336" s="55">
        <f>(((A266*0.6)*2)*MATERIALES!$D$83)+(4*MATERIALES!$C$229)+(((A266*2)+(0.6*2))*MATERIALES!$C$230)+(((A266*2)+(0.6*2))*MATERIALES!$C$231)+((((A266*2)+(0.6*2))/15)*MATERIALES!$C$232)+((((A266*2)+(0.6*2))/15)*(MATERIALES!$C$233*0.15))</f>
        <v>1420.3175999999999</v>
      </c>
      <c r="G336" s="59">
        <f t="shared" si="98"/>
        <v>6830.2522079999999</v>
      </c>
      <c r="H336" s="70">
        <f t="shared" si="99"/>
        <v>9873.5501904000012</v>
      </c>
      <c r="M336" s="68">
        <v>0.9</v>
      </c>
      <c r="N336" s="69">
        <v>2</v>
      </c>
      <c r="O336" s="59">
        <f>(((M336+(2*N336))*MATERIALES!$C$57)+((M336+(2*N336))*MATERIALES!$C$55)+(M336*MATERIALES!$C$59)+((M336+(N336*2))*MATERIALES!$C$58)+(((M336-0.2)*MATERIALES!$C$30)*((N336/3)/0.12))+((((M336*4)+(N336*6))*MATERIALES!$C$73)*2))*(MATERIALES!$F$2*MATERIALES!$J$15)</f>
        <v>0</v>
      </c>
      <c r="P336" s="59">
        <f>(1*MATERIALES!$C$204)+(1*MATERIALES!$C$205)+(3*MATERIALES!$C$207)+(2*MATERIALES!$C$189)+(2*MATERIALES!$C$190)+(2*MATERIALES!$C$191)+(16*MATERIALES!$C$158)+(16*MATERIALES!$C$159)+((M336+(2*N336))*MATERIALES!$C$210)+((M336+(2*N336))*MATERIALES!$C$209)+(((M336*2)+(N336*6))*MATERIALES!$C$141)+((((((M336*4)+(N336*6))/0.1))*MATERIALES!$C$192)*2)+(2*MATERIALES!$C$187)+(((M336*2)+((N336/3)*2))*MATERIALES!$C$165)+(0.25*MATERIALES!$C$167)+(((M336*5)*2)*MATERIALES!$C$147)+(4*MATERIALES!$C$148)</f>
        <v>5832.4572800000005</v>
      </c>
      <c r="Q336" s="75"/>
      <c r="R336" s="55">
        <f>(((M336*N336)*2)*MATERIALES!$D$83)+(12*MATERIALES!$C$229)+((M336*2)+((N336*6))*MATERIALES!$C$230)+(((M336*2)+(N336*6))*MATERIALES!$C$231)+(((M336*2)+(N336*6)/15)*MATERIALES!$C$232)+((((M336*2)+(N336*6))/15)*(MATERIALES!$C$233*0.15))</f>
        <v>6664.6785600000003</v>
      </c>
      <c r="S336" s="59">
        <f t="shared" si="100"/>
        <v>12497.135840000001</v>
      </c>
      <c r="T336" s="70">
        <f t="shared" si="101"/>
        <v>20911.551584000001</v>
      </c>
    </row>
    <row r="337" spans="1:21">
      <c r="A337" s="68">
        <v>0.6</v>
      </c>
      <c r="B337" s="69">
        <v>2.1</v>
      </c>
      <c r="C337" s="59">
        <f>(((A337+(2*B337))*MATERIALES!$C$57)+((A337+(2*B337))*MATERIALES!$C$55)+(A337*MATERIALES!$C$59)+((A337*2)*MATERIALES!$C$58)+((((A337*6)+(B337*2))*MATERIALES!$C$73)*2)+(((A337-0.2)*MATERIALES!$C$30)*((B337-0.12)/0.12)))*(MATERIALES!$F$2*MATERIALES!$J$15)</f>
        <v>0</v>
      </c>
      <c r="D337" s="59">
        <f>(1*MATERIALES!$C$204)+(1*MATERIALES!$C$205)+(3*MATERIALES!$C$207)+(2*MATERIALES!$C$189)+(2*MATERIALES!$C$190)+(2*MATERIALES!$C$191)+(12*MATERIALES!$C$158)+(12*MATERIALES!$C$159)+((A337+(2*B337))*MATERIALES!$C$210)+((A337+(2*B337))*MATERIALES!$C$209)+(((A337*2)*(0.6*2))*MATERIALES!$C$141)+(((A337*4)+(B337*2))*MATERIALES!$C$165)+(0.5*MATERIALES!$C$167)+(((((A337*6)+(B337*2))/0.1)*MATERIALES!$C$192)*2)+(2*MATERIALES!$C$640)+(((A337*5)*2)*MATERIALES!$C$147)+(4*MATERIALES!$C$148)</f>
        <v>5297.4384320000008</v>
      </c>
      <c r="E337" s="75"/>
      <c r="F337" s="55">
        <f>(((A267*0.6)*2)*MATERIALES!$D$83)+(4*MATERIALES!$C$229)+(((A267*2)+(0.6*2))*MATERIALES!$C$230)+(((A267*2)+(0.6*2))*MATERIALES!$C$231)+((((A267*2)+(0.6*2))/15)*MATERIALES!$C$232)+((((A267*2)+(0.6*2))/15)*(MATERIALES!$C$233*0.15))</f>
        <v>1047.02208</v>
      </c>
      <c r="G337" s="59">
        <f t="shared" si="98"/>
        <v>6344.4605120000006</v>
      </c>
      <c r="H337" s="70">
        <f t="shared" si="99"/>
        <v>8980.7141216000018</v>
      </c>
      <c r="M337" s="68">
        <v>0.6</v>
      </c>
      <c r="N337" s="69">
        <v>2.1</v>
      </c>
      <c r="O337" s="59">
        <f>(((M337+(2*N337))*MATERIALES!$C$57)+((M337+(2*N337))*MATERIALES!$C$55)+(M337*MATERIALES!$C$59)+((M337+(N337*2))*MATERIALES!$C$58)+(((M337-0.2)*MATERIALES!$C$30)*((N337/3)/0.12))+((((M337*4)+(N337*6))*MATERIALES!$C$73)*2))*(MATERIALES!$F$2*MATERIALES!$J$15)</f>
        <v>0</v>
      </c>
      <c r="P337" s="59">
        <f>(1*MATERIALES!$C$204)+(1*MATERIALES!$C$205)+(3*MATERIALES!$C$207)+(2*MATERIALES!$C$189)+(2*MATERIALES!$C$190)+(2*MATERIALES!$C$191)+(16*MATERIALES!$C$158)+(16*MATERIALES!$C$159)+((M337+(2*N337))*MATERIALES!$C$210)+((M337+(2*N337))*MATERIALES!$C$209)+(((M337*2)+(N337*6))*MATERIALES!$C$141)+((((((M337*4)+(N337*6))/0.1))*MATERIALES!$C$192)*2)+(2*MATERIALES!$C$187)+(((M337*2)+((N337/3)*2))*MATERIALES!$C$165)+(0.25*MATERIALES!$C$167)+(((M337*5)*2)*MATERIALES!$C$147)+(4*MATERIALES!$C$148)</f>
        <v>5788.9655199999997</v>
      </c>
      <c r="Q337" s="75"/>
      <c r="R337" s="55">
        <f>(((M337*N337)*2)*MATERIALES!$D$83)+(12*MATERIALES!$C$229)+((M337*2)+((N337*6))*MATERIALES!$C$230)+(((M337*2)+(N337*6))*MATERIALES!$C$231)+(((M337*2)+(N337*6)/15)*MATERIALES!$C$232)+((((M337*2)+(N337*6))/15)*(MATERIALES!$C$233*0.15))</f>
        <v>5610.8913600000005</v>
      </c>
      <c r="S337" s="59">
        <f t="shared" si="100"/>
        <v>11399.856879999999</v>
      </c>
      <c r="T337" s="70">
        <f t="shared" si="101"/>
        <v>18747.437896000003</v>
      </c>
    </row>
    <row r="338" spans="1:21">
      <c r="A338" s="68">
        <v>0.7</v>
      </c>
      <c r="B338" s="69">
        <v>2.1</v>
      </c>
      <c r="C338" s="59">
        <f>(((A338+(2*B338))*MATERIALES!$C$57)+((A338+(2*B338))*MATERIALES!$C$55)+(A338*MATERIALES!$C$59)+((A338*2)*MATERIALES!$C$58)+((((A338*6)+(B338*2))*MATERIALES!$C$73)*2)+(((A338-0.2)*MATERIALES!$C$30)*((B338-0.12)/0.12)))*(MATERIALES!$F$2*MATERIALES!$J$15)</f>
        <v>0</v>
      </c>
      <c r="D338" s="59">
        <f>(1*MATERIALES!$C$204)+(1*MATERIALES!$C$205)+(3*MATERIALES!$C$207)+(2*MATERIALES!$C$189)+(2*MATERIALES!$C$190)+(2*MATERIALES!$C$191)+(12*MATERIALES!$C$158)+(12*MATERIALES!$C$159)+((A338+(2*B338))*MATERIALES!$C$210)+((A338+(2*B338))*MATERIALES!$C$209)+(((A338*2)*(0.6*2))*MATERIALES!$C$141)+(((A338*4)+(B338*2))*MATERIALES!$C$165)+(0.5*MATERIALES!$C$167)+(((((A338*6)+(B338*2))/0.1)*MATERIALES!$C$192)*2)+(2*MATERIALES!$C$640)+(((A338*5)*2)*MATERIALES!$C$147)+(4*MATERIALES!$C$148)</f>
        <v>5343.2065440000006</v>
      </c>
      <c r="E338" s="75"/>
      <c r="F338" s="55">
        <f>(((A268*0.6)*2)*MATERIALES!$D$83)+(4*MATERIALES!$C$229)+(((A268*2)+(0.6*2))*MATERIALES!$C$230)+(((A268*2)+(0.6*2))*MATERIALES!$C$231)+((((A268*2)+(0.6*2))/15)*MATERIALES!$C$232)+((((A268*2)+(0.6*2))/15)*(MATERIALES!$C$233*0.15))</f>
        <v>1171.4539199999999</v>
      </c>
      <c r="G338" s="59">
        <f t="shared" si="98"/>
        <v>6514.6604640000005</v>
      </c>
      <c r="H338" s="70">
        <f t="shared" si="99"/>
        <v>9289.0763471999999</v>
      </c>
      <c r="M338" s="68">
        <v>0.7</v>
      </c>
      <c r="N338" s="69">
        <v>2.1</v>
      </c>
      <c r="O338" s="59">
        <f>(((M338+(2*N338))*MATERIALES!$C$57)+((M338+(2*N338))*MATERIALES!$C$55)+(M338*MATERIALES!$C$59)+((M338+(N338*2))*MATERIALES!$C$58)+(((M338-0.2)*MATERIALES!$C$30)*((N338/3)/0.12))+((((M338*4)+(N338*6))*MATERIALES!$C$73)*2))*(MATERIALES!$F$2*MATERIALES!$J$15)</f>
        <v>0</v>
      </c>
      <c r="P338" s="59">
        <f>(1*MATERIALES!$C$204)+(1*MATERIALES!$C$205)+(3*MATERIALES!$C$207)+(2*MATERIALES!$C$189)+(2*MATERIALES!$C$190)+(2*MATERIALES!$C$191)+(16*MATERIALES!$C$158)+(16*MATERIALES!$C$159)+((M338+(2*N338))*MATERIALES!$C$210)+((M338+(2*N338))*MATERIALES!$C$209)+(((M338*2)+(N338*6))*MATERIALES!$C$141)+((((((M338*4)+(N338*6))/0.1))*MATERIALES!$C$192)*2)+(2*MATERIALES!$C$187)+(((M338*2)+((N338/3)*2))*MATERIALES!$C$165)+(0.25*MATERIALES!$C$167)+(((M338*5)*2)*MATERIALES!$C$147)+(4*MATERIALES!$C$148)</f>
        <v>5820.8758400000006</v>
      </c>
      <c r="Q338" s="75"/>
      <c r="R338" s="55">
        <f>(((M338*N338)*2)*MATERIALES!$D$83)+(12*MATERIALES!$C$229)+((M338*2)+((N338*6))*MATERIALES!$C$230)+(((M338*2)+(N338*6))*MATERIALES!$C$231)+(((M338*2)+(N338*6)/15)*MATERIALES!$C$232)+((((M338*2)+(N338*6))/15)*(MATERIALES!$C$233*0.15))</f>
        <v>6047.5856000000003</v>
      </c>
      <c r="S338" s="59">
        <f t="shared" si="100"/>
        <v>11868.461440000001</v>
      </c>
      <c r="T338" s="70">
        <f t="shared" si="101"/>
        <v>19662.309792</v>
      </c>
    </row>
    <row r="339" spans="1:21">
      <c r="A339" s="68">
        <v>0.8</v>
      </c>
      <c r="B339" s="69">
        <v>2.1</v>
      </c>
      <c r="C339" s="59">
        <f>(((A339+(2*B339))*MATERIALES!$C$57)+((A339+(2*B339))*MATERIALES!$C$55)+(A339*MATERIALES!$C$59)+((A339*2)*MATERIALES!$C$58)+((((A339*6)+(B339*2))*MATERIALES!$C$73)*2)+(((A339-0.2)*MATERIALES!$C$30)*((B339-0.12)/0.12)))*(MATERIALES!$F$2*MATERIALES!$J$15)</f>
        <v>0</v>
      </c>
      <c r="D339" s="59">
        <f>(1*MATERIALES!$C$204)+(1*MATERIALES!$C$205)+(3*MATERIALES!$C$207)+(2*MATERIALES!$C$189)+(2*MATERIALES!$C$190)+(2*MATERIALES!$C$191)+(12*MATERIALES!$C$158)+(12*MATERIALES!$C$159)+((A339+(2*B339))*MATERIALES!$C$210)+((A339+(2*B339))*MATERIALES!$C$209)+(((A339*2)*(0.6*2))*MATERIALES!$C$141)+(((A339*4)+(B339*2))*MATERIALES!$C$165)+(0.5*MATERIALES!$C$167)+(((((A339*6)+(B339*2))/0.1)*MATERIALES!$C$192)*2)+(2*MATERIALES!$C$640)+(((A339*5)*2)*MATERIALES!$C$147)+(4*MATERIALES!$C$148)</f>
        <v>5388.9746560000003</v>
      </c>
      <c r="E339" s="75"/>
      <c r="F339" s="55">
        <f>(((A269*0.6)*2)*MATERIALES!$D$83)+(4*MATERIALES!$C$229)+(((A269*2)+(0.6*2))*MATERIALES!$C$230)+(((A269*2)+(0.6*2))*MATERIALES!$C$231)+((((A269*2)+(0.6*2))/15)*MATERIALES!$C$232)+((((A269*2)+(0.6*2))/15)*(MATERIALES!$C$233*0.15))</f>
        <v>1295.8857600000001</v>
      </c>
      <c r="G339" s="59">
        <f t="shared" si="98"/>
        <v>6684.8604160000004</v>
      </c>
      <c r="H339" s="70">
        <f t="shared" si="99"/>
        <v>9597.4385728000016</v>
      </c>
      <c r="M339" s="68">
        <v>0.8</v>
      </c>
      <c r="N339" s="69">
        <v>2.1</v>
      </c>
      <c r="O339" s="59">
        <f>(((M339+(2*N339))*MATERIALES!$C$57)+((M339+(2*N339))*MATERIALES!$C$55)+(M339*MATERIALES!$C$59)+((M339+(N339*2))*MATERIALES!$C$58)+(((M339-0.2)*MATERIALES!$C$30)*((N339/3)/0.12))+((((M339*4)+(N339*6))*MATERIALES!$C$73)*2))*(MATERIALES!$F$2*MATERIALES!$J$15)</f>
        <v>0</v>
      </c>
      <c r="P339" s="59">
        <f>(1*MATERIALES!$C$204)+(1*MATERIALES!$C$205)+(3*MATERIALES!$C$207)+(2*MATERIALES!$C$189)+(2*MATERIALES!$C$190)+(2*MATERIALES!$C$191)+(16*MATERIALES!$C$158)+(16*MATERIALES!$C$159)+((M339+(2*N339))*MATERIALES!$C$210)+((M339+(2*N339))*MATERIALES!$C$209)+(((M339*2)+(N339*6))*MATERIALES!$C$141)+((((((M339*4)+(N339*6))/0.1))*MATERIALES!$C$192)*2)+(2*MATERIALES!$C$187)+(((M339*2)+((N339/3)*2))*MATERIALES!$C$165)+(0.25*MATERIALES!$C$167)+(((M339*5)*2)*MATERIALES!$C$147)+(4*MATERIALES!$C$148)</f>
        <v>5852.7861599999997</v>
      </c>
      <c r="Q339" s="75"/>
      <c r="R339" s="55">
        <f>(((M339*N339)*2)*MATERIALES!$D$83)+(12*MATERIALES!$C$229)+((M339*2)+((N339*6))*MATERIALES!$C$230)+(((M339*2)+(N339*6))*MATERIALES!$C$231)+(((M339*2)+(N339*6)/15)*MATERIALES!$C$232)+((((M339*2)+(N339*6))/15)*(MATERIALES!$C$233*0.15))</f>
        <v>6484.2798400000011</v>
      </c>
      <c r="S339" s="59">
        <f t="shared" si="100"/>
        <v>12337.066000000001</v>
      </c>
      <c r="T339" s="70">
        <f t="shared" si="101"/>
        <v>20577.181688000001</v>
      </c>
    </row>
    <row r="340" spans="1:21" ht="15.75" thickBot="1">
      <c r="A340" s="71">
        <v>0.9</v>
      </c>
      <c r="B340" s="72">
        <v>2.1</v>
      </c>
      <c r="C340" s="60">
        <f>(((A340+(2*B340))*MATERIALES!$C$57)+((A340+(2*B340))*MATERIALES!$C$55)+(A340*MATERIALES!$C$59)+((A340*2)*MATERIALES!$C$58)+((((A340*6)+(B340*2))*MATERIALES!$C$73)*2)+(((A340-0.2)*MATERIALES!$C$30)*((B340-0.12)/0.12)))*(MATERIALES!$F$2*MATERIALES!$J$15)</f>
        <v>0</v>
      </c>
      <c r="D340" s="60">
        <f>(1*MATERIALES!$C$204)+(1*MATERIALES!$C$205)+(3*MATERIALES!$C$207)+(2*MATERIALES!$C$189)+(2*MATERIALES!$C$190)+(2*MATERIALES!$C$191)+(12*MATERIALES!$C$158)+(12*MATERIALES!$C$159)+((A340+(2*B340))*MATERIALES!$C$210)+((A340+(2*B340))*MATERIALES!$C$209)+(((A340*2)*(0.6*2))*MATERIALES!$C$141)+(((A340*4)+(B340*2))*MATERIALES!$C$165)+(0.5*MATERIALES!$C$167)+(((((A340*6)+(B340*2))/0.1)*MATERIALES!$C$192)*2)+(2*MATERIALES!$C$640)+(((A340*5)*2)*MATERIALES!$C$147)+(4*MATERIALES!$C$148)</f>
        <v>5434.7427680000001</v>
      </c>
      <c r="E340" s="76"/>
      <c r="F340" s="56">
        <f>(((A270*0.6)*2)*MATERIALES!$D$83)+(4*MATERIALES!$C$229)+(((A270*2)+(0.6*2))*MATERIALES!$C$230)+(((A270*2)+(0.6*2))*MATERIALES!$C$231)+((((A270*2)+(0.6*2))/15)*MATERIALES!$C$232)+((((A270*2)+(0.6*2))/15)*(MATERIALES!$C$233*0.15))</f>
        <v>1420.3175999999999</v>
      </c>
      <c r="G340" s="60">
        <f t="shared" si="98"/>
        <v>6855.0603680000004</v>
      </c>
      <c r="H340" s="73">
        <f t="shared" si="99"/>
        <v>9905.8007983999996</v>
      </c>
      <c r="M340" s="71">
        <v>0.9</v>
      </c>
      <c r="N340" s="72">
        <v>2.1</v>
      </c>
      <c r="O340" s="60">
        <f>(((M340+(2*N340))*MATERIALES!$C$57)+((M340+(2*N340))*MATERIALES!$C$55)+(M340*MATERIALES!$C$59)+((M340+(N340*2))*MATERIALES!$C$58)+(((M340-0.2)*MATERIALES!$C$30)*((N340/3)/0.12))+((((M340*4)+(N340*6))*MATERIALES!$C$73)*2))*(MATERIALES!$F$2*MATERIALES!$J$15)</f>
        <v>0</v>
      </c>
      <c r="P340" s="60">
        <f>(1*MATERIALES!$C$204)+(1*MATERIALES!$C$205)+(3*MATERIALES!$C$207)+(2*MATERIALES!$C$189)+(2*MATERIALES!$C$190)+(2*MATERIALES!$C$191)+(16*MATERIALES!$C$158)+(16*MATERIALES!$C$159)+((M340+(2*N340))*MATERIALES!$C$210)+((M340+(2*N340))*MATERIALES!$C$209)+(((M340*2)+(N340*6))*MATERIALES!$C$141)+((((((M340*4)+(N340*6))/0.1))*MATERIALES!$C$192)*2)+(2*MATERIALES!$C$187)+(((M340*2)+((N340/3)*2))*MATERIALES!$C$165)+(0.25*MATERIALES!$C$167)+(((M340*5)*2)*MATERIALES!$C$147)+(4*MATERIALES!$C$148)</f>
        <v>5884.6964799999996</v>
      </c>
      <c r="Q340" s="76"/>
      <c r="R340" s="56">
        <f>(((M340*N340)*2)*MATERIALES!$D$83)+(12*MATERIALES!$C$229)+((M340*2)+((N340*6))*MATERIALES!$C$230)+(((M340*2)+(N340*6))*MATERIALES!$C$231)+(((M340*2)+(N340*6)/15)*MATERIALES!$C$232)+((((M340*2)+(N340*6))/15)*(MATERIALES!$C$233*0.15))</f>
        <v>6920.97408</v>
      </c>
      <c r="S340" s="60">
        <f t="shared" si="100"/>
        <v>12805.670559999999</v>
      </c>
      <c r="T340" s="73">
        <f t="shared" si="101"/>
        <v>21492.053584000001</v>
      </c>
    </row>
    <row r="342" spans="1:21" ht="15.75" thickBot="1">
      <c r="O342" s="78"/>
    </row>
    <row r="343" spans="1:21" ht="15.75" thickBot="1">
      <c r="A343" s="32"/>
      <c r="B343" s="32"/>
      <c r="C343" s="801">
        <v>0.3</v>
      </c>
      <c r="D343" s="802"/>
      <c r="E343" s="803"/>
      <c r="F343" s="61">
        <v>1</v>
      </c>
      <c r="G343" s="32"/>
      <c r="H343" s="46" t="s">
        <v>163</v>
      </c>
      <c r="M343" s="32"/>
      <c r="N343" s="32"/>
      <c r="O343" s="801">
        <v>0.3</v>
      </c>
      <c r="P343" s="802"/>
      <c r="Q343" s="802"/>
      <c r="R343" s="803"/>
      <c r="S343" s="32"/>
      <c r="T343" s="46" t="s">
        <v>163</v>
      </c>
    </row>
    <row r="344" spans="1:21" ht="15.75" thickBot="1">
      <c r="A344" s="792" t="s">
        <v>713</v>
      </c>
      <c r="B344" s="793"/>
      <c r="C344" s="793"/>
      <c r="D344" s="793"/>
      <c r="E344" s="793"/>
      <c r="F344" s="793"/>
      <c r="G344" s="793"/>
      <c r="H344" s="794"/>
      <c r="M344" s="792" t="s">
        <v>222</v>
      </c>
      <c r="N344" s="793"/>
      <c r="O344" s="793"/>
      <c r="P344" s="793"/>
      <c r="Q344" s="793"/>
      <c r="R344" s="793"/>
      <c r="S344" s="793"/>
      <c r="T344" s="794"/>
      <c r="U344" s="882" t="s">
        <v>254</v>
      </c>
    </row>
    <row r="345" spans="1:21" ht="15.75" thickBot="1">
      <c r="A345" s="36" t="s">
        <v>116</v>
      </c>
      <c r="B345" s="36" t="s">
        <v>117</v>
      </c>
      <c r="C345" s="36" t="s">
        <v>162</v>
      </c>
      <c r="D345" s="36" t="s">
        <v>119</v>
      </c>
      <c r="E345" s="36" t="s">
        <v>120</v>
      </c>
      <c r="F345" s="36" t="s">
        <v>692</v>
      </c>
      <c r="G345" s="36" t="s">
        <v>121</v>
      </c>
      <c r="H345" s="36" t="s">
        <v>122</v>
      </c>
      <c r="M345" s="442" t="s">
        <v>116</v>
      </c>
      <c r="N345" s="442" t="s">
        <v>117</v>
      </c>
      <c r="O345" s="442" t="s">
        <v>162</v>
      </c>
      <c r="P345" s="442" t="s">
        <v>119</v>
      </c>
      <c r="Q345" s="442" t="s">
        <v>120</v>
      </c>
      <c r="R345" s="442" t="s">
        <v>692</v>
      </c>
      <c r="S345" s="442" t="s">
        <v>121</v>
      </c>
      <c r="T345" s="442" t="s">
        <v>122</v>
      </c>
      <c r="U345" s="883"/>
    </row>
    <row r="346" spans="1:21" ht="15.75" thickBot="1">
      <c r="A346" s="795"/>
      <c r="B346" s="796"/>
      <c r="C346" s="796"/>
      <c r="D346" s="796"/>
      <c r="E346" s="796"/>
      <c r="F346" s="796"/>
      <c r="G346" s="796"/>
      <c r="H346" s="797"/>
      <c r="M346" s="932"/>
      <c r="N346" s="933"/>
      <c r="O346" s="933"/>
      <c r="P346" s="933"/>
      <c r="Q346" s="933"/>
      <c r="R346" s="933"/>
      <c r="S346" s="933"/>
      <c r="T346" s="934"/>
      <c r="U346" s="883"/>
    </row>
    <row r="347" spans="1:21">
      <c r="A347" s="65">
        <v>0.6</v>
      </c>
      <c r="B347" s="66">
        <v>2</v>
      </c>
      <c r="C347" s="58">
        <f>(((A347+(2*B347))*MATERIALES!$C$57)+((A347+(2*B347))*MATERIALES!$C$55)+(A347*MATERIALES!$C$59)+((A347*1)*MATERIALES!$C$58)+((((A347*4)+(B347*2))*MATERIALES!$C$73)*2)+(((A347-0.2)*MATERIALES!$C$30)*((B347-0.36)/0.12)))*(MATERIALES!$F$2*MATERIALES!$J$15)</f>
        <v>0</v>
      </c>
      <c r="D347" s="58">
        <f>(1*MATERIALES!$C$204)+(1*MATERIALES!$C$205)+(3*MATERIALES!$C$207)+(2*MATERIALES!$C$189)+(2*MATERIALES!$C$190)+(2*MATERIALES!$C$191)+(8*MATERIALES!$C$158)+(8*MATERIALES!$C$159)+((A347+(2*B347))*MATERIALES!$C$210)+((A347+(2*B347))*MATERIALES!$C$209)+(((A347*2)*(0.6*2))*MATERIALES!$C$141)+(((A347*2)+(B347*2))*MATERIALES!$C$165)+(0.5*MATERIALES!$C$167)+(2*MATERIALES!$C$187)+(((((A347*4)+(B347*2))/0.1)*MATERIALES!$C$192)*2)+(((A347*5)*2)*MATERIALES!$C$147)+(4*MATERIALES!$C$148)</f>
        <v>5140.8373120000006</v>
      </c>
      <c r="E347" s="74"/>
      <c r="F347" s="54">
        <f>(((A347*0.6)*2)*MATERIALES!$D$83)+(4*MATERIALES!$C$229)+(((A347*2)+(0.6*2))*MATERIALES!$C$230)+(((A347*2)+(0.6*2))*MATERIALES!$C$231)+((((A347*2)+(0.6*2))/15)*MATERIALES!$C$232)+((((A347*2)+(0.6*2))/15)*(MATERIALES!$C$233*0.15))</f>
        <v>1047.02208</v>
      </c>
      <c r="G347" s="58">
        <f>SUM(C347:F347)</f>
        <v>6187.8593920000003</v>
      </c>
      <c r="H347" s="67">
        <f>(SUM(C347:E347)*1.3)+(F347*2)</f>
        <v>8777.1326656000001</v>
      </c>
      <c r="M347" s="443">
        <v>0.6</v>
      </c>
      <c r="N347" s="444">
        <v>2</v>
      </c>
      <c r="O347" s="445">
        <f>(((M347+(2*N347))*MATERIALES!$C$57)+((M347+(2*N347))*MATERIALES!$C$55)+(M347*MATERIALES!$C$59)+(((M347*2)+(N347*2))*MATERIALES!$C$31)+(((M347*2)+(N347))*MATERIALES!$C$32))*(MATERIALES!$F$2*MATERIALES!$J$15)</f>
        <v>0</v>
      </c>
      <c r="P347" s="445">
        <f>(1*MATERIALES!$C$204)+(1*MATERIALES!$C$205)+(3*MATERIALES!$C$207)+(2*MATERIALES!$C$189)+(2*MATERIALES!$C$190)+(2*MATERIALES!$C$191)+(10*MATERIALES!$C$158)+(10*MATERIALES!$C$159)+((M347+(2*N347))*MATERIALES!$C$210)+((M347+(2*N347))*MATERIALES!$C$209)+(((M347*6)+(N347*4))*MATERIALES!$C$166)+(2*MATERIALES!$C$187)+(((M347*5)*2)*MATERIALES!$C$147)+(4*MATERIALES!$C$148)</f>
        <v>4831.7214400000003</v>
      </c>
      <c r="Q347" s="445"/>
      <c r="R347" s="446"/>
      <c r="S347" s="445">
        <f>SUM(O347:R347)</f>
        <v>4831.7214400000003</v>
      </c>
      <c r="T347" s="447">
        <f>(SUM(O347:Q347)*1.3)+(R347*2)</f>
        <v>6281.2378720000006</v>
      </c>
      <c r="U347" s="787"/>
    </row>
    <row r="348" spans="1:21">
      <c r="A348" s="68">
        <v>0.7</v>
      </c>
      <c r="B348" s="69">
        <v>2</v>
      </c>
      <c r="C348" s="59">
        <f>(((A348+(2*B348))*MATERIALES!$C$57)+((A348+(2*B348))*MATERIALES!$C$55)+(A348*MATERIALES!$C$59)+((A348*1)*MATERIALES!$C$58)+((((A348*4)+(B348*2))*MATERIALES!$C$73)*2)+(((A348-0.2)*MATERIALES!$C$30)*((B348-0.36)/0.12)))*(MATERIALES!$F$2*MATERIALES!$J$15)</f>
        <v>0</v>
      </c>
      <c r="D348" s="59">
        <f>(1*MATERIALES!$C$204)+(1*MATERIALES!$C$205)+(3*MATERIALES!$C$207)+(2*MATERIALES!$C$189)+(2*MATERIALES!$C$190)+(2*MATERIALES!$C$191)+(8*MATERIALES!$C$158)+(8*MATERIALES!$C$159)+((A348+(2*B348))*MATERIALES!$C$210)+((A348+(2*B348))*MATERIALES!$C$209)+(((A348*2)*(0.6*2))*MATERIALES!$C$141)+(((A348*2)+(B348*2))*MATERIALES!$C$165)+(0.5*MATERIALES!$C$167)+(2*MATERIALES!$C$187)+(((((A348*4)+(B348*2))/0.1)*MATERIALES!$C$192)*2)+(((A348*5)*2)*MATERIALES!$C$147)+(4*MATERIALES!$C$148)</f>
        <v>5173.6012639999999</v>
      </c>
      <c r="E348" s="75"/>
      <c r="F348" s="55">
        <f>(((A348*0.6)*2)*MATERIALES!$D$83)+(4*MATERIALES!$C$229)+(((A348*2)+(0.6*2))*MATERIALES!$C$230)+(((A348*2)+(0.6*2))*MATERIALES!$C$231)+((((A348*2)+(0.6*2))/15)*MATERIALES!$C$232)+((((A348*2)+(0.6*2))/15)*(MATERIALES!$C$233*0.15))</f>
        <v>1171.4539199999999</v>
      </c>
      <c r="G348" s="59">
        <f t="shared" ref="G348:G354" si="102">SUM(C348:F348)</f>
        <v>6345.0551839999998</v>
      </c>
      <c r="H348" s="70">
        <f t="shared" ref="H348:H354" si="103">(SUM(C348:E348)*1.3)+(F348*2)</f>
        <v>9068.5894832000013</v>
      </c>
      <c r="M348" s="448">
        <v>0.7</v>
      </c>
      <c r="N348" s="449">
        <v>2</v>
      </c>
      <c r="O348" s="450">
        <f>(((M348+(2*N348))*MATERIALES!$C$57)+((M348+(2*N348))*MATERIALES!$C$55)+(M348*MATERIALES!$C$59)+(((M348*2)+(N348*2))*MATERIALES!$C$31)+(((M348*2)+(N348))*MATERIALES!$C$32))*(MATERIALES!$F$2*MATERIALES!$J$15)</f>
        <v>0</v>
      </c>
      <c r="P348" s="450">
        <f>(1*MATERIALES!$C$204)+(1*MATERIALES!$C$205)+(3*MATERIALES!$C$207)+(2*MATERIALES!$C$189)+(2*MATERIALES!$C$190)+(2*MATERIALES!$C$191)+(10*MATERIALES!$C$158)+(10*MATERIALES!$C$159)+((M348+(2*N348))*MATERIALES!$C$210)+((M348+(2*N348))*MATERIALES!$C$209)+(((M348*6)+(N348*4))*MATERIALES!$C$166)+(2*MATERIALES!$C$187)+(((M348*5)*2)*MATERIALES!$C$147)+(4*MATERIALES!$C$148)</f>
        <v>4848.9240799999989</v>
      </c>
      <c r="Q348" s="450"/>
      <c r="R348" s="451"/>
      <c r="S348" s="450">
        <f t="shared" ref="S348:S354" si="104">SUM(O348:R348)</f>
        <v>4848.9240799999989</v>
      </c>
      <c r="T348" s="452">
        <f t="shared" ref="T348:T354" si="105">(SUM(O348:Q348)*1.3)+(R348*2)</f>
        <v>6303.6013039999989</v>
      </c>
      <c r="U348" s="787"/>
    </row>
    <row r="349" spans="1:21">
      <c r="A349" s="68">
        <v>0.8</v>
      </c>
      <c r="B349" s="69">
        <v>2</v>
      </c>
      <c r="C349" s="59">
        <f>(((A349+(2*B349))*MATERIALES!$C$57)+((A349+(2*B349))*MATERIALES!$C$55)+(A349*MATERIALES!$C$59)+((A349*1)*MATERIALES!$C$58)+((((A349*4)+(B349*2))*MATERIALES!$C$73)*2)+(((A349-0.2)*MATERIALES!$C$30)*((B349-0.36)/0.12)))*(MATERIALES!$F$2*MATERIALES!$J$15)</f>
        <v>0</v>
      </c>
      <c r="D349" s="59">
        <f>(1*MATERIALES!$C$204)+(1*MATERIALES!$C$205)+(3*MATERIALES!$C$207)+(2*MATERIALES!$C$189)+(2*MATERIALES!$C$190)+(2*MATERIALES!$C$191)+(8*MATERIALES!$C$158)+(8*MATERIALES!$C$159)+((A349+(2*B349))*MATERIALES!$C$210)+((A349+(2*B349))*MATERIALES!$C$209)+(((A349*2)*(0.6*2))*MATERIALES!$C$141)+(((A349*2)+(B349*2))*MATERIALES!$C$165)+(0.5*MATERIALES!$C$167)+(2*MATERIALES!$C$187)+(((((A349*4)+(B349*2))/0.1)*MATERIALES!$C$192)*2)+(((A349*5)*2)*MATERIALES!$C$147)+(4*MATERIALES!$C$148)</f>
        <v>5206.3652160000011</v>
      </c>
      <c r="E349" s="75"/>
      <c r="F349" s="55">
        <f>(((A349*0.6)*2)*MATERIALES!$D$83)+(4*MATERIALES!$C$229)+(((A349*2)+(0.6*2))*MATERIALES!$C$230)+(((A349*2)+(0.6*2))*MATERIALES!$C$231)+((((A349*2)+(0.6*2))/15)*MATERIALES!$C$232)+((((A349*2)+(0.6*2))/15)*(MATERIALES!$C$233*0.15))</f>
        <v>1295.8857600000001</v>
      </c>
      <c r="G349" s="59">
        <f t="shared" si="102"/>
        <v>6502.2509760000012</v>
      </c>
      <c r="H349" s="70">
        <f t="shared" si="103"/>
        <v>9360.0463008000006</v>
      </c>
      <c r="M349" s="448">
        <v>0.8</v>
      </c>
      <c r="N349" s="449">
        <v>2</v>
      </c>
      <c r="O349" s="450">
        <f>(((M349+(2*N349))*MATERIALES!$C$57)+((M349+(2*N349))*MATERIALES!$C$55)+(M349*MATERIALES!$C$59)+(((M349*2)+(N349*2))*MATERIALES!$C$31)+(((M349*2)+(N349))*MATERIALES!$C$32))*(MATERIALES!$F$2*MATERIALES!$J$15)</f>
        <v>0</v>
      </c>
      <c r="P349" s="450">
        <f>(1*MATERIALES!$C$204)+(1*MATERIALES!$C$205)+(3*MATERIALES!$C$207)+(2*MATERIALES!$C$189)+(2*MATERIALES!$C$190)+(2*MATERIALES!$C$191)+(10*MATERIALES!$C$158)+(10*MATERIALES!$C$159)+((M349+(2*N349))*MATERIALES!$C$210)+((M349+(2*N349))*MATERIALES!$C$209)+(((M349*6)+(N349*4))*MATERIALES!$C$166)+(2*MATERIALES!$C$187)+(((M349*5)*2)*MATERIALES!$C$147)+(4*MATERIALES!$C$148)</f>
        <v>4866.1267200000002</v>
      </c>
      <c r="Q349" s="450"/>
      <c r="R349" s="451"/>
      <c r="S349" s="450">
        <f t="shared" si="104"/>
        <v>4866.1267200000002</v>
      </c>
      <c r="T349" s="452">
        <f t="shared" si="105"/>
        <v>6325.9647360000008</v>
      </c>
      <c r="U349" s="787"/>
    </row>
    <row r="350" spans="1:21">
      <c r="A350" s="68">
        <v>0.9</v>
      </c>
      <c r="B350" s="69">
        <v>2</v>
      </c>
      <c r="C350" s="59">
        <f>(((A350+(2*B350))*MATERIALES!$C$57)+((A350+(2*B350))*MATERIALES!$C$55)+(A350*MATERIALES!$C$59)+((A350*1)*MATERIALES!$C$58)+((((A350*4)+(B350*2))*MATERIALES!$C$73)*2)+(((A350-0.2)*MATERIALES!$C$30)*((B350-0.36)/0.12)))*(MATERIALES!$F$2*MATERIALES!$J$15)</f>
        <v>0</v>
      </c>
      <c r="D350" s="59">
        <f>(1*MATERIALES!$C$204)+(1*MATERIALES!$C$205)+(3*MATERIALES!$C$207)+(2*MATERIALES!$C$189)+(2*MATERIALES!$C$190)+(2*MATERIALES!$C$191)+(8*MATERIALES!$C$158)+(8*MATERIALES!$C$159)+((A350+(2*B350))*MATERIALES!$C$210)+((A350+(2*B350))*MATERIALES!$C$209)+(((A350*2)*(0.6*2))*MATERIALES!$C$141)+(((A350*2)+(B350*2))*MATERIALES!$C$165)+(0.5*MATERIALES!$C$167)+(2*MATERIALES!$C$187)+(((((A350*4)+(B350*2))/0.1)*MATERIALES!$C$192)*2)+(((A350*5)*2)*MATERIALES!$C$147)+(4*MATERIALES!$C$148)</f>
        <v>5239.1291680000004</v>
      </c>
      <c r="E350" s="75"/>
      <c r="F350" s="55">
        <f>(((A350*0.6)*2)*MATERIALES!$D$83)+(4*MATERIALES!$C$229)+(((A350*2)+(0.6*2))*MATERIALES!$C$230)+(((A350*2)+(0.6*2))*MATERIALES!$C$231)+((((A350*2)+(0.6*2))/15)*MATERIALES!$C$232)+((((A350*2)+(0.6*2))/15)*(MATERIALES!$C$233*0.15))</f>
        <v>1420.3175999999999</v>
      </c>
      <c r="G350" s="59">
        <f t="shared" si="102"/>
        <v>6659.4467679999998</v>
      </c>
      <c r="H350" s="70">
        <f t="shared" si="103"/>
        <v>9651.5031183999999</v>
      </c>
      <c r="M350" s="448">
        <v>0.9</v>
      </c>
      <c r="N350" s="449">
        <v>2</v>
      </c>
      <c r="O350" s="450">
        <f>(((M350+(2*N350))*MATERIALES!$C$57)+((M350+(2*N350))*MATERIALES!$C$55)+(M350*MATERIALES!$C$59)+(((M350*2)+(N350*2))*MATERIALES!$C$31)+(((M350*2)+(N350))*MATERIALES!$C$32))*(MATERIALES!$F$2*MATERIALES!$J$15)</f>
        <v>0</v>
      </c>
      <c r="P350" s="450">
        <f>(1*MATERIALES!$C$204)+(1*MATERIALES!$C$205)+(3*MATERIALES!$C$207)+(2*MATERIALES!$C$189)+(2*MATERIALES!$C$190)+(2*MATERIALES!$C$191)+(10*MATERIALES!$C$158)+(10*MATERIALES!$C$159)+((M350+(2*N350))*MATERIALES!$C$210)+((M350+(2*N350))*MATERIALES!$C$209)+(((M350*6)+(N350*4))*MATERIALES!$C$166)+(2*MATERIALES!$C$187)+(((M350*5)*2)*MATERIALES!$C$147)+(4*MATERIALES!$C$148)</f>
        <v>4883.3293600000006</v>
      </c>
      <c r="Q350" s="450"/>
      <c r="R350" s="451"/>
      <c r="S350" s="450">
        <f t="shared" si="104"/>
        <v>4883.3293600000006</v>
      </c>
      <c r="T350" s="452">
        <f t="shared" si="105"/>
        <v>6348.3281680000009</v>
      </c>
      <c r="U350" s="787"/>
    </row>
    <row r="351" spans="1:21">
      <c r="A351" s="68">
        <v>0.6</v>
      </c>
      <c r="B351" s="69">
        <v>2.1</v>
      </c>
      <c r="C351" s="59">
        <f>(((A351+(2*B351))*MATERIALES!$C$57)+((A351+(2*B351))*MATERIALES!$C$55)+(A351*MATERIALES!$C$59)+((A351*1)*MATERIALES!$C$58)+((((A351*4)+(B351*2))*MATERIALES!$C$73)*2)+(((A351-0.2)*MATERIALES!$C$30)*((B351-0.36)/0.12)))*(MATERIALES!$F$2*MATERIALES!$J$15)</f>
        <v>0</v>
      </c>
      <c r="D351" s="59">
        <f>(1*MATERIALES!$C$204)+(1*MATERIALES!$C$205)+(3*MATERIALES!$C$207)+(2*MATERIALES!$C$189)+(2*MATERIALES!$C$190)+(2*MATERIALES!$C$191)+(8*MATERIALES!$C$158)+(8*MATERIALES!$C$159)+((A351+(2*B351))*MATERIALES!$C$210)+((A351+(2*B351))*MATERIALES!$C$209)+(((A351*2)*(0.6*2))*MATERIALES!$C$141)+(((A351*2)+(B351*2))*MATERIALES!$C$165)+(0.5*MATERIALES!$C$167)+(2*MATERIALES!$C$187)+(((((A351*4)+(B351*2))/0.1)*MATERIALES!$C$192)*2)+(((A351*5)*2)*MATERIALES!$C$147)+(4*MATERIALES!$C$148)</f>
        <v>5165.6454720000002</v>
      </c>
      <c r="E351" s="75"/>
      <c r="F351" s="55">
        <f>(((A351*0.6)*2)*MATERIALES!$D$83)+(4*MATERIALES!$C$229)+(((A351*2)+(0.6*2))*MATERIALES!$C$230)+(((A351*2)+(0.6*2))*MATERIALES!$C$231)+((((A351*2)+(0.6*2))/15)*MATERIALES!$C$232)+((((A351*2)+(0.6*2))/15)*(MATERIALES!$C$233*0.15))</f>
        <v>1047.02208</v>
      </c>
      <c r="G351" s="59">
        <f t="shared" si="102"/>
        <v>6212.6675519999999</v>
      </c>
      <c r="H351" s="70">
        <f t="shared" si="103"/>
        <v>8809.3832736000004</v>
      </c>
      <c r="M351" s="448">
        <v>0.6</v>
      </c>
      <c r="N351" s="449">
        <v>2.1</v>
      </c>
      <c r="O351" s="450">
        <f>(((M351+(2*N351))*MATERIALES!$C$57)+((M351+(2*N351))*MATERIALES!$C$55)+(M351*MATERIALES!$C$59)+(((M351*2)+(N351*2))*MATERIALES!$C$31)+(((M351*2)+(N351))*MATERIALES!$C$32))*(MATERIALES!$F$2*MATERIALES!$J$15)</f>
        <v>0</v>
      </c>
      <c r="P351" s="450">
        <f>(1*MATERIALES!$C$204)+(1*MATERIALES!$C$205)+(3*MATERIALES!$C$207)+(2*MATERIALES!$C$189)+(2*MATERIALES!$C$190)+(2*MATERIALES!$C$191)+(10*MATERIALES!$C$158)+(10*MATERIALES!$C$159)+((M351+(2*N351))*MATERIALES!$C$210)+((M351+(2*N351))*MATERIALES!$C$209)+(((M351*6)+(N351*4))*MATERIALES!$C$166)+(2*MATERIALES!$C$187)+(((M351*5)*2)*MATERIALES!$C$147)+(4*MATERIALES!$C$148)</f>
        <v>4851.0591999999997</v>
      </c>
      <c r="Q351" s="450"/>
      <c r="R351" s="451"/>
      <c r="S351" s="450">
        <f t="shared" si="104"/>
        <v>4851.0591999999997</v>
      </c>
      <c r="T351" s="452">
        <f t="shared" si="105"/>
        <v>6306.3769599999996</v>
      </c>
      <c r="U351" s="787"/>
    </row>
    <row r="352" spans="1:21">
      <c r="A352" s="68">
        <v>0.7</v>
      </c>
      <c r="B352" s="69">
        <v>2.1</v>
      </c>
      <c r="C352" s="59">
        <f>(((A352+(2*B352))*MATERIALES!$C$57)+((A352+(2*B352))*MATERIALES!$C$55)+(A352*MATERIALES!$C$59)+((A352*1)*MATERIALES!$C$58)+((((A352*4)+(B352*2))*MATERIALES!$C$73)*2)+(((A352-0.2)*MATERIALES!$C$30)*((B352-0.36)/0.12)))*(MATERIALES!$F$2*MATERIALES!$J$15)</f>
        <v>0</v>
      </c>
      <c r="D352" s="59">
        <f>(1*MATERIALES!$C$204)+(1*MATERIALES!$C$205)+(3*MATERIALES!$C$207)+(2*MATERIALES!$C$189)+(2*MATERIALES!$C$190)+(2*MATERIALES!$C$191)+(8*MATERIALES!$C$158)+(8*MATERIALES!$C$159)+((A352+(2*B352))*MATERIALES!$C$210)+((A352+(2*B352))*MATERIALES!$C$209)+(((A352*2)*(0.6*2))*MATERIALES!$C$141)+(((A352*2)+(B352*2))*MATERIALES!$C$165)+(0.5*MATERIALES!$C$167)+(2*MATERIALES!$C$187)+(((((A352*4)+(B352*2))/0.1)*MATERIALES!$C$192)*2)+(((A352*5)*2)*MATERIALES!$C$147)+(4*MATERIALES!$C$148)</f>
        <v>5198.4094240000013</v>
      </c>
      <c r="E352" s="75"/>
      <c r="F352" s="55">
        <f>(((A352*0.6)*2)*MATERIALES!$D$83)+(4*MATERIALES!$C$229)+(((A352*2)+(0.6*2))*MATERIALES!$C$230)+(((A352*2)+(0.6*2))*MATERIALES!$C$231)+((((A352*2)+(0.6*2))/15)*MATERIALES!$C$232)+((((A352*2)+(0.6*2))/15)*(MATERIALES!$C$233*0.15))</f>
        <v>1171.4539199999999</v>
      </c>
      <c r="G352" s="59">
        <f t="shared" si="102"/>
        <v>6369.8633440000012</v>
      </c>
      <c r="H352" s="70">
        <f t="shared" si="103"/>
        <v>9100.8400912000016</v>
      </c>
      <c r="M352" s="448">
        <v>0.7</v>
      </c>
      <c r="N352" s="449">
        <v>2.1</v>
      </c>
      <c r="O352" s="450">
        <f>(((M352+(2*N352))*MATERIALES!$C$57)+((M352+(2*N352))*MATERIALES!$C$55)+(M352*MATERIALES!$C$59)+(((M352*2)+(N352*2))*MATERIALES!$C$31)+(((M352*2)+(N352))*MATERIALES!$C$32))*(MATERIALES!$F$2*MATERIALES!$J$15)</f>
        <v>0</v>
      </c>
      <c r="P352" s="450">
        <f>(1*MATERIALES!$C$204)+(1*MATERIALES!$C$205)+(3*MATERIALES!$C$207)+(2*MATERIALES!$C$189)+(2*MATERIALES!$C$190)+(2*MATERIALES!$C$191)+(10*MATERIALES!$C$158)+(10*MATERIALES!$C$159)+((M352+(2*N352))*MATERIALES!$C$210)+((M352+(2*N352))*MATERIALES!$C$209)+(((M352*6)+(N352*4))*MATERIALES!$C$166)+(2*MATERIALES!$C$187)+(((M352*5)*2)*MATERIALES!$C$147)+(4*MATERIALES!$C$148)</f>
        <v>4868.2618400000001</v>
      </c>
      <c r="Q352" s="450"/>
      <c r="R352" s="451"/>
      <c r="S352" s="450">
        <f t="shared" si="104"/>
        <v>4868.2618400000001</v>
      </c>
      <c r="T352" s="452">
        <f t="shared" si="105"/>
        <v>6328.7403920000006</v>
      </c>
      <c r="U352" s="787"/>
    </row>
    <row r="353" spans="1:21">
      <c r="A353" s="68">
        <v>0.8</v>
      </c>
      <c r="B353" s="69">
        <v>2.1</v>
      </c>
      <c r="C353" s="59">
        <f>(((A353+(2*B353))*MATERIALES!$C$57)+((A353+(2*B353))*MATERIALES!$C$55)+(A353*MATERIALES!$C$59)+((A353*1)*MATERIALES!$C$58)+((((A353*4)+(B353*2))*MATERIALES!$C$73)*2)+(((A353-0.2)*MATERIALES!$C$30)*((B353-0.36)/0.12)))*(MATERIALES!$F$2*MATERIALES!$J$15)</f>
        <v>0</v>
      </c>
      <c r="D353" s="59">
        <f>(1*MATERIALES!$C$204)+(1*MATERIALES!$C$205)+(3*MATERIALES!$C$207)+(2*MATERIALES!$C$189)+(2*MATERIALES!$C$190)+(2*MATERIALES!$C$191)+(8*MATERIALES!$C$158)+(8*MATERIALES!$C$159)+((A353+(2*B353))*MATERIALES!$C$210)+((A353+(2*B353))*MATERIALES!$C$209)+(((A353*2)*(0.6*2))*MATERIALES!$C$141)+(((A353*2)+(B353*2))*MATERIALES!$C$165)+(0.5*MATERIALES!$C$167)+(2*MATERIALES!$C$187)+(((((A353*4)+(B353*2))/0.1)*MATERIALES!$C$192)*2)+(((A353*5)*2)*MATERIALES!$C$147)+(4*MATERIALES!$C$148)</f>
        <v>5231.1733760000006</v>
      </c>
      <c r="E353" s="75"/>
      <c r="F353" s="55">
        <f>(((A353*0.6)*2)*MATERIALES!$D$83)+(4*MATERIALES!$C$229)+(((A353*2)+(0.6*2))*MATERIALES!$C$230)+(((A353*2)+(0.6*2))*MATERIALES!$C$231)+((((A353*2)+(0.6*2))/15)*MATERIALES!$C$232)+((((A353*2)+(0.6*2))/15)*(MATERIALES!$C$233*0.15))</f>
        <v>1295.8857600000001</v>
      </c>
      <c r="G353" s="59">
        <f t="shared" si="102"/>
        <v>6527.0591360000008</v>
      </c>
      <c r="H353" s="70">
        <f t="shared" si="103"/>
        <v>9392.2969088000009</v>
      </c>
      <c r="M353" s="448">
        <v>0.8</v>
      </c>
      <c r="N353" s="449">
        <v>2.1</v>
      </c>
      <c r="O353" s="450">
        <f>(((M353+(2*N353))*MATERIALES!$C$57)+((M353+(2*N353))*MATERIALES!$C$55)+(M353*MATERIALES!$C$59)+(((M353*2)+(N353*2))*MATERIALES!$C$31)+(((M353*2)+(N353))*MATERIALES!$C$32))*(MATERIALES!$F$2*MATERIALES!$J$15)</f>
        <v>0</v>
      </c>
      <c r="P353" s="450">
        <f>(1*MATERIALES!$C$204)+(1*MATERIALES!$C$205)+(3*MATERIALES!$C$207)+(2*MATERIALES!$C$189)+(2*MATERIALES!$C$190)+(2*MATERIALES!$C$191)+(10*MATERIALES!$C$158)+(10*MATERIALES!$C$159)+((M353+(2*N353))*MATERIALES!$C$210)+((M353+(2*N353))*MATERIALES!$C$209)+(((M353*6)+(N353*4))*MATERIALES!$C$166)+(2*MATERIALES!$C$187)+(((M353*5)*2)*MATERIALES!$C$147)+(4*MATERIALES!$C$148)</f>
        <v>4885.4644800000005</v>
      </c>
      <c r="Q353" s="450"/>
      <c r="R353" s="451"/>
      <c r="S353" s="450">
        <f t="shared" si="104"/>
        <v>4885.4644800000005</v>
      </c>
      <c r="T353" s="452">
        <f t="shared" si="105"/>
        <v>6351.1038240000007</v>
      </c>
      <c r="U353" s="787"/>
    </row>
    <row r="354" spans="1:21" ht="15.75" thickBot="1">
      <c r="A354" s="71">
        <v>0.9</v>
      </c>
      <c r="B354" s="72">
        <v>2.1</v>
      </c>
      <c r="C354" s="60">
        <f>(((A354+(2*B354))*MATERIALES!$C$57)+((A354+(2*B354))*MATERIALES!$C$55)+(A354*MATERIALES!$C$59)+((A354*1)*MATERIALES!$C$58)+((((A354*4)+(B354*2))*MATERIALES!$C$73)*2)+(((A354-0.2)*MATERIALES!$C$30)*((B354-0.36)/0.12)))*(MATERIALES!$F$2*MATERIALES!$J$15)</f>
        <v>0</v>
      </c>
      <c r="D354" s="60">
        <f>(1*MATERIALES!$C$204)+(1*MATERIALES!$C$205)+(3*MATERIALES!$C$207)+(2*MATERIALES!$C$189)+(2*MATERIALES!$C$190)+(2*MATERIALES!$C$191)+(8*MATERIALES!$C$158)+(8*MATERIALES!$C$159)+((A354+(2*B354))*MATERIALES!$C$210)+((A354+(2*B354))*MATERIALES!$C$209)+(((A354*2)*(0.6*2))*MATERIALES!$C$141)+(((A354*2)+(B354*2))*MATERIALES!$C$165)+(0.5*MATERIALES!$C$167)+(2*MATERIALES!$C$187)+(((((A354*4)+(B354*2))/0.1)*MATERIALES!$C$192)*2)+(((A354*5)*2)*MATERIALES!$C$147)+(4*MATERIALES!$C$148)</f>
        <v>5263.9373279999991</v>
      </c>
      <c r="E354" s="76"/>
      <c r="F354" s="56">
        <f>(((A354*0.6)*2)*MATERIALES!$D$83)+(4*MATERIALES!$C$229)+(((A354*2)+(0.6*2))*MATERIALES!$C$230)+(((A354*2)+(0.6*2))*MATERIALES!$C$231)+((((A354*2)+(0.6*2))/15)*MATERIALES!$C$232)+((((A354*2)+(0.6*2))/15)*(MATERIALES!$C$233*0.15))</f>
        <v>1420.3175999999999</v>
      </c>
      <c r="G354" s="60">
        <f t="shared" si="102"/>
        <v>6684.2549279999985</v>
      </c>
      <c r="H354" s="73">
        <f t="shared" si="103"/>
        <v>9683.7537263999984</v>
      </c>
      <c r="M354" s="453">
        <v>0.9</v>
      </c>
      <c r="N354" s="454">
        <v>2.1</v>
      </c>
      <c r="O354" s="455">
        <f>(((M354+(2*N354))*MATERIALES!$C$57)+((M354+(2*N354))*MATERIALES!$C$55)+(M354*MATERIALES!$C$59)+(((M354*2)+(N354*2))*MATERIALES!$C$31)+(((M354*2)+(N354))*MATERIALES!$C$32))*(MATERIALES!$F$2*MATERIALES!$J$15)</f>
        <v>0</v>
      </c>
      <c r="P354" s="455">
        <f>(1*MATERIALES!$C$204)+(1*MATERIALES!$C$205)+(3*MATERIALES!$C$207)+(2*MATERIALES!$C$189)+(2*MATERIALES!$C$190)+(2*MATERIALES!$C$191)+(10*MATERIALES!$C$158)+(10*MATERIALES!$C$159)+((M354+(2*N354))*MATERIALES!$C$210)+((M354+(2*N354))*MATERIALES!$C$209)+(((M354*6)+(N354*4))*MATERIALES!$C$166)+(2*MATERIALES!$C$187)+(((M354*5)*2)*MATERIALES!$C$147)+(4*MATERIALES!$C$148)</f>
        <v>4902.6671199999992</v>
      </c>
      <c r="Q354" s="455"/>
      <c r="R354" s="456"/>
      <c r="S354" s="455">
        <f t="shared" si="104"/>
        <v>4902.6671199999992</v>
      </c>
      <c r="T354" s="457">
        <f t="shared" si="105"/>
        <v>6373.467255999999</v>
      </c>
      <c r="U354" s="788"/>
    </row>
    <row r="356" spans="1:21" ht="15.75" thickBot="1">
      <c r="O356" s="78"/>
    </row>
    <row r="357" spans="1:21" ht="15.75" thickBot="1">
      <c r="A357" s="32"/>
      <c r="B357" s="32"/>
      <c r="C357" s="801">
        <v>0.3</v>
      </c>
      <c r="D357" s="802"/>
      <c r="E357" s="803"/>
      <c r="F357" s="61">
        <v>1</v>
      </c>
      <c r="G357" s="32"/>
      <c r="H357" s="46" t="s">
        <v>163</v>
      </c>
      <c r="M357" s="32"/>
      <c r="N357" s="32"/>
      <c r="O357" s="801">
        <v>0.3</v>
      </c>
      <c r="P357" s="802"/>
      <c r="Q357" s="803"/>
      <c r="R357" s="61">
        <v>1</v>
      </c>
      <c r="S357" s="32"/>
      <c r="T357" s="46" t="s">
        <v>163</v>
      </c>
    </row>
    <row r="358" spans="1:21" ht="15.75" thickBot="1">
      <c r="A358" s="792" t="s">
        <v>714</v>
      </c>
      <c r="B358" s="793"/>
      <c r="C358" s="793"/>
      <c r="D358" s="793"/>
      <c r="E358" s="793"/>
      <c r="F358" s="793"/>
      <c r="G358" s="793"/>
      <c r="H358" s="794"/>
      <c r="M358" s="792" t="s">
        <v>228</v>
      </c>
      <c r="N358" s="793"/>
      <c r="O358" s="793"/>
      <c r="P358" s="793"/>
      <c r="Q358" s="793"/>
      <c r="R358" s="793"/>
      <c r="S358" s="793"/>
      <c r="T358" s="794"/>
      <c r="U358" s="882" t="s">
        <v>254</v>
      </c>
    </row>
    <row r="359" spans="1:21" ht="15.75" thickBot="1">
      <c r="A359" s="36" t="s">
        <v>116</v>
      </c>
      <c r="B359" s="36" t="s">
        <v>117</v>
      </c>
      <c r="C359" s="36" t="s">
        <v>162</v>
      </c>
      <c r="D359" s="36" t="s">
        <v>119</v>
      </c>
      <c r="E359" s="36" t="s">
        <v>120</v>
      </c>
      <c r="F359" s="36" t="s">
        <v>692</v>
      </c>
      <c r="G359" s="36" t="s">
        <v>121</v>
      </c>
      <c r="H359" s="36" t="s">
        <v>122</v>
      </c>
      <c r="M359" s="458" t="s">
        <v>116</v>
      </c>
      <c r="N359" s="458" t="s">
        <v>117</v>
      </c>
      <c r="O359" s="458" t="s">
        <v>162</v>
      </c>
      <c r="P359" s="458" t="s">
        <v>119</v>
      </c>
      <c r="Q359" s="458" t="s">
        <v>120</v>
      </c>
      <c r="R359" s="458" t="s">
        <v>692</v>
      </c>
      <c r="S359" s="458" t="s">
        <v>121</v>
      </c>
      <c r="T359" s="458" t="s">
        <v>122</v>
      </c>
      <c r="U359" s="883"/>
    </row>
    <row r="360" spans="1:21" ht="15.75" thickBot="1">
      <c r="A360" s="795"/>
      <c r="B360" s="796"/>
      <c r="C360" s="796"/>
      <c r="D360" s="796"/>
      <c r="E360" s="796"/>
      <c r="F360" s="796"/>
      <c r="G360" s="796"/>
      <c r="H360" s="797"/>
      <c r="M360" s="929"/>
      <c r="N360" s="930"/>
      <c r="O360" s="930"/>
      <c r="P360" s="930"/>
      <c r="Q360" s="930"/>
      <c r="R360" s="930"/>
      <c r="S360" s="930"/>
      <c r="T360" s="931"/>
      <c r="U360" s="883"/>
    </row>
    <row r="361" spans="1:21">
      <c r="A361" s="65">
        <v>0.6</v>
      </c>
      <c r="B361" s="66">
        <v>2</v>
      </c>
      <c r="C361" s="58">
        <f>(((A361+(2*B361))*MATERIALES!$C$57)+((A361+(2*B361))*MATERIALES!$C$55)+(A361*MATERIALES!$C$59)+(((A361*1)+(0.6*2))*MATERIALES!$C$58)+((((A361*4)+(B361*2)+(0.6*4))*MATERIALES!$C$73)*2)+(((A361-0.2)*MATERIALES!$C$30)*((B361-0.36)/0.12)))*(MATERIALES!$F$2*MATERIALES!$J$15)</f>
        <v>0</v>
      </c>
      <c r="D361" s="58">
        <f>(1*MATERIALES!$C$204)+(1*MATERIALES!$C$205)+(3*MATERIALES!$C$207)+(2*MATERIALES!$C$189)+(2*MATERIALES!$C$190)+(2*MATERIALES!$C$191)+(16*MATERIALES!$C$158)+(16*MATERIALES!$C$159)+((A361+(2*B361))*MATERIALES!$C$210)+((A361+(2*B361))*MATERIALES!$C$209)+(((A361*2)*(0.6*6))*MATERIALES!$C$141)+(((A361*2)+(B361*2))*MATERIALES!$C$165)+(0.5*MATERIALES!$C$167)+(2*MATERIALES!$C$187)+(((((A361*4)+(0.6*4)+(B361*2))/0.1)*MATERIALES!$C$192)*2)+(((A361*5)*2)*MATERIALES!$C$147)+(4*MATERIALES!$C$148)</f>
        <v>5427.7708160000002</v>
      </c>
      <c r="E361" s="74"/>
      <c r="F361" s="54">
        <f>(((M319*0.6)*2)*MATERIALES!$D$83)+(12*MATERIALES!$C$229)+(((M319*2)+(0.6*6))*MATERIALES!$C$230)+(((M319*2)+(0.6*6))*MATERIALES!$C$231)+((((M319*2)+(0.6*6))/15)*MATERIALES!$C$232)+((((M319*2)+(0.6*6))/15)*(MATERIALES!$C$233*0.15))</f>
        <v>1647.8841600000001</v>
      </c>
      <c r="G361" s="58">
        <f>SUM(C361:F361)</f>
        <v>7075.6549759999998</v>
      </c>
      <c r="H361" s="67">
        <f>(SUM(C361:E361)*1.3)+(F361*2)</f>
        <v>10351.870380800001</v>
      </c>
      <c r="M361" s="459">
        <v>0.6</v>
      </c>
      <c r="N361" s="460">
        <v>2</v>
      </c>
      <c r="O361" s="461">
        <f>(((M361+(2*N361))*MATERIALES!$C$57)+((M361+(2*N361))*MATERIALES!$C$55)+(M361*MATERIALES!$C$59)+(M361*MATERIALES!$C$58)+(((M361*2)+(N361*2))*MATERIALES!$C$31)+(((M361*2)+(N361))*MATERIALES!$C$32)+(((M361-0.2)*MATERIALES!$C$30)*((N361/3)/0.12))+((((M361*2)+((N361/3)*2))*MATERIALES!$C$73)*2))*(MATERIALES!$F$2*MATERIALES!$J$15)</f>
        <v>0</v>
      </c>
      <c r="P361" s="461">
        <f>(1*MATERIALES!$C$204)+(1*MATERIALES!$C$205)+(3*MATERIALES!$C$207)+(2*MATERIALES!$C$189)+(2*MATERIALES!$C$190)+(2*MATERIALES!$C$191)+(14*MATERIALES!$C$158)+(14*MATERIALES!$C$159)+((M361+(2*N361))*MATERIALES!$C$210)+((M361+(2*N361))*MATERIALES!$C$209)+(((M361*6)+(N361*4))*MATERIALES!$C$166)+(((M361*2)+((N361/3)*2))*MATERIALES!$C$165)+(2*MATERIALES!$C$187)+(((((M361*2)+((N361/3)*2))/0.1)*MATERIALES!$C$192)*2)+(((M361*5)*2)*MATERIALES!$C$147)+(4*MATERIALES!$C$148)</f>
        <v>5056.7608</v>
      </c>
      <c r="Q361" s="461"/>
      <c r="R361" s="462"/>
      <c r="S361" s="461">
        <f>SUM(O361:R361)</f>
        <v>5056.7608</v>
      </c>
      <c r="T361" s="463">
        <f>(SUM(O361:Q361)*1.3)+(R361*2)</f>
        <v>6573.7890400000006</v>
      </c>
      <c r="U361" s="787"/>
    </row>
    <row r="362" spans="1:21">
      <c r="A362" s="68">
        <v>0.7</v>
      </c>
      <c r="B362" s="69">
        <v>2</v>
      </c>
      <c r="C362" s="59">
        <f>(((A362+(2*B362))*MATERIALES!$C$57)+((A362+(2*B362))*MATERIALES!$C$55)+(A362*MATERIALES!$C$59)+(((A362*1)+(0.6*2))*MATERIALES!$C$58)+((((A362*4)+(B362*2)+(0.6*4))*MATERIALES!$C$73)*2)+(((A362-0.2)*MATERIALES!$C$30)*((B362-0.36)/0.12)))*(MATERIALES!$F$2*MATERIALES!$J$15)</f>
        <v>0</v>
      </c>
      <c r="D362" s="59">
        <f>(1*MATERIALES!$C$204)+(1*MATERIALES!$C$205)+(3*MATERIALES!$C$207)+(2*MATERIALES!$C$189)+(2*MATERIALES!$C$190)+(2*MATERIALES!$C$191)+(16*MATERIALES!$C$158)+(16*MATERIALES!$C$159)+((A362+(2*B362))*MATERIALES!$C$210)+((A362+(2*B362))*MATERIALES!$C$209)+(((A362*2)*(0.6*6))*MATERIALES!$C$141)+(((A362*2)+(B362*2))*MATERIALES!$C$165)+(0.5*MATERIALES!$C$167)+(2*MATERIALES!$C$187)+(((((A362*4)+(0.6*4)+(B362*2))/0.1)*MATERIALES!$C$192)*2)+(((A362*5)*2)*MATERIALES!$C$147)+(4*MATERIALES!$C$148)</f>
        <v>5470.7783519999984</v>
      </c>
      <c r="E362" s="75"/>
      <c r="F362" s="55">
        <f>(((M320*0.6)*2)*MATERIALES!$D$83)+(12*MATERIALES!$C$229)+(((M320*2)+(0.6*6))*MATERIALES!$C$230)+(((M320*2)+(0.6*6))*MATERIALES!$C$231)+((((M320*2)+(0.6*6))/15)*MATERIALES!$C$232)+((((M320*2)+(0.6*6))/15)*(MATERIALES!$C$233*0.15))</f>
        <v>1772.3159999999998</v>
      </c>
      <c r="G362" s="59">
        <f t="shared" ref="G362:G368" si="106">SUM(C362:F362)</f>
        <v>7243.0943519999983</v>
      </c>
      <c r="H362" s="70">
        <f t="shared" ref="H362:H368" si="107">(SUM(C362:E362)*1.3)+(F362*2)</f>
        <v>10656.643857599998</v>
      </c>
      <c r="M362" s="464">
        <v>0.7</v>
      </c>
      <c r="N362" s="465">
        <v>2</v>
      </c>
      <c r="O362" s="466">
        <f>(((M362+(2*N362))*MATERIALES!$C$57)+((M362+(2*N362))*MATERIALES!$C$55)+(M362*MATERIALES!$C$59)+(M362*MATERIALES!$C$58)+(((M362*2)+(N362*2))*MATERIALES!$C$31)+(((M362*2)+(N362))*MATERIALES!$C$32)+(((M362-0.2)*MATERIALES!$C$30)*((N362/3)/0.12))+((((M362*2)+((N362/3)*2))*MATERIALES!$C$73)*2))*(MATERIALES!$F$2*MATERIALES!$J$15)</f>
        <v>0</v>
      </c>
      <c r="P362" s="466">
        <f>(1*MATERIALES!$C$204)+(1*MATERIALES!$C$205)+(3*MATERIALES!$C$207)+(2*MATERIALES!$C$189)+(2*MATERIALES!$C$190)+(2*MATERIALES!$C$191)+(14*MATERIALES!$C$158)+(14*MATERIALES!$C$159)+((M362+(2*N362))*MATERIALES!$C$210)+((M362+(2*N362))*MATERIALES!$C$209)+(((M362*6)+(N362*4))*MATERIALES!$C$166)+(((M362*2)+((N362/3)*2))*MATERIALES!$C$165)+(2*MATERIALES!$C$187)+(((((M362*2)+((N362/3)*2))/0.1)*MATERIALES!$C$192)*2)+(((M362*5)*2)*MATERIALES!$C$147)+(4*MATERIALES!$C$148)</f>
        <v>5086.9675999999981</v>
      </c>
      <c r="Q362" s="466"/>
      <c r="R362" s="467"/>
      <c r="S362" s="466">
        <f t="shared" ref="S362:S368" si="108">SUM(O362:R362)</f>
        <v>5086.9675999999981</v>
      </c>
      <c r="T362" s="468">
        <f t="shared" ref="T362:T368" si="109">(SUM(O362:Q362)*1.3)+(R362*2)</f>
        <v>6613.0578799999976</v>
      </c>
      <c r="U362" s="787"/>
    </row>
    <row r="363" spans="1:21">
      <c r="A363" s="68">
        <v>0.8</v>
      </c>
      <c r="B363" s="69">
        <v>2</v>
      </c>
      <c r="C363" s="59">
        <f>(((A363+(2*B363))*MATERIALES!$C$57)+((A363+(2*B363))*MATERIALES!$C$55)+(A363*MATERIALES!$C$59)+(((A363*1)+(0.6*2))*MATERIALES!$C$58)+((((A363*4)+(B363*2)+(0.6*4))*MATERIALES!$C$73)*2)+(((A363-0.2)*MATERIALES!$C$30)*((B363-0.36)/0.12)))*(MATERIALES!$F$2*MATERIALES!$J$15)</f>
        <v>0</v>
      </c>
      <c r="D363" s="59">
        <f>(1*MATERIALES!$C$204)+(1*MATERIALES!$C$205)+(3*MATERIALES!$C$207)+(2*MATERIALES!$C$189)+(2*MATERIALES!$C$190)+(2*MATERIALES!$C$191)+(16*MATERIALES!$C$158)+(16*MATERIALES!$C$159)+((A363+(2*B363))*MATERIALES!$C$210)+((A363+(2*B363))*MATERIALES!$C$209)+(((A363*2)*(0.6*6))*MATERIALES!$C$141)+(((A363*2)+(B363*2))*MATERIALES!$C$165)+(0.5*MATERIALES!$C$167)+(2*MATERIALES!$C$187)+(((((A363*4)+(0.6*4)+(B363*2))/0.1)*MATERIALES!$C$192)*2)+(((A363*5)*2)*MATERIALES!$C$147)+(4*MATERIALES!$C$148)</f>
        <v>5513.7858880000003</v>
      </c>
      <c r="E363" s="75"/>
      <c r="F363" s="55">
        <f>(((M321*0.6)*2)*MATERIALES!$D$83)+(12*MATERIALES!$C$229)+(((M321*2)+(0.6*6))*MATERIALES!$C$230)+(((M321*2)+(0.6*6))*MATERIALES!$C$231)+((((M321*2)+(0.6*6))/15)*MATERIALES!$C$232)+((((M321*2)+(0.6*6))/15)*(MATERIALES!$C$233*0.15))</f>
        <v>1896.7478399999998</v>
      </c>
      <c r="G363" s="59">
        <f t="shared" si="106"/>
        <v>7410.5337280000003</v>
      </c>
      <c r="H363" s="70">
        <f t="shared" si="107"/>
        <v>10961.417334400001</v>
      </c>
      <c r="M363" s="464">
        <v>0.8</v>
      </c>
      <c r="N363" s="465">
        <v>2</v>
      </c>
      <c r="O363" s="466">
        <f>(((M363+(2*N363))*MATERIALES!$C$57)+((M363+(2*N363))*MATERIALES!$C$55)+(M363*MATERIALES!$C$59)+(M363*MATERIALES!$C$58)+(((M363*2)+(N363*2))*MATERIALES!$C$31)+(((M363*2)+(N363))*MATERIALES!$C$32)+(((M363-0.2)*MATERIALES!$C$30)*((N363/3)/0.12))+((((M363*2)+((N363/3)*2))*MATERIALES!$C$73)*2))*(MATERIALES!$F$2*MATERIALES!$J$15)</f>
        <v>0</v>
      </c>
      <c r="P363" s="466">
        <f>(1*MATERIALES!$C$204)+(1*MATERIALES!$C$205)+(3*MATERIALES!$C$207)+(2*MATERIALES!$C$189)+(2*MATERIALES!$C$190)+(2*MATERIALES!$C$191)+(14*MATERIALES!$C$158)+(14*MATERIALES!$C$159)+((M363+(2*N363))*MATERIALES!$C$210)+((M363+(2*N363))*MATERIALES!$C$209)+(((M363*6)+(N363*4))*MATERIALES!$C$166)+(((M363*2)+((N363/3)*2))*MATERIALES!$C$165)+(2*MATERIALES!$C$187)+(((((M363*2)+((N363/3)*2))/0.1)*MATERIALES!$C$192)*2)+(((M363*5)*2)*MATERIALES!$C$147)+(4*MATERIALES!$C$148)</f>
        <v>5117.1743999999999</v>
      </c>
      <c r="Q363" s="466"/>
      <c r="R363" s="467"/>
      <c r="S363" s="466">
        <f t="shared" si="108"/>
        <v>5117.1743999999999</v>
      </c>
      <c r="T363" s="468">
        <f t="shared" si="109"/>
        <v>6652.32672</v>
      </c>
      <c r="U363" s="787"/>
    </row>
    <row r="364" spans="1:21">
      <c r="A364" s="68">
        <v>0.9</v>
      </c>
      <c r="B364" s="69">
        <v>2</v>
      </c>
      <c r="C364" s="59">
        <f>(((A364+(2*B364))*MATERIALES!$C$57)+((A364+(2*B364))*MATERIALES!$C$55)+(A364*MATERIALES!$C$59)+(((A364*1)+(0.6*2))*MATERIALES!$C$58)+((((A364*4)+(B364*2)+(0.6*4))*MATERIALES!$C$73)*2)+(((A364-0.2)*MATERIALES!$C$30)*((B364-0.36)/0.12)))*(MATERIALES!$F$2*MATERIALES!$J$15)</f>
        <v>0</v>
      </c>
      <c r="D364" s="59">
        <f>(1*MATERIALES!$C$204)+(1*MATERIALES!$C$205)+(3*MATERIALES!$C$207)+(2*MATERIALES!$C$189)+(2*MATERIALES!$C$190)+(2*MATERIALES!$C$191)+(16*MATERIALES!$C$158)+(16*MATERIALES!$C$159)+((A364+(2*B364))*MATERIALES!$C$210)+((A364+(2*B364))*MATERIALES!$C$209)+(((A364*2)*(0.6*6))*MATERIALES!$C$141)+(((A364*2)+(B364*2))*MATERIALES!$C$165)+(0.5*MATERIALES!$C$167)+(2*MATERIALES!$C$187)+(((((A364*4)+(0.6*4)+(B364*2))/0.1)*MATERIALES!$C$192)*2)+(((A364*5)*2)*MATERIALES!$C$147)+(4*MATERIALES!$C$148)</f>
        <v>5556.7934240000004</v>
      </c>
      <c r="E364" s="75"/>
      <c r="F364" s="55">
        <f>(((M322*0.6)*2)*MATERIALES!$D$83)+(12*MATERIALES!$C$229)+(((M322*2)+(0.6*6))*MATERIALES!$C$230)+(((M322*2)+(0.6*6))*MATERIALES!$C$231)+((((M322*2)+(0.6*6))/15)*MATERIALES!$C$232)+((((M322*2)+(0.6*6))/15)*(MATERIALES!$C$233*0.15))</f>
        <v>2021.17968</v>
      </c>
      <c r="G364" s="59">
        <f t="shared" si="106"/>
        <v>7577.9731040000006</v>
      </c>
      <c r="H364" s="70">
        <f t="shared" si="107"/>
        <v>11266.1908112</v>
      </c>
      <c r="M364" s="464">
        <v>0.9</v>
      </c>
      <c r="N364" s="465">
        <v>2</v>
      </c>
      <c r="O364" s="466">
        <f>(((M364+(2*N364))*MATERIALES!$C$57)+((M364+(2*N364))*MATERIALES!$C$55)+(M364*MATERIALES!$C$59)+(M364*MATERIALES!$C$58)+(((M364*2)+(N364*2))*MATERIALES!$C$31)+(((M364*2)+(N364))*MATERIALES!$C$32)+(((M364-0.2)*MATERIALES!$C$30)*((N364/3)/0.12))+((((M364*2)+((N364/3)*2))*MATERIALES!$C$73)*2))*(MATERIALES!$F$2*MATERIALES!$J$15)</f>
        <v>0</v>
      </c>
      <c r="P364" s="466">
        <f>(1*MATERIALES!$C$204)+(1*MATERIALES!$C$205)+(3*MATERIALES!$C$207)+(2*MATERIALES!$C$189)+(2*MATERIALES!$C$190)+(2*MATERIALES!$C$191)+(14*MATERIALES!$C$158)+(14*MATERIALES!$C$159)+((M364+(2*N364))*MATERIALES!$C$210)+((M364+(2*N364))*MATERIALES!$C$209)+(((M364*6)+(N364*4))*MATERIALES!$C$166)+(((M364*2)+((N364/3)*2))*MATERIALES!$C$165)+(2*MATERIALES!$C$187)+(((((M364*2)+((N364/3)*2))/0.1)*MATERIALES!$C$192)*2)+(((M364*5)*2)*MATERIALES!$C$147)+(4*MATERIALES!$C$148)</f>
        <v>5147.3811999999998</v>
      </c>
      <c r="Q364" s="466"/>
      <c r="R364" s="467"/>
      <c r="S364" s="466">
        <f t="shared" si="108"/>
        <v>5147.3811999999998</v>
      </c>
      <c r="T364" s="468">
        <f t="shared" si="109"/>
        <v>6691.5955599999998</v>
      </c>
      <c r="U364" s="787"/>
    </row>
    <row r="365" spans="1:21">
      <c r="A365" s="68">
        <v>0.6</v>
      </c>
      <c r="B365" s="69">
        <v>2.1</v>
      </c>
      <c r="C365" s="59">
        <f>(((A365+(2*B365))*MATERIALES!$C$57)+((A365+(2*B365))*MATERIALES!$C$55)+(A365*MATERIALES!$C$59)+(((A365*1)+(0.6*2))*MATERIALES!$C$58)+((((A365*4)+(B365*2)+(0.6*4))*MATERIALES!$C$73)*2)+(((A365-0.2)*MATERIALES!$C$30)*((B365-0.36)/0.12)))*(MATERIALES!$F$2*MATERIALES!$J$15)</f>
        <v>0</v>
      </c>
      <c r="D365" s="59">
        <f>(1*MATERIALES!$C$204)+(1*MATERIALES!$C$205)+(3*MATERIALES!$C$207)+(2*MATERIALES!$C$189)+(2*MATERIALES!$C$190)+(2*MATERIALES!$C$191)+(16*MATERIALES!$C$158)+(16*MATERIALES!$C$159)+((A365+(2*B365))*MATERIALES!$C$210)+((A365+(2*B365))*MATERIALES!$C$209)+(((A365*2)*(0.6*6))*MATERIALES!$C$141)+(((A365*2)+(B365*2))*MATERIALES!$C$165)+(0.5*MATERIALES!$C$167)+(2*MATERIALES!$C$187)+(((((A365*4)+(0.6*4)+(B365*2))/0.1)*MATERIALES!$C$192)*2)+(((A365*5)*2)*MATERIALES!$C$147)+(4*MATERIALES!$C$148)</f>
        <v>5452.5789759999998</v>
      </c>
      <c r="E365" s="75"/>
      <c r="F365" s="55">
        <f>(((M323*0.6)*2)*MATERIALES!$D$83)+(12*MATERIALES!$C$229)+(((M323*2)+(0.6*6))*MATERIALES!$C$230)+(((M323*2)+(0.6*6))*MATERIALES!$C$231)+((((M323*2)+(0.6*6))/15)*MATERIALES!$C$232)+((((M323*2)+(0.6*6))/15)*(MATERIALES!$C$233*0.15))</f>
        <v>1647.8841600000001</v>
      </c>
      <c r="G365" s="59">
        <f t="shared" si="106"/>
        <v>7100.4631360000003</v>
      </c>
      <c r="H365" s="70">
        <f t="shared" si="107"/>
        <v>10384.120988800001</v>
      </c>
      <c r="M365" s="464">
        <v>0.6</v>
      </c>
      <c r="N365" s="465">
        <v>2.1</v>
      </c>
      <c r="O365" s="466">
        <f>(((M365+(2*N365))*MATERIALES!$C$57)+((M365+(2*N365))*MATERIALES!$C$55)+(M365*MATERIALES!$C$59)+(M365*MATERIALES!$C$58)+(((M365*2)+(N365*2))*MATERIALES!$C$31)+(((M365*2)+(N365))*MATERIALES!$C$32)+(((M365-0.2)*MATERIALES!$C$30)*((N365/3)/0.12))+((((M365*2)+((N365/3)*2))*MATERIALES!$C$73)*2))*(MATERIALES!$F$2*MATERIALES!$J$15)</f>
        <v>0</v>
      </c>
      <c r="P365" s="466">
        <f>(1*MATERIALES!$C$204)+(1*MATERIALES!$C$205)+(3*MATERIALES!$C$207)+(2*MATERIALES!$C$189)+(2*MATERIALES!$C$190)+(2*MATERIALES!$C$191)+(14*MATERIALES!$C$158)+(14*MATERIALES!$C$159)+((M365+(2*N365))*MATERIALES!$C$210)+((M365+(2*N365))*MATERIALES!$C$209)+(((M365*6)+(N365*4))*MATERIALES!$C$166)+(((M365*2)+((N365/3)*2))*MATERIALES!$C$165)+(2*MATERIALES!$C$187)+(((((M365*2)+((N365/3)*2))/0.1)*MATERIALES!$C$192)*2)+(((M365*5)*2)*MATERIALES!$C$147)+(4*MATERIALES!$C$148)</f>
        <v>5080.4332799999993</v>
      </c>
      <c r="Q365" s="466"/>
      <c r="R365" s="467"/>
      <c r="S365" s="466">
        <f t="shared" si="108"/>
        <v>5080.4332799999993</v>
      </c>
      <c r="T365" s="468">
        <f t="shared" si="109"/>
        <v>6604.5632639999994</v>
      </c>
      <c r="U365" s="787"/>
    </row>
    <row r="366" spans="1:21">
      <c r="A366" s="68">
        <v>0.7</v>
      </c>
      <c r="B366" s="69">
        <v>2.1</v>
      </c>
      <c r="C366" s="59">
        <f>(((A366+(2*B366))*MATERIALES!$C$57)+((A366+(2*B366))*MATERIALES!$C$55)+(A366*MATERIALES!$C$59)+(((A366*1)+(0.6*2))*MATERIALES!$C$58)+((((A366*4)+(B366*2)+(0.6*4))*MATERIALES!$C$73)*2)+(((A366-0.2)*MATERIALES!$C$30)*((B366-0.36)/0.12)))*(MATERIALES!$F$2*MATERIALES!$J$15)</f>
        <v>0</v>
      </c>
      <c r="D366" s="59">
        <f>(1*MATERIALES!$C$204)+(1*MATERIALES!$C$205)+(3*MATERIALES!$C$207)+(2*MATERIALES!$C$189)+(2*MATERIALES!$C$190)+(2*MATERIALES!$C$191)+(16*MATERIALES!$C$158)+(16*MATERIALES!$C$159)+((A366+(2*B366))*MATERIALES!$C$210)+((A366+(2*B366))*MATERIALES!$C$209)+(((A366*2)*(0.6*6))*MATERIALES!$C$141)+(((A366*2)+(B366*2))*MATERIALES!$C$165)+(0.5*MATERIALES!$C$167)+(2*MATERIALES!$C$187)+(((((A366*4)+(0.6*4)+(B366*2))/0.1)*MATERIALES!$C$192)*2)+(((A366*5)*2)*MATERIALES!$C$147)+(4*MATERIALES!$C$148)</f>
        <v>5495.5865119999999</v>
      </c>
      <c r="E366" s="75"/>
      <c r="F366" s="55">
        <f>(((M324*0.6)*2)*MATERIALES!$D$83)+(12*MATERIALES!$C$229)+(((M324*2)+(0.6*6))*MATERIALES!$C$230)+(((M324*2)+(0.6*6))*MATERIALES!$C$231)+((((M324*2)+(0.6*6))/15)*MATERIALES!$C$232)+((((M324*2)+(0.6*6))/15)*(MATERIALES!$C$233*0.15))</f>
        <v>1772.3159999999998</v>
      </c>
      <c r="G366" s="59">
        <f t="shared" si="106"/>
        <v>7267.9025119999997</v>
      </c>
      <c r="H366" s="70">
        <f t="shared" si="107"/>
        <v>10688.894465599999</v>
      </c>
      <c r="M366" s="464">
        <v>0.7</v>
      </c>
      <c r="N366" s="465">
        <v>2.1</v>
      </c>
      <c r="O366" s="466">
        <f>(((M366+(2*N366))*MATERIALES!$C$57)+((M366+(2*N366))*MATERIALES!$C$55)+(M366*MATERIALES!$C$59)+(M366*MATERIALES!$C$58)+(((M366*2)+(N366*2))*MATERIALES!$C$31)+(((M366*2)+(N366))*MATERIALES!$C$32)+(((M366-0.2)*MATERIALES!$C$30)*((N366/3)/0.12))+((((M366*2)+((N366/3)*2))*MATERIALES!$C$73)*2))*(MATERIALES!$F$2*MATERIALES!$J$15)</f>
        <v>0</v>
      </c>
      <c r="P366" s="466">
        <f>(1*MATERIALES!$C$204)+(1*MATERIALES!$C$205)+(3*MATERIALES!$C$207)+(2*MATERIALES!$C$189)+(2*MATERIALES!$C$190)+(2*MATERIALES!$C$191)+(14*MATERIALES!$C$158)+(14*MATERIALES!$C$159)+((M366+(2*N366))*MATERIALES!$C$210)+((M366+(2*N366))*MATERIALES!$C$209)+(((M366*6)+(N366*4))*MATERIALES!$C$166)+(((M366*2)+((N366/3)*2))*MATERIALES!$C$165)+(2*MATERIALES!$C$187)+(((((M366*2)+((N366/3)*2))/0.1)*MATERIALES!$C$192)*2)+(((M366*5)*2)*MATERIALES!$C$147)+(4*MATERIALES!$C$148)</f>
        <v>5110.6400800000001</v>
      </c>
      <c r="Q366" s="466"/>
      <c r="R366" s="467"/>
      <c r="S366" s="466">
        <f t="shared" si="108"/>
        <v>5110.6400800000001</v>
      </c>
      <c r="T366" s="468">
        <f t="shared" si="109"/>
        <v>6643.8321040000001</v>
      </c>
      <c r="U366" s="787"/>
    </row>
    <row r="367" spans="1:21">
      <c r="A367" s="68">
        <v>0.8</v>
      </c>
      <c r="B367" s="69">
        <v>2.1</v>
      </c>
      <c r="C367" s="59">
        <f>(((A367+(2*B367))*MATERIALES!$C$57)+((A367+(2*B367))*MATERIALES!$C$55)+(A367*MATERIALES!$C$59)+(((A367*1)+(0.6*2))*MATERIALES!$C$58)+((((A367*4)+(B367*2)+(0.6*4))*MATERIALES!$C$73)*2)+(((A367-0.2)*MATERIALES!$C$30)*((B367-0.36)/0.12)))*(MATERIALES!$F$2*MATERIALES!$J$15)</f>
        <v>0</v>
      </c>
      <c r="D367" s="59">
        <f>(1*MATERIALES!$C$204)+(1*MATERIALES!$C$205)+(3*MATERIALES!$C$207)+(2*MATERIALES!$C$189)+(2*MATERIALES!$C$190)+(2*MATERIALES!$C$191)+(16*MATERIALES!$C$158)+(16*MATERIALES!$C$159)+((A367+(2*B367))*MATERIALES!$C$210)+((A367+(2*B367))*MATERIALES!$C$209)+(((A367*2)*(0.6*6))*MATERIALES!$C$141)+(((A367*2)+(B367*2))*MATERIALES!$C$165)+(0.5*MATERIALES!$C$167)+(2*MATERIALES!$C$187)+(((((A367*4)+(0.6*4)+(B367*2))/0.1)*MATERIALES!$C$192)*2)+(((A367*5)*2)*MATERIALES!$C$147)+(4*MATERIALES!$C$148)</f>
        <v>5538.5940479999999</v>
      </c>
      <c r="E367" s="75"/>
      <c r="F367" s="55">
        <f>(((M325*0.6)*2)*MATERIALES!$D$83)+(12*MATERIALES!$C$229)+(((M325*2)+(0.6*6))*MATERIALES!$C$230)+(((M325*2)+(0.6*6))*MATERIALES!$C$231)+((((M325*2)+(0.6*6))/15)*MATERIALES!$C$232)+((((M325*2)+(0.6*6))/15)*(MATERIALES!$C$233*0.15))</f>
        <v>1896.7478399999998</v>
      </c>
      <c r="G367" s="59">
        <f t="shared" si="106"/>
        <v>7435.3418879999999</v>
      </c>
      <c r="H367" s="70">
        <f t="shared" si="107"/>
        <v>10993.667942399999</v>
      </c>
      <c r="M367" s="464">
        <v>0.8</v>
      </c>
      <c r="N367" s="465">
        <v>2.1</v>
      </c>
      <c r="O367" s="466">
        <f>(((M367+(2*N367))*MATERIALES!$C$57)+((M367+(2*N367))*MATERIALES!$C$55)+(M367*MATERIALES!$C$59)+(M367*MATERIALES!$C$58)+(((M367*2)+(N367*2))*MATERIALES!$C$31)+(((M367*2)+(N367))*MATERIALES!$C$32)+(((M367-0.2)*MATERIALES!$C$30)*((N367/3)/0.12))+((((M367*2)+((N367/3)*2))*MATERIALES!$C$73)*2))*(MATERIALES!$F$2*MATERIALES!$J$15)</f>
        <v>0</v>
      </c>
      <c r="P367" s="466">
        <f>(1*MATERIALES!$C$204)+(1*MATERIALES!$C$205)+(3*MATERIALES!$C$207)+(2*MATERIALES!$C$189)+(2*MATERIALES!$C$190)+(2*MATERIALES!$C$191)+(14*MATERIALES!$C$158)+(14*MATERIALES!$C$159)+((M367+(2*N367))*MATERIALES!$C$210)+((M367+(2*N367))*MATERIALES!$C$209)+(((M367*6)+(N367*4))*MATERIALES!$C$166)+(((M367*2)+((N367/3)*2))*MATERIALES!$C$165)+(2*MATERIALES!$C$187)+(((((M367*2)+((N367/3)*2))/0.1)*MATERIALES!$C$192)*2)+(((M367*5)*2)*MATERIALES!$C$147)+(4*MATERIALES!$C$148)</f>
        <v>5140.8468800000001</v>
      </c>
      <c r="Q367" s="466"/>
      <c r="R367" s="467"/>
      <c r="S367" s="466">
        <f t="shared" si="108"/>
        <v>5140.8468800000001</v>
      </c>
      <c r="T367" s="468">
        <f t="shared" si="109"/>
        <v>6683.1009440000007</v>
      </c>
      <c r="U367" s="787"/>
    </row>
    <row r="368" spans="1:21" ht="15.75" thickBot="1">
      <c r="A368" s="71">
        <v>0.9</v>
      </c>
      <c r="B368" s="72">
        <v>2.1</v>
      </c>
      <c r="C368" s="60">
        <f>(((A368+(2*B368))*MATERIALES!$C$57)+((A368+(2*B368))*MATERIALES!$C$55)+(A368*MATERIALES!$C$59)+(((A368*1)+(0.6*2))*MATERIALES!$C$58)+((((A368*4)+(B368*2)+(0.6*4))*MATERIALES!$C$73)*2)+(((A368-0.2)*MATERIALES!$C$30)*((B368-0.36)/0.12)))*(MATERIALES!$F$2*MATERIALES!$J$15)</f>
        <v>0</v>
      </c>
      <c r="D368" s="60">
        <f>(1*MATERIALES!$C$204)+(1*MATERIALES!$C$205)+(3*MATERIALES!$C$207)+(2*MATERIALES!$C$189)+(2*MATERIALES!$C$190)+(2*MATERIALES!$C$191)+(16*MATERIALES!$C$158)+(16*MATERIALES!$C$159)+((A368+(2*B368))*MATERIALES!$C$210)+((A368+(2*B368))*MATERIALES!$C$209)+(((A368*2)*(0.6*6))*MATERIALES!$C$141)+(((A368*2)+(B368*2))*MATERIALES!$C$165)+(0.5*MATERIALES!$C$167)+(2*MATERIALES!$C$187)+(((((A368*4)+(0.6*4)+(B368*2))/0.1)*MATERIALES!$C$192)*2)+(((A368*5)*2)*MATERIALES!$C$147)+(4*MATERIALES!$C$148)</f>
        <v>5581.6015839999991</v>
      </c>
      <c r="E368" s="76"/>
      <c r="F368" s="56">
        <f>(((M326*0.6)*2)*MATERIALES!$D$83)+(12*MATERIALES!$C$229)+(((M326*2)+(0.6*6))*MATERIALES!$C$230)+(((M326*2)+(0.6*6))*MATERIALES!$C$231)+((((M326*2)+(0.6*6))/15)*MATERIALES!$C$232)+((((M326*2)+(0.6*6))/15)*(MATERIALES!$C$233*0.15))</f>
        <v>2021.17968</v>
      </c>
      <c r="G368" s="60">
        <f t="shared" si="106"/>
        <v>7602.7812639999993</v>
      </c>
      <c r="H368" s="73">
        <f t="shared" si="107"/>
        <v>11298.441419199999</v>
      </c>
      <c r="M368" s="469">
        <v>0.9</v>
      </c>
      <c r="N368" s="470">
        <v>2.1</v>
      </c>
      <c r="O368" s="471">
        <f>(((M368+(2*N368))*MATERIALES!$C$57)+((M368+(2*N368))*MATERIALES!$C$55)+(M368*MATERIALES!$C$59)+(M368*MATERIALES!$C$58)+(((M368*2)+(N368*2))*MATERIALES!$C$31)+(((M368*2)+(N368))*MATERIALES!$C$32)+(((M368-0.2)*MATERIALES!$C$30)*((N368/3)/0.12))+((((M368*2)+((N368/3)*2))*MATERIALES!$C$73)*2))*(MATERIALES!$F$2*MATERIALES!$J$15)</f>
        <v>0</v>
      </c>
      <c r="P368" s="471">
        <f>(1*MATERIALES!$C$204)+(1*MATERIALES!$C$205)+(3*MATERIALES!$C$207)+(2*MATERIALES!$C$189)+(2*MATERIALES!$C$190)+(2*MATERIALES!$C$191)+(14*MATERIALES!$C$158)+(14*MATERIALES!$C$159)+((M368+(2*N368))*MATERIALES!$C$210)+((M368+(2*N368))*MATERIALES!$C$209)+(((M368*6)+(N368*4))*MATERIALES!$C$166)+(((M368*2)+((N368/3)*2))*MATERIALES!$C$165)+(2*MATERIALES!$C$187)+(((((M368*2)+((N368/3)*2))/0.1)*MATERIALES!$C$192)*2)+(((M368*5)*2)*MATERIALES!$C$147)+(4*MATERIALES!$C$148)</f>
        <v>5171.0536799999991</v>
      </c>
      <c r="Q368" s="471"/>
      <c r="R368" s="472"/>
      <c r="S368" s="471">
        <f t="shared" si="108"/>
        <v>5171.0536799999991</v>
      </c>
      <c r="T368" s="473">
        <f t="shared" si="109"/>
        <v>6722.3697839999986</v>
      </c>
      <c r="U368" s="788"/>
    </row>
    <row r="370" spans="1:21" ht="15.75" thickBot="1">
      <c r="C370" s="78"/>
      <c r="O370" s="78"/>
    </row>
    <row r="371" spans="1:21" ht="15.75" thickBot="1">
      <c r="A371" s="32"/>
      <c r="B371" s="32"/>
      <c r="C371" s="801">
        <v>0.3</v>
      </c>
      <c r="D371" s="802"/>
      <c r="E371" s="803"/>
      <c r="F371" s="61">
        <v>1</v>
      </c>
      <c r="G371" s="32"/>
      <c r="H371" s="46" t="s">
        <v>163</v>
      </c>
      <c r="M371" s="32"/>
      <c r="N371" s="32"/>
      <c r="O371" s="801">
        <v>0.3</v>
      </c>
      <c r="P371" s="802"/>
      <c r="Q371" s="803"/>
      <c r="R371" s="61">
        <v>1</v>
      </c>
      <c r="S371" s="32"/>
      <c r="T371" s="46" t="s">
        <v>163</v>
      </c>
    </row>
    <row r="372" spans="1:21" ht="15.75" thickBot="1">
      <c r="A372" s="792" t="s">
        <v>230</v>
      </c>
      <c r="B372" s="793"/>
      <c r="C372" s="793"/>
      <c r="D372" s="793"/>
      <c r="E372" s="793"/>
      <c r="F372" s="793"/>
      <c r="G372" s="793"/>
      <c r="H372" s="794"/>
      <c r="I372" s="882" t="s">
        <v>255</v>
      </c>
      <c r="M372" s="792" t="s">
        <v>229</v>
      </c>
      <c r="N372" s="793"/>
      <c r="O372" s="793"/>
      <c r="P372" s="793"/>
      <c r="Q372" s="793"/>
      <c r="R372" s="793"/>
      <c r="S372" s="793"/>
      <c r="T372" s="794"/>
      <c r="U372" s="882" t="s">
        <v>255</v>
      </c>
    </row>
    <row r="373" spans="1:21" ht="15.75" thickBot="1">
      <c r="A373" s="458" t="s">
        <v>116</v>
      </c>
      <c r="B373" s="458" t="s">
        <v>117</v>
      </c>
      <c r="C373" s="458" t="s">
        <v>162</v>
      </c>
      <c r="D373" s="458" t="s">
        <v>119</v>
      </c>
      <c r="E373" s="458" t="s">
        <v>120</v>
      </c>
      <c r="F373" s="458" t="s">
        <v>692</v>
      </c>
      <c r="G373" s="458" t="s">
        <v>121</v>
      </c>
      <c r="H373" s="458" t="s">
        <v>122</v>
      </c>
      <c r="I373" s="883"/>
      <c r="M373" s="458" t="s">
        <v>116</v>
      </c>
      <c r="N373" s="458" t="s">
        <v>117</v>
      </c>
      <c r="O373" s="458" t="s">
        <v>162</v>
      </c>
      <c r="P373" s="458" t="s">
        <v>119</v>
      </c>
      <c r="Q373" s="458" t="s">
        <v>120</v>
      </c>
      <c r="R373" s="458" t="s">
        <v>692</v>
      </c>
      <c r="S373" s="458" t="s">
        <v>121</v>
      </c>
      <c r="T373" s="458" t="s">
        <v>122</v>
      </c>
      <c r="U373" s="883"/>
    </row>
    <row r="374" spans="1:21" ht="15.75" thickBot="1">
      <c r="A374" s="929"/>
      <c r="B374" s="930"/>
      <c r="C374" s="930"/>
      <c r="D374" s="930"/>
      <c r="E374" s="930"/>
      <c r="F374" s="930"/>
      <c r="G374" s="930"/>
      <c r="H374" s="931"/>
      <c r="I374" s="883"/>
      <c r="M374" s="929"/>
      <c r="N374" s="930"/>
      <c r="O374" s="930"/>
      <c r="P374" s="930"/>
      <c r="Q374" s="930"/>
      <c r="R374" s="930"/>
      <c r="S374" s="930"/>
      <c r="T374" s="931"/>
      <c r="U374" s="883"/>
    </row>
    <row r="375" spans="1:21">
      <c r="A375" s="459">
        <v>0.6</v>
      </c>
      <c r="B375" s="460">
        <v>2</v>
      </c>
      <c r="C375" s="461">
        <f>(((A375+(2*B375))*MATERIALES!$C$57)+((A375+(2*B375))*MATERIALES!$C$55)+(A375*MATERIALES!$C$59)+((A375*1)*MATERIALES!$C$58)+((((A375*2)+(B375*2))*MATERIALES!$C$73)*2)+(((A375*2)+(0.6*2))*MATERIALES!$C$31)+((A375+0.6)*MATERIALES!$C$32)+(((A375-0.2)*MATERIALES!$C$30)*((B375-0.36)/0.12)))*(MATERIALES!$F$2*MATERIALES!$J$15)</f>
        <v>0</v>
      </c>
      <c r="D375" s="461">
        <f>(1*MATERIALES!$C$204)+(1*MATERIALES!$C$205)+(3*MATERIALES!$C$207)+(2*MATERIALES!$C$189)+(2*MATERIALES!$C$190)+(2*MATERIALES!$C$191)+(12*MATERIALES!$C$158)+(12*MATERIALES!$C$159)+((A375+(2*B375))*MATERIALES!$C$210)+((A375+(2*B375))*MATERIALES!$C$209)+(((A375*2)+(B375*2))*MATERIALES!$C$165)+(((A375*4)+(0.6*4))*MATERIALES!$C$166)+(0.5*MATERIALES!$C$167)+(((((A375*2)+(B375*2))/0.1)*MATERIALES!$C$192)*2)+(2*MATERIALES!$C$187)+(((A375*5)*2)*MATERIALES!$C$147)+(4*MATERIALES!$C$148)</f>
        <v>5208.415680000001</v>
      </c>
      <c r="E375" s="461"/>
      <c r="F375" s="462"/>
      <c r="G375" s="461">
        <f>SUM(C375:F375)</f>
        <v>5208.415680000001</v>
      </c>
      <c r="H375" s="463">
        <f>(SUM(C375:E375)*1.3)+(F375*2)</f>
        <v>6770.9403840000014</v>
      </c>
      <c r="I375" s="787"/>
      <c r="M375" s="459">
        <v>0.6</v>
      </c>
      <c r="N375" s="460">
        <v>2</v>
      </c>
      <c r="O375" s="461">
        <f>(((M375+(2*N375))*MATERIALES!$C$57)+((M375+(2*N375))*MATERIALES!$C$55)+(M375*MATERIALES!$C$59)+(M375*MATERIALES!$C$58)+(((M375-0.2)*MATERIALES!$C$30)*((N375/2)/0.12))+((((M375*2)+(N375*1))*MATERIALES!$C$73)*2)+(((M375*2)+(N375*1))*MATERIALES!$C$31)+((M375+(N375/2))*MATERIALES!$C$32))*(MATERIALES!$F$2*MATERIALES!$J$15)</f>
        <v>0</v>
      </c>
      <c r="P375" s="461">
        <f>(1*MATERIALES!$C$204)+(1*MATERIALES!$C$205)+(3*MATERIALES!$C$207)+(2*MATERIALES!$C$189)+(2*MATERIALES!$C$190)+(2*MATERIALES!$C$191)+(12*MATERIALES!$C$158)+(12*MATERIALES!$C$159)+((M375+(2*N375))*MATERIALES!$C$210)+((M375+(2*N375))*MATERIALES!$C$209)+(((M375*2)+(N375*1))*MATERIALES!$C$165)+(((M375*4)+(N375*4))*MATERIALES!$C$166)+(((((M375*2)+(N375*1))/0.1)*MATERIALES!$C$192)*2)+(2*MATERIALES!$C$187)+(0.5*MATERIALES!$C$167)+(((M375*5)*2)*MATERIALES!$C$147)+(4*MATERIALES!$C$148)</f>
        <v>5183.8467200000005</v>
      </c>
      <c r="Q375" s="461"/>
      <c r="R375" s="462"/>
      <c r="S375" s="461">
        <f>SUM(O375:R375)</f>
        <v>5183.8467200000005</v>
      </c>
      <c r="T375" s="463">
        <f>(SUM(O375:Q375)*1.3)+(R375*2)</f>
        <v>6739.0007360000009</v>
      </c>
      <c r="U375" s="787"/>
    </row>
    <row r="376" spans="1:21">
      <c r="A376" s="464">
        <v>0.7</v>
      </c>
      <c r="B376" s="465">
        <v>2</v>
      </c>
      <c r="C376" s="466">
        <f>(((A376+(2*B376))*MATERIALES!$C$57)+((A376+(2*B376))*MATERIALES!$C$55)+(A376*MATERIALES!$C$59)+((A376*1)*MATERIALES!$C$58)+((((A376*2)+(B376*2))*MATERIALES!$C$73)*2)+(((A376*2)+(0.6*2))*MATERIALES!$C$31)+((A376+0.6)*MATERIALES!$C$32)+(((A376-0.2)*MATERIALES!$C$30)*((B376-0.36)/0.12)))*(MATERIALES!$F$2*MATERIALES!$J$15)</f>
        <v>0</v>
      </c>
      <c r="D376" s="466">
        <f>(1*MATERIALES!$C$204)+(1*MATERIALES!$C$205)+(3*MATERIALES!$C$207)+(2*MATERIALES!$C$189)+(2*MATERIALES!$C$190)+(2*MATERIALES!$C$191)+(12*MATERIALES!$C$158)+(12*MATERIALES!$C$159)+((A376+(2*B376))*MATERIALES!$C$210)+((A376+(2*B376))*MATERIALES!$C$209)+(((A376*2)+(B376*2))*MATERIALES!$C$165)+(((A376*4)+(0.6*4))*MATERIALES!$C$166)+(0.5*MATERIALES!$C$167)+(((((A376*2)+(B376*2))/0.1)*MATERIALES!$C$192)*2)+(2*MATERIALES!$C$187)+(((A376*5)*2)*MATERIALES!$C$147)+(4*MATERIALES!$C$148)</f>
        <v>5234.855599999999</v>
      </c>
      <c r="E376" s="466"/>
      <c r="F376" s="467"/>
      <c r="G376" s="466">
        <f t="shared" ref="G376:G382" si="110">SUM(C376:F376)</f>
        <v>5234.855599999999</v>
      </c>
      <c r="H376" s="468">
        <f t="shared" ref="H376:H382" si="111">(SUM(C376:E376)*1.3)+(F376*2)</f>
        <v>6805.3122799999992</v>
      </c>
      <c r="I376" s="787"/>
      <c r="M376" s="464">
        <v>0.7</v>
      </c>
      <c r="N376" s="465">
        <v>2</v>
      </c>
      <c r="O376" s="466">
        <f>(((M376+(2*N376))*MATERIALES!$C$57)+((M376+(2*N376))*MATERIALES!$C$55)+(M376*MATERIALES!$C$59)+(M376*MATERIALES!$C$58)+(((M376-0.2)*MATERIALES!$C$30)*((N376/2)/0.12))+((((M376*2)+(N376*1))*MATERIALES!$C$73)*2)+(((M376*2)+(N376*1))*MATERIALES!$C$31)+((M376+(N376/2))*MATERIALES!$C$32))*(MATERIALES!$F$2*MATERIALES!$J$15)</f>
        <v>0</v>
      </c>
      <c r="P376" s="466">
        <f>(1*MATERIALES!$C$204)+(1*MATERIALES!$C$205)+(3*MATERIALES!$C$207)+(2*MATERIALES!$C$189)+(2*MATERIALES!$C$190)+(2*MATERIALES!$C$191)+(12*MATERIALES!$C$158)+(12*MATERIALES!$C$159)+((M376+(2*N376))*MATERIALES!$C$210)+((M376+(2*N376))*MATERIALES!$C$209)+(((M376*2)+(N376*1))*MATERIALES!$C$165)+(((M376*4)+(N376*4))*MATERIALES!$C$166)+(((((M376*2)+(N376*1))/0.1)*MATERIALES!$C$192)*2)+(2*MATERIALES!$C$187)+(0.5*MATERIALES!$C$167)+(((M376*5)*2)*MATERIALES!$C$147)+(4*MATERIALES!$C$148)</f>
        <v>5210.2866399999984</v>
      </c>
      <c r="Q376" s="466"/>
      <c r="R376" s="467"/>
      <c r="S376" s="466">
        <f t="shared" ref="S376:S382" si="112">SUM(O376:R376)</f>
        <v>5210.2866399999984</v>
      </c>
      <c r="T376" s="468">
        <f t="shared" ref="T376:T382" si="113">(SUM(O376:Q376)*1.3)+(R376*2)</f>
        <v>6773.3726319999978</v>
      </c>
      <c r="U376" s="787"/>
    </row>
    <row r="377" spans="1:21">
      <c r="A377" s="464">
        <v>0.8</v>
      </c>
      <c r="B377" s="465">
        <v>2</v>
      </c>
      <c r="C377" s="466">
        <f>(((A377+(2*B377))*MATERIALES!$C$57)+((A377+(2*B377))*MATERIALES!$C$55)+(A377*MATERIALES!$C$59)+((A377*1)*MATERIALES!$C$58)+((((A377*2)+(B377*2))*MATERIALES!$C$73)*2)+(((A377*2)+(0.6*2))*MATERIALES!$C$31)+((A377+0.6)*MATERIALES!$C$32)+(((A377-0.2)*MATERIALES!$C$30)*((B377-0.36)/0.12)))*(MATERIALES!$F$2*MATERIALES!$J$15)</f>
        <v>0</v>
      </c>
      <c r="D377" s="466">
        <f>(1*MATERIALES!$C$204)+(1*MATERIALES!$C$205)+(3*MATERIALES!$C$207)+(2*MATERIALES!$C$189)+(2*MATERIALES!$C$190)+(2*MATERIALES!$C$191)+(12*MATERIALES!$C$158)+(12*MATERIALES!$C$159)+((A377+(2*B377))*MATERIALES!$C$210)+((A377+(2*B377))*MATERIALES!$C$209)+(((A377*2)+(B377*2))*MATERIALES!$C$165)+(((A377*4)+(0.6*4))*MATERIALES!$C$166)+(0.5*MATERIALES!$C$167)+(((((A377*2)+(B377*2))/0.1)*MATERIALES!$C$192)*2)+(2*MATERIALES!$C$187)+(((A377*5)*2)*MATERIALES!$C$147)+(4*MATERIALES!$C$148)</f>
        <v>5261.2955200000006</v>
      </c>
      <c r="E377" s="466"/>
      <c r="F377" s="467"/>
      <c r="G377" s="466">
        <f t="shared" si="110"/>
        <v>5261.2955200000006</v>
      </c>
      <c r="H377" s="468">
        <f t="shared" si="111"/>
        <v>6839.6841760000007</v>
      </c>
      <c r="I377" s="787"/>
      <c r="M377" s="464">
        <v>0.8</v>
      </c>
      <c r="N377" s="465">
        <v>2</v>
      </c>
      <c r="O377" s="466">
        <f>(((M377+(2*N377))*MATERIALES!$C$57)+((M377+(2*N377))*MATERIALES!$C$55)+(M377*MATERIALES!$C$59)+(M377*MATERIALES!$C$58)+(((M377-0.2)*MATERIALES!$C$30)*((N377/2)/0.12))+((((M377*2)+(N377*1))*MATERIALES!$C$73)*2)+(((M377*2)+(N377*1))*MATERIALES!$C$31)+((M377+(N377/2))*MATERIALES!$C$32))*(MATERIALES!$F$2*MATERIALES!$J$15)</f>
        <v>0</v>
      </c>
      <c r="P377" s="466">
        <f>(1*MATERIALES!$C$204)+(1*MATERIALES!$C$205)+(3*MATERIALES!$C$207)+(2*MATERIALES!$C$189)+(2*MATERIALES!$C$190)+(2*MATERIALES!$C$191)+(12*MATERIALES!$C$158)+(12*MATERIALES!$C$159)+((M377+(2*N377))*MATERIALES!$C$210)+((M377+(2*N377))*MATERIALES!$C$209)+(((M377*2)+(N377*1))*MATERIALES!$C$165)+(((M377*4)+(N377*4))*MATERIALES!$C$166)+(((((M377*2)+(N377*1))/0.1)*MATERIALES!$C$192)*2)+(2*MATERIALES!$C$187)+(0.5*MATERIALES!$C$167)+(((M377*5)*2)*MATERIALES!$C$147)+(4*MATERIALES!$C$148)</f>
        <v>5236.7265599999992</v>
      </c>
      <c r="Q377" s="466"/>
      <c r="R377" s="467"/>
      <c r="S377" s="466">
        <f t="shared" si="112"/>
        <v>5236.7265599999992</v>
      </c>
      <c r="T377" s="468">
        <f t="shared" si="113"/>
        <v>6807.7445279999993</v>
      </c>
      <c r="U377" s="787"/>
    </row>
    <row r="378" spans="1:21">
      <c r="A378" s="464">
        <v>0.9</v>
      </c>
      <c r="B378" s="465">
        <v>2</v>
      </c>
      <c r="C378" s="466">
        <f>(((A378+(2*B378))*MATERIALES!$C$57)+((A378+(2*B378))*MATERIALES!$C$55)+(A378*MATERIALES!$C$59)+((A378*1)*MATERIALES!$C$58)+((((A378*2)+(B378*2))*MATERIALES!$C$73)*2)+(((A378*2)+(0.6*2))*MATERIALES!$C$31)+((A378+0.6)*MATERIALES!$C$32)+(((A378-0.2)*MATERIALES!$C$30)*((B378-0.36)/0.12)))*(MATERIALES!$F$2*MATERIALES!$J$15)</f>
        <v>0</v>
      </c>
      <c r="D378" s="466">
        <f>(1*MATERIALES!$C$204)+(1*MATERIALES!$C$205)+(3*MATERIALES!$C$207)+(2*MATERIALES!$C$189)+(2*MATERIALES!$C$190)+(2*MATERIALES!$C$191)+(12*MATERIALES!$C$158)+(12*MATERIALES!$C$159)+((A378+(2*B378))*MATERIALES!$C$210)+((A378+(2*B378))*MATERIALES!$C$209)+(((A378*2)+(B378*2))*MATERIALES!$C$165)+(((A378*4)+(0.6*4))*MATERIALES!$C$166)+(0.5*MATERIALES!$C$167)+(((((A378*2)+(B378*2))/0.1)*MATERIALES!$C$192)*2)+(2*MATERIALES!$C$187)+(((A378*5)*2)*MATERIALES!$C$147)+(4*MATERIALES!$C$148)</f>
        <v>5287.7354400000004</v>
      </c>
      <c r="E378" s="466"/>
      <c r="F378" s="467"/>
      <c r="G378" s="466">
        <f t="shared" si="110"/>
        <v>5287.7354400000004</v>
      </c>
      <c r="H378" s="468">
        <f t="shared" si="111"/>
        <v>6874.0560720000003</v>
      </c>
      <c r="I378" s="787"/>
      <c r="M378" s="464">
        <v>0.9</v>
      </c>
      <c r="N378" s="465">
        <v>2</v>
      </c>
      <c r="O378" s="466">
        <f>(((M378+(2*N378))*MATERIALES!$C$57)+((M378+(2*N378))*MATERIALES!$C$55)+(M378*MATERIALES!$C$59)+(M378*MATERIALES!$C$58)+(((M378-0.2)*MATERIALES!$C$30)*((N378/2)/0.12))+((((M378*2)+(N378*1))*MATERIALES!$C$73)*2)+(((M378*2)+(N378*1))*MATERIALES!$C$31)+((M378+(N378/2))*MATERIALES!$C$32))*(MATERIALES!$F$2*MATERIALES!$J$15)</f>
        <v>0</v>
      </c>
      <c r="P378" s="466">
        <f>(1*MATERIALES!$C$204)+(1*MATERIALES!$C$205)+(3*MATERIALES!$C$207)+(2*MATERIALES!$C$189)+(2*MATERIALES!$C$190)+(2*MATERIALES!$C$191)+(12*MATERIALES!$C$158)+(12*MATERIALES!$C$159)+((M378+(2*N378))*MATERIALES!$C$210)+((M378+(2*N378))*MATERIALES!$C$209)+(((M378*2)+(N378*1))*MATERIALES!$C$165)+(((M378*4)+(N378*4))*MATERIALES!$C$166)+(((((M378*2)+(N378*1))/0.1)*MATERIALES!$C$192)*2)+(2*MATERIALES!$C$187)+(0.5*MATERIALES!$C$167)+(((M378*5)*2)*MATERIALES!$C$147)+(4*MATERIALES!$C$148)</f>
        <v>5263.1664800000008</v>
      </c>
      <c r="Q378" s="466"/>
      <c r="R378" s="467"/>
      <c r="S378" s="466">
        <f t="shared" si="112"/>
        <v>5263.1664800000008</v>
      </c>
      <c r="T378" s="468">
        <f t="shared" si="113"/>
        <v>6842.1164240000016</v>
      </c>
      <c r="U378" s="787"/>
    </row>
    <row r="379" spans="1:21">
      <c r="A379" s="464">
        <v>0.6</v>
      </c>
      <c r="B379" s="465">
        <v>2.1</v>
      </c>
      <c r="C379" s="466">
        <f>(((A379+(2*B379))*MATERIALES!$C$57)+((A379+(2*B379))*MATERIALES!$C$55)+(A379*MATERIALES!$C$59)+((A379*1)*MATERIALES!$C$58)+((((A379*2)+(B379*2))*MATERIALES!$C$73)*2)+(((A379*2)+(0.6*2))*MATERIALES!$C$31)+((A379+0.6)*MATERIALES!$C$32)+(((A379-0.2)*MATERIALES!$C$30)*((B379-0.36)/0.12)))*(MATERIALES!$F$2*MATERIALES!$J$15)</f>
        <v>0</v>
      </c>
      <c r="D379" s="466">
        <f>(1*MATERIALES!$C$204)+(1*MATERIALES!$C$205)+(3*MATERIALES!$C$207)+(2*MATERIALES!$C$189)+(2*MATERIALES!$C$190)+(2*MATERIALES!$C$191)+(12*MATERIALES!$C$158)+(12*MATERIALES!$C$159)+((A379+(2*B379))*MATERIALES!$C$210)+((A379+(2*B379))*MATERIALES!$C$209)+(((A379*2)+(B379*2))*MATERIALES!$C$165)+(((A379*4)+(0.6*4))*MATERIALES!$C$166)+(0.5*MATERIALES!$C$167)+(((((A379*2)+(B379*2))/0.1)*MATERIALES!$C$192)*2)+(2*MATERIALES!$C$187)+(((A379*5)*2)*MATERIALES!$C$147)+(4*MATERIALES!$C$148)</f>
        <v>5233.2238400000006</v>
      </c>
      <c r="E379" s="466"/>
      <c r="F379" s="467"/>
      <c r="G379" s="466">
        <f t="shared" si="110"/>
        <v>5233.2238400000006</v>
      </c>
      <c r="H379" s="468">
        <f t="shared" si="111"/>
        <v>6803.1909920000007</v>
      </c>
      <c r="I379" s="787"/>
      <c r="M379" s="464">
        <v>0.6</v>
      </c>
      <c r="N379" s="465">
        <v>2.1</v>
      </c>
      <c r="O379" s="466">
        <f>(((M379+(2*N379))*MATERIALES!$C$57)+((M379+(2*N379))*MATERIALES!$C$55)+(M379*MATERIALES!$C$59)+(M379*MATERIALES!$C$58)+(((M379-0.2)*MATERIALES!$C$30)*((N379/2)/0.12))+((((M379*2)+(N379*1))*MATERIALES!$C$73)*2)+(((M379*2)+(N379*1))*MATERIALES!$C$31)+((M379+(N379/2))*MATERIALES!$C$32))*(MATERIALES!$F$2*MATERIALES!$J$15)</f>
        <v>0</v>
      </c>
      <c r="P379" s="466">
        <f>(1*MATERIALES!$C$204)+(1*MATERIALES!$C$205)+(3*MATERIALES!$C$207)+(2*MATERIALES!$C$189)+(2*MATERIALES!$C$190)+(2*MATERIALES!$C$191)+(12*MATERIALES!$C$158)+(12*MATERIALES!$C$159)+((M379+(2*N379))*MATERIALES!$C$210)+((M379+(2*N379))*MATERIALES!$C$209)+(((M379*2)+(N379*1))*MATERIALES!$C$165)+(((M379*4)+(N379*4))*MATERIALES!$C$166)+(((((M379*2)+(N379*1))/0.1)*MATERIALES!$C$192)*2)+(2*MATERIALES!$C$187)+(0.5*MATERIALES!$C$167)+(((M379*5)*2)*MATERIALES!$C$147)+(4*MATERIALES!$C$148)</f>
        <v>5209.6865600000001</v>
      </c>
      <c r="Q379" s="466"/>
      <c r="R379" s="467"/>
      <c r="S379" s="466">
        <f t="shared" si="112"/>
        <v>5209.6865600000001</v>
      </c>
      <c r="T379" s="468">
        <f t="shared" si="113"/>
        <v>6772.5925280000001</v>
      </c>
      <c r="U379" s="787"/>
    </row>
    <row r="380" spans="1:21">
      <c r="A380" s="464">
        <v>0.7</v>
      </c>
      <c r="B380" s="465">
        <v>2.1</v>
      </c>
      <c r="C380" s="466">
        <f>(((A380+(2*B380))*MATERIALES!$C$57)+((A380+(2*B380))*MATERIALES!$C$55)+(A380*MATERIALES!$C$59)+((A380*1)*MATERIALES!$C$58)+((((A380*2)+(B380*2))*MATERIALES!$C$73)*2)+(((A380*2)+(0.6*2))*MATERIALES!$C$31)+((A380+0.6)*MATERIALES!$C$32)+(((A380-0.2)*MATERIALES!$C$30)*((B380-0.36)/0.12)))*(MATERIALES!$F$2*MATERIALES!$J$15)</f>
        <v>0</v>
      </c>
      <c r="D380" s="466">
        <f>(1*MATERIALES!$C$204)+(1*MATERIALES!$C$205)+(3*MATERIALES!$C$207)+(2*MATERIALES!$C$189)+(2*MATERIALES!$C$190)+(2*MATERIALES!$C$191)+(12*MATERIALES!$C$158)+(12*MATERIALES!$C$159)+((A380+(2*B380))*MATERIALES!$C$210)+((A380+(2*B380))*MATERIALES!$C$209)+(((A380*2)+(B380*2))*MATERIALES!$C$165)+(((A380*4)+(0.6*4))*MATERIALES!$C$166)+(0.5*MATERIALES!$C$167)+(((((A380*2)+(B380*2))/0.1)*MATERIALES!$C$192)*2)+(2*MATERIALES!$C$187)+(((A380*5)*2)*MATERIALES!$C$147)+(4*MATERIALES!$C$148)</f>
        <v>5259.6637600000004</v>
      </c>
      <c r="E380" s="466"/>
      <c r="F380" s="467"/>
      <c r="G380" s="466">
        <f t="shared" si="110"/>
        <v>5259.6637600000004</v>
      </c>
      <c r="H380" s="468">
        <f t="shared" si="111"/>
        <v>6837.5628880000004</v>
      </c>
      <c r="I380" s="787"/>
      <c r="M380" s="464">
        <v>0.7</v>
      </c>
      <c r="N380" s="465">
        <v>2.1</v>
      </c>
      <c r="O380" s="466">
        <f>(((M380+(2*N380))*MATERIALES!$C$57)+((M380+(2*N380))*MATERIALES!$C$55)+(M380*MATERIALES!$C$59)+(M380*MATERIALES!$C$58)+(((M380-0.2)*MATERIALES!$C$30)*((N380/2)/0.12))+((((M380*2)+(N380*1))*MATERIALES!$C$73)*2)+(((M380*2)+(N380*1))*MATERIALES!$C$31)+((M380+(N380/2))*MATERIALES!$C$32))*(MATERIALES!$F$2*MATERIALES!$J$15)</f>
        <v>0</v>
      </c>
      <c r="P380" s="466">
        <f>(1*MATERIALES!$C$204)+(1*MATERIALES!$C$205)+(3*MATERIALES!$C$207)+(2*MATERIALES!$C$189)+(2*MATERIALES!$C$190)+(2*MATERIALES!$C$191)+(12*MATERIALES!$C$158)+(12*MATERIALES!$C$159)+((M380+(2*N380))*MATERIALES!$C$210)+((M380+(2*N380))*MATERIALES!$C$209)+(((M380*2)+(N380*1))*MATERIALES!$C$165)+(((M380*4)+(N380*4))*MATERIALES!$C$166)+(((((M380*2)+(N380*1))/0.1)*MATERIALES!$C$192)*2)+(2*MATERIALES!$C$187)+(0.5*MATERIALES!$C$167)+(((M380*5)*2)*MATERIALES!$C$147)+(4*MATERIALES!$C$148)</f>
        <v>5236.1264799999999</v>
      </c>
      <c r="Q380" s="466"/>
      <c r="R380" s="467"/>
      <c r="S380" s="466">
        <f t="shared" si="112"/>
        <v>5236.1264799999999</v>
      </c>
      <c r="T380" s="468">
        <f t="shared" si="113"/>
        <v>6806.9644239999998</v>
      </c>
      <c r="U380" s="787"/>
    </row>
    <row r="381" spans="1:21">
      <c r="A381" s="464">
        <v>0.8</v>
      </c>
      <c r="B381" s="465">
        <v>2.1</v>
      </c>
      <c r="C381" s="466">
        <f>(((A381+(2*B381))*MATERIALES!$C$57)+((A381+(2*B381))*MATERIALES!$C$55)+(A381*MATERIALES!$C$59)+((A381*1)*MATERIALES!$C$58)+((((A381*2)+(B381*2))*MATERIALES!$C$73)*2)+(((A381*2)+(0.6*2))*MATERIALES!$C$31)+((A381+0.6)*MATERIALES!$C$32)+(((A381-0.2)*MATERIALES!$C$30)*((B381-0.36)/0.12)))*(MATERIALES!$F$2*MATERIALES!$J$15)</f>
        <v>0</v>
      </c>
      <c r="D381" s="466">
        <f>(1*MATERIALES!$C$204)+(1*MATERIALES!$C$205)+(3*MATERIALES!$C$207)+(2*MATERIALES!$C$189)+(2*MATERIALES!$C$190)+(2*MATERIALES!$C$191)+(12*MATERIALES!$C$158)+(12*MATERIALES!$C$159)+((A381+(2*B381))*MATERIALES!$C$210)+((A381+(2*B381))*MATERIALES!$C$209)+(((A381*2)+(B381*2))*MATERIALES!$C$165)+(((A381*4)+(0.6*4))*MATERIALES!$C$166)+(0.5*MATERIALES!$C$167)+(((((A381*2)+(B381*2))/0.1)*MATERIALES!$C$192)*2)+(2*MATERIALES!$C$187)+(((A381*5)*2)*MATERIALES!$C$147)+(4*MATERIALES!$C$148)</f>
        <v>5286.1036800000002</v>
      </c>
      <c r="E381" s="466"/>
      <c r="F381" s="467"/>
      <c r="G381" s="466">
        <f t="shared" si="110"/>
        <v>5286.1036800000002</v>
      </c>
      <c r="H381" s="468">
        <f t="shared" si="111"/>
        <v>6871.934784</v>
      </c>
      <c r="I381" s="787"/>
      <c r="M381" s="464">
        <v>0.8</v>
      </c>
      <c r="N381" s="465">
        <v>2.1</v>
      </c>
      <c r="O381" s="466">
        <f>(((M381+(2*N381))*MATERIALES!$C$57)+((M381+(2*N381))*MATERIALES!$C$55)+(M381*MATERIALES!$C$59)+(M381*MATERIALES!$C$58)+(((M381-0.2)*MATERIALES!$C$30)*((N381/2)/0.12))+((((M381*2)+(N381*1))*MATERIALES!$C$73)*2)+(((M381*2)+(N381*1))*MATERIALES!$C$31)+((M381+(N381/2))*MATERIALES!$C$32))*(MATERIALES!$F$2*MATERIALES!$J$15)</f>
        <v>0</v>
      </c>
      <c r="P381" s="466">
        <f>(1*MATERIALES!$C$204)+(1*MATERIALES!$C$205)+(3*MATERIALES!$C$207)+(2*MATERIALES!$C$189)+(2*MATERIALES!$C$190)+(2*MATERIALES!$C$191)+(12*MATERIALES!$C$158)+(12*MATERIALES!$C$159)+((M381+(2*N381))*MATERIALES!$C$210)+((M381+(2*N381))*MATERIALES!$C$209)+(((M381*2)+(N381*1))*MATERIALES!$C$165)+(((M381*4)+(N381*4))*MATERIALES!$C$166)+(((((M381*2)+(N381*1))/0.1)*MATERIALES!$C$192)*2)+(2*MATERIALES!$C$187)+(0.5*MATERIALES!$C$167)+(((M381*5)*2)*MATERIALES!$C$147)+(4*MATERIALES!$C$148)</f>
        <v>5262.5664000000006</v>
      </c>
      <c r="Q381" s="466"/>
      <c r="R381" s="467"/>
      <c r="S381" s="466">
        <f t="shared" si="112"/>
        <v>5262.5664000000006</v>
      </c>
      <c r="T381" s="468">
        <f t="shared" si="113"/>
        <v>6841.3363200000013</v>
      </c>
      <c r="U381" s="787"/>
    </row>
    <row r="382" spans="1:21" ht="15.75" thickBot="1">
      <c r="A382" s="469">
        <v>0.9</v>
      </c>
      <c r="B382" s="470">
        <v>2.1</v>
      </c>
      <c r="C382" s="471">
        <f>(((A382+(2*B382))*MATERIALES!$C$57)+((A382+(2*B382))*MATERIALES!$C$55)+(A382*MATERIALES!$C$59)+((A382*1)*MATERIALES!$C$58)+((((A382*2)+(B382*2))*MATERIALES!$C$73)*2)+(((A382*2)+(0.6*2))*MATERIALES!$C$31)+((A382+0.6)*MATERIALES!$C$32)+(((A382-0.2)*MATERIALES!$C$30)*((B382-0.36)/0.12)))*(MATERIALES!$F$2*MATERIALES!$J$15)</f>
        <v>0</v>
      </c>
      <c r="D382" s="471">
        <f>(1*MATERIALES!$C$204)+(1*MATERIALES!$C$205)+(3*MATERIALES!$C$207)+(2*MATERIALES!$C$189)+(2*MATERIALES!$C$190)+(2*MATERIALES!$C$191)+(12*MATERIALES!$C$158)+(12*MATERIALES!$C$159)+((A382+(2*B382))*MATERIALES!$C$210)+((A382+(2*B382))*MATERIALES!$C$209)+(((A382*2)+(B382*2))*MATERIALES!$C$165)+(((A382*4)+(0.6*4))*MATERIALES!$C$166)+(0.5*MATERIALES!$C$167)+(((((A382*2)+(B382*2))/0.1)*MATERIALES!$C$192)*2)+(2*MATERIALES!$C$187)+(((A382*5)*2)*MATERIALES!$C$147)+(4*MATERIALES!$C$148)</f>
        <v>5312.5435999999991</v>
      </c>
      <c r="E382" s="471"/>
      <c r="F382" s="472"/>
      <c r="G382" s="471">
        <f t="shared" si="110"/>
        <v>5312.5435999999991</v>
      </c>
      <c r="H382" s="473">
        <f t="shared" si="111"/>
        <v>6906.3066799999988</v>
      </c>
      <c r="I382" s="788"/>
      <c r="M382" s="469">
        <v>0.9</v>
      </c>
      <c r="N382" s="470">
        <v>2.1</v>
      </c>
      <c r="O382" s="471">
        <f>(((M382+(2*N382))*MATERIALES!$C$57)+((M382+(2*N382))*MATERIALES!$C$55)+(M382*MATERIALES!$C$59)+(M382*MATERIALES!$C$58)+(((M382-0.2)*MATERIALES!$C$30)*((N382/2)/0.12))+((((M382*2)+(N382*1))*MATERIALES!$C$73)*2)+(((M382*2)+(N382*1))*MATERIALES!$C$31)+((M382+(N382/2))*MATERIALES!$C$32))*(MATERIALES!$F$2*MATERIALES!$J$15)</f>
        <v>0</v>
      </c>
      <c r="P382" s="471">
        <f>(1*MATERIALES!$C$204)+(1*MATERIALES!$C$205)+(3*MATERIALES!$C$207)+(2*MATERIALES!$C$189)+(2*MATERIALES!$C$190)+(2*MATERIALES!$C$191)+(12*MATERIALES!$C$158)+(12*MATERIALES!$C$159)+((M382+(2*N382))*MATERIALES!$C$210)+((M382+(2*N382))*MATERIALES!$C$209)+(((M382*2)+(N382*1))*MATERIALES!$C$165)+(((M382*4)+(N382*4))*MATERIALES!$C$166)+(((((M382*2)+(N382*1))/0.1)*MATERIALES!$C$192)*2)+(2*MATERIALES!$C$187)+(0.5*MATERIALES!$C$167)+(((M382*5)*2)*MATERIALES!$C$147)+(4*MATERIALES!$C$148)</f>
        <v>5289.0063199999995</v>
      </c>
      <c r="Q382" s="471"/>
      <c r="R382" s="472"/>
      <c r="S382" s="471">
        <f t="shared" si="112"/>
        <v>5289.0063199999995</v>
      </c>
      <c r="T382" s="473">
        <f t="shared" si="113"/>
        <v>6875.708216</v>
      </c>
      <c r="U382" s="788"/>
    </row>
  </sheetData>
  <mergeCells count="193">
    <mergeCell ref="AX1:AX13"/>
    <mergeCell ref="W176:AD176"/>
    <mergeCell ref="Y300:AB300"/>
    <mergeCell ref="Y301:AA301"/>
    <mergeCell ref="W302:AD302"/>
    <mergeCell ref="W304:AD304"/>
    <mergeCell ref="Y43:AB43"/>
    <mergeCell ref="Y44:AA44"/>
    <mergeCell ref="W45:AD45"/>
    <mergeCell ref="W47:AD47"/>
    <mergeCell ref="U115:U125"/>
    <mergeCell ref="U101:U111"/>
    <mergeCell ref="Y172:AB172"/>
    <mergeCell ref="Y173:AA173"/>
    <mergeCell ref="W174:AD174"/>
    <mergeCell ref="A117:H117"/>
    <mergeCell ref="M117:T117"/>
    <mergeCell ref="C100:E100"/>
    <mergeCell ref="O100:Q100"/>
    <mergeCell ref="A101:H101"/>
    <mergeCell ref="M101:T101"/>
    <mergeCell ref="A103:H103"/>
    <mergeCell ref="M103:T103"/>
    <mergeCell ref="C114:E114"/>
    <mergeCell ref="O114:Q114"/>
    <mergeCell ref="A115:H115"/>
    <mergeCell ref="I115:I125"/>
    <mergeCell ref="M115:T115"/>
    <mergeCell ref="C145:E145"/>
    <mergeCell ref="O145:Q145"/>
    <mergeCell ref="A146:H146"/>
    <mergeCell ref="M146:T146"/>
    <mergeCell ref="A148:H148"/>
    <mergeCell ref="M148:T148"/>
    <mergeCell ref="C72:E72"/>
    <mergeCell ref="O86:R86"/>
    <mergeCell ref="A73:H73"/>
    <mergeCell ref="M87:T87"/>
    <mergeCell ref="U87:U97"/>
    <mergeCell ref="A75:H75"/>
    <mergeCell ref="M89:T89"/>
    <mergeCell ref="C86:E86"/>
    <mergeCell ref="O72:Q72"/>
    <mergeCell ref="A87:H87"/>
    <mergeCell ref="M73:T73"/>
    <mergeCell ref="A89:H89"/>
    <mergeCell ref="M75:T75"/>
    <mergeCell ref="O44:R44"/>
    <mergeCell ref="A45:H45"/>
    <mergeCell ref="M45:T45"/>
    <mergeCell ref="O43:R43"/>
    <mergeCell ref="C58:E58"/>
    <mergeCell ref="O58:Q58"/>
    <mergeCell ref="A59:H59"/>
    <mergeCell ref="M59:T59"/>
    <mergeCell ref="A61:H61"/>
    <mergeCell ref="M61:T61"/>
    <mergeCell ref="C2:E2"/>
    <mergeCell ref="O2:R2"/>
    <mergeCell ref="A3:H3"/>
    <mergeCell ref="M3:T3"/>
    <mergeCell ref="A5:H5"/>
    <mergeCell ref="M5:T5"/>
    <mergeCell ref="C16:E16"/>
    <mergeCell ref="O16:Q16"/>
    <mergeCell ref="C131:E131"/>
    <mergeCell ref="O131:R131"/>
    <mergeCell ref="A17:H17"/>
    <mergeCell ref="M17:T17"/>
    <mergeCell ref="A19:H19"/>
    <mergeCell ref="M19:T19"/>
    <mergeCell ref="A47:H47"/>
    <mergeCell ref="M47:T47"/>
    <mergeCell ref="C30:E30"/>
    <mergeCell ref="O30:Q30"/>
    <mergeCell ref="A31:H31"/>
    <mergeCell ref="M31:T31"/>
    <mergeCell ref="A33:H33"/>
    <mergeCell ref="M33:T33"/>
    <mergeCell ref="C43:F43"/>
    <mergeCell ref="C44:E44"/>
    <mergeCell ref="A132:H132"/>
    <mergeCell ref="M132:T132"/>
    <mergeCell ref="A134:H134"/>
    <mergeCell ref="M134:T134"/>
    <mergeCell ref="C172:F172"/>
    <mergeCell ref="O172:R172"/>
    <mergeCell ref="C173:E173"/>
    <mergeCell ref="O173:R173"/>
    <mergeCell ref="A174:H174"/>
    <mergeCell ref="M174:T174"/>
    <mergeCell ref="C159:E159"/>
    <mergeCell ref="O159:Q159"/>
    <mergeCell ref="A160:H160"/>
    <mergeCell ref="M160:T160"/>
    <mergeCell ref="A162:H162"/>
    <mergeCell ref="M162:T162"/>
    <mergeCell ref="A190:H190"/>
    <mergeCell ref="M190:T190"/>
    <mergeCell ref="C201:E201"/>
    <mergeCell ref="O201:Q201"/>
    <mergeCell ref="A202:H202"/>
    <mergeCell ref="M202:T202"/>
    <mergeCell ref="A176:H176"/>
    <mergeCell ref="M176:T176"/>
    <mergeCell ref="C187:E187"/>
    <mergeCell ref="O187:Q187"/>
    <mergeCell ref="A188:H188"/>
    <mergeCell ref="M188:T188"/>
    <mergeCell ref="U216:U226"/>
    <mergeCell ref="A218:H218"/>
    <mergeCell ref="M218:T218"/>
    <mergeCell ref="C229:E229"/>
    <mergeCell ref="O229:Q229"/>
    <mergeCell ref="A204:H204"/>
    <mergeCell ref="M204:T204"/>
    <mergeCell ref="C215:E215"/>
    <mergeCell ref="A216:H216"/>
    <mergeCell ref="M216:T216"/>
    <mergeCell ref="O215:Q215"/>
    <mergeCell ref="C243:E243"/>
    <mergeCell ref="O243:Q243"/>
    <mergeCell ref="A244:H244"/>
    <mergeCell ref="I244:I254"/>
    <mergeCell ref="M244:T244"/>
    <mergeCell ref="A230:H230"/>
    <mergeCell ref="M230:T230"/>
    <mergeCell ref="U230:U240"/>
    <mergeCell ref="A232:H232"/>
    <mergeCell ref="M232:T232"/>
    <mergeCell ref="A260:H260"/>
    <mergeCell ref="M260:T260"/>
    <mergeCell ref="A262:H262"/>
    <mergeCell ref="M262:T262"/>
    <mergeCell ref="C273:E273"/>
    <mergeCell ref="O273:Q273"/>
    <mergeCell ref="U244:U254"/>
    <mergeCell ref="A246:H246"/>
    <mergeCell ref="M246:T246"/>
    <mergeCell ref="C259:E259"/>
    <mergeCell ref="O259:R259"/>
    <mergeCell ref="A288:H288"/>
    <mergeCell ref="M288:T288"/>
    <mergeCell ref="A290:H290"/>
    <mergeCell ref="M290:T290"/>
    <mergeCell ref="C300:F300"/>
    <mergeCell ref="O300:R300"/>
    <mergeCell ref="A274:H274"/>
    <mergeCell ref="M274:T274"/>
    <mergeCell ref="A276:H276"/>
    <mergeCell ref="M276:T276"/>
    <mergeCell ref="C287:E287"/>
    <mergeCell ref="O287:Q287"/>
    <mergeCell ref="C315:E315"/>
    <mergeCell ref="O315:Q315"/>
    <mergeCell ref="A316:H316"/>
    <mergeCell ref="M316:T316"/>
    <mergeCell ref="A318:H318"/>
    <mergeCell ref="M318:T318"/>
    <mergeCell ref="C301:E301"/>
    <mergeCell ref="O301:R301"/>
    <mergeCell ref="A302:H302"/>
    <mergeCell ref="M302:T302"/>
    <mergeCell ref="A304:H304"/>
    <mergeCell ref="M304:T304"/>
    <mergeCell ref="C343:E343"/>
    <mergeCell ref="O343:R343"/>
    <mergeCell ref="A344:H344"/>
    <mergeCell ref="M344:T344"/>
    <mergeCell ref="U344:U354"/>
    <mergeCell ref="A346:H346"/>
    <mergeCell ref="M346:T346"/>
    <mergeCell ref="C329:E329"/>
    <mergeCell ref="O329:Q329"/>
    <mergeCell ref="A330:H330"/>
    <mergeCell ref="M330:T330"/>
    <mergeCell ref="A332:H332"/>
    <mergeCell ref="M332:T332"/>
    <mergeCell ref="U372:U382"/>
    <mergeCell ref="A374:H374"/>
    <mergeCell ref="M374:T374"/>
    <mergeCell ref="C371:E371"/>
    <mergeCell ref="O371:Q371"/>
    <mergeCell ref="A372:H372"/>
    <mergeCell ref="I372:I382"/>
    <mergeCell ref="M372:T372"/>
    <mergeCell ref="C357:E357"/>
    <mergeCell ref="O357:Q357"/>
    <mergeCell ref="A358:H358"/>
    <mergeCell ref="M358:T358"/>
    <mergeCell ref="U358:U368"/>
    <mergeCell ref="A360:H360"/>
    <mergeCell ref="M360:T360"/>
  </mergeCells>
  <pageMargins left="0.59055118110236227" right="0.59055118110236227" top="0" bottom="0" header="0.31496062992125984" footer="0.31496062992125984"/>
  <pageSetup scale="7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54"/>
  <sheetViews>
    <sheetView topLeftCell="A3" workbookViewId="0">
      <selection activeCell="D45" sqref="D45"/>
    </sheetView>
  </sheetViews>
  <sheetFormatPr baseColWidth="10" defaultRowHeight="15"/>
  <cols>
    <col min="3" max="3" width="44.140625" customWidth="1"/>
    <col min="4" max="4" width="14.28515625" customWidth="1"/>
    <col min="5" max="5" width="12.85546875" customWidth="1"/>
    <col min="6" max="6" width="5.140625" customWidth="1"/>
  </cols>
  <sheetData>
    <row r="4" spans="3:7" hidden="1">
      <c r="C4" t="s">
        <v>841</v>
      </c>
      <c r="E4">
        <v>1.4</v>
      </c>
    </row>
    <row r="5" spans="3:7" hidden="1">
      <c r="D5" t="s">
        <v>824</v>
      </c>
      <c r="E5">
        <v>1.7</v>
      </c>
    </row>
    <row r="6" spans="3:7" ht="15.75" hidden="1" thickBot="1"/>
    <row r="7" spans="3:7" ht="24" hidden="1" thickBot="1">
      <c r="C7" s="935" t="s">
        <v>756</v>
      </c>
      <c r="D7" s="936"/>
      <c r="E7" s="937"/>
    </row>
    <row r="8" spans="3:7" ht="15.75" hidden="1">
      <c r="C8" s="523" t="s">
        <v>758</v>
      </c>
      <c r="D8" s="524">
        <f>(MATERIALES!$C$35*MATERIALES!$F$2)*$E$5</f>
        <v>1503.6840000000002</v>
      </c>
      <c r="E8" s="525" t="s">
        <v>770</v>
      </c>
    </row>
    <row r="9" spans="3:7" ht="15.75" hidden="1">
      <c r="C9" s="526" t="s">
        <v>757</v>
      </c>
      <c r="D9" s="527">
        <f>(MATERIALES!$C$34*MATERIALES!$F$2)*$E$5</f>
        <v>466.69895999999994</v>
      </c>
      <c r="E9" s="528" t="s">
        <v>770</v>
      </c>
    </row>
    <row r="10" spans="3:7" ht="15.75" hidden="1">
      <c r="C10" s="526" t="s">
        <v>765</v>
      </c>
      <c r="D10" s="527">
        <f>((MATERIALES!$C$38*MATERIALES!$F$2)+(4*MATERIALES!$C$174))*E5</f>
        <v>938.98480000000006</v>
      </c>
      <c r="E10" s="528" t="s">
        <v>770</v>
      </c>
      <c r="G10" s="539"/>
    </row>
    <row r="11" spans="3:7" ht="15.75" hidden="1">
      <c r="C11" s="526" t="s">
        <v>825</v>
      </c>
      <c r="D11" s="527">
        <f>((MATERIALES!$C$39*MATERIALES!$F$2)+(2*MATERIALES!$C$146)+(16*MATERIALES!$C$145))*$E$5</f>
        <v>1045.2946400000001</v>
      </c>
      <c r="E11" s="528" t="s">
        <v>770</v>
      </c>
      <c r="G11" s="539"/>
    </row>
    <row r="12" spans="3:7" ht="15.75" hidden="1">
      <c r="C12" s="526" t="s">
        <v>826</v>
      </c>
      <c r="D12" s="527">
        <f>((MATERIALES!$C$44*MATERIALES!$F$2)+(2*MATERIALES!$C$189))*$E$5</f>
        <v>1042.5542399999999</v>
      </c>
      <c r="E12" s="528" t="s">
        <v>770</v>
      </c>
      <c r="G12" s="539"/>
    </row>
    <row r="13" spans="3:7" ht="15.75" hidden="1">
      <c r="C13" s="526" t="s">
        <v>759</v>
      </c>
      <c r="D13" s="527">
        <f>((MATERIALES!$C$36*MATERIALES!$F$2)+(2*MATERIALES!$C$175)+(4*MATERIALES!$C$145))*$E$4</f>
        <v>1199.5255999999999</v>
      </c>
      <c r="E13" s="528" t="s">
        <v>770</v>
      </c>
      <c r="G13" s="539"/>
    </row>
    <row r="14" spans="3:7" ht="15.75" hidden="1">
      <c r="C14" s="526" t="s">
        <v>760</v>
      </c>
      <c r="D14" s="527">
        <f>((MATERIALES!$C$41*MATERIALES!$F$2)+(4*MATERIALES!$C$174))*$E$5</f>
        <v>829.82848000000001</v>
      </c>
      <c r="E14" s="528" t="s">
        <v>770</v>
      </c>
      <c r="G14" s="539"/>
    </row>
    <row r="15" spans="3:7" ht="15.75" hidden="1">
      <c r="C15" s="526" t="s">
        <v>761</v>
      </c>
      <c r="D15" s="527">
        <f>((MATERIALES!$C$37*MATERIALES!$F$2)+(2*MATERIALES!$C$223)+((1/0.3)*MATERIALES!$C$145))*$E$5</f>
        <v>298.6977066666667</v>
      </c>
      <c r="E15" s="528" t="s">
        <v>770</v>
      </c>
      <c r="G15" s="539"/>
    </row>
    <row r="16" spans="3:7" ht="15.75" hidden="1">
      <c r="C16" s="526" t="s">
        <v>762</v>
      </c>
      <c r="D16" s="527">
        <f>((MATERIALES!$C$42*MATERIALES!$F$2)+(2*MATERIALES!$C$222)+((1/0.3)*MATERIALES!$C$193))*$E$5</f>
        <v>235.03791999999999</v>
      </c>
      <c r="E16" s="528" t="s">
        <v>770</v>
      </c>
      <c r="G16" s="539"/>
    </row>
    <row r="17" spans="3:7" ht="15.75" hidden="1">
      <c r="C17" s="526" t="s">
        <v>763</v>
      </c>
      <c r="D17" s="527">
        <f>((MATERIALES!$C$43*MATERIALES!$F$2)+(2*MATERIALES!$C$225)+(2*MATERIALES!$C$227)+((1/0.3)*MATERIALES!$C$226))*$E$5</f>
        <v>550.85576000000015</v>
      </c>
      <c r="E17" s="528" t="s">
        <v>770</v>
      </c>
      <c r="G17" s="539"/>
    </row>
    <row r="18" spans="3:7" ht="15.75" hidden="1">
      <c r="C18" s="526" t="s">
        <v>764</v>
      </c>
      <c r="D18" s="527">
        <f>(MATERIALES!$C$164*$E$4)</f>
        <v>1873.8719999999998</v>
      </c>
      <c r="E18" s="528" t="s">
        <v>771</v>
      </c>
    </row>
    <row r="19" spans="3:7" ht="15.75" hidden="1">
      <c r="C19" s="526" t="s">
        <v>769</v>
      </c>
      <c r="D19" s="527">
        <f>(MATERIALES!$C$234*$E$4)</f>
        <v>509.59999999999997</v>
      </c>
      <c r="E19" s="528" t="s">
        <v>771</v>
      </c>
    </row>
    <row r="20" spans="3:7" ht="15.75" hidden="1">
      <c r="C20" s="526" t="s">
        <v>766</v>
      </c>
      <c r="D20" s="527">
        <f>(MATERIALES!$C$235*$E$4)</f>
        <v>0</v>
      </c>
      <c r="E20" s="528" t="s">
        <v>771</v>
      </c>
    </row>
    <row r="21" spans="3:7" ht="15.75" hidden="1">
      <c r="C21" s="526" t="s">
        <v>767</v>
      </c>
      <c r="D21" s="527">
        <f>(MATERIALES!$C$236*$E$4)</f>
        <v>0</v>
      </c>
      <c r="E21" s="528" t="s">
        <v>771</v>
      </c>
    </row>
    <row r="22" spans="3:7" ht="16.5" hidden="1" thickBot="1">
      <c r="C22" s="529" t="s">
        <v>768</v>
      </c>
      <c r="D22" s="530">
        <f>(MATERIALES!$C$237*$E$4)</f>
        <v>0</v>
      </c>
      <c r="E22" s="531" t="s">
        <v>771</v>
      </c>
    </row>
    <row r="23" spans="3:7" hidden="1"/>
    <row r="24" spans="3:7" hidden="1"/>
    <row r="25" spans="3:7" hidden="1"/>
    <row r="26" spans="3:7" hidden="1"/>
    <row r="27" spans="3:7" hidden="1"/>
    <row r="28" spans="3:7" hidden="1"/>
    <row r="29" spans="3:7" hidden="1"/>
    <row r="30" spans="3:7" hidden="1"/>
    <row r="31" spans="3:7" hidden="1"/>
    <row r="32" spans="3:7" hidden="1"/>
    <row r="35" spans="3:5" ht="15.75" thickBot="1"/>
    <row r="36" spans="3:5" ht="24" thickBot="1">
      <c r="C36" s="935" t="s">
        <v>756</v>
      </c>
      <c r="D36" s="936"/>
      <c r="E36" s="937"/>
    </row>
    <row r="37" spans="3:5" ht="15.75">
      <c r="C37" s="523" t="s">
        <v>758</v>
      </c>
      <c r="D37" s="524">
        <f t="shared" ref="D37:D51" si="0">+D8</f>
        <v>1503.6840000000002</v>
      </c>
      <c r="E37" s="525" t="s">
        <v>770</v>
      </c>
    </row>
    <row r="38" spans="3:5" ht="15.75">
      <c r="C38" s="526" t="s">
        <v>757</v>
      </c>
      <c r="D38" s="527">
        <f t="shared" si="0"/>
        <v>466.69895999999994</v>
      </c>
      <c r="E38" s="528" t="s">
        <v>770</v>
      </c>
    </row>
    <row r="39" spans="3:5" ht="15.75">
      <c r="C39" s="526" t="s">
        <v>765</v>
      </c>
      <c r="D39" s="527">
        <f t="shared" si="0"/>
        <v>938.98480000000006</v>
      </c>
      <c r="E39" s="528" t="s">
        <v>770</v>
      </c>
    </row>
    <row r="40" spans="3:5" ht="15.75">
      <c r="C40" s="526" t="s">
        <v>825</v>
      </c>
      <c r="D40" s="527">
        <f t="shared" si="0"/>
        <v>1045.2946400000001</v>
      </c>
      <c r="E40" s="528" t="s">
        <v>770</v>
      </c>
    </row>
    <row r="41" spans="3:5" ht="15.75">
      <c r="C41" s="526" t="s">
        <v>826</v>
      </c>
      <c r="D41" s="527">
        <f t="shared" si="0"/>
        <v>1042.5542399999999</v>
      </c>
      <c r="E41" s="528" t="s">
        <v>770</v>
      </c>
    </row>
    <row r="42" spans="3:5" ht="15.75">
      <c r="C42" s="526" t="s">
        <v>759</v>
      </c>
      <c r="D42" s="527">
        <f t="shared" si="0"/>
        <v>1199.5255999999999</v>
      </c>
      <c r="E42" s="528" t="s">
        <v>770</v>
      </c>
    </row>
    <row r="43" spans="3:5" ht="15.75">
      <c r="C43" s="526" t="s">
        <v>760</v>
      </c>
      <c r="D43" s="527">
        <f t="shared" si="0"/>
        <v>829.82848000000001</v>
      </c>
      <c r="E43" s="528" t="s">
        <v>770</v>
      </c>
    </row>
    <row r="44" spans="3:5" ht="15.75">
      <c r="C44" s="526" t="s">
        <v>761</v>
      </c>
      <c r="D44" s="527">
        <f t="shared" si="0"/>
        <v>298.6977066666667</v>
      </c>
      <c r="E44" s="528" t="s">
        <v>770</v>
      </c>
    </row>
    <row r="45" spans="3:5" ht="15.75">
      <c r="C45" s="526" t="s">
        <v>762</v>
      </c>
      <c r="D45" s="527">
        <f t="shared" si="0"/>
        <v>235.03791999999999</v>
      </c>
      <c r="E45" s="528" t="s">
        <v>770</v>
      </c>
    </row>
    <row r="46" spans="3:5" ht="15.75">
      <c r="C46" s="526" t="s">
        <v>763</v>
      </c>
      <c r="D46" s="527">
        <f t="shared" si="0"/>
        <v>550.85576000000015</v>
      </c>
      <c r="E46" s="528" t="s">
        <v>770</v>
      </c>
    </row>
    <row r="47" spans="3:5" ht="15.75">
      <c r="C47" s="526" t="s">
        <v>764</v>
      </c>
      <c r="D47" s="527">
        <f t="shared" si="0"/>
        <v>1873.8719999999998</v>
      </c>
      <c r="E47" s="528" t="s">
        <v>771</v>
      </c>
    </row>
    <row r="48" spans="3:5" ht="15.75">
      <c r="C48" s="526" t="s">
        <v>769</v>
      </c>
      <c r="D48" s="527">
        <f t="shared" si="0"/>
        <v>509.59999999999997</v>
      </c>
      <c r="E48" s="528" t="s">
        <v>771</v>
      </c>
    </row>
    <row r="49" spans="3:5" ht="15.75">
      <c r="C49" s="526" t="s">
        <v>766</v>
      </c>
      <c r="D49" s="527">
        <f t="shared" si="0"/>
        <v>0</v>
      </c>
      <c r="E49" s="528" t="s">
        <v>771</v>
      </c>
    </row>
    <row r="50" spans="3:5" ht="15.75">
      <c r="C50" s="526" t="s">
        <v>767</v>
      </c>
      <c r="D50" s="527">
        <f t="shared" si="0"/>
        <v>0</v>
      </c>
      <c r="E50" s="528" t="s">
        <v>771</v>
      </c>
    </row>
    <row r="51" spans="3:5" ht="15.75">
      <c r="C51" s="526" t="s">
        <v>768</v>
      </c>
      <c r="D51" s="527">
        <f t="shared" si="0"/>
        <v>0</v>
      </c>
      <c r="E51" s="528" t="s">
        <v>771</v>
      </c>
    </row>
    <row r="52" spans="3:5" ht="15.75">
      <c r="C52" s="585" t="s">
        <v>848</v>
      </c>
      <c r="D52" s="587" t="s">
        <v>849</v>
      </c>
      <c r="E52" s="588"/>
    </row>
    <row r="53" spans="3:5" ht="16.5" thickBot="1">
      <c r="C53" s="585" t="s">
        <v>847</v>
      </c>
      <c r="D53" s="587" t="s">
        <v>850</v>
      </c>
      <c r="E53" s="588"/>
    </row>
    <row r="54" spans="3:5" ht="21" customHeight="1" thickBot="1">
      <c r="C54" s="938" t="s">
        <v>859</v>
      </c>
      <c r="D54" s="939"/>
      <c r="E54" s="940"/>
    </row>
  </sheetData>
  <mergeCells count="3">
    <mergeCell ref="C7:E7"/>
    <mergeCell ref="C36:E36"/>
    <mergeCell ref="C54:E54"/>
  </mergeCells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7"/>
  <sheetViews>
    <sheetView topLeftCell="A19" zoomScale="90" zoomScaleNormal="90" workbookViewId="0">
      <selection activeCell="F29" sqref="F29"/>
    </sheetView>
  </sheetViews>
  <sheetFormatPr baseColWidth="10" defaultRowHeight="15"/>
  <cols>
    <col min="1" max="1" width="8.28515625" style="1" customWidth="1"/>
    <col min="2" max="2" width="55.140625" customWidth="1"/>
    <col min="3" max="3" width="11.5703125" customWidth="1"/>
    <col min="4" max="4" width="13.42578125" customWidth="1"/>
    <col min="5" max="5" width="14.85546875" customWidth="1"/>
    <col min="6" max="6" width="16.42578125" customWidth="1"/>
    <col min="7" max="7" width="14.28515625" customWidth="1"/>
    <col min="9" max="9" width="37" customWidth="1"/>
    <col min="10" max="10" width="15.7109375" customWidth="1"/>
    <col min="14" max="14" width="15.5703125" bestFit="1" customWidth="1"/>
    <col min="15" max="15" width="12" bestFit="1" customWidth="1"/>
  </cols>
  <sheetData>
    <row r="1" spans="1:12" ht="15.75" thickBot="1"/>
    <row r="2" spans="1:12" ht="25.5" customHeight="1" thickBot="1">
      <c r="A2" s="810" t="s">
        <v>48</v>
      </c>
      <c r="B2" s="811"/>
      <c r="C2" s="811"/>
      <c r="D2" s="812"/>
      <c r="E2" s="11" t="s">
        <v>62</v>
      </c>
      <c r="F2" s="83">
        <f>IF($G$2=1,$K$20,$K$21)</f>
        <v>655.20000000000005</v>
      </c>
      <c r="G2" s="286">
        <v>1</v>
      </c>
    </row>
    <row r="3" spans="1:12" s="2" customFormat="1" ht="16.5" thickBot="1">
      <c r="A3" s="84" t="s">
        <v>49</v>
      </c>
      <c r="B3" s="84" t="s">
        <v>50</v>
      </c>
      <c r="C3" s="84" t="s">
        <v>64</v>
      </c>
      <c r="D3" s="84" t="s">
        <v>65</v>
      </c>
      <c r="E3" s="84" t="s">
        <v>66</v>
      </c>
      <c r="F3" s="85" t="s">
        <v>63</v>
      </c>
      <c r="G3" s="82"/>
    </row>
    <row r="4" spans="1:12" ht="15.75" thickBot="1">
      <c r="A4" s="813"/>
      <c r="B4" s="814"/>
      <c r="C4" s="814"/>
      <c r="D4" s="814"/>
      <c r="E4" s="814"/>
      <c r="F4" s="815"/>
      <c r="G4" s="13"/>
    </row>
    <row r="5" spans="1:12" ht="15.75" thickBot="1">
      <c r="A5" s="86" t="s">
        <v>4</v>
      </c>
      <c r="B5" s="87" t="s">
        <v>0</v>
      </c>
      <c r="C5" s="88">
        <v>0.59199999999999997</v>
      </c>
      <c r="D5" s="87">
        <v>6.15</v>
      </c>
      <c r="E5" s="87">
        <f>(C5*D5)</f>
        <v>3.6408</v>
      </c>
      <c r="F5" s="89">
        <f>(E5*$F$2)</f>
        <v>2385.4521600000003</v>
      </c>
      <c r="G5" s="4"/>
      <c r="I5" s="116" t="s">
        <v>390</v>
      </c>
      <c r="J5" s="116" t="s">
        <v>391</v>
      </c>
    </row>
    <row r="6" spans="1:12" ht="15.75" thickBot="1">
      <c r="A6" s="3" t="s">
        <v>5</v>
      </c>
      <c r="B6" s="4" t="s">
        <v>1</v>
      </c>
      <c r="C6" s="10">
        <v>0.38300000000000001</v>
      </c>
      <c r="D6" s="4">
        <v>6.03</v>
      </c>
      <c r="E6" s="4">
        <f t="shared" ref="E6:E31" si="0">(C6*D6)</f>
        <v>2.3094900000000003</v>
      </c>
      <c r="F6" s="16">
        <f t="shared" ref="F6:F30" si="1">(E6*$F$2)</f>
        <v>1513.1778480000003</v>
      </c>
      <c r="G6" s="4"/>
      <c r="I6" s="828"/>
      <c r="J6" s="829"/>
    </row>
    <row r="7" spans="1:12">
      <c r="A7" s="3" t="s">
        <v>6</v>
      </c>
      <c r="B7" s="4" t="s">
        <v>2</v>
      </c>
      <c r="C7" s="10">
        <v>0.39800000000000002</v>
      </c>
      <c r="D7" s="4">
        <v>6.15</v>
      </c>
      <c r="E7" s="4">
        <f t="shared" si="0"/>
        <v>2.4477000000000002</v>
      </c>
      <c r="F7" s="16">
        <f t="shared" si="1"/>
        <v>1603.7330400000003</v>
      </c>
      <c r="G7" s="4"/>
      <c r="I7" s="146" t="s">
        <v>389</v>
      </c>
      <c r="J7" s="149">
        <v>0</v>
      </c>
      <c r="L7" s="78" t="s">
        <v>879</v>
      </c>
    </row>
    <row r="8" spans="1:12" ht="15.75" thickBot="1">
      <c r="A8" s="3" t="s">
        <v>7</v>
      </c>
      <c r="B8" s="4" t="s">
        <v>3</v>
      </c>
      <c r="C8" s="10">
        <v>0.377</v>
      </c>
      <c r="D8" s="4">
        <v>6.15</v>
      </c>
      <c r="E8" s="4">
        <f t="shared" si="0"/>
        <v>2.3185500000000001</v>
      </c>
      <c r="F8" s="16">
        <f t="shared" si="1"/>
        <v>1519.1139600000001</v>
      </c>
      <c r="G8" s="4"/>
      <c r="I8" s="147" t="s">
        <v>388</v>
      </c>
      <c r="J8" s="147">
        <v>1.04</v>
      </c>
    </row>
    <row r="9" spans="1:12" ht="15.75" thickBot="1">
      <c r="A9" s="3" t="s">
        <v>9</v>
      </c>
      <c r="B9" s="4" t="s">
        <v>8</v>
      </c>
      <c r="C9" s="10">
        <v>0.81</v>
      </c>
      <c r="D9" s="4">
        <v>6.03</v>
      </c>
      <c r="E9" s="4">
        <f t="shared" si="0"/>
        <v>4.8843000000000005</v>
      </c>
      <c r="F9" s="16">
        <f t="shared" si="1"/>
        <v>3200.1933600000007</v>
      </c>
      <c r="G9" s="4"/>
      <c r="I9" s="150" t="s">
        <v>158</v>
      </c>
      <c r="J9" s="150">
        <v>0</v>
      </c>
    </row>
    <row r="10" spans="1:12" ht="15.75" thickBot="1">
      <c r="A10" s="3" t="s">
        <v>11</v>
      </c>
      <c r="B10" s="4" t="s">
        <v>10</v>
      </c>
      <c r="C10" s="10">
        <v>0.81799999999999995</v>
      </c>
      <c r="D10" s="4">
        <v>6.03</v>
      </c>
      <c r="E10" s="4">
        <f t="shared" si="0"/>
        <v>4.9325399999999995</v>
      </c>
      <c r="F10" s="16">
        <f t="shared" si="1"/>
        <v>3231.8002079999997</v>
      </c>
      <c r="G10" s="4"/>
      <c r="I10" s="151" t="s">
        <v>525</v>
      </c>
      <c r="J10" s="152">
        <v>0</v>
      </c>
    </row>
    <row r="11" spans="1:12" ht="15.75" thickBot="1">
      <c r="A11" s="3" t="s">
        <v>13</v>
      </c>
      <c r="B11" s="4" t="s">
        <v>12</v>
      </c>
      <c r="C11" s="10">
        <v>0.16300000000000001</v>
      </c>
      <c r="D11" s="4">
        <v>6.03</v>
      </c>
      <c r="E11" s="4">
        <f t="shared" si="0"/>
        <v>0.98289000000000004</v>
      </c>
      <c r="F11" s="16">
        <f t="shared" si="1"/>
        <v>643.98952800000006</v>
      </c>
      <c r="G11" s="4"/>
      <c r="I11" s="151" t="s">
        <v>528</v>
      </c>
      <c r="J11" s="152">
        <v>0</v>
      </c>
    </row>
    <row r="12" spans="1:12" ht="15.75" thickBot="1">
      <c r="A12" s="3" t="s">
        <v>14</v>
      </c>
      <c r="B12" s="4" t="s">
        <v>15</v>
      </c>
      <c r="C12" s="10">
        <v>0.46700000000000003</v>
      </c>
      <c r="D12" s="4">
        <v>6.15</v>
      </c>
      <c r="E12" s="4">
        <f t="shared" si="0"/>
        <v>2.8720500000000002</v>
      </c>
      <c r="F12" s="16">
        <f t="shared" si="1"/>
        <v>1881.7671600000003</v>
      </c>
      <c r="G12" s="4"/>
      <c r="I12" s="151" t="s">
        <v>527</v>
      </c>
      <c r="J12" s="152">
        <v>0</v>
      </c>
    </row>
    <row r="13" spans="1:12" ht="15.75" thickBot="1">
      <c r="A13" s="3" t="s">
        <v>18</v>
      </c>
      <c r="B13" s="4" t="s">
        <v>16</v>
      </c>
      <c r="C13" s="10">
        <v>0.495</v>
      </c>
      <c r="D13" s="4">
        <v>6.15</v>
      </c>
      <c r="E13" s="4">
        <f t="shared" si="0"/>
        <v>3.0442500000000003</v>
      </c>
      <c r="F13" s="16">
        <f t="shared" si="1"/>
        <v>1994.5926000000004</v>
      </c>
      <c r="G13" s="4"/>
      <c r="I13" s="216" t="s">
        <v>878</v>
      </c>
      <c r="J13" s="217">
        <v>600</v>
      </c>
    </row>
    <row r="14" spans="1:12" ht="15.75" thickBot="1">
      <c r="A14" s="3" t="s">
        <v>20</v>
      </c>
      <c r="B14" s="4" t="s">
        <v>21</v>
      </c>
      <c r="C14" s="10">
        <v>0.39400000000000002</v>
      </c>
      <c r="D14" s="4">
        <v>6.15</v>
      </c>
      <c r="E14" s="4">
        <f t="shared" si="0"/>
        <v>2.4231000000000003</v>
      </c>
      <c r="F14" s="16">
        <f t="shared" si="1"/>
        <v>1587.6151200000004</v>
      </c>
      <c r="G14" s="4"/>
      <c r="I14" s="216" t="s">
        <v>529</v>
      </c>
      <c r="J14" s="217">
        <v>0</v>
      </c>
    </row>
    <row r="15" spans="1:12" ht="15.75" thickBot="1">
      <c r="A15" s="3" t="s">
        <v>22</v>
      </c>
      <c r="B15" s="4" t="s">
        <v>23</v>
      </c>
      <c r="C15" s="10">
        <v>0.38700000000000001</v>
      </c>
      <c r="D15" s="4">
        <v>6.15</v>
      </c>
      <c r="E15" s="4">
        <f>(C15*D15)</f>
        <v>2.3800500000000002</v>
      </c>
      <c r="F15" s="16">
        <f t="shared" si="1"/>
        <v>1559.4087600000003</v>
      </c>
      <c r="G15" s="4"/>
      <c r="I15" s="216" t="s">
        <v>526</v>
      </c>
      <c r="J15" s="217">
        <v>0</v>
      </c>
    </row>
    <row r="16" spans="1:12" ht="15.75" thickBot="1">
      <c r="A16" s="3" t="s">
        <v>24</v>
      </c>
      <c r="B16" s="4" t="s">
        <v>25</v>
      </c>
      <c r="C16" s="10">
        <v>0.311</v>
      </c>
      <c r="D16" s="4">
        <v>6.03</v>
      </c>
      <c r="E16" s="4">
        <f t="shared" si="0"/>
        <v>1.8753300000000002</v>
      </c>
      <c r="F16" s="16">
        <f t="shared" si="1"/>
        <v>1228.7162160000003</v>
      </c>
      <c r="G16" s="4"/>
      <c r="I16" s="232" t="s">
        <v>522</v>
      </c>
      <c r="J16" s="232">
        <v>1.05</v>
      </c>
    </row>
    <row r="17" spans="1:11">
      <c r="A17" s="3" t="s">
        <v>26</v>
      </c>
      <c r="B17" s="4" t="s">
        <v>27</v>
      </c>
      <c r="C17" s="10">
        <v>0.54300000000000004</v>
      </c>
      <c r="D17" s="4">
        <v>6.03</v>
      </c>
      <c r="E17" s="4">
        <f t="shared" si="0"/>
        <v>3.2742900000000001</v>
      </c>
      <c r="F17" s="16">
        <f t="shared" si="1"/>
        <v>2145.3148080000001</v>
      </c>
      <c r="G17" s="4"/>
    </row>
    <row r="18" spans="1:11">
      <c r="A18" s="3" t="s">
        <v>28</v>
      </c>
      <c r="B18" s="4" t="s">
        <v>29</v>
      </c>
      <c r="C18" s="10">
        <v>0.52200000000000002</v>
      </c>
      <c r="D18" s="4">
        <v>6.15</v>
      </c>
      <c r="E18" s="4">
        <f t="shared" si="0"/>
        <v>3.2103000000000002</v>
      </c>
      <c r="F18" s="16">
        <f t="shared" si="1"/>
        <v>2103.3885600000003</v>
      </c>
      <c r="G18" s="4"/>
    </row>
    <row r="19" spans="1:11" ht="15.75" thickBot="1">
      <c r="A19" s="3" t="s">
        <v>30</v>
      </c>
      <c r="B19" s="4" t="s">
        <v>31</v>
      </c>
      <c r="C19" s="10">
        <v>0.99099999999999999</v>
      </c>
      <c r="D19" s="4">
        <v>6.03</v>
      </c>
      <c r="E19" s="4">
        <f t="shared" si="0"/>
        <v>5.9757300000000004</v>
      </c>
      <c r="F19" s="16">
        <f t="shared" si="1"/>
        <v>3915.2982960000004</v>
      </c>
      <c r="G19" s="4"/>
    </row>
    <row r="20" spans="1:11">
      <c r="A20" s="3" t="s">
        <v>32</v>
      </c>
      <c r="B20" s="4" t="s">
        <v>33</v>
      </c>
      <c r="C20" s="10">
        <v>0.316</v>
      </c>
      <c r="D20" s="4">
        <v>6.03</v>
      </c>
      <c r="E20" s="4">
        <f t="shared" si="0"/>
        <v>1.9054800000000001</v>
      </c>
      <c r="F20" s="16">
        <f t="shared" si="1"/>
        <v>1248.4704960000001</v>
      </c>
      <c r="G20" s="4"/>
      <c r="I20" s="424" t="s">
        <v>625</v>
      </c>
      <c r="J20" s="425">
        <v>1</v>
      </c>
      <c r="K20" s="426">
        <f>($J$13*$J$8)*$J$16</f>
        <v>655.20000000000005</v>
      </c>
    </row>
    <row r="21" spans="1:11" ht="15.75" thickBot="1">
      <c r="A21" s="3" t="s">
        <v>34</v>
      </c>
      <c r="B21" s="4" t="s">
        <v>35</v>
      </c>
      <c r="C21" s="10">
        <v>0.42</v>
      </c>
      <c r="D21" s="4">
        <v>6.03</v>
      </c>
      <c r="E21" s="4">
        <f t="shared" si="0"/>
        <v>2.5326</v>
      </c>
      <c r="F21" s="16">
        <f t="shared" si="1"/>
        <v>1659.3595200000002</v>
      </c>
      <c r="G21" s="4"/>
      <c r="I21" s="427" t="s">
        <v>626</v>
      </c>
      <c r="J21" s="428">
        <v>2</v>
      </c>
      <c r="K21" s="429">
        <f>(($J$13*$J$8)*$J$16)*1.05</f>
        <v>687.96</v>
      </c>
    </row>
    <row r="22" spans="1:11">
      <c r="A22" s="8" t="s">
        <v>36</v>
      </c>
      <c r="B22" s="9" t="s">
        <v>37</v>
      </c>
      <c r="C22" s="90">
        <v>0.26700000000000002</v>
      </c>
      <c r="D22" s="9">
        <v>6.03</v>
      </c>
      <c r="E22" s="9">
        <f t="shared" si="0"/>
        <v>1.6100100000000002</v>
      </c>
      <c r="F22" s="17">
        <f t="shared" si="1"/>
        <v>1054.8785520000001</v>
      </c>
      <c r="G22" s="4"/>
    </row>
    <row r="23" spans="1:11">
      <c r="A23" s="3" t="s">
        <v>39</v>
      </c>
      <c r="B23" s="4" t="s">
        <v>38</v>
      </c>
      <c r="C23" s="10">
        <v>0.47199999999999998</v>
      </c>
      <c r="D23" s="4">
        <v>6.03</v>
      </c>
      <c r="E23" s="4">
        <f t="shared" si="0"/>
        <v>2.8461599999999998</v>
      </c>
      <c r="F23" s="16">
        <f t="shared" si="1"/>
        <v>1864.804032</v>
      </c>
      <c r="G23" s="4"/>
    </row>
    <row r="24" spans="1:11">
      <c r="A24" s="3" t="s">
        <v>40</v>
      </c>
      <c r="B24" s="4" t="s">
        <v>41</v>
      </c>
      <c r="C24" s="10">
        <v>0.39600000000000002</v>
      </c>
      <c r="D24" s="4">
        <v>6.03</v>
      </c>
      <c r="E24" s="4">
        <f t="shared" si="0"/>
        <v>2.38788</v>
      </c>
      <c r="F24" s="16">
        <f t="shared" si="1"/>
        <v>1564.538976</v>
      </c>
      <c r="G24" s="4"/>
    </row>
    <row r="25" spans="1:11">
      <c r="A25" s="3" t="s">
        <v>42</v>
      </c>
      <c r="B25" s="4" t="s">
        <v>43</v>
      </c>
      <c r="C25" s="10">
        <v>0.27100000000000002</v>
      </c>
      <c r="D25" s="4">
        <v>6.03</v>
      </c>
      <c r="E25" s="4">
        <f t="shared" si="0"/>
        <v>1.6341300000000001</v>
      </c>
      <c r="F25" s="16">
        <f t="shared" si="1"/>
        <v>1070.6819760000001</v>
      </c>
      <c r="G25" s="4"/>
    </row>
    <row r="26" spans="1:11">
      <c r="A26" s="3" t="s">
        <v>829</v>
      </c>
      <c r="B26" s="4" t="s">
        <v>17</v>
      </c>
      <c r="C26" s="10">
        <v>0.65500000000000003</v>
      </c>
      <c r="D26" s="4">
        <v>6.03</v>
      </c>
      <c r="E26" s="4">
        <f t="shared" si="0"/>
        <v>3.9496500000000001</v>
      </c>
      <c r="F26" s="16">
        <f t="shared" si="1"/>
        <v>2587.81068</v>
      </c>
      <c r="G26" s="4"/>
    </row>
    <row r="27" spans="1:11">
      <c r="A27" s="3" t="s">
        <v>45</v>
      </c>
      <c r="B27" s="4" t="s">
        <v>44</v>
      </c>
      <c r="C27" s="10">
        <v>0.879</v>
      </c>
      <c r="D27" s="4">
        <v>6.03</v>
      </c>
      <c r="E27" s="4">
        <f t="shared" si="0"/>
        <v>5.30037</v>
      </c>
      <c r="F27" s="16">
        <f t="shared" si="1"/>
        <v>3472.8024240000004</v>
      </c>
      <c r="G27" s="4"/>
    </row>
    <row r="28" spans="1:11" ht="15.75" thickBot="1">
      <c r="A28" s="3" t="s">
        <v>47</v>
      </c>
      <c r="B28" s="4" t="s">
        <v>46</v>
      </c>
      <c r="C28" s="10">
        <v>0.95199999999999996</v>
      </c>
      <c r="D28" s="4">
        <v>6.03</v>
      </c>
      <c r="E28" s="4">
        <f t="shared" si="0"/>
        <v>5.7405600000000003</v>
      </c>
      <c r="F28" s="16">
        <f t="shared" si="1"/>
        <v>3761.2149120000004</v>
      </c>
      <c r="G28" s="4"/>
    </row>
    <row r="29" spans="1:11" ht="15.75" thickBot="1">
      <c r="A29" s="153" t="s">
        <v>36</v>
      </c>
      <c r="B29" s="154" t="s">
        <v>174</v>
      </c>
      <c r="C29" s="155">
        <f>(F29/D29)</f>
        <v>18.24212271973466</v>
      </c>
      <c r="D29" s="154">
        <v>6.03</v>
      </c>
      <c r="E29" s="154">
        <f>(C29*D29)</f>
        <v>110</v>
      </c>
      <c r="F29" s="156">
        <v>110</v>
      </c>
      <c r="G29" s="157" t="s">
        <v>401</v>
      </c>
    </row>
    <row r="30" spans="1:11">
      <c r="A30" s="3" t="s">
        <v>831</v>
      </c>
      <c r="B30" s="4" t="s">
        <v>830</v>
      </c>
      <c r="C30" s="10">
        <v>0.98799999999999999</v>
      </c>
      <c r="D30" s="4">
        <v>6.03</v>
      </c>
      <c r="E30" s="4">
        <f t="shared" si="0"/>
        <v>5.9576400000000005</v>
      </c>
      <c r="F30" s="16">
        <f t="shared" si="1"/>
        <v>3903.4457280000006</v>
      </c>
      <c r="G30" s="4"/>
    </row>
    <row r="31" spans="1:11">
      <c r="A31" s="3" t="s">
        <v>249</v>
      </c>
      <c r="B31" s="9" t="s">
        <v>250</v>
      </c>
      <c r="C31" s="90">
        <v>0.24299999999999999</v>
      </c>
      <c r="D31" s="9">
        <v>6.03</v>
      </c>
      <c r="E31" s="4">
        <f t="shared" si="0"/>
        <v>1.46529</v>
      </c>
      <c r="F31" s="16">
        <f t="shared" ref="F31" si="2">(E31*$F$2)</f>
        <v>960.05800800000009</v>
      </c>
    </row>
    <row r="32" spans="1:11">
      <c r="A32" s="3" t="s">
        <v>251</v>
      </c>
      <c r="B32" s="9" t="s">
        <v>252</v>
      </c>
      <c r="C32" s="90">
        <v>0.35899999999999999</v>
      </c>
      <c r="D32" s="9">
        <v>6.03</v>
      </c>
      <c r="E32" s="4">
        <f>(C32*D32)</f>
        <v>2.1647699999999999</v>
      </c>
      <c r="F32" s="16">
        <f>(E32*$F$2)</f>
        <v>1418.3573040000001</v>
      </c>
    </row>
    <row r="33" spans="1:6">
      <c r="A33" s="3"/>
      <c r="B33" s="9"/>
      <c r="C33" s="90"/>
      <c r="D33" s="9"/>
      <c r="E33" s="4"/>
      <c r="F33" s="16"/>
    </row>
    <row r="34" spans="1:6">
      <c r="A34" s="3" t="s">
        <v>40</v>
      </c>
      <c r="B34" s="9" t="s">
        <v>813</v>
      </c>
      <c r="C34" s="90">
        <v>0.41899999999999998</v>
      </c>
      <c r="D34" s="9">
        <v>6.03</v>
      </c>
      <c r="E34" s="4">
        <f t="shared" ref="E34:E44" si="3">(C34*D34)</f>
        <v>2.52657</v>
      </c>
      <c r="F34" s="16">
        <f t="shared" ref="F34:F44" si="4">(E34*$F$2)</f>
        <v>1655.408664</v>
      </c>
    </row>
    <row r="35" spans="1:6">
      <c r="A35" s="3" t="s">
        <v>827</v>
      </c>
      <c r="B35" s="9" t="s">
        <v>816</v>
      </c>
      <c r="C35" s="90">
        <v>1.35</v>
      </c>
      <c r="D35" s="9">
        <v>6.03</v>
      </c>
      <c r="E35" s="4">
        <f t="shared" si="3"/>
        <v>8.1405000000000012</v>
      </c>
      <c r="F35" s="16">
        <f t="shared" si="4"/>
        <v>5333.655600000001</v>
      </c>
    </row>
    <row r="36" spans="1:6">
      <c r="A36" s="3" t="s">
        <v>30</v>
      </c>
      <c r="B36" s="9" t="s">
        <v>818</v>
      </c>
      <c r="C36" s="90">
        <v>0.99099999999999999</v>
      </c>
      <c r="D36" s="9">
        <v>6.03</v>
      </c>
      <c r="E36" s="4">
        <f t="shared" si="3"/>
        <v>5.9757300000000004</v>
      </c>
      <c r="F36" s="16">
        <f t="shared" si="4"/>
        <v>3915.2982960000004</v>
      </c>
    </row>
    <row r="37" spans="1:6">
      <c r="A37" s="3" t="s">
        <v>828</v>
      </c>
      <c r="B37" s="9" t="s">
        <v>821</v>
      </c>
      <c r="C37" s="90">
        <v>0.19400000000000001</v>
      </c>
      <c r="D37" s="9">
        <v>6.03</v>
      </c>
      <c r="E37" s="4">
        <f t="shared" si="3"/>
        <v>1.1698200000000001</v>
      </c>
      <c r="F37" s="16">
        <f t="shared" si="4"/>
        <v>766.46606400000007</v>
      </c>
    </row>
    <row r="38" spans="1:6">
      <c r="A38" s="3" t="s">
        <v>829</v>
      </c>
      <c r="B38" s="9" t="s">
        <v>493</v>
      </c>
      <c r="C38" s="90">
        <v>0.81799999999999995</v>
      </c>
      <c r="D38" s="9">
        <v>6.03</v>
      </c>
      <c r="E38" s="4">
        <f t="shared" si="3"/>
        <v>4.9325399999999995</v>
      </c>
      <c r="F38" s="16">
        <f t="shared" si="4"/>
        <v>3231.8002079999997</v>
      </c>
    </row>
    <row r="39" spans="1:6">
      <c r="A39" s="3" t="s">
        <v>19</v>
      </c>
      <c r="B39" s="9" t="s">
        <v>822</v>
      </c>
      <c r="C39" s="90">
        <v>0.65500000000000003</v>
      </c>
      <c r="D39" s="9">
        <v>6.03</v>
      </c>
      <c r="E39" s="4">
        <f t="shared" si="3"/>
        <v>3.9496500000000001</v>
      </c>
      <c r="F39" s="16">
        <f t="shared" si="4"/>
        <v>2587.81068</v>
      </c>
    </row>
    <row r="40" spans="1:6">
      <c r="A40" s="3" t="s">
        <v>310</v>
      </c>
      <c r="B40" s="9" t="s">
        <v>814</v>
      </c>
      <c r="C40" s="90">
        <v>0.25700000000000001</v>
      </c>
      <c r="D40" s="9">
        <v>6.03</v>
      </c>
      <c r="E40" s="4">
        <f t="shared" si="3"/>
        <v>1.5497100000000001</v>
      </c>
      <c r="F40" s="16">
        <f t="shared" si="4"/>
        <v>1015.3699920000001</v>
      </c>
    </row>
    <row r="41" spans="1:6">
      <c r="A41" s="3" t="s">
        <v>316</v>
      </c>
      <c r="B41" s="9" t="s">
        <v>817</v>
      </c>
      <c r="C41" s="90">
        <v>0.72</v>
      </c>
      <c r="D41" s="9">
        <v>6.03</v>
      </c>
      <c r="E41" s="4">
        <f t="shared" si="3"/>
        <v>4.3415999999999997</v>
      </c>
      <c r="F41" s="16">
        <f t="shared" si="4"/>
        <v>2844.6163200000001</v>
      </c>
    </row>
    <row r="42" spans="1:6">
      <c r="A42" s="3" t="s">
        <v>307</v>
      </c>
      <c r="B42" s="9" t="s">
        <v>819</v>
      </c>
      <c r="C42" s="90">
        <v>0.186</v>
      </c>
      <c r="D42" s="9">
        <v>6.15</v>
      </c>
      <c r="E42" s="4">
        <f t="shared" si="3"/>
        <v>1.1439000000000001</v>
      </c>
      <c r="F42" s="16">
        <f t="shared" si="4"/>
        <v>749.48328000000015</v>
      </c>
    </row>
    <row r="43" spans="1:6">
      <c r="A43" s="3" t="s">
        <v>306</v>
      </c>
      <c r="B43" s="9" t="s">
        <v>335</v>
      </c>
      <c r="C43" s="90">
        <v>0.36899999999999999</v>
      </c>
      <c r="D43" s="9">
        <v>6.15</v>
      </c>
      <c r="E43" s="4">
        <f t="shared" si="3"/>
        <v>2.2693500000000002</v>
      </c>
      <c r="F43" s="16">
        <f t="shared" si="4"/>
        <v>1486.8781200000003</v>
      </c>
    </row>
    <row r="44" spans="1:6">
      <c r="A44" s="3" t="s">
        <v>313</v>
      </c>
      <c r="B44" s="9" t="s">
        <v>823</v>
      </c>
      <c r="C44" s="90">
        <v>0.68600000000000005</v>
      </c>
      <c r="D44" s="9">
        <v>6.15</v>
      </c>
      <c r="E44" s="4">
        <f t="shared" si="3"/>
        <v>4.2189000000000005</v>
      </c>
      <c r="F44" s="16">
        <f t="shared" si="4"/>
        <v>2764.2232800000006</v>
      </c>
    </row>
    <row r="45" spans="1:6">
      <c r="A45" s="3"/>
      <c r="B45" s="9"/>
      <c r="C45" s="90"/>
      <c r="D45" s="9"/>
      <c r="E45" s="4"/>
      <c r="F45" s="16"/>
    </row>
    <row r="46" spans="1:6">
      <c r="A46" s="3" t="s">
        <v>302</v>
      </c>
      <c r="B46" s="9" t="s">
        <v>331</v>
      </c>
      <c r="C46" s="90">
        <v>1.2</v>
      </c>
      <c r="D46" s="9">
        <v>6.15</v>
      </c>
      <c r="E46" s="4">
        <f t="shared" ref="E46:E77" si="5">(C46*D46)</f>
        <v>7.38</v>
      </c>
      <c r="F46" s="16">
        <f t="shared" ref="F46:F77" si="6">(E46*$F$2)</f>
        <v>4835.3760000000002</v>
      </c>
    </row>
    <row r="47" spans="1:6">
      <c r="A47" s="3" t="s">
        <v>303</v>
      </c>
      <c r="B47" s="9" t="s">
        <v>332</v>
      </c>
      <c r="C47" s="90">
        <v>0.63500000000000001</v>
      </c>
      <c r="D47" s="9">
        <v>6.15</v>
      </c>
      <c r="E47" s="4">
        <f t="shared" si="5"/>
        <v>3.9052500000000001</v>
      </c>
      <c r="F47" s="16">
        <f t="shared" si="6"/>
        <v>2558.7198000000003</v>
      </c>
    </row>
    <row r="48" spans="1:6">
      <c r="A48" s="3" t="s">
        <v>304</v>
      </c>
      <c r="B48" s="9" t="s">
        <v>333</v>
      </c>
      <c r="C48" s="90">
        <v>0.66</v>
      </c>
      <c r="D48" s="9">
        <v>6.15</v>
      </c>
      <c r="E48" s="4">
        <f t="shared" si="5"/>
        <v>4.0590000000000002</v>
      </c>
      <c r="F48" s="16">
        <f t="shared" si="6"/>
        <v>2659.4568000000004</v>
      </c>
    </row>
    <row r="49" spans="1:6">
      <c r="A49" s="3" t="s">
        <v>305</v>
      </c>
      <c r="B49" s="9" t="s">
        <v>334</v>
      </c>
      <c r="C49" s="90">
        <v>0.67500000000000004</v>
      </c>
      <c r="D49" s="9">
        <v>6.03</v>
      </c>
      <c r="E49" s="4">
        <f t="shared" si="5"/>
        <v>4.0702500000000006</v>
      </c>
      <c r="F49" s="16">
        <f t="shared" si="6"/>
        <v>2666.8278000000005</v>
      </c>
    </row>
    <row r="50" spans="1:6">
      <c r="A50" s="3" t="s">
        <v>306</v>
      </c>
      <c r="B50" s="9" t="s">
        <v>335</v>
      </c>
      <c r="C50" s="90">
        <v>0.36899999999999999</v>
      </c>
      <c r="D50" s="9">
        <v>6.15</v>
      </c>
      <c r="E50" s="4">
        <f t="shared" si="5"/>
        <v>2.2693500000000002</v>
      </c>
      <c r="F50" s="16">
        <f t="shared" si="6"/>
        <v>1486.8781200000003</v>
      </c>
    </row>
    <row r="51" spans="1:6">
      <c r="A51" s="3" t="s">
        <v>307</v>
      </c>
      <c r="B51" s="9" t="s">
        <v>336</v>
      </c>
      <c r="C51" s="90">
        <v>0.186</v>
      </c>
      <c r="D51" s="9">
        <v>6.15</v>
      </c>
      <c r="E51" s="4">
        <f t="shared" si="5"/>
        <v>1.1439000000000001</v>
      </c>
      <c r="F51" s="16">
        <f t="shared" si="6"/>
        <v>749.48328000000015</v>
      </c>
    </row>
    <row r="52" spans="1:6">
      <c r="A52" s="3" t="s">
        <v>308</v>
      </c>
      <c r="B52" s="9" t="s">
        <v>337</v>
      </c>
      <c r="C52" s="90">
        <v>0.58099999999999996</v>
      </c>
      <c r="D52" s="9">
        <v>6.15</v>
      </c>
      <c r="E52" s="4">
        <f t="shared" si="5"/>
        <v>3.57315</v>
      </c>
      <c r="F52" s="16">
        <f t="shared" si="6"/>
        <v>2341.12788</v>
      </c>
    </row>
    <row r="53" spans="1:6">
      <c r="A53" s="3" t="s">
        <v>309</v>
      </c>
      <c r="B53" s="9" t="s">
        <v>338</v>
      </c>
      <c r="C53" s="90">
        <v>1.2589999999999999</v>
      </c>
      <c r="D53" s="9">
        <v>6.03</v>
      </c>
      <c r="E53" s="4">
        <f t="shared" si="5"/>
        <v>7.5917699999999995</v>
      </c>
      <c r="F53" s="16">
        <f t="shared" si="6"/>
        <v>4974.1277039999995</v>
      </c>
    </row>
    <row r="54" spans="1:6">
      <c r="A54" s="3" t="s">
        <v>310</v>
      </c>
      <c r="B54" s="9" t="s">
        <v>41</v>
      </c>
      <c r="C54" s="90">
        <v>0.25700000000000001</v>
      </c>
      <c r="D54" s="9">
        <v>6.03</v>
      </c>
      <c r="E54" s="4">
        <f t="shared" si="5"/>
        <v>1.5497100000000001</v>
      </c>
      <c r="F54" s="16">
        <f t="shared" si="6"/>
        <v>1015.3699920000001</v>
      </c>
    </row>
    <row r="55" spans="1:6">
      <c r="A55" s="3" t="s">
        <v>311</v>
      </c>
      <c r="B55" s="9" t="s">
        <v>339</v>
      </c>
      <c r="C55" s="90">
        <v>1.0209999999999999</v>
      </c>
      <c r="D55" s="9">
        <v>6.15</v>
      </c>
      <c r="E55" s="4">
        <f t="shared" si="5"/>
        <v>6.2791499999999996</v>
      </c>
      <c r="F55" s="16">
        <f t="shared" si="6"/>
        <v>4114.09908</v>
      </c>
    </row>
    <row r="56" spans="1:6">
      <c r="A56" s="3" t="s">
        <v>312</v>
      </c>
      <c r="B56" s="9" t="s">
        <v>340</v>
      </c>
      <c r="C56" s="90">
        <v>0.90200000000000002</v>
      </c>
      <c r="D56" s="9">
        <v>6.15</v>
      </c>
      <c r="E56" s="4">
        <f t="shared" si="5"/>
        <v>5.5473000000000008</v>
      </c>
      <c r="F56" s="16">
        <f t="shared" si="6"/>
        <v>3634.5909600000009</v>
      </c>
    </row>
    <row r="57" spans="1:6">
      <c r="A57" s="3" t="s">
        <v>313</v>
      </c>
      <c r="B57" s="9" t="s">
        <v>341</v>
      </c>
      <c r="C57" s="90">
        <v>0.68600000000000005</v>
      </c>
      <c r="D57" s="9">
        <v>6.15</v>
      </c>
      <c r="E57" s="4">
        <f t="shared" si="5"/>
        <v>4.2189000000000005</v>
      </c>
      <c r="F57" s="16">
        <f t="shared" si="6"/>
        <v>2764.2232800000006</v>
      </c>
    </row>
    <row r="58" spans="1:6">
      <c r="A58" s="3" t="s">
        <v>314</v>
      </c>
      <c r="B58" s="9" t="s">
        <v>342</v>
      </c>
      <c r="C58" s="90">
        <v>1.0640000000000001</v>
      </c>
      <c r="D58" s="9">
        <v>6.03</v>
      </c>
      <c r="E58" s="4">
        <f t="shared" si="5"/>
        <v>6.4159200000000007</v>
      </c>
      <c r="F58" s="16">
        <f t="shared" si="6"/>
        <v>4203.7107840000008</v>
      </c>
    </row>
    <row r="59" spans="1:6">
      <c r="A59" s="3" t="s">
        <v>315</v>
      </c>
      <c r="B59" s="9" t="s">
        <v>343</v>
      </c>
      <c r="C59" s="90">
        <v>1.4530000000000001</v>
      </c>
      <c r="D59" s="9">
        <v>6.03</v>
      </c>
      <c r="E59" s="4">
        <f t="shared" si="5"/>
        <v>8.76159</v>
      </c>
      <c r="F59" s="16">
        <f t="shared" si="6"/>
        <v>5740.5937680000006</v>
      </c>
    </row>
    <row r="60" spans="1:6">
      <c r="A60" s="3" t="s">
        <v>316</v>
      </c>
      <c r="B60" s="9" t="s">
        <v>344</v>
      </c>
      <c r="C60" s="90">
        <v>0.72</v>
      </c>
      <c r="D60" s="9">
        <v>6.03</v>
      </c>
      <c r="E60" s="4">
        <f t="shared" si="5"/>
        <v>4.3415999999999997</v>
      </c>
      <c r="F60" s="16">
        <f t="shared" si="6"/>
        <v>2844.6163200000001</v>
      </c>
    </row>
    <row r="61" spans="1:6">
      <c r="A61" s="3" t="s">
        <v>317</v>
      </c>
      <c r="B61" s="9" t="s">
        <v>345</v>
      </c>
      <c r="C61" s="90">
        <v>0.23499999999999999</v>
      </c>
      <c r="D61" s="9">
        <v>6.03</v>
      </c>
      <c r="E61" s="4">
        <f t="shared" si="5"/>
        <v>1.4170499999999999</v>
      </c>
      <c r="F61" s="16">
        <f t="shared" si="6"/>
        <v>928.45115999999996</v>
      </c>
    </row>
    <row r="62" spans="1:6">
      <c r="A62" s="3" t="s">
        <v>318</v>
      </c>
      <c r="B62" s="9" t="s">
        <v>346</v>
      </c>
      <c r="C62" s="90">
        <v>1.728</v>
      </c>
      <c r="D62" s="9">
        <v>6.15</v>
      </c>
      <c r="E62" s="4">
        <f t="shared" si="5"/>
        <v>10.6272</v>
      </c>
      <c r="F62" s="16">
        <f t="shared" si="6"/>
        <v>6962.9414400000005</v>
      </c>
    </row>
    <row r="63" spans="1:6">
      <c r="A63" s="3" t="s">
        <v>319</v>
      </c>
      <c r="B63" s="9" t="s">
        <v>347</v>
      </c>
      <c r="C63" s="90">
        <v>0.90500000000000003</v>
      </c>
      <c r="D63" s="9">
        <v>6.15</v>
      </c>
      <c r="E63" s="4">
        <f t="shared" si="5"/>
        <v>5.5657500000000004</v>
      </c>
      <c r="F63" s="16">
        <f t="shared" si="6"/>
        <v>3646.6794000000004</v>
      </c>
    </row>
    <row r="64" spans="1:6">
      <c r="A64" s="3" t="s">
        <v>320</v>
      </c>
      <c r="B64" s="9" t="s">
        <v>348</v>
      </c>
      <c r="C64" s="90">
        <v>0.57799999999999996</v>
      </c>
      <c r="D64" s="9">
        <v>6.15</v>
      </c>
      <c r="E64" s="4">
        <f t="shared" si="5"/>
        <v>3.5547</v>
      </c>
      <c r="F64" s="16">
        <f t="shared" si="6"/>
        <v>2329.03944</v>
      </c>
    </row>
    <row r="65" spans="1:6">
      <c r="A65" s="3" t="s">
        <v>321</v>
      </c>
      <c r="B65" s="9" t="s">
        <v>349</v>
      </c>
      <c r="C65" s="90">
        <v>0.63500000000000001</v>
      </c>
      <c r="D65" s="9">
        <v>6.15</v>
      </c>
      <c r="E65" s="4">
        <f t="shared" si="5"/>
        <v>3.9052500000000001</v>
      </c>
      <c r="F65" s="16">
        <f t="shared" si="6"/>
        <v>2558.7198000000003</v>
      </c>
    </row>
    <row r="66" spans="1:6">
      <c r="A66" s="3" t="s">
        <v>322</v>
      </c>
      <c r="B66" s="9" t="s">
        <v>350</v>
      </c>
      <c r="C66" s="90">
        <v>0.29199999999999998</v>
      </c>
      <c r="D66" s="9">
        <v>6.03</v>
      </c>
      <c r="E66" s="4">
        <f t="shared" si="5"/>
        <v>1.7607599999999999</v>
      </c>
      <c r="F66" s="16">
        <f t="shared" si="6"/>
        <v>1153.649952</v>
      </c>
    </row>
    <row r="67" spans="1:6">
      <c r="A67" s="3" t="s">
        <v>323</v>
      </c>
      <c r="B67" s="9" t="s">
        <v>351</v>
      </c>
      <c r="C67" s="90">
        <v>0.63500000000000001</v>
      </c>
      <c r="D67" s="9">
        <v>6.15</v>
      </c>
      <c r="E67" s="4">
        <f t="shared" si="5"/>
        <v>3.9052500000000001</v>
      </c>
      <c r="F67" s="16">
        <f t="shared" si="6"/>
        <v>2558.7198000000003</v>
      </c>
    </row>
    <row r="68" spans="1:6">
      <c r="A68" s="3" t="s">
        <v>324</v>
      </c>
      <c r="B68" s="9" t="s">
        <v>352</v>
      </c>
      <c r="C68" s="90">
        <v>0.67500000000000004</v>
      </c>
      <c r="D68" s="9">
        <v>6.03</v>
      </c>
      <c r="E68" s="4">
        <f t="shared" si="5"/>
        <v>4.0702500000000006</v>
      </c>
      <c r="F68" s="16">
        <f t="shared" si="6"/>
        <v>2666.8278000000005</v>
      </c>
    </row>
    <row r="69" spans="1:6">
      <c r="A69" s="3" t="s">
        <v>325</v>
      </c>
      <c r="B69" s="9" t="s">
        <v>353</v>
      </c>
      <c r="C69" s="90">
        <v>0.58199999999999996</v>
      </c>
      <c r="D69" s="9">
        <v>6.15</v>
      </c>
      <c r="E69" s="4">
        <f t="shared" si="5"/>
        <v>3.5792999999999999</v>
      </c>
      <c r="F69" s="16">
        <f t="shared" si="6"/>
        <v>2345.1573600000002</v>
      </c>
    </row>
    <row r="70" spans="1:6">
      <c r="A70" s="3" t="s">
        <v>326</v>
      </c>
      <c r="B70" s="9" t="s">
        <v>354</v>
      </c>
      <c r="C70" s="90">
        <v>1.226</v>
      </c>
      <c r="D70" s="9">
        <v>6.03</v>
      </c>
      <c r="E70" s="4">
        <f t="shared" si="5"/>
        <v>7.3927800000000001</v>
      </c>
      <c r="F70" s="16">
        <f t="shared" si="6"/>
        <v>4843.7494560000005</v>
      </c>
    </row>
    <row r="71" spans="1:6">
      <c r="A71" s="3" t="s">
        <v>327</v>
      </c>
      <c r="B71" s="9" t="s">
        <v>355</v>
      </c>
      <c r="C71" s="90">
        <v>0.40500000000000003</v>
      </c>
      <c r="D71" s="9">
        <v>6.03</v>
      </c>
      <c r="E71" s="4">
        <f t="shared" si="5"/>
        <v>2.4421500000000003</v>
      </c>
      <c r="F71" s="16">
        <f t="shared" si="6"/>
        <v>1600.0966800000003</v>
      </c>
    </row>
    <row r="72" spans="1:6">
      <c r="A72" s="3" t="s">
        <v>328</v>
      </c>
      <c r="B72" s="9" t="s">
        <v>356</v>
      </c>
      <c r="C72" s="90">
        <v>0.214</v>
      </c>
      <c r="D72" s="9">
        <v>6.03</v>
      </c>
      <c r="E72" s="4">
        <f t="shared" si="5"/>
        <v>1.2904200000000001</v>
      </c>
      <c r="F72" s="16">
        <f t="shared" si="6"/>
        <v>845.48318400000016</v>
      </c>
    </row>
    <row r="73" spans="1:6">
      <c r="A73" s="3" t="s">
        <v>329</v>
      </c>
      <c r="B73" s="9" t="s">
        <v>357</v>
      </c>
      <c r="C73" s="90">
        <v>0.16</v>
      </c>
      <c r="D73" s="9">
        <v>6.03</v>
      </c>
      <c r="E73" s="4">
        <f t="shared" si="5"/>
        <v>0.9648000000000001</v>
      </c>
      <c r="F73" s="16">
        <f t="shared" si="6"/>
        <v>632.13696000000016</v>
      </c>
    </row>
    <row r="74" spans="1:6">
      <c r="A74" s="3" t="s">
        <v>330</v>
      </c>
      <c r="B74" s="9" t="s">
        <v>358</v>
      </c>
      <c r="C74" s="90">
        <v>0.17</v>
      </c>
      <c r="D74" s="9">
        <v>6.03</v>
      </c>
      <c r="E74" s="4">
        <f t="shared" si="5"/>
        <v>1.0251000000000001</v>
      </c>
      <c r="F74" s="16">
        <f t="shared" si="6"/>
        <v>671.64552000000015</v>
      </c>
    </row>
    <row r="75" spans="1:6">
      <c r="A75" s="3" t="s">
        <v>365</v>
      </c>
      <c r="B75" s="9" t="s">
        <v>366</v>
      </c>
      <c r="C75" s="90">
        <v>0.308</v>
      </c>
      <c r="D75" s="9">
        <v>6.15</v>
      </c>
      <c r="E75" s="9">
        <f t="shared" si="5"/>
        <v>1.8942000000000001</v>
      </c>
      <c r="F75" s="16">
        <f t="shared" si="6"/>
        <v>1241.0798400000001</v>
      </c>
    </row>
    <row r="76" spans="1:6">
      <c r="A76" s="3" t="s">
        <v>408</v>
      </c>
      <c r="B76" s="9" t="s">
        <v>409</v>
      </c>
      <c r="C76" s="90">
        <v>1.099</v>
      </c>
      <c r="D76" s="9">
        <v>6.15</v>
      </c>
      <c r="E76" s="9">
        <f t="shared" si="5"/>
        <v>6.7588500000000007</v>
      </c>
      <c r="F76" s="16">
        <f t="shared" si="6"/>
        <v>4428.3985200000006</v>
      </c>
    </row>
    <row r="77" spans="1:6" ht="15.75" thickBot="1">
      <c r="A77" s="5" t="s">
        <v>406</v>
      </c>
      <c r="B77" s="18" t="s">
        <v>407</v>
      </c>
      <c r="C77" s="148">
        <v>0.79400000000000004</v>
      </c>
      <c r="D77" s="18">
        <v>6.03</v>
      </c>
      <c r="E77" s="6">
        <f t="shared" si="5"/>
        <v>4.7878200000000009</v>
      </c>
      <c r="F77" s="19">
        <f t="shared" si="6"/>
        <v>3136.9796640000009</v>
      </c>
    </row>
    <row r="78" spans="1:6" ht="15.75" thickBot="1"/>
    <row r="79" spans="1:6" ht="30" customHeight="1" thickBot="1">
      <c r="A79" s="810" t="s">
        <v>51</v>
      </c>
      <c r="B79" s="811"/>
      <c r="C79" s="811"/>
      <c r="D79" s="812"/>
      <c r="E79" s="14"/>
    </row>
    <row r="80" spans="1:6" ht="16.5" thickBot="1">
      <c r="A80" s="7" t="s">
        <v>49</v>
      </c>
      <c r="B80" s="7" t="s">
        <v>50</v>
      </c>
      <c r="C80" s="7" t="s">
        <v>54</v>
      </c>
      <c r="D80" s="7" t="s">
        <v>67</v>
      </c>
      <c r="E80" s="15"/>
    </row>
    <row r="81" spans="1:15" ht="15.75" thickBot="1">
      <c r="A81" s="813"/>
      <c r="B81" s="814"/>
      <c r="C81" s="814"/>
      <c r="D81" s="815"/>
      <c r="E81" s="13"/>
      <c r="N81" s="541" t="s">
        <v>833</v>
      </c>
      <c r="O81" s="542" t="s">
        <v>834</v>
      </c>
    </row>
    <row r="82" spans="1:15" ht="15.75" thickBot="1">
      <c r="A82" s="33" t="s">
        <v>52</v>
      </c>
      <c r="B82" s="34" t="s">
        <v>53</v>
      </c>
      <c r="C82" s="34" t="s">
        <v>61</v>
      </c>
      <c r="D82" s="63">
        <f>IF($G$2=1,N82,O82)</f>
        <v>530</v>
      </c>
      <c r="E82" s="4"/>
      <c r="N82" s="659">
        <v>530</v>
      </c>
      <c r="O82" s="543">
        <f t="shared" ref="O82:O87" si="7">N82*1.05</f>
        <v>556.5</v>
      </c>
    </row>
    <row r="83" spans="1:15" ht="15.75" thickBot="1">
      <c r="A83" s="219" t="s">
        <v>55</v>
      </c>
      <c r="B83" s="220" t="s">
        <v>58</v>
      </c>
      <c r="C83" s="220" t="s">
        <v>61</v>
      </c>
      <c r="D83" s="221">
        <f t="shared" ref="D83:D116" si="8">IF($G$2=1,N83,O83)</f>
        <v>650</v>
      </c>
      <c r="E83" s="4"/>
      <c r="N83" s="659">
        <v>650</v>
      </c>
      <c r="O83" s="543">
        <f t="shared" si="7"/>
        <v>682.5</v>
      </c>
    </row>
    <row r="84" spans="1:15">
      <c r="A84" s="680" t="s">
        <v>56</v>
      </c>
      <c r="B84" s="679" t="s">
        <v>59</v>
      </c>
      <c r="C84" s="679" t="s">
        <v>61</v>
      </c>
      <c r="D84" s="681">
        <f t="shared" si="8"/>
        <v>825</v>
      </c>
      <c r="E84" s="4"/>
      <c r="N84">
        <v>825</v>
      </c>
      <c r="O84" s="543">
        <f t="shared" si="7"/>
        <v>866.25</v>
      </c>
    </row>
    <row r="85" spans="1:15">
      <c r="A85" s="8" t="s">
        <v>57</v>
      </c>
      <c r="B85" s="9" t="s">
        <v>60</v>
      </c>
      <c r="C85" s="9" t="s">
        <v>61</v>
      </c>
      <c r="D85" s="678">
        <f t="shared" si="8"/>
        <v>1085</v>
      </c>
      <c r="E85" s="4"/>
      <c r="N85">
        <v>1085</v>
      </c>
      <c r="O85" s="543">
        <f t="shared" si="7"/>
        <v>1139.25</v>
      </c>
    </row>
    <row r="86" spans="1:15">
      <c r="A86" s="8" t="s">
        <v>68</v>
      </c>
      <c r="B86" s="9" t="s">
        <v>70</v>
      </c>
      <c r="C86" s="9" t="s">
        <v>61</v>
      </c>
      <c r="D86" s="678">
        <f t="shared" si="8"/>
        <v>1505</v>
      </c>
      <c r="E86" s="4"/>
      <c r="N86">
        <v>1505</v>
      </c>
      <c r="O86" s="543">
        <f t="shared" si="7"/>
        <v>1580.25</v>
      </c>
    </row>
    <row r="87" spans="1:15">
      <c r="A87" s="8" t="s">
        <v>69</v>
      </c>
      <c r="B87" s="9" t="s">
        <v>71</v>
      </c>
      <c r="C87" s="9" t="s">
        <v>61</v>
      </c>
      <c r="D87" s="678">
        <f t="shared" si="8"/>
        <v>2000</v>
      </c>
      <c r="E87" s="4"/>
      <c r="N87">
        <v>2000</v>
      </c>
      <c r="O87" s="543">
        <f t="shared" si="7"/>
        <v>2100</v>
      </c>
    </row>
    <row r="88" spans="1:15" ht="15.75" thickBot="1">
      <c r="A88" s="195"/>
      <c r="B88" s="18"/>
      <c r="C88" s="18"/>
      <c r="D88" s="677">
        <f t="shared" si="8"/>
        <v>0</v>
      </c>
      <c r="E88" s="4"/>
      <c r="O88" s="543"/>
    </row>
    <row r="89" spans="1:15" ht="15.75" thickBot="1">
      <c r="A89" s="222" t="s">
        <v>94</v>
      </c>
      <c r="B89" s="687" t="s">
        <v>72</v>
      </c>
      <c r="C89" s="218" t="s">
        <v>61</v>
      </c>
      <c r="D89" s="223">
        <f t="shared" si="8"/>
        <v>1790</v>
      </c>
      <c r="E89" s="4"/>
      <c r="N89" s="659">
        <v>1790</v>
      </c>
      <c r="O89" s="543">
        <f t="shared" ref="O89:O116" si="9">N89*1.05</f>
        <v>1879.5</v>
      </c>
    </row>
    <row r="90" spans="1:15">
      <c r="A90" s="680" t="s">
        <v>95</v>
      </c>
      <c r="B90" s="679" t="s">
        <v>73</v>
      </c>
      <c r="C90" s="679" t="s">
        <v>61</v>
      </c>
      <c r="D90" s="681">
        <f t="shared" si="8"/>
        <v>2315</v>
      </c>
      <c r="E90" s="4"/>
      <c r="N90">
        <v>2315</v>
      </c>
      <c r="O90" s="543">
        <f t="shared" si="9"/>
        <v>2430.75</v>
      </c>
    </row>
    <row r="91" spans="1:15">
      <c r="A91" s="8" t="s">
        <v>96</v>
      </c>
      <c r="B91" s="9" t="s">
        <v>74</v>
      </c>
      <c r="C91" s="9" t="s">
        <v>61</v>
      </c>
      <c r="D91" s="678">
        <f t="shared" si="8"/>
        <v>2860</v>
      </c>
      <c r="E91" s="4"/>
      <c r="N91">
        <v>2860</v>
      </c>
      <c r="O91" s="543">
        <f t="shared" si="9"/>
        <v>3003</v>
      </c>
    </row>
    <row r="92" spans="1:15">
      <c r="A92" s="8" t="s">
        <v>97</v>
      </c>
      <c r="B92" s="9" t="s">
        <v>75</v>
      </c>
      <c r="C92" s="9" t="s">
        <v>61</v>
      </c>
      <c r="D92" s="678">
        <f t="shared" si="8"/>
        <v>4030</v>
      </c>
      <c r="E92" s="4"/>
      <c r="N92">
        <v>4030</v>
      </c>
      <c r="O92" s="543">
        <f t="shared" si="9"/>
        <v>4231.5</v>
      </c>
    </row>
    <row r="93" spans="1:15" ht="15.75" thickBot="1">
      <c r="A93" s="195"/>
      <c r="B93" s="18"/>
      <c r="C93" s="18"/>
      <c r="D93" s="677">
        <f t="shared" si="8"/>
        <v>0</v>
      </c>
      <c r="E93" s="4"/>
      <c r="O93" s="543"/>
    </row>
    <row r="94" spans="1:15" ht="15.75" thickBot="1">
      <c r="A94" s="24" t="s">
        <v>98</v>
      </c>
      <c r="B94" s="688" t="s">
        <v>76</v>
      </c>
      <c r="C94" s="25" t="s">
        <v>61</v>
      </c>
      <c r="D94" s="682">
        <f t="shared" si="8"/>
        <v>795</v>
      </c>
      <c r="E94" s="4"/>
      <c r="N94" s="590">
        <v>795</v>
      </c>
      <c r="O94" s="543">
        <f t="shared" si="9"/>
        <v>834.75</v>
      </c>
    </row>
    <row r="95" spans="1:15" ht="15.75" thickBot="1">
      <c r="A95" s="21" t="s">
        <v>99</v>
      </c>
      <c r="B95" s="689" t="s">
        <v>78</v>
      </c>
      <c r="C95" s="28" t="s">
        <v>61</v>
      </c>
      <c r="D95" s="683">
        <f t="shared" si="8"/>
        <v>820</v>
      </c>
      <c r="E95" s="4"/>
      <c r="N95" s="590">
        <v>820</v>
      </c>
      <c r="O95" s="543">
        <f t="shared" si="9"/>
        <v>861</v>
      </c>
    </row>
    <row r="96" spans="1:15">
      <c r="A96" s="680"/>
      <c r="B96" s="679"/>
      <c r="C96" s="679"/>
      <c r="D96" s="681">
        <f t="shared" si="8"/>
        <v>0</v>
      </c>
      <c r="E96" s="4"/>
      <c r="O96" s="543"/>
    </row>
    <row r="97" spans="1:15">
      <c r="A97" s="8" t="s">
        <v>100</v>
      </c>
      <c r="B97" s="9" t="s">
        <v>77</v>
      </c>
      <c r="C97" s="9" t="s">
        <v>61</v>
      </c>
      <c r="D97" s="678">
        <f t="shared" si="8"/>
        <v>4300</v>
      </c>
      <c r="E97" s="4"/>
      <c r="N97">
        <v>4300</v>
      </c>
      <c r="O97" s="543">
        <f t="shared" si="9"/>
        <v>4515</v>
      </c>
    </row>
    <row r="98" spans="1:15">
      <c r="A98" s="8" t="s">
        <v>101</v>
      </c>
      <c r="B98" s="9" t="s">
        <v>79</v>
      </c>
      <c r="C98" s="9" t="s">
        <v>61</v>
      </c>
      <c r="D98" s="678">
        <f t="shared" si="8"/>
        <v>5570</v>
      </c>
      <c r="E98" s="4"/>
      <c r="N98">
        <v>5570</v>
      </c>
      <c r="O98" s="543">
        <f t="shared" si="9"/>
        <v>5848.5</v>
      </c>
    </row>
    <row r="99" spans="1:15">
      <c r="A99" s="8"/>
      <c r="B99" s="9"/>
      <c r="C99" s="9"/>
      <c r="D99" s="678">
        <f t="shared" si="8"/>
        <v>0</v>
      </c>
      <c r="E99" s="9"/>
      <c r="O99" s="543"/>
    </row>
    <row r="100" spans="1:15">
      <c r="A100" s="8" t="s">
        <v>102</v>
      </c>
      <c r="B100" s="9" t="s">
        <v>80</v>
      </c>
      <c r="C100" s="9" t="s">
        <v>61</v>
      </c>
      <c r="D100" s="678">
        <f t="shared" si="8"/>
        <v>1175</v>
      </c>
      <c r="E100" s="4"/>
      <c r="N100">
        <v>1175</v>
      </c>
      <c r="O100" s="543">
        <f t="shared" si="9"/>
        <v>1233.75</v>
      </c>
    </row>
    <row r="101" spans="1:15">
      <c r="A101" s="8" t="s">
        <v>103</v>
      </c>
      <c r="B101" s="9" t="s">
        <v>81</v>
      </c>
      <c r="C101" s="9" t="s">
        <v>61</v>
      </c>
      <c r="D101" s="678">
        <f t="shared" si="8"/>
        <v>1440</v>
      </c>
      <c r="E101" s="4"/>
      <c r="N101">
        <v>1440</v>
      </c>
      <c r="O101" s="543">
        <f t="shared" si="9"/>
        <v>1512</v>
      </c>
    </row>
    <row r="102" spans="1:15">
      <c r="A102" s="8" t="s">
        <v>104</v>
      </c>
      <c r="B102" s="9" t="s">
        <v>82</v>
      </c>
      <c r="C102" s="9" t="s">
        <v>61</v>
      </c>
      <c r="D102" s="678">
        <f t="shared" si="8"/>
        <v>1595</v>
      </c>
      <c r="E102" s="4"/>
      <c r="N102">
        <v>1595</v>
      </c>
      <c r="O102" s="543">
        <f t="shared" si="9"/>
        <v>1674.75</v>
      </c>
    </row>
    <row r="103" spans="1:15">
      <c r="A103" s="8" t="s">
        <v>105</v>
      </c>
      <c r="B103" s="9" t="s">
        <v>83</v>
      </c>
      <c r="C103" s="9" t="s">
        <v>61</v>
      </c>
      <c r="D103" s="678">
        <f t="shared" si="8"/>
        <v>1765</v>
      </c>
      <c r="E103" s="4"/>
      <c r="N103">
        <v>1765</v>
      </c>
      <c r="O103" s="543">
        <f t="shared" si="9"/>
        <v>1853.25</v>
      </c>
    </row>
    <row r="104" spans="1:15">
      <c r="A104" s="8" t="s">
        <v>106</v>
      </c>
      <c r="B104" s="9" t="s">
        <v>84</v>
      </c>
      <c r="C104" s="9" t="s">
        <v>61</v>
      </c>
      <c r="D104" s="678">
        <f t="shared" si="8"/>
        <v>1775</v>
      </c>
      <c r="E104" s="4"/>
      <c r="N104">
        <v>1775</v>
      </c>
      <c r="O104" s="543">
        <f t="shared" si="9"/>
        <v>1863.75</v>
      </c>
    </row>
    <row r="105" spans="1:15">
      <c r="A105" s="8" t="s">
        <v>107</v>
      </c>
      <c r="B105" s="9" t="s">
        <v>85</v>
      </c>
      <c r="C105" s="9" t="s">
        <v>61</v>
      </c>
      <c r="D105" s="678">
        <f t="shared" si="8"/>
        <v>3220</v>
      </c>
      <c r="E105" s="4"/>
      <c r="N105">
        <v>3220</v>
      </c>
      <c r="O105" s="543">
        <f t="shared" si="9"/>
        <v>3381</v>
      </c>
    </row>
    <row r="106" spans="1:15">
      <c r="A106" s="8"/>
      <c r="B106" s="9"/>
      <c r="C106" s="9"/>
      <c r="D106" s="678">
        <f t="shared" si="8"/>
        <v>0</v>
      </c>
      <c r="E106" s="4"/>
      <c r="O106" s="543"/>
    </row>
    <row r="107" spans="1:15">
      <c r="A107" s="8" t="s">
        <v>108</v>
      </c>
      <c r="B107" s="9" t="s">
        <v>86</v>
      </c>
      <c r="C107" s="9" t="s">
        <v>61</v>
      </c>
      <c r="D107" s="678">
        <f t="shared" si="8"/>
        <v>3095</v>
      </c>
      <c r="E107" s="4"/>
      <c r="N107">
        <v>3095</v>
      </c>
      <c r="O107" s="543">
        <f t="shared" si="9"/>
        <v>3249.75</v>
      </c>
    </row>
    <row r="108" spans="1:15">
      <c r="A108" s="8" t="s">
        <v>112</v>
      </c>
      <c r="B108" s="9" t="s">
        <v>87</v>
      </c>
      <c r="C108" s="9" t="s">
        <v>61</v>
      </c>
      <c r="D108" s="678">
        <f t="shared" si="8"/>
        <v>3385</v>
      </c>
      <c r="E108" s="4"/>
      <c r="N108">
        <v>3385</v>
      </c>
      <c r="O108" s="543">
        <f t="shared" si="9"/>
        <v>3554.25</v>
      </c>
    </row>
    <row r="109" spans="1:15">
      <c r="A109" s="8" t="s">
        <v>113</v>
      </c>
      <c r="B109" s="9" t="s">
        <v>88</v>
      </c>
      <c r="C109" s="9" t="s">
        <v>61</v>
      </c>
      <c r="D109" s="678">
        <f t="shared" si="8"/>
        <v>4715</v>
      </c>
      <c r="E109" s="4"/>
      <c r="N109">
        <v>4715</v>
      </c>
      <c r="O109" s="543">
        <f t="shared" si="9"/>
        <v>4950.75</v>
      </c>
    </row>
    <row r="110" spans="1:15">
      <c r="A110" s="8"/>
      <c r="B110" s="9"/>
      <c r="C110" s="9"/>
      <c r="D110" s="678">
        <f t="shared" si="8"/>
        <v>0</v>
      </c>
      <c r="E110" s="4"/>
      <c r="O110" s="543"/>
    </row>
    <row r="111" spans="1:15">
      <c r="A111" s="8" t="s">
        <v>109</v>
      </c>
      <c r="B111" s="9" t="s">
        <v>89</v>
      </c>
      <c r="C111" s="9" t="s">
        <v>61</v>
      </c>
      <c r="D111" s="678">
        <f t="shared" si="8"/>
        <v>3435</v>
      </c>
      <c r="E111" s="4"/>
      <c r="N111">
        <v>3435</v>
      </c>
      <c r="O111" s="543">
        <f t="shared" si="9"/>
        <v>3606.75</v>
      </c>
    </row>
    <row r="112" spans="1:15">
      <c r="A112" s="8" t="s">
        <v>110</v>
      </c>
      <c r="B112" s="9" t="s">
        <v>90</v>
      </c>
      <c r="C112" s="9" t="s">
        <v>61</v>
      </c>
      <c r="D112" s="678">
        <f t="shared" si="8"/>
        <v>3765</v>
      </c>
      <c r="E112" s="4"/>
      <c r="N112">
        <v>3765</v>
      </c>
      <c r="O112" s="543">
        <f t="shared" si="9"/>
        <v>3953.25</v>
      </c>
    </row>
    <row r="113" spans="1:15">
      <c r="A113" s="8" t="s">
        <v>111</v>
      </c>
      <c r="B113" s="9" t="s">
        <v>91</v>
      </c>
      <c r="C113" s="9" t="s">
        <v>61</v>
      </c>
      <c r="D113" s="678">
        <f t="shared" si="8"/>
        <v>5520</v>
      </c>
      <c r="E113" s="4"/>
      <c r="N113">
        <v>5520</v>
      </c>
      <c r="O113" s="543">
        <f t="shared" si="9"/>
        <v>5796</v>
      </c>
    </row>
    <row r="114" spans="1:15" ht="15.75" thickBot="1">
      <c r="A114" s="195"/>
      <c r="B114" s="18"/>
      <c r="C114" s="18"/>
      <c r="D114" s="677">
        <f t="shared" si="8"/>
        <v>0</v>
      </c>
      <c r="E114" s="4"/>
      <c r="O114" s="543"/>
    </row>
    <row r="115" spans="1:15" ht="15.75" thickBot="1">
      <c r="A115" s="684" t="s">
        <v>114</v>
      </c>
      <c r="B115" s="690" t="s">
        <v>92</v>
      </c>
      <c r="C115" s="685" t="s">
        <v>61</v>
      </c>
      <c r="D115" s="686">
        <f t="shared" si="8"/>
        <v>3450</v>
      </c>
      <c r="E115" s="4"/>
      <c r="N115" s="660">
        <v>3450</v>
      </c>
      <c r="O115" s="543">
        <f t="shared" si="9"/>
        <v>3622.5</v>
      </c>
    </row>
    <row r="116" spans="1:15">
      <c r="A116" s="680" t="s">
        <v>115</v>
      </c>
      <c r="B116" s="679" t="s">
        <v>93</v>
      </c>
      <c r="C116" s="679" t="s">
        <v>61</v>
      </c>
      <c r="D116" s="681">
        <f t="shared" si="8"/>
        <v>5000</v>
      </c>
      <c r="E116" s="4"/>
      <c r="N116">
        <v>5000</v>
      </c>
      <c r="O116" s="543">
        <f t="shared" si="9"/>
        <v>5250</v>
      </c>
    </row>
    <row r="117" spans="1:15" ht="15.75" thickBot="1">
      <c r="A117" s="195"/>
      <c r="B117" s="18"/>
      <c r="C117" s="18"/>
      <c r="D117" s="196"/>
      <c r="E117" s="4"/>
      <c r="N117" s="544"/>
      <c r="O117" s="543"/>
    </row>
    <row r="118" spans="1:15">
      <c r="A118" s="12"/>
      <c r="B118" s="4"/>
      <c r="C118" s="4"/>
      <c r="D118" s="4"/>
      <c r="E118" s="4"/>
    </row>
    <row r="119" spans="1:15" ht="15.75" thickBot="1">
      <c r="A119" s="12"/>
      <c r="B119" s="4"/>
      <c r="C119" s="4"/>
      <c r="D119" s="4"/>
      <c r="E119" s="4"/>
    </row>
    <row r="120" spans="1:15" ht="21.75" thickBot="1">
      <c r="A120" s="810" t="s">
        <v>515</v>
      </c>
      <c r="B120" s="811"/>
      <c r="C120" s="811"/>
      <c r="D120" s="812"/>
      <c r="E120" s="4"/>
    </row>
    <row r="121" spans="1:15" ht="16.5" thickBot="1">
      <c r="A121" s="7" t="s">
        <v>49</v>
      </c>
      <c r="B121" s="7" t="s">
        <v>50</v>
      </c>
      <c r="C121" s="7" t="s">
        <v>218</v>
      </c>
      <c r="D121" s="7"/>
      <c r="E121" s="4"/>
    </row>
    <row r="122" spans="1:15" ht="15.75" thickBot="1">
      <c r="A122" s="813"/>
      <c r="B122" s="814"/>
      <c r="C122" s="814"/>
      <c r="D122" s="815"/>
      <c r="E122" s="4"/>
    </row>
    <row r="123" spans="1:15">
      <c r="A123" s="219"/>
      <c r="B123" s="220" t="s">
        <v>504</v>
      </c>
      <c r="C123" s="220">
        <f>IF($G$2=1,N123,O123)</f>
        <v>1290</v>
      </c>
      <c r="D123" s="221" t="s">
        <v>513</v>
      </c>
      <c r="E123" s="4"/>
      <c r="N123" s="220">
        <v>1290</v>
      </c>
      <c r="O123">
        <f>N123*1.05</f>
        <v>1354.5</v>
      </c>
    </row>
    <row r="124" spans="1:15">
      <c r="A124" s="222"/>
      <c r="B124" s="218" t="s">
        <v>505</v>
      </c>
      <c r="C124" s="218">
        <f t="shared" ref="C124:C131" si="10">IF($G$2=1,N124,O124)</f>
        <v>1290</v>
      </c>
      <c r="D124" s="223" t="s">
        <v>513</v>
      </c>
      <c r="E124" s="4"/>
      <c r="N124" s="218">
        <v>1290</v>
      </c>
      <c r="O124">
        <f t="shared" ref="O124:O131" si="11">N124*1.05</f>
        <v>1354.5</v>
      </c>
    </row>
    <row r="125" spans="1:15">
      <c r="A125" s="3"/>
      <c r="B125" s="4" t="s">
        <v>506</v>
      </c>
      <c r="C125" s="4">
        <f t="shared" si="10"/>
        <v>1450</v>
      </c>
      <c r="D125" s="16" t="s">
        <v>513</v>
      </c>
      <c r="E125" s="4"/>
      <c r="N125" s="4">
        <v>1450</v>
      </c>
      <c r="O125">
        <f t="shared" si="11"/>
        <v>1522.5</v>
      </c>
    </row>
    <row r="126" spans="1:15">
      <c r="A126" s="3"/>
      <c r="B126" s="4" t="s">
        <v>509</v>
      </c>
      <c r="C126" s="4">
        <f t="shared" si="10"/>
        <v>2330</v>
      </c>
      <c r="D126" s="16" t="s">
        <v>514</v>
      </c>
      <c r="E126" s="4"/>
      <c r="N126" s="4">
        <v>2330</v>
      </c>
      <c r="O126">
        <f t="shared" si="11"/>
        <v>2446.5</v>
      </c>
    </row>
    <row r="127" spans="1:15">
      <c r="A127" s="3"/>
      <c r="B127" s="4" t="s">
        <v>507</v>
      </c>
      <c r="C127" s="4">
        <f t="shared" si="10"/>
        <v>4660</v>
      </c>
      <c r="D127" s="17" t="s">
        <v>514</v>
      </c>
      <c r="E127" s="4"/>
      <c r="N127" s="4">
        <v>4660</v>
      </c>
      <c r="O127">
        <f t="shared" si="11"/>
        <v>4893</v>
      </c>
    </row>
    <row r="128" spans="1:15">
      <c r="A128" s="3"/>
      <c r="B128" s="4" t="s">
        <v>508</v>
      </c>
      <c r="C128" s="4">
        <f t="shared" si="10"/>
        <v>5660</v>
      </c>
      <c r="D128" s="17" t="s">
        <v>514</v>
      </c>
      <c r="E128" s="4"/>
      <c r="N128" s="4">
        <v>5660</v>
      </c>
      <c r="O128">
        <f t="shared" si="11"/>
        <v>5943</v>
      </c>
    </row>
    <row r="129" spans="1:15">
      <c r="A129" s="3"/>
      <c r="B129" s="9" t="s">
        <v>510</v>
      </c>
      <c r="C129" s="9">
        <f t="shared" si="10"/>
        <v>4600</v>
      </c>
      <c r="D129" s="17" t="s">
        <v>514</v>
      </c>
      <c r="E129" s="4"/>
      <c r="N129" s="9">
        <v>4600</v>
      </c>
      <c r="O129">
        <f t="shared" si="11"/>
        <v>4830</v>
      </c>
    </row>
    <row r="130" spans="1:15">
      <c r="A130" s="3"/>
      <c r="B130" s="9" t="s">
        <v>511</v>
      </c>
      <c r="C130" s="9">
        <f t="shared" si="10"/>
        <v>9000</v>
      </c>
      <c r="D130" s="17" t="s">
        <v>514</v>
      </c>
      <c r="E130" s="4"/>
      <c r="N130" s="9">
        <v>9000</v>
      </c>
      <c r="O130">
        <f t="shared" si="11"/>
        <v>9450</v>
      </c>
    </row>
    <row r="131" spans="1:15" ht="15.75" thickBot="1">
      <c r="A131" s="5"/>
      <c r="B131" s="18" t="s">
        <v>512</v>
      </c>
      <c r="C131" s="6">
        <f t="shared" si="10"/>
        <v>10500</v>
      </c>
      <c r="D131" s="196" t="s">
        <v>514</v>
      </c>
      <c r="E131" s="4"/>
      <c r="N131" s="6">
        <v>10500</v>
      </c>
      <c r="O131">
        <f t="shared" si="11"/>
        <v>11025</v>
      </c>
    </row>
    <row r="132" spans="1:15" ht="15.75" thickBot="1">
      <c r="A132" s="12"/>
      <c r="B132" s="4"/>
      <c r="C132" s="4"/>
      <c r="D132" s="4"/>
      <c r="E132" s="4"/>
    </row>
    <row r="133" spans="1:15" ht="21.75" thickBot="1">
      <c r="A133" s="832" t="s">
        <v>153</v>
      </c>
      <c r="B133" s="833"/>
      <c r="C133" s="833"/>
      <c r="D133" s="833"/>
      <c r="E133" s="834"/>
    </row>
    <row r="134" spans="1:15" ht="16.5" thickBot="1">
      <c r="A134" s="20" t="s">
        <v>49</v>
      </c>
      <c r="B134" s="20" t="s">
        <v>50</v>
      </c>
      <c r="C134" s="20" t="s">
        <v>392</v>
      </c>
      <c r="D134" s="20" t="s">
        <v>161</v>
      </c>
      <c r="E134" s="20" t="s">
        <v>154</v>
      </c>
    </row>
    <row r="135" spans="1:15">
      <c r="A135" s="27"/>
      <c r="B135" s="28"/>
      <c r="C135" s="28"/>
      <c r="D135" s="679"/>
      <c r="E135" s="29"/>
    </row>
    <row r="136" spans="1:15">
      <c r="A136" s="21"/>
      <c r="B136" s="22" t="s">
        <v>123</v>
      </c>
      <c r="C136" s="23">
        <f>IF($G$2=1,N136,O136)</f>
        <v>1.248</v>
      </c>
      <c r="D136" s="647">
        <v>1.2</v>
      </c>
      <c r="E136" s="30" t="s">
        <v>155</v>
      </c>
      <c r="N136" s="238">
        <f>D136*$J$8</f>
        <v>1.248</v>
      </c>
      <c r="O136">
        <f>N136*1.05</f>
        <v>1.3104</v>
      </c>
    </row>
    <row r="137" spans="1:15">
      <c r="A137" s="21"/>
      <c r="B137" s="22" t="s">
        <v>124</v>
      </c>
      <c r="C137" s="23">
        <f t="shared" ref="C137:C200" si="12">IF($G$2=1,N137,O137)</f>
        <v>1.248</v>
      </c>
      <c r="D137" s="647">
        <v>1.2</v>
      </c>
      <c r="E137" s="30" t="s">
        <v>155</v>
      </c>
      <c r="N137" s="238">
        <f t="shared" ref="N137:N200" si="13">D137*$J$8</f>
        <v>1.248</v>
      </c>
      <c r="O137">
        <f t="shared" ref="O137:O200" si="14">N137*1.05</f>
        <v>1.3104</v>
      </c>
    </row>
    <row r="138" spans="1:15">
      <c r="A138" s="21"/>
      <c r="B138" s="22" t="s">
        <v>125</v>
      </c>
      <c r="C138" s="23">
        <f t="shared" si="12"/>
        <v>10.0464</v>
      </c>
      <c r="D138" s="647">
        <v>9.66</v>
      </c>
      <c r="E138" s="30" t="s">
        <v>155</v>
      </c>
      <c r="N138" s="238">
        <f t="shared" si="13"/>
        <v>10.0464</v>
      </c>
      <c r="O138">
        <f t="shared" si="14"/>
        <v>10.548720000000001</v>
      </c>
    </row>
    <row r="139" spans="1:15">
      <c r="A139" s="21"/>
      <c r="B139" s="22" t="s">
        <v>126</v>
      </c>
      <c r="C139" s="23">
        <f t="shared" si="12"/>
        <v>25.116</v>
      </c>
      <c r="D139" s="647">
        <v>24.15</v>
      </c>
      <c r="E139" s="30" t="s">
        <v>155</v>
      </c>
      <c r="G139" s="77"/>
      <c r="N139" s="238">
        <f t="shared" si="13"/>
        <v>25.116</v>
      </c>
      <c r="O139">
        <f t="shared" si="14"/>
        <v>26.3718</v>
      </c>
    </row>
    <row r="140" spans="1:15">
      <c r="A140" s="21"/>
      <c r="B140" s="22" t="s">
        <v>127</v>
      </c>
      <c r="C140" s="23">
        <f t="shared" si="12"/>
        <v>6.2712000000000003</v>
      </c>
      <c r="D140" s="647">
        <v>6.03</v>
      </c>
      <c r="E140" s="30" t="s">
        <v>155</v>
      </c>
      <c r="N140" s="238">
        <f t="shared" si="13"/>
        <v>6.2712000000000003</v>
      </c>
      <c r="O140">
        <f t="shared" si="14"/>
        <v>6.5847600000000011</v>
      </c>
    </row>
    <row r="141" spans="1:15">
      <c r="A141" s="21"/>
      <c r="B141" s="22" t="s">
        <v>129</v>
      </c>
      <c r="C141" s="23">
        <f t="shared" si="12"/>
        <v>21.340800000000002</v>
      </c>
      <c r="D141" s="647">
        <v>20.52</v>
      </c>
      <c r="E141" s="30" t="s">
        <v>155</v>
      </c>
      <c r="N141" s="238">
        <f t="shared" si="13"/>
        <v>21.340800000000002</v>
      </c>
      <c r="O141">
        <f t="shared" si="14"/>
        <v>22.407840000000004</v>
      </c>
    </row>
    <row r="142" spans="1:15">
      <c r="A142" s="21"/>
      <c r="B142" s="22" t="s">
        <v>165</v>
      </c>
      <c r="C142" s="23">
        <f t="shared" si="12"/>
        <v>18.834399999999999</v>
      </c>
      <c r="D142" s="647">
        <v>18.11</v>
      </c>
      <c r="E142" s="30" t="s">
        <v>155</v>
      </c>
      <c r="N142" s="238">
        <f t="shared" si="13"/>
        <v>18.834399999999999</v>
      </c>
      <c r="O142">
        <f t="shared" si="14"/>
        <v>19.776119999999999</v>
      </c>
    </row>
    <row r="143" spans="1:15">
      <c r="A143" s="21"/>
      <c r="B143" s="22" t="s">
        <v>166</v>
      </c>
      <c r="C143" s="23">
        <f t="shared" si="12"/>
        <v>33.904000000000003</v>
      </c>
      <c r="D143" s="647">
        <v>32.6</v>
      </c>
      <c r="E143" s="30" t="s">
        <v>155</v>
      </c>
      <c r="N143" s="238">
        <f t="shared" si="13"/>
        <v>33.904000000000003</v>
      </c>
      <c r="O143">
        <f t="shared" si="14"/>
        <v>35.599200000000003</v>
      </c>
    </row>
    <row r="144" spans="1:15">
      <c r="A144" s="21"/>
      <c r="B144" s="22" t="s">
        <v>130</v>
      </c>
      <c r="C144" s="23">
        <f t="shared" si="12"/>
        <v>4.3680000000000003</v>
      </c>
      <c r="D144" s="647">
        <v>4.2</v>
      </c>
      <c r="E144" s="30" t="s">
        <v>157</v>
      </c>
      <c r="N144" s="238">
        <f t="shared" si="13"/>
        <v>4.3680000000000003</v>
      </c>
      <c r="O144">
        <f t="shared" si="14"/>
        <v>4.5864000000000003</v>
      </c>
    </row>
    <row r="145" spans="1:15">
      <c r="A145" s="21"/>
      <c r="B145" s="22" t="s">
        <v>131</v>
      </c>
      <c r="C145" s="23">
        <f t="shared" si="12"/>
        <v>2.7351999999999999</v>
      </c>
      <c r="D145" s="647">
        <v>2.63</v>
      </c>
      <c r="E145" s="30" t="s">
        <v>157</v>
      </c>
      <c r="N145" s="238">
        <f t="shared" si="13"/>
        <v>2.7351999999999999</v>
      </c>
      <c r="O145">
        <f t="shared" si="14"/>
        <v>2.8719600000000001</v>
      </c>
    </row>
    <row r="146" spans="1:15">
      <c r="A146" s="21"/>
      <c r="B146" s="22" t="s">
        <v>128</v>
      </c>
      <c r="C146" s="23">
        <f t="shared" si="12"/>
        <v>70.98</v>
      </c>
      <c r="D146" s="647">
        <v>68.25</v>
      </c>
      <c r="E146" s="30" t="s">
        <v>158</v>
      </c>
      <c r="G146" s="77"/>
      <c r="N146" s="238">
        <f t="shared" si="13"/>
        <v>70.98</v>
      </c>
      <c r="O146">
        <f t="shared" si="14"/>
        <v>74.529000000000011</v>
      </c>
    </row>
    <row r="147" spans="1:15">
      <c r="A147" s="21"/>
      <c r="B147" s="22" t="s">
        <v>132</v>
      </c>
      <c r="C147" s="23">
        <f t="shared" si="12"/>
        <v>0</v>
      </c>
      <c r="D147" s="647">
        <v>0</v>
      </c>
      <c r="E147" s="30" t="s">
        <v>159</v>
      </c>
      <c r="N147" s="238">
        <f t="shared" si="13"/>
        <v>0</v>
      </c>
      <c r="O147">
        <f t="shared" si="14"/>
        <v>0</v>
      </c>
    </row>
    <row r="148" spans="1:15">
      <c r="A148" s="21"/>
      <c r="B148" s="22" t="s">
        <v>133</v>
      </c>
      <c r="C148" s="23">
        <f t="shared" si="12"/>
        <v>0</v>
      </c>
      <c r="D148" s="647">
        <v>0</v>
      </c>
      <c r="E148" s="30" t="s">
        <v>160</v>
      </c>
      <c r="N148" s="238">
        <f t="shared" si="13"/>
        <v>0</v>
      </c>
      <c r="O148">
        <f t="shared" si="14"/>
        <v>0</v>
      </c>
    </row>
    <row r="149" spans="1:15">
      <c r="A149" s="21"/>
      <c r="B149" s="22" t="s">
        <v>170</v>
      </c>
      <c r="C149" s="23">
        <f t="shared" si="12"/>
        <v>12.552800000000001</v>
      </c>
      <c r="D149" s="647">
        <v>12.07</v>
      </c>
      <c r="E149" s="30" t="s">
        <v>155</v>
      </c>
      <c r="N149" s="238">
        <f t="shared" si="13"/>
        <v>12.552800000000001</v>
      </c>
      <c r="O149">
        <f t="shared" si="14"/>
        <v>13.180440000000003</v>
      </c>
    </row>
    <row r="150" spans="1:15">
      <c r="A150" s="21"/>
      <c r="B150" s="22" t="s">
        <v>171</v>
      </c>
      <c r="C150" s="23">
        <f t="shared" si="12"/>
        <v>131.04</v>
      </c>
      <c r="D150" s="647">
        <v>126</v>
      </c>
      <c r="E150" s="30" t="s">
        <v>156</v>
      </c>
      <c r="N150" s="238">
        <f t="shared" si="13"/>
        <v>131.04</v>
      </c>
      <c r="O150">
        <f t="shared" si="14"/>
        <v>137.59199999999998</v>
      </c>
    </row>
    <row r="151" spans="1:15">
      <c r="A151" s="21"/>
      <c r="B151" s="22" t="s">
        <v>172</v>
      </c>
      <c r="C151" s="23">
        <f t="shared" si="12"/>
        <v>87.36</v>
      </c>
      <c r="D151" s="647">
        <v>84</v>
      </c>
      <c r="E151" s="30" t="s">
        <v>156</v>
      </c>
      <c r="N151" s="238">
        <f t="shared" si="13"/>
        <v>87.36</v>
      </c>
      <c r="O151">
        <f t="shared" si="14"/>
        <v>91.728000000000009</v>
      </c>
    </row>
    <row r="152" spans="1:15">
      <c r="A152" s="21"/>
      <c r="B152" s="22" t="s">
        <v>177</v>
      </c>
      <c r="C152" s="23">
        <f t="shared" si="12"/>
        <v>92.820000000000007</v>
      </c>
      <c r="D152" s="647">
        <v>89.25</v>
      </c>
      <c r="E152" s="30" t="s">
        <v>156</v>
      </c>
      <c r="N152" s="238">
        <f t="shared" si="13"/>
        <v>92.820000000000007</v>
      </c>
      <c r="O152">
        <f t="shared" si="14"/>
        <v>97.461000000000013</v>
      </c>
    </row>
    <row r="153" spans="1:15">
      <c r="A153" s="21"/>
      <c r="B153" s="22" t="s">
        <v>178</v>
      </c>
      <c r="C153" s="23">
        <f t="shared" si="12"/>
        <v>18.834399999999999</v>
      </c>
      <c r="D153" s="647">
        <v>18.11</v>
      </c>
      <c r="E153" s="30" t="s">
        <v>155</v>
      </c>
      <c r="N153" s="238">
        <f t="shared" si="13"/>
        <v>18.834399999999999</v>
      </c>
      <c r="O153">
        <f t="shared" si="14"/>
        <v>19.776119999999999</v>
      </c>
    </row>
    <row r="154" spans="1:15">
      <c r="A154" s="21"/>
      <c r="B154" s="22" t="s">
        <v>179</v>
      </c>
      <c r="C154" s="23">
        <f t="shared" si="12"/>
        <v>31.3872</v>
      </c>
      <c r="D154" s="647">
        <v>30.18</v>
      </c>
      <c r="E154" s="30" t="s">
        <v>155</v>
      </c>
      <c r="N154" s="238">
        <f t="shared" si="13"/>
        <v>31.3872</v>
      </c>
      <c r="O154">
        <f t="shared" si="14"/>
        <v>32.956560000000003</v>
      </c>
    </row>
    <row r="155" spans="1:15">
      <c r="A155" s="21"/>
      <c r="B155" s="22" t="s">
        <v>186</v>
      </c>
      <c r="C155" s="23">
        <f t="shared" si="12"/>
        <v>131.04</v>
      </c>
      <c r="D155" s="647">
        <v>126</v>
      </c>
      <c r="E155" s="30" t="s">
        <v>156</v>
      </c>
      <c r="N155" s="238">
        <f t="shared" si="13"/>
        <v>131.04</v>
      </c>
      <c r="O155">
        <f t="shared" si="14"/>
        <v>137.59199999999998</v>
      </c>
    </row>
    <row r="156" spans="1:15">
      <c r="A156" s="21"/>
      <c r="B156" s="22" t="s">
        <v>187</v>
      </c>
      <c r="C156" s="23">
        <f t="shared" si="12"/>
        <v>382.2</v>
      </c>
      <c r="D156" s="647">
        <v>367.5</v>
      </c>
      <c r="E156" s="30" t="s">
        <v>156</v>
      </c>
      <c r="N156" s="238">
        <f t="shared" si="13"/>
        <v>382.2</v>
      </c>
      <c r="O156">
        <f t="shared" si="14"/>
        <v>401.31</v>
      </c>
    </row>
    <row r="157" spans="1:15">
      <c r="A157" s="21"/>
      <c r="B157" s="22" t="s">
        <v>188</v>
      </c>
      <c r="C157" s="23">
        <f t="shared" si="12"/>
        <v>502.32</v>
      </c>
      <c r="D157" s="647">
        <v>483</v>
      </c>
      <c r="E157" s="30" t="s">
        <v>156</v>
      </c>
      <c r="N157" s="238">
        <f t="shared" si="13"/>
        <v>502.32</v>
      </c>
      <c r="O157">
        <f t="shared" si="14"/>
        <v>527.43600000000004</v>
      </c>
    </row>
    <row r="158" spans="1:15">
      <c r="A158" s="21"/>
      <c r="B158" s="22" t="s">
        <v>195</v>
      </c>
      <c r="C158" s="23">
        <f t="shared" si="12"/>
        <v>9.2872000000000003</v>
      </c>
      <c r="D158" s="647">
        <v>8.93</v>
      </c>
      <c r="E158" s="30" t="s">
        <v>157</v>
      </c>
      <c r="N158" s="238">
        <f t="shared" si="13"/>
        <v>9.2872000000000003</v>
      </c>
      <c r="O158">
        <f t="shared" si="14"/>
        <v>9.7515600000000013</v>
      </c>
    </row>
    <row r="159" spans="1:15">
      <c r="A159" s="21"/>
      <c r="B159" s="22" t="s">
        <v>196</v>
      </c>
      <c r="C159" s="23">
        <f t="shared" si="12"/>
        <v>5.7928000000000006</v>
      </c>
      <c r="D159" s="647">
        <v>5.57</v>
      </c>
      <c r="E159" s="30" t="s">
        <v>197</v>
      </c>
      <c r="N159" s="238">
        <f t="shared" si="13"/>
        <v>5.7928000000000006</v>
      </c>
      <c r="O159">
        <f t="shared" si="14"/>
        <v>6.082440000000001</v>
      </c>
    </row>
    <row r="160" spans="1:15">
      <c r="A160" s="21"/>
      <c r="B160" s="22" t="s">
        <v>198</v>
      </c>
      <c r="C160" s="23">
        <f t="shared" si="12"/>
        <v>163.80000000000001</v>
      </c>
      <c r="D160" s="647">
        <v>157.5</v>
      </c>
      <c r="E160" s="30" t="s">
        <v>156</v>
      </c>
      <c r="N160" s="238">
        <f t="shared" si="13"/>
        <v>163.80000000000001</v>
      </c>
      <c r="O160">
        <f t="shared" si="14"/>
        <v>171.99</v>
      </c>
    </row>
    <row r="161" spans="1:15">
      <c r="A161" s="21"/>
      <c r="B161" s="22" t="s">
        <v>199</v>
      </c>
      <c r="C161" s="23">
        <f t="shared" si="12"/>
        <v>141.96</v>
      </c>
      <c r="D161" s="647">
        <v>136.5</v>
      </c>
      <c r="E161" s="30" t="s">
        <v>156</v>
      </c>
      <c r="N161" s="238">
        <f t="shared" si="13"/>
        <v>141.96</v>
      </c>
      <c r="O161">
        <f t="shared" si="14"/>
        <v>149.05800000000002</v>
      </c>
    </row>
    <row r="162" spans="1:15">
      <c r="A162" s="21"/>
      <c r="B162" s="22" t="s">
        <v>200</v>
      </c>
      <c r="C162" s="23">
        <f t="shared" si="12"/>
        <v>786.24</v>
      </c>
      <c r="D162" s="647">
        <v>756</v>
      </c>
      <c r="E162" s="30" t="s">
        <v>202</v>
      </c>
      <c r="N162" s="238">
        <f t="shared" si="13"/>
        <v>786.24</v>
      </c>
      <c r="O162">
        <f t="shared" si="14"/>
        <v>825.55200000000002</v>
      </c>
    </row>
    <row r="163" spans="1:15">
      <c r="A163" s="21"/>
      <c r="B163" s="22" t="s">
        <v>201</v>
      </c>
      <c r="C163" s="23">
        <f t="shared" si="12"/>
        <v>928.2</v>
      </c>
      <c r="D163" s="647">
        <v>892.5</v>
      </c>
      <c r="E163" s="30" t="s">
        <v>202</v>
      </c>
      <c r="N163" s="238">
        <f t="shared" si="13"/>
        <v>928.2</v>
      </c>
      <c r="O163">
        <f t="shared" si="14"/>
        <v>974.61000000000013</v>
      </c>
    </row>
    <row r="164" spans="1:15">
      <c r="A164" s="21"/>
      <c r="B164" s="22" t="s">
        <v>530</v>
      </c>
      <c r="C164" s="23">
        <f t="shared" si="12"/>
        <v>1338.48</v>
      </c>
      <c r="D164" s="647">
        <v>1287</v>
      </c>
      <c r="E164" s="30" t="s">
        <v>531</v>
      </c>
      <c r="N164" s="238">
        <f t="shared" si="13"/>
        <v>1338.48</v>
      </c>
      <c r="O164">
        <f t="shared" si="14"/>
        <v>1405.404</v>
      </c>
    </row>
    <row r="165" spans="1:15">
      <c r="A165" s="21"/>
      <c r="B165" s="22" t="s">
        <v>231</v>
      </c>
      <c r="C165" s="23">
        <f t="shared" si="12"/>
        <v>21.340800000000002</v>
      </c>
      <c r="D165" s="647">
        <v>20.52</v>
      </c>
      <c r="E165" s="30" t="s">
        <v>155</v>
      </c>
      <c r="N165" s="238">
        <f t="shared" si="13"/>
        <v>21.340800000000002</v>
      </c>
      <c r="O165">
        <f t="shared" si="14"/>
        <v>22.407840000000004</v>
      </c>
    </row>
    <row r="166" spans="1:15">
      <c r="A166" s="21"/>
      <c r="B166" s="22" t="s">
        <v>232</v>
      </c>
      <c r="C166" s="23">
        <f t="shared" si="12"/>
        <v>18.834399999999999</v>
      </c>
      <c r="D166" s="647">
        <v>18.11</v>
      </c>
      <c r="E166" s="30" t="s">
        <v>155</v>
      </c>
      <c r="N166" s="238">
        <f t="shared" si="13"/>
        <v>18.834399999999999</v>
      </c>
      <c r="O166">
        <f t="shared" si="14"/>
        <v>19.776119999999999</v>
      </c>
    </row>
    <row r="167" spans="1:15">
      <c r="A167" s="21"/>
      <c r="B167" s="22" t="s">
        <v>206</v>
      </c>
      <c r="C167" s="23">
        <f t="shared" si="12"/>
        <v>273</v>
      </c>
      <c r="D167" s="647">
        <v>262.5</v>
      </c>
      <c r="E167" s="30" t="s">
        <v>197</v>
      </c>
      <c r="N167" s="238">
        <f t="shared" si="13"/>
        <v>273</v>
      </c>
      <c r="O167">
        <f t="shared" si="14"/>
        <v>286.65000000000003</v>
      </c>
    </row>
    <row r="168" spans="1:15">
      <c r="A168" s="21"/>
      <c r="B168" s="22" t="s">
        <v>236</v>
      </c>
      <c r="C168" s="23">
        <f t="shared" si="12"/>
        <v>10.92</v>
      </c>
      <c r="D168" s="647">
        <v>10.5</v>
      </c>
      <c r="E168" s="30" t="s">
        <v>156</v>
      </c>
      <c r="N168" s="238">
        <f t="shared" si="13"/>
        <v>10.92</v>
      </c>
      <c r="O168">
        <f t="shared" si="14"/>
        <v>11.466000000000001</v>
      </c>
    </row>
    <row r="169" spans="1:15">
      <c r="A169" s="21"/>
      <c r="B169" s="22" t="s">
        <v>239</v>
      </c>
      <c r="C169" s="23">
        <f t="shared" si="12"/>
        <v>819</v>
      </c>
      <c r="D169" s="647">
        <v>787.5</v>
      </c>
      <c r="E169" s="30" t="s">
        <v>240</v>
      </c>
      <c r="G169">
        <v>329.5</v>
      </c>
      <c r="N169" s="238">
        <f t="shared" si="13"/>
        <v>819</v>
      </c>
      <c r="O169">
        <f t="shared" si="14"/>
        <v>859.95</v>
      </c>
    </row>
    <row r="170" spans="1:15">
      <c r="A170" s="21"/>
      <c r="B170" s="22" t="s">
        <v>241</v>
      </c>
      <c r="C170" s="23">
        <f t="shared" si="12"/>
        <v>8.7880000000000003</v>
      </c>
      <c r="D170" s="647">
        <v>8.4499999999999993</v>
      </c>
      <c r="E170" s="30" t="s">
        <v>155</v>
      </c>
      <c r="N170" s="238">
        <f t="shared" si="13"/>
        <v>8.7880000000000003</v>
      </c>
      <c r="O170">
        <f t="shared" si="14"/>
        <v>9.2274000000000012</v>
      </c>
    </row>
    <row r="171" spans="1:15">
      <c r="A171" s="21"/>
      <c r="B171" s="22" t="s">
        <v>242</v>
      </c>
      <c r="C171" s="23">
        <f t="shared" si="12"/>
        <v>12.552800000000001</v>
      </c>
      <c r="D171" s="647">
        <v>12.07</v>
      </c>
      <c r="E171" s="30" t="s">
        <v>243</v>
      </c>
      <c r="G171" s="77"/>
      <c r="N171" s="238">
        <f t="shared" si="13"/>
        <v>12.552800000000001</v>
      </c>
      <c r="O171">
        <f t="shared" si="14"/>
        <v>13.180440000000003</v>
      </c>
    </row>
    <row r="172" spans="1:15">
      <c r="A172" s="21"/>
      <c r="B172" s="22" t="s">
        <v>244</v>
      </c>
      <c r="C172" s="23">
        <f t="shared" si="12"/>
        <v>2.5064000000000002</v>
      </c>
      <c r="D172" s="647">
        <v>2.41</v>
      </c>
      <c r="E172" s="30" t="s">
        <v>243</v>
      </c>
      <c r="G172" s="77"/>
      <c r="N172" s="238">
        <f t="shared" si="13"/>
        <v>2.5064000000000002</v>
      </c>
      <c r="O172">
        <f t="shared" si="14"/>
        <v>2.6317200000000005</v>
      </c>
    </row>
    <row r="173" spans="1:15">
      <c r="A173" s="21"/>
      <c r="B173" s="22" t="s">
        <v>245</v>
      </c>
      <c r="C173" s="23">
        <f t="shared" si="12"/>
        <v>2.5064000000000002</v>
      </c>
      <c r="D173" s="647">
        <v>2.41</v>
      </c>
      <c r="E173" s="30" t="s">
        <v>243</v>
      </c>
      <c r="G173" s="77"/>
      <c r="N173" s="238">
        <f t="shared" si="13"/>
        <v>2.5064000000000002</v>
      </c>
      <c r="O173">
        <f t="shared" si="14"/>
        <v>2.6317200000000005</v>
      </c>
    </row>
    <row r="174" spans="1:15">
      <c r="A174" s="21"/>
      <c r="B174" s="22" t="s">
        <v>246</v>
      </c>
      <c r="C174" s="23">
        <f t="shared" si="12"/>
        <v>4.0975999999999999</v>
      </c>
      <c r="D174" s="647">
        <v>3.94</v>
      </c>
      <c r="E174" s="30" t="s">
        <v>157</v>
      </c>
      <c r="N174" s="238">
        <f t="shared" si="13"/>
        <v>4.0975999999999999</v>
      </c>
      <c r="O174">
        <f t="shared" si="14"/>
        <v>4.3024800000000001</v>
      </c>
    </row>
    <row r="175" spans="1:15">
      <c r="A175" s="21"/>
      <c r="B175" s="22" t="s">
        <v>248</v>
      </c>
      <c r="C175" s="23">
        <f t="shared" si="12"/>
        <v>98.28</v>
      </c>
      <c r="D175" s="647">
        <v>94.5</v>
      </c>
      <c r="E175" s="30" t="s">
        <v>156</v>
      </c>
      <c r="G175" s="77"/>
      <c r="N175" s="238">
        <f t="shared" si="13"/>
        <v>98.28</v>
      </c>
      <c r="O175">
        <f t="shared" si="14"/>
        <v>103.194</v>
      </c>
    </row>
    <row r="176" spans="1:15">
      <c r="A176" s="21"/>
      <c r="B176" s="22"/>
      <c r="C176" s="23">
        <f t="shared" si="12"/>
        <v>0</v>
      </c>
      <c r="D176" s="647"/>
      <c r="E176" s="30"/>
      <c r="N176" s="238">
        <f t="shared" si="13"/>
        <v>0</v>
      </c>
      <c r="O176">
        <f t="shared" si="14"/>
        <v>0</v>
      </c>
    </row>
    <row r="177" spans="1:15">
      <c r="A177" s="21"/>
      <c r="B177" s="22" t="s">
        <v>266</v>
      </c>
      <c r="C177" s="23">
        <f t="shared" si="12"/>
        <v>262.08</v>
      </c>
      <c r="D177" s="647">
        <v>252</v>
      </c>
      <c r="E177" s="30" t="s">
        <v>267</v>
      </c>
      <c r="N177" s="238">
        <f t="shared" si="13"/>
        <v>262.08</v>
      </c>
      <c r="O177">
        <f t="shared" si="14"/>
        <v>275.18399999999997</v>
      </c>
    </row>
    <row r="178" spans="1:15">
      <c r="A178" s="21"/>
      <c r="B178" s="22" t="s">
        <v>268</v>
      </c>
      <c r="C178" s="23">
        <f t="shared" si="12"/>
        <v>262.08</v>
      </c>
      <c r="D178" s="647">
        <v>252</v>
      </c>
      <c r="E178" s="30" t="s">
        <v>267</v>
      </c>
      <c r="N178" s="238">
        <f t="shared" si="13"/>
        <v>262.08</v>
      </c>
      <c r="O178">
        <f t="shared" si="14"/>
        <v>275.18399999999997</v>
      </c>
    </row>
    <row r="179" spans="1:15">
      <c r="A179" s="21"/>
      <c r="B179" s="22" t="s">
        <v>269</v>
      </c>
      <c r="C179" s="23">
        <f t="shared" si="12"/>
        <v>81.900000000000006</v>
      </c>
      <c r="D179" s="647">
        <v>78.75</v>
      </c>
      <c r="E179" s="30" t="s">
        <v>267</v>
      </c>
      <c r="N179" s="238">
        <f t="shared" si="13"/>
        <v>81.900000000000006</v>
      </c>
      <c r="O179">
        <f t="shared" si="14"/>
        <v>85.995000000000005</v>
      </c>
    </row>
    <row r="180" spans="1:15">
      <c r="A180" s="21"/>
      <c r="B180" s="22" t="s">
        <v>270</v>
      </c>
      <c r="C180" s="23">
        <f t="shared" si="12"/>
        <v>185.64000000000001</v>
      </c>
      <c r="D180" s="647">
        <v>178.5</v>
      </c>
      <c r="E180" s="30" t="s">
        <v>267</v>
      </c>
      <c r="N180" s="238">
        <f t="shared" si="13"/>
        <v>185.64000000000001</v>
      </c>
      <c r="O180">
        <f t="shared" si="14"/>
        <v>194.92200000000003</v>
      </c>
    </row>
    <row r="181" spans="1:15">
      <c r="A181" s="21"/>
      <c r="B181" s="22" t="s">
        <v>271</v>
      </c>
      <c r="C181" s="23">
        <f t="shared" si="12"/>
        <v>10.92</v>
      </c>
      <c r="D181" s="647">
        <v>10.5</v>
      </c>
      <c r="E181" s="30" t="s">
        <v>197</v>
      </c>
      <c r="N181" s="238">
        <f t="shared" si="13"/>
        <v>10.92</v>
      </c>
      <c r="O181">
        <f t="shared" si="14"/>
        <v>11.466000000000001</v>
      </c>
    </row>
    <row r="182" spans="1:15">
      <c r="A182" s="21"/>
      <c r="B182" s="22" t="s">
        <v>272</v>
      </c>
      <c r="C182" s="23">
        <f t="shared" si="12"/>
        <v>81.900000000000006</v>
      </c>
      <c r="D182" s="647">
        <v>78.75</v>
      </c>
      <c r="E182" s="30" t="s">
        <v>197</v>
      </c>
      <c r="N182" s="238">
        <f t="shared" si="13"/>
        <v>81.900000000000006</v>
      </c>
      <c r="O182">
        <f t="shared" si="14"/>
        <v>85.995000000000005</v>
      </c>
    </row>
    <row r="183" spans="1:15">
      <c r="A183" s="21"/>
      <c r="B183" s="22" t="s">
        <v>273</v>
      </c>
      <c r="C183" s="23">
        <f t="shared" si="12"/>
        <v>4.3680000000000003</v>
      </c>
      <c r="D183" s="647">
        <v>4.2</v>
      </c>
      <c r="E183" s="30" t="s">
        <v>274</v>
      </c>
      <c r="N183" s="238">
        <f t="shared" si="13"/>
        <v>4.3680000000000003</v>
      </c>
      <c r="O183">
        <f t="shared" si="14"/>
        <v>4.5864000000000003</v>
      </c>
    </row>
    <row r="184" spans="1:15">
      <c r="A184" s="21"/>
      <c r="B184" s="22" t="s">
        <v>275</v>
      </c>
      <c r="C184" s="23">
        <f t="shared" si="12"/>
        <v>5.46</v>
      </c>
      <c r="D184" s="647">
        <v>5.25</v>
      </c>
      <c r="E184" s="30" t="s">
        <v>274</v>
      </c>
      <c r="N184" s="238">
        <f t="shared" si="13"/>
        <v>5.46</v>
      </c>
      <c r="O184">
        <f t="shared" si="14"/>
        <v>5.7330000000000005</v>
      </c>
    </row>
    <row r="185" spans="1:15">
      <c r="A185" s="21"/>
      <c r="B185" s="22" t="s">
        <v>276</v>
      </c>
      <c r="C185" s="23">
        <f t="shared" si="12"/>
        <v>5.46</v>
      </c>
      <c r="D185" s="647">
        <v>5.25</v>
      </c>
      <c r="E185" s="30" t="s">
        <v>274</v>
      </c>
      <c r="N185" s="238">
        <f t="shared" si="13"/>
        <v>5.46</v>
      </c>
      <c r="O185">
        <f t="shared" si="14"/>
        <v>5.7330000000000005</v>
      </c>
    </row>
    <row r="186" spans="1:15">
      <c r="A186" s="21"/>
      <c r="B186" s="22" t="s">
        <v>297</v>
      </c>
      <c r="C186" s="23">
        <f t="shared" si="12"/>
        <v>4.3680000000000003</v>
      </c>
      <c r="D186" s="647">
        <v>4.2</v>
      </c>
      <c r="E186" s="30" t="s">
        <v>274</v>
      </c>
      <c r="N186" s="238">
        <f t="shared" si="13"/>
        <v>4.3680000000000003</v>
      </c>
      <c r="O186">
        <f t="shared" si="14"/>
        <v>4.5864000000000003</v>
      </c>
    </row>
    <row r="187" spans="1:15">
      <c r="A187" s="21"/>
      <c r="B187" s="22" t="s">
        <v>298</v>
      </c>
      <c r="C187" s="23">
        <f t="shared" si="12"/>
        <v>3.2759999999999998</v>
      </c>
      <c r="D187" s="647">
        <v>3.15</v>
      </c>
      <c r="E187" s="30" t="s">
        <v>274</v>
      </c>
      <c r="N187" s="238">
        <f t="shared" si="13"/>
        <v>3.2759999999999998</v>
      </c>
      <c r="O187">
        <f t="shared" si="14"/>
        <v>3.4398</v>
      </c>
    </row>
    <row r="188" spans="1:15">
      <c r="A188" s="21"/>
      <c r="B188" s="22" t="s">
        <v>277</v>
      </c>
      <c r="C188" s="23">
        <f t="shared" si="12"/>
        <v>12.552800000000001</v>
      </c>
      <c r="D188" s="647">
        <v>12.07</v>
      </c>
      <c r="E188" s="30" t="s">
        <v>155</v>
      </c>
      <c r="N188" s="238">
        <f t="shared" si="13"/>
        <v>12.552800000000001</v>
      </c>
      <c r="O188">
        <f t="shared" si="14"/>
        <v>13.180440000000003</v>
      </c>
    </row>
    <row r="189" spans="1:15">
      <c r="A189" s="21"/>
      <c r="B189" s="22" t="s">
        <v>278</v>
      </c>
      <c r="C189" s="23">
        <f t="shared" si="12"/>
        <v>81.900000000000006</v>
      </c>
      <c r="D189" s="647">
        <v>78.75</v>
      </c>
      <c r="E189" s="30" t="s">
        <v>197</v>
      </c>
      <c r="N189" s="238">
        <f t="shared" si="13"/>
        <v>81.900000000000006</v>
      </c>
      <c r="O189">
        <f t="shared" si="14"/>
        <v>85.995000000000005</v>
      </c>
    </row>
    <row r="190" spans="1:15">
      <c r="A190" s="21"/>
      <c r="B190" s="22" t="s">
        <v>279</v>
      </c>
      <c r="C190" s="23">
        <f t="shared" si="12"/>
        <v>104.75920000000001</v>
      </c>
      <c r="D190" s="647">
        <v>100.73</v>
      </c>
      <c r="E190" s="30" t="s">
        <v>197</v>
      </c>
      <c r="N190" s="238">
        <f t="shared" si="13"/>
        <v>104.75920000000001</v>
      </c>
      <c r="O190">
        <f t="shared" si="14"/>
        <v>109.99716000000001</v>
      </c>
    </row>
    <row r="191" spans="1:15">
      <c r="A191" s="21"/>
      <c r="B191" s="22" t="s">
        <v>280</v>
      </c>
      <c r="C191" s="23">
        <f t="shared" si="12"/>
        <v>38.22</v>
      </c>
      <c r="D191" s="647">
        <v>36.75</v>
      </c>
      <c r="E191" s="30" t="s">
        <v>197</v>
      </c>
      <c r="N191" s="238">
        <f t="shared" si="13"/>
        <v>38.22</v>
      </c>
      <c r="O191">
        <f t="shared" si="14"/>
        <v>40.131</v>
      </c>
    </row>
    <row r="192" spans="1:15">
      <c r="A192" s="21"/>
      <c r="B192" s="22" t="s">
        <v>282</v>
      </c>
      <c r="C192" s="23">
        <f t="shared" si="12"/>
        <v>2.1840000000000002</v>
      </c>
      <c r="D192" s="647">
        <v>2.1</v>
      </c>
      <c r="E192" s="30" t="s">
        <v>274</v>
      </c>
      <c r="N192" s="238">
        <f t="shared" si="13"/>
        <v>2.1840000000000002</v>
      </c>
      <c r="O192">
        <f t="shared" si="14"/>
        <v>2.2932000000000001</v>
      </c>
    </row>
    <row r="193" spans="1:15">
      <c r="A193" s="21"/>
      <c r="B193" s="22" t="s">
        <v>283</v>
      </c>
      <c r="C193" s="23">
        <f t="shared" si="12"/>
        <v>3.2759999999999998</v>
      </c>
      <c r="D193" s="647">
        <v>3.15</v>
      </c>
      <c r="E193" s="30" t="s">
        <v>274</v>
      </c>
      <c r="N193" s="238">
        <f t="shared" si="13"/>
        <v>3.2759999999999998</v>
      </c>
      <c r="O193">
        <f t="shared" si="14"/>
        <v>3.4398</v>
      </c>
    </row>
    <row r="194" spans="1:15">
      <c r="A194" s="21"/>
      <c r="B194" s="22" t="s">
        <v>284</v>
      </c>
      <c r="C194" s="23">
        <f t="shared" si="12"/>
        <v>971.88</v>
      </c>
      <c r="D194" s="647">
        <v>934.5</v>
      </c>
      <c r="E194" s="30" t="s">
        <v>267</v>
      </c>
      <c r="N194" s="238">
        <f t="shared" si="13"/>
        <v>971.88</v>
      </c>
      <c r="O194">
        <f t="shared" si="14"/>
        <v>1020.474</v>
      </c>
    </row>
    <row r="195" spans="1:15">
      <c r="A195" s="21"/>
      <c r="B195" s="22" t="s">
        <v>397</v>
      </c>
      <c r="C195" s="23">
        <f t="shared" si="12"/>
        <v>6333.6</v>
      </c>
      <c r="D195" s="647">
        <v>6090</v>
      </c>
      <c r="E195" s="30" t="s">
        <v>197</v>
      </c>
      <c r="G195" s="77"/>
      <c r="N195" s="238">
        <f t="shared" si="13"/>
        <v>6333.6</v>
      </c>
      <c r="O195">
        <f t="shared" si="14"/>
        <v>6650.2800000000007</v>
      </c>
    </row>
    <row r="196" spans="1:15">
      <c r="A196" s="21"/>
      <c r="B196" s="22" t="s">
        <v>396</v>
      </c>
      <c r="C196" s="23">
        <f t="shared" si="12"/>
        <v>6333.6</v>
      </c>
      <c r="D196" s="647">
        <v>6090</v>
      </c>
      <c r="E196" s="30" t="s">
        <v>197</v>
      </c>
      <c r="G196" s="77"/>
      <c r="N196" s="238">
        <f t="shared" si="13"/>
        <v>6333.6</v>
      </c>
      <c r="O196">
        <f t="shared" si="14"/>
        <v>6650.2800000000007</v>
      </c>
    </row>
    <row r="197" spans="1:15">
      <c r="A197" s="21"/>
      <c r="B197" s="22" t="s">
        <v>187</v>
      </c>
      <c r="C197" s="23">
        <f t="shared" si="12"/>
        <v>2347.8000000000002</v>
      </c>
      <c r="D197" s="647">
        <v>2257.5</v>
      </c>
      <c r="E197" s="30" t="s">
        <v>197</v>
      </c>
      <c r="G197" s="77"/>
      <c r="N197" s="238">
        <f t="shared" si="13"/>
        <v>2347.8000000000002</v>
      </c>
      <c r="O197">
        <f t="shared" si="14"/>
        <v>2465.1900000000005</v>
      </c>
    </row>
    <row r="198" spans="1:15">
      <c r="A198" s="21"/>
      <c r="B198" s="22" t="s">
        <v>394</v>
      </c>
      <c r="C198" s="23">
        <f t="shared" si="12"/>
        <v>2347.8000000000002</v>
      </c>
      <c r="D198" s="647">
        <v>2257.5</v>
      </c>
      <c r="E198" s="30" t="s">
        <v>197</v>
      </c>
      <c r="G198" s="77"/>
      <c r="N198" s="238">
        <f t="shared" si="13"/>
        <v>2347.8000000000002</v>
      </c>
      <c r="O198">
        <f t="shared" si="14"/>
        <v>2465.1900000000005</v>
      </c>
    </row>
    <row r="199" spans="1:15">
      <c r="A199" s="21"/>
      <c r="B199" s="22" t="s">
        <v>400</v>
      </c>
      <c r="C199" s="23">
        <f t="shared" si="12"/>
        <v>1474.2</v>
      </c>
      <c r="D199" s="647">
        <v>1417.5</v>
      </c>
      <c r="E199" s="30" t="s">
        <v>197</v>
      </c>
      <c r="G199" s="77"/>
      <c r="N199" s="238">
        <f t="shared" si="13"/>
        <v>1474.2</v>
      </c>
      <c r="O199">
        <f t="shared" si="14"/>
        <v>1547.91</v>
      </c>
    </row>
    <row r="200" spans="1:15">
      <c r="A200" s="21"/>
      <c r="B200" s="22" t="s">
        <v>395</v>
      </c>
      <c r="C200" s="23">
        <f t="shared" si="12"/>
        <v>513.24</v>
      </c>
      <c r="D200" s="647">
        <v>493.5</v>
      </c>
      <c r="E200" s="30" t="s">
        <v>197</v>
      </c>
      <c r="G200" s="77"/>
      <c r="N200" s="238">
        <f t="shared" si="13"/>
        <v>513.24</v>
      </c>
      <c r="O200">
        <f t="shared" si="14"/>
        <v>538.90200000000004</v>
      </c>
    </row>
    <row r="201" spans="1:15">
      <c r="A201" s="21"/>
      <c r="B201" s="22" t="s">
        <v>291</v>
      </c>
      <c r="C201" s="23">
        <f t="shared" ref="C201:C237" si="15">IF($G$2=1,N201,O201)</f>
        <v>1092</v>
      </c>
      <c r="D201" s="647">
        <v>1050</v>
      </c>
      <c r="E201" s="30" t="s">
        <v>156</v>
      </c>
      <c r="G201" s="77"/>
      <c r="N201" s="238">
        <f t="shared" ref="N201:N237" si="16">D201*$J$8</f>
        <v>1092</v>
      </c>
      <c r="O201">
        <f t="shared" ref="O201:O237" si="17">N201*1.05</f>
        <v>1146.6000000000001</v>
      </c>
    </row>
    <row r="202" spans="1:15">
      <c r="A202" s="21"/>
      <c r="B202" s="22" t="s">
        <v>292</v>
      </c>
      <c r="C202" s="23">
        <f t="shared" si="15"/>
        <v>1638</v>
      </c>
      <c r="D202" s="647">
        <v>1575</v>
      </c>
      <c r="E202" s="30" t="s">
        <v>156</v>
      </c>
      <c r="G202" s="77"/>
      <c r="N202" s="238">
        <f t="shared" si="16"/>
        <v>1638</v>
      </c>
      <c r="O202">
        <f t="shared" si="17"/>
        <v>1719.9</v>
      </c>
    </row>
    <row r="203" spans="1:15">
      <c r="A203" s="21"/>
      <c r="B203" s="22" t="s">
        <v>293</v>
      </c>
      <c r="C203" s="23">
        <f t="shared" si="15"/>
        <v>3276</v>
      </c>
      <c r="D203" s="647">
        <v>3150</v>
      </c>
      <c r="E203" s="30" t="s">
        <v>156</v>
      </c>
      <c r="G203" s="77"/>
      <c r="N203" s="238">
        <f t="shared" si="16"/>
        <v>3276</v>
      </c>
      <c r="O203">
        <f t="shared" si="17"/>
        <v>3439.8</v>
      </c>
    </row>
    <row r="204" spans="1:15">
      <c r="A204" s="21"/>
      <c r="B204" s="22" t="s">
        <v>281</v>
      </c>
      <c r="C204" s="23">
        <f t="shared" si="15"/>
        <v>1856.4</v>
      </c>
      <c r="D204" s="647">
        <v>1785</v>
      </c>
      <c r="E204" s="30" t="s">
        <v>267</v>
      </c>
      <c r="G204" s="77"/>
      <c r="N204" s="238">
        <f t="shared" si="16"/>
        <v>1856.4</v>
      </c>
      <c r="O204">
        <f t="shared" si="17"/>
        <v>1949.2200000000003</v>
      </c>
    </row>
    <row r="205" spans="1:15">
      <c r="A205" s="21"/>
      <c r="B205" s="22" t="s">
        <v>285</v>
      </c>
      <c r="C205" s="23">
        <f t="shared" si="15"/>
        <v>895.44</v>
      </c>
      <c r="D205" s="647">
        <v>861</v>
      </c>
      <c r="E205" s="30" t="s">
        <v>267</v>
      </c>
      <c r="G205" s="77"/>
      <c r="N205" s="238">
        <f t="shared" si="16"/>
        <v>895.44</v>
      </c>
      <c r="O205">
        <f t="shared" si="17"/>
        <v>940.2120000000001</v>
      </c>
    </row>
    <row r="206" spans="1:15">
      <c r="A206" s="21"/>
      <c r="B206" s="22" t="s">
        <v>286</v>
      </c>
      <c r="C206" s="23">
        <f t="shared" si="15"/>
        <v>218.4</v>
      </c>
      <c r="D206" s="647">
        <v>210</v>
      </c>
      <c r="E206" s="30" t="s">
        <v>267</v>
      </c>
      <c r="G206" s="77"/>
      <c r="N206" s="238">
        <f t="shared" si="16"/>
        <v>218.4</v>
      </c>
      <c r="O206">
        <f t="shared" si="17"/>
        <v>229.32000000000002</v>
      </c>
    </row>
    <row r="207" spans="1:15">
      <c r="A207" s="21"/>
      <c r="B207" s="22" t="s">
        <v>287</v>
      </c>
      <c r="C207" s="23">
        <f t="shared" si="15"/>
        <v>327.60000000000002</v>
      </c>
      <c r="D207" s="647">
        <v>315</v>
      </c>
      <c r="E207" s="30" t="s">
        <v>267</v>
      </c>
      <c r="G207" s="77"/>
      <c r="N207" s="238">
        <f t="shared" si="16"/>
        <v>327.60000000000002</v>
      </c>
      <c r="O207">
        <f t="shared" si="17"/>
        <v>343.98</v>
      </c>
    </row>
    <row r="208" spans="1:15">
      <c r="A208" s="21"/>
      <c r="B208" s="22" t="s">
        <v>696</v>
      </c>
      <c r="C208" s="23">
        <f t="shared" si="15"/>
        <v>458.64000000000004</v>
      </c>
      <c r="D208" s="647">
        <v>441</v>
      </c>
      <c r="E208" s="30" t="s">
        <v>197</v>
      </c>
      <c r="G208" s="77"/>
      <c r="N208" s="238">
        <f t="shared" si="16"/>
        <v>458.64000000000004</v>
      </c>
      <c r="O208">
        <f t="shared" si="17"/>
        <v>481.57200000000006</v>
      </c>
    </row>
    <row r="209" spans="1:15">
      <c r="A209" s="21"/>
      <c r="B209" s="22" t="s">
        <v>383</v>
      </c>
      <c r="C209" s="23">
        <f t="shared" si="15"/>
        <v>25.116</v>
      </c>
      <c r="D209" s="647">
        <v>24.15</v>
      </c>
      <c r="E209" s="30" t="s">
        <v>155</v>
      </c>
      <c r="G209" s="77"/>
      <c r="N209" s="238">
        <f t="shared" si="16"/>
        <v>25.116</v>
      </c>
      <c r="O209">
        <f t="shared" si="17"/>
        <v>26.3718</v>
      </c>
    </row>
    <row r="210" spans="1:15">
      <c r="A210" s="21"/>
      <c r="B210" s="22" t="s">
        <v>384</v>
      </c>
      <c r="C210" s="23">
        <f t="shared" si="15"/>
        <v>33.904000000000003</v>
      </c>
      <c r="D210" s="647">
        <v>32.6</v>
      </c>
      <c r="E210" s="30" t="s">
        <v>155</v>
      </c>
      <c r="G210" s="77"/>
      <c r="N210" s="238">
        <f t="shared" si="16"/>
        <v>33.904000000000003</v>
      </c>
      <c r="O210">
        <f t="shared" si="17"/>
        <v>35.599200000000003</v>
      </c>
    </row>
    <row r="211" spans="1:15">
      <c r="A211" s="21"/>
      <c r="B211" s="22" t="s">
        <v>386</v>
      </c>
      <c r="C211" s="23">
        <f t="shared" si="15"/>
        <v>40.185600000000001</v>
      </c>
      <c r="D211" s="647">
        <v>38.64</v>
      </c>
      <c r="E211" s="30" t="s">
        <v>155</v>
      </c>
      <c r="G211" s="77"/>
      <c r="N211" s="238">
        <f t="shared" si="16"/>
        <v>40.185600000000001</v>
      </c>
      <c r="O211">
        <f t="shared" si="17"/>
        <v>42.194880000000005</v>
      </c>
    </row>
    <row r="212" spans="1:15">
      <c r="A212" s="21"/>
      <c r="B212" s="22" t="s">
        <v>385</v>
      </c>
      <c r="C212" s="23">
        <f t="shared" si="15"/>
        <v>53.9968</v>
      </c>
      <c r="D212" s="647">
        <v>51.92</v>
      </c>
      <c r="E212" s="30" t="s">
        <v>155</v>
      </c>
      <c r="G212" s="77"/>
      <c r="N212" s="238">
        <f t="shared" si="16"/>
        <v>53.9968</v>
      </c>
      <c r="O212">
        <f t="shared" si="17"/>
        <v>56.696640000000002</v>
      </c>
    </row>
    <row r="213" spans="1:15">
      <c r="A213" s="21"/>
      <c r="B213" s="22" t="s">
        <v>294</v>
      </c>
      <c r="C213" s="23">
        <f t="shared" si="15"/>
        <v>174.72</v>
      </c>
      <c r="D213" s="647">
        <v>168</v>
      </c>
      <c r="E213" s="30" t="s">
        <v>197</v>
      </c>
      <c r="G213" s="77"/>
      <c r="N213" s="238">
        <f t="shared" si="16"/>
        <v>174.72</v>
      </c>
      <c r="O213">
        <f t="shared" si="17"/>
        <v>183.45600000000002</v>
      </c>
    </row>
    <row r="214" spans="1:15">
      <c r="A214" s="21"/>
      <c r="B214" s="22" t="s">
        <v>399</v>
      </c>
      <c r="C214" s="23">
        <f t="shared" si="15"/>
        <v>458.64000000000004</v>
      </c>
      <c r="D214" s="647">
        <v>441</v>
      </c>
      <c r="E214" s="30" t="s">
        <v>197</v>
      </c>
      <c r="G214" s="77"/>
      <c r="N214" s="238">
        <f t="shared" si="16"/>
        <v>458.64000000000004</v>
      </c>
      <c r="O214">
        <f t="shared" si="17"/>
        <v>481.57200000000006</v>
      </c>
    </row>
    <row r="215" spans="1:15">
      <c r="A215" s="21"/>
      <c r="B215" s="22" t="s">
        <v>398</v>
      </c>
      <c r="C215" s="23">
        <f t="shared" si="15"/>
        <v>622.44000000000005</v>
      </c>
      <c r="D215" s="647">
        <v>598.5</v>
      </c>
      <c r="E215" s="30" t="s">
        <v>197</v>
      </c>
      <c r="G215" s="77"/>
      <c r="N215" s="238">
        <f t="shared" si="16"/>
        <v>622.44000000000005</v>
      </c>
      <c r="O215">
        <f t="shared" si="17"/>
        <v>653.56200000000013</v>
      </c>
    </row>
    <row r="216" spans="1:15">
      <c r="A216" s="21"/>
      <c r="B216" s="22" t="s">
        <v>295</v>
      </c>
      <c r="C216" s="23">
        <f t="shared" si="15"/>
        <v>229.32000000000002</v>
      </c>
      <c r="D216" s="647">
        <v>220.5</v>
      </c>
      <c r="E216" s="30" t="s">
        <v>197</v>
      </c>
      <c r="N216" s="238">
        <f t="shared" si="16"/>
        <v>229.32000000000002</v>
      </c>
      <c r="O216">
        <f t="shared" si="17"/>
        <v>240.78600000000003</v>
      </c>
    </row>
    <row r="217" spans="1:15">
      <c r="A217" s="21"/>
      <c r="B217" s="22" t="s">
        <v>393</v>
      </c>
      <c r="C217" s="23">
        <f t="shared" si="15"/>
        <v>185.64000000000001</v>
      </c>
      <c r="D217" s="647">
        <v>178.5</v>
      </c>
      <c r="E217" s="30" t="s">
        <v>197</v>
      </c>
      <c r="G217" s="77"/>
      <c r="N217" s="238">
        <f t="shared" si="16"/>
        <v>185.64000000000001</v>
      </c>
      <c r="O217">
        <f t="shared" si="17"/>
        <v>194.92200000000003</v>
      </c>
    </row>
    <row r="218" spans="1:15">
      <c r="A218" s="21"/>
      <c r="B218" s="22"/>
      <c r="C218" s="23">
        <f t="shared" si="15"/>
        <v>0</v>
      </c>
      <c r="D218" s="647"/>
      <c r="E218" s="30"/>
      <c r="N218" s="238">
        <f t="shared" si="16"/>
        <v>0</v>
      </c>
      <c r="O218">
        <f t="shared" si="17"/>
        <v>0</v>
      </c>
    </row>
    <row r="219" spans="1:15">
      <c r="A219" s="21"/>
      <c r="B219" s="22" t="s">
        <v>288</v>
      </c>
      <c r="C219" s="23">
        <f t="shared" si="15"/>
        <v>5.46</v>
      </c>
      <c r="D219" s="647">
        <v>5.25</v>
      </c>
      <c r="E219" s="30" t="s">
        <v>197</v>
      </c>
      <c r="N219" s="238">
        <f t="shared" si="16"/>
        <v>5.46</v>
      </c>
      <c r="O219">
        <f t="shared" si="17"/>
        <v>5.7330000000000005</v>
      </c>
    </row>
    <row r="220" spans="1:15">
      <c r="A220" s="21"/>
      <c r="B220" s="22" t="s">
        <v>289</v>
      </c>
      <c r="C220" s="23">
        <f t="shared" si="15"/>
        <v>3.2759999999999998</v>
      </c>
      <c r="D220" s="647">
        <v>3.15</v>
      </c>
      <c r="E220" s="30" t="s">
        <v>197</v>
      </c>
      <c r="N220" s="238">
        <f t="shared" si="16"/>
        <v>3.2759999999999998</v>
      </c>
      <c r="O220">
        <f t="shared" si="17"/>
        <v>3.4398</v>
      </c>
    </row>
    <row r="221" spans="1:15">
      <c r="A221" s="21"/>
      <c r="B221" s="22" t="s">
        <v>290</v>
      </c>
      <c r="C221" s="23">
        <f t="shared" si="15"/>
        <v>10.92</v>
      </c>
      <c r="D221" s="647">
        <v>10.5</v>
      </c>
      <c r="E221" s="30" t="s">
        <v>197</v>
      </c>
      <c r="G221" s="77"/>
      <c r="N221" s="238">
        <f t="shared" si="16"/>
        <v>10.92</v>
      </c>
      <c r="O221">
        <f t="shared" si="17"/>
        <v>11.466000000000001</v>
      </c>
    </row>
    <row r="222" spans="1:15">
      <c r="A222" s="21"/>
      <c r="B222" s="22" t="s">
        <v>296</v>
      </c>
      <c r="C222" s="23">
        <f t="shared" si="15"/>
        <v>2.7351999999999999</v>
      </c>
      <c r="D222" s="647">
        <v>2.63</v>
      </c>
      <c r="E222" s="30" t="s">
        <v>274</v>
      </c>
      <c r="N222" s="238">
        <f t="shared" si="16"/>
        <v>2.7351999999999999</v>
      </c>
      <c r="O222">
        <f t="shared" si="17"/>
        <v>2.8719600000000001</v>
      </c>
    </row>
    <row r="223" spans="1:15">
      <c r="A223" s="21"/>
      <c r="B223" s="22" t="s">
        <v>387</v>
      </c>
      <c r="C223" s="23">
        <f t="shared" si="15"/>
        <v>19.7392</v>
      </c>
      <c r="D223" s="647">
        <v>18.98</v>
      </c>
      <c r="E223" s="30" t="s">
        <v>156</v>
      </c>
      <c r="G223" s="77"/>
      <c r="N223" s="238">
        <f t="shared" si="16"/>
        <v>19.7392</v>
      </c>
      <c r="O223">
        <f t="shared" si="17"/>
        <v>20.72616</v>
      </c>
    </row>
    <row r="224" spans="1:15">
      <c r="A224" s="21"/>
      <c r="B224" s="22"/>
      <c r="C224" s="23">
        <f t="shared" si="15"/>
        <v>0</v>
      </c>
      <c r="D224" s="647"/>
      <c r="E224" s="30"/>
      <c r="N224" s="238">
        <f t="shared" si="16"/>
        <v>0</v>
      </c>
      <c r="O224">
        <f t="shared" si="17"/>
        <v>0</v>
      </c>
    </row>
    <row r="225" spans="1:15">
      <c r="A225" s="21"/>
      <c r="B225" s="22" t="s">
        <v>299</v>
      </c>
      <c r="C225" s="23">
        <f t="shared" si="15"/>
        <v>6.5519999999999996</v>
      </c>
      <c r="D225" s="647">
        <v>6.3</v>
      </c>
      <c r="E225" s="30" t="s">
        <v>274</v>
      </c>
      <c r="N225" s="238">
        <f t="shared" si="16"/>
        <v>6.5519999999999996</v>
      </c>
      <c r="O225">
        <f t="shared" si="17"/>
        <v>6.8795999999999999</v>
      </c>
    </row>
    <row r="226" spans="1:15">
      <c r="A226" s="21"/>
      <c r="B226" s="22" t="s">
        <v>300</v>
      </c>
      <c r="C226" s="23">
        <f t="shared" si="15"/>
        <v>7.6440000000000001</v>
      </c>
      <c r="D226" s="647">
        <v>7.35</v>
      </c>
      <c r="E226" s="30" t="s">
        <v>274</v>
      </c>
      <c r="N226" s="238">
        <f t="shared" si="16"/>
        <v>7.6440000000000001</v>
      </c>
      <c r="O226">
        <f t="shared" si="17"/>
        <v>8.0262000000000011</v>
      </c>
    </row>
    <row r="227" spans="1:15">
      <c r="A227" s="21"/>
      <c r="B227" s="22" t="s">
        <v>301</v>
      </c>
      <c r="C227" s="23">
        <f t="shared" si="15"/>
        <v>21.84</v>
      </c>
      <c r="D227" s="647">
        <v>21</v>
      </c>
      <c r="E227" s="30" t="s">
        <v>274</v>
      </c>
      <c r="N227" s="238">
        <f t="shared" si="16"/>
        <v>21.84</v>
      </c>
      <c r="O227">
        <f t="shared" si="17"/>
        <v>22.932000000000002</v>
      </c>
    </row>
    <row r="228" spans="1:15">
      <c r="A228" s="21"/>
      <c r="B228" s="22"/>
      <c r="C228" s="23">
        <f t="shared" si="15"/>
        <v>0</v>
      </c>
      <c r="D228" s="647"/>
      <c r="E228" s="30"/>
      <c r="N228" s="238">
        <f t="shared" si="16"/>
        <v>0</v>
      </c>
      <c r="O228">
        <f t="shared" si="17"/>
        <v>0</v>
      </c>
    </row>
    <row r="229" spans="1:15">
      <c r="A229" s="21"/>
      <c r="B229" s="22" t="s">
        <v>359</v>
      </c>
      <c r="C229" s="23">
        <f t="shared" si="15"/>
        <v>5.46</v>
      </c>
      <c r="D229" s="647">
        <v>5.25</v>
      </c>
      <c r="E229" s="30" t="s">
        <v>197</v>
      </c>
      <c r="N229" s="238">
        <f t="shared" si="16"/>
        <v>5.46</v>
      </c>
      <c r="O229">
        <f t="shared" si="17"/>
        <v>5.7330000000000005</v>
      </c>
    </row>
    <row r="230" spans="1:15">
      <c r="A230" s="21"/>
      <c r="B230" s="22" t="s">
        <v>360</v>
      </c>
      <c r="C230" s="23">
        <f t="shared" si="15"/>
        <v>163.80000000000001</v>
      </c>
      <c r="D230" s="647">
        <v>157.5</v>
      </c>
      <c r="E230" s="30" t="s">
        <v>197</v>
      </c>
      <c r="N230" s="238">
        <f t="shared" si="16"/>
        <v>163.80000000000001</v>
      </c>
      <c r="O230">
        <f t="shared" si="17"/>
        <v>171.99</v>
      </c>
    </row>
    <row r="231" spans="1:15">
      <c r="A231" s="21"/>
      <c r="B231" s="22" t="s">
        <v>361</v>
      </c>
      <c r="C231" s="23">
        <f t="shared" si="15"/>
        <v>10.92</v>
      </c>
      <c r="D231" s="647">
        <v>10.5</v>
      </c>
      <c r="E231" s="30" t="s">
        <v>197</v>
      </c>
      <c r="N231" s="238">
        <f t="shared" si="16"/>
        <v>10.92</v>
      </c>
      <c r="O231">
        <f t="shared" si="17"/>
        <v>11.466000000000001</v>
      </c>
    </row>
    <row r="232" spans="1:15">
      <c r="A232" s="21"/>
      <c r="B232" s="22" t="s">
        <v>362</v>
      </c>
      <c r="C232" s="23">
        <f t="shared" si="15"/>
        <v>802.62</v>
      </c>
      <c r="D232" s="647">
        <v>771.75</v>
      </c>
      <c r="E232" s="30" t="s">
        <v>197</v>
      </c>
      <c r="N232" s="238">
        <f t="shared" si="16"/>
        <v>802.62</v>
      </c>
      <c r="O232">
        <f t="shared" si="17"/>
        <v>842.75100000000009</v>
      </c>
    </row>
    <row r="233" spans="1:15">
      <c r="A233" s="21"/>
      <c r="B233" s="22" t="s">
        <v>363</v>
      </c>
      <c r="C233" s="23">
        <f t="shared" si="15"/>
        <v>393.12</v>
      </c>
      <c r="D233" s="647">
        <v>378</v>
      </c>
      <c r="E233" s="30" t="s">
        <v>197</v>
      </c>
      <c r="N233" s="238">
        <f t="shared" si="16"/>
        <v>393.12</v>
      </c>
      <c r="O233">
        <f t="shared" si="17"/>
        <v>412.77600000000001</v>
      </c>
    </row>
    <row r="234" spans="1:15">
      <c r="A234" s="21" t="s">
        <v>851</v>
      </c>
      <c r="B234" s="22" t="s">
        <v>852</v>
      </c>
      <c r="C234" s="22">
        <f t="shared" si="15"/>
        <v>364</v>
      </c>
      <c r="D234" s="9">
        <v>350</v>
      </c>
      <c r="E234" s="30" t="s">
        <v>267</v>
      </c>
      <c r="N234" s="238">
        <f t="shared" si="16"/>
        <v>364</v>
      </c>
      <c r="O234">
        <f t="shared" si="17"/>
        <v>382.2</v>
      </c>
    </row>
    <row r="235" spans="1:15">
      <c r="A235" s="21"/>
      <c r="B235" s="22" t="s">
        <v>853</v>
      </c>
      <c r="C235" s="22">
        <f t="shared" si="15"/>
        <v>0</v>
      </c>
      <c r="D235" s="9">
        <v>0</v>
      </c>
      <c r="E235" s="30" t="s">
        <v>842</v>
      </c>
      <c r="N235" s="238">
        <f t="shared" si="16"/>
        <v>0</v>
      </c>
      <c r="O235">
        <f t="shared" si="17"/>
        <v>0</v>
      </c>
    </row>
    <row r="236" spans="1:15">
      <c r="A236" s="21"/>
      <c r="B236" s="22" t="s">
        <v>854</v>
      </c>
      <c r="C236" s="22">
        <f t="shared" si="15"/>
        <v>0</v>
      </c>
      <c r="D236" s="9">
        <v>0</v>
      </c>
      <c r="E236" s="30" t="s">
        <v>842</v>
      </c>
      <c r="N236" s="238">
        <f t="shared" si="16"/>
        <v>0</v>
      </c>
      <c r="O236">
        <f t="shared" si="17"/>
        <v>0</v>
      </c>
    </row>
    <row r="237" spans="1:15" ht="15.75" thickBot="1">
      <c r="A237" s="24"/>
      <c r="B237" s="22" t="s">
        <v>855</v>
      </c>
      <c r="C237" s="25">
        <f t="shared" si="15"/>
        <v>0</v>
      </c>
      <c r="D237" s="18">
        <v>0</v>
      </c>
      <c r="E237" s="31" t="s">
        <v>842</v>
      </c>
      <c r="N237" s="238">
        <f t="shared" si="16"/>
        <v>0</v>
      </c>
      <c r="O237">
        <f t="shared" si="17"/>
        <v>0</v>
      </c>
    </row>
    <row r="239" spans="1:15" ht="15.75" thickBot="1"/>
    <row r="240" spans="1:15" ht="21.75" thickBot="1">
      <c r="A240" s="810" t="s">
        <v>213</v>
      </c>
      <c r="B240" s="811"/>
      <c r="C240" s="811"/>
      <c r="D240" s="812"/>
    </row>
    <row r="241" spans="1:15" ht="16.5" thickBot="1">
      <c r="A241" s="7" t="s">
        <v>49</v>
      </c>
      <c r="B241" s="7" t="s">
        <v>50</v>
      </c>
      <c r="C241" s="7" t="s">
        <v>217</v>
      </c>
      <c r="D241" s="7" t="s">
        <v>218</v>
      </c>
    </row>
    <row r="242" spans="1:15" ht="15.75" thickBot="1">
      <c r="A242" s="813"/>
      <c r="B242" s="814"/>
      <c r="C242" s="814"/>
      <c r="D242" s="815"/>
    </row>
    <row r="243" spans="1:15" ht="15.75" thickBot="1">
      <c r="A243" s="33" t="s">
        <v>214</v>
      </c>
      <c r="B243" s="34" t="s">
        <v>215</v>
      </c>
      <c r="C243" s="34" t="s">
        <v>216</v>
      </c>
      <c r="D243" s="63">
        <f>IF($G$2=1,N243,O243)</f>
        <v>3927.27</v>
      </c>
      <c r="N243" s="63">
        <v>3927.27</v>
      </c>
      <c r="O243" s="238">
        <f>N243*1.05</f>
        <v>4123.6334999999999</v>
      </c>
    </row>
    <row r="245" spans="1:15" ht="15.75" thickBot="1"/>
    <row r="246" spans="1:15" ht="21.75" thickBot="1">
      <c r="A246" s="832" t="s">
        <v>134</v>
      </c>
      <c r="B246" s="833"/>
      <c r="C246" s="833"/>
      <c r="D246" s="833"/>
      <c r="E246" s="834"/>
    </row>
    <row r="247" spans="1:15" ht="16.5" thickBot="1">
      <c r="A247" s="35" t="s">
        <v>49</v>
      </c>
      <c r="B247" s="35" t="s">
        <v>50</v>
      </c>
      <c r="C247" s="35" t="s">
        <v>151</v>
      </c>
      <c r="D247" s="35" t="s">
        <v>164</v>
      </c>
      <c r="E247" s="35" t="s">
        <v>152</v>
      </c>
    </row>
    <row r="248" spans="1:15">
      <c r="A248" s="830"/>
      <c r="B248" s="831"/>
      <c r="C248" s="831"/>
      <c r="D248" s="831"/>
      <c r="E248" s="29"/>
    </row>
    <row r="249" spans="1:15">
      <c r="A249" s="21" t="s">
        <v>135</v>
      </c>
      <c r="B249" s="22" t="s">
        <v>143</v>
      </c>
      <c r="C249" s="23">
        <v>17550</v>
      </c>
      <c r="D249" s="23">
        <f t="shared" ref="D249:D256" si="18">(C249/15)</f>
        <v>1170</v>
      </c>
      <c r="E249" s="190">
        <f>(D249/8)</f>
        <v>146.25</v>
      </c>
    </row>
    <row r="250" spans="1:15">
      <c r="A250" s="21" t="s">
        <v>136</v>
      </c>
      <c r="B250" s="22" t="s">
        <v>144</v>
      </c>
      <c r="C250" s="23">
        <v>14050</v>
      </c>
      <c r="D250" s="23">
        <f t="shared" si="18"/>
        <v>936.66666666666663</v>
      </c>
      <c r="E250" s="190">
        <f t="shared" ref="E250:E256" si="19">(D250/8)</f>
        <v>117.08333333333333</v>
      </c>
    </row>
    <row r="251" spans="1:15">
      <c r="A251" s="21" t="s">
        <v>137</v>
      </c>
      <c r="B251" s="22" t="s">
        <v>145</v>
      </c>
      <c r="C251" s="23">
        <v>14050</v>
      </c>
      <c r="D251" s="23">
        <f t="shared" si="18"/>
        <v>936.66666666666663</v>
      </c>
      <c r="E251" s="190">
        <f t="shared" si="19"/>
        <v>117.08333333333333</v>
      </c>
    </row>
    <row r="252" spans="1:15">
      <c r="A252" s="21" t="s">
        <v>138</v>
      </c>
      <c r="B252" s="22" t="s">
        <v>146</v>
      </c>
      <c r="C252" s="23">
        <v>17550</v>
      </c>
      <c r="D252" s="23">
        <f t="shared" si="18"/>
        <v>1170</v>
      </c>
      <c r="E252" s="190">
        <f t="shared" si="19"/>
        <v>146.25</v>
      </c>
    </row>
    <row r="253" spans="1:15">
      <c r="A253" s="21" t="s">
        <v>139</v>
      </c>
      <c r="B253" s="22" t="s">
        <v>147</v>
      </c>
      <c r="C253" s="23">
        <v>16710</v>
      </c>
      <c r="D253" s="23">
        <f t="shared" si="18"/>
        <v>1114</v>
      </c>
      <c r="E253" s="190">
        <f t="shared" si="19"/>
        <v>139.25</v>
      </c>
    </row>
    <row r="254" spans="1:15">
      <c r="A254" s="21" t="s">
        <v>140</v>
      </c>
      <c r="B254" s="22" t="s">
        <v>148</v>
      </c>
      <c r="C254" s="23">
        <v>16710</v>
      </c>
      <c r="D254" s="23">
        <f t="shared" si="18"/>
        <v>1114</v>
      </c>
      <c r="E254" s="190">
        <f t="shared" si="19"/>
        <v>139.25</v>
      </c>
    </row>
    <row r="255" spans="1:15">
      <c r="A255" s="21" t="s">
        <v>141</v>
      </c>
      <c r="B255" s="22" t="s">
        <v>149</v>
      </c>
      <c r="C255" s="23">
        <v>14430</v>
      </c>
      <c r="D255" s="23">
        <f t="shared" si="18"/>
        <v>962</v>
      </c>
      <c r="E255" s="190">
        <f t="shared" si="19"/>
        <v>120.25</v>
      </c>
    </row>
    <row r="256" spans="1:15">
      <c r="A256" s="21" t="s">
        <v>142</v>
      </c>
      <c r="B256" s="22" t="s">
        <v>150</v>
      </c>
      <c r="C256" s="23">
        <v>16920</v>
      </c>
      <c r="D256" s="23">
        <f t="shared" si="18"/>
        <v>1128</v>
      </c>
      <c r="E256" s="190">
        <f t="shared" si="19"/>
        <v>141</v>
      </c>
    </row>
    <row r="257" spans="1:5" ht="15.75" thickBot="1">
      <c r="A257" s="24"/>
      <c r="B257" s="25"/>
      <c r="C257" s="25"/>
      <c r="D257" s="25"/>
      <c r="E257" s="26"/>
    </row>
  </sheetData>
  <mergeCells count="12">
    <mergeCell ref="I6:J6"/>
    <mergeCell ref="A2:D2"/>
    <mergeCell ref="A4:F4"/>
    <mergeCell ref="A248:D248"/>
    <mergeCell ref="A79:D79"/>
    <mergeCell ref="A81:D81"/>
    <mergeCell ref="A246:E246"/>
    <mergeCell ref="A240:D240"/>
    <mergeCell ref="A242:D242"/>
    <mergeCell ref="A133:E133"/>
    <mergeCell ref="A120:D120"/>
    <mergeCell ref="A122:D1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22" zoomScaleNormal="100" workbookViewId="0">
      <selection activeCell="A15" sqref="A15"/>
    </sheetView>
  </sheetViews>
  <sheetFormatPr baseColWidth="10" defaultRowHeight="15"/>
  <sheetData>
    <row r="1" spans="1:7" ht="39">
      <c r="A1" s="773" t="s">
        <v>749</v>
      </c>
      <c r="B1" s="773"/>
      <c r="C1" s="773"/>
      <c r="D1" s="773"/>
      <c r="E1" s="773"/>
      <c r="F1" s="773"/>
      <c r="G1" s="773"/>
    </row>
    <row r="2" spans="1:7" ht="33.75">
      <c r="A2" s="514"/>
      <c r="B2" s="514"/>
      <c r="C2" s="514"/>
      <c r="D2" s="514"/>
      <c r="E2" s="514"/>
      <c r="F2" s="514"/>
      <c r="G2" s="514"/>
    </row>
    <row r="7" spans="1:7" ht="21">
      <c r="A7" s="515" t="s">
        <v>750</v>
      </c>
    </row>
    <row r="8" spans="1:7" ht="21">
      <c r="A8" s="515" t="s">
        <v>751</v>
      </c>
    </row>
    <row r="9" spans="1:7" ht="21" customHeight="1"/>
    <row r="10" spans="1:7" ht="21" customHeight="1"/>
    <row r="11" spans="1:7" ht="21" customHeight="1"/>
    <row r="12" spans="1:7" ht="21" customHeight="1"/>
    <row r="13" spans="1:7" ht="21">
      <c r="A13" s="515" t="s">
        <v>933</v>
      </c>
    </row>
    <row r="14" spans="1:7" ht="21">
      <c r="A14" s="515" t="s">
        <v>934</v>
      </c>
    </row>
    <row r="15" spans="1:7" ht="11.25" customHeight="1">
      <c r="A15" s="515"/>
    </row>
    <row r="16" spans="1:7" ht="21">
      <c r="A16" s="515"/>
    </row>
    <row r="17" spans="1:7" ht="21">
      <c r="A17" s="515"/>
    </row>
    <row r="18" spans="1:7" ht="21">
      <c r="A18" s="515"/>
    </row>
    <row r="19" spans="1:7" ht="21">
      <c r="A19" s="515"/>
    </row>
    <row r="20" spans="1:7" ht="21">
      <c r="A20" s="515" t="s">
        <v>914</v>
      </c>
    </row>
    <row r="21" spans="1:7" ht="21">
      <c r="A21" s="515" t="s">
        <v>915</v>
      </c>
    </row>
    <row r="22" spans="1:7" ht="21">
      <c r="A22" s="515"/>
    </row>
    <row r="23" spans="1:7" ht="21">
      <c r="A23" s="516"/>
    </row>
    <row r="24" spans="1:7">
      <c r="A24" s="774" t="s">
        <v>752</v>
      </c>
      <c r="B24" s="774"/>
      <c r="C24" s="774"/>
      <c r="D24" s="774"/>
      <c r="E24" s="774"/>
      <c r="F24" s="774"/>
      <c r="G24" s="774"/>
    </row>
    <row r="25" spans="1:7">
      <c r="A25" s="774"/>
      <c r="B25" s="774"/>
      <c r="C25" s="774"/>
      <c r="D25" s="774"/>
      <c r="E25" s="774"/>
      <c r="F25" s="774"/>
      <c r="G25" s="774"/>
    </row>
    <row r="26" spans="1:7" ht="31.5">
      <c r="A26" s="517"/>
      <c r="B26" s="775" t="s">
        <v>753</v>
      </c>
      <c r="C26" s="776"/>
      <c r="D26" s="776"/>
      <c r="E26" s="776"/>
      <c r="F26" s="776"/>
    </row>
    <row r="27" spans="1:7" ht="20.25" customHeight="1">
      <c r="A27" s="517"/>
      <c r="B27" s="518"/>
      <c r="C27" s="519"/>
      <c r="D27" s="519"/>
      <c r="E27" s="519"/>
      <c r="F27" s="519"/>
    </row>
    <row r="28" spans="1:7" ht="32.25" thickBot="1">
      <c r="A28" s="517"/>
      <c r="B28" s="518"/>
      <c r="C28" s="519"/>
      <c r="D28" s="519"/>
      <c r="E28" s="519"/>
      <c r="F28" s="519"/>
    </row>
    <row r="29" spans="1:7" ht="31.5" customHeight="1">
      <c r="A29" s="777" t="s">
        <v>754</v>
      </c>
      <c r="B29" s="778"/>
      <c r="C29" s="778"/>
      <c r="D29" s="778"/>
      <c r="E29" s="778"/>
      <c r="F29" s="778"/>
      <c r="G29" s="779"/>
    </row>
    <row r="30" spans="1:7">
      <c r="A30" s="780"/>
      <c r="B30" s="781"/>
      <c r="C30" s="781"/>
      <c r="D30" s="781"/>
      <c r="E30" s="781"/>
      <c r="F30" s="781"/>
      <c r="G30" s="782"/>
    </row>
    <row r="31" spans="1:7" ht="15.75" customHeight="1" thickBot="1">
      <c r="A31" s="783"/>
      <c r="B31" s="784"/>
      <c r="C31" s="784"/>
      <c r="D31" s="784"/>
      <c r="E31" s="784"/>
      <c r="F31" s="784"/>
      <c r="G31" s="785"/>
    </row>
  </sheetData>
  <sheetProtection selectLockedCells="1" selectUnlockedCells="1"/>
  <mergeCells count="4">
    <mergeCell ref="A1:G1"/>
    <mergeCell ref="A24:G25"/>
    <mergeCell ref="B26:F26"/>
    <mergeCell ref="A29:G31"/>
  </mergeCells>
  <hyperlinks>
    <hyperlink ref="A24" r:id="rId1" display="mailto:info@arcenaluminio.com.ar"/>
    <hyperlink ref="B26" r:id="rId2"/>
  </hyperlinks>
  <pageMargins left="0.7" right="0.7" top="0.75" bottom="0.75" header="0.3" footer="0.3"/>
  <pageSetup orientation="portrait" r:id="rId3"/>
  <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273"/>
  <sheetViews>
    <sheetView topLeftCell="Z221" zoomScale="90" zoomScaleNormal="90" workbookViewId="0">
      <selection activeCell="AJ229" sqref="AJ229"/>
    </sheetView>
  </sheetViews>
  <sheetFormatPr baseColWidth="10" defaultRowHeight="15"/>
  <cols>
    <col min="1" max="1" width="7" style="32" hidden="1" customWidth="1"/>
    <col min="2" max="2" width="4.7109375" style="32" hidden="1" customWidth="1"/>
    <col min="3" max="3" width="13.28515625" style="32" hidden="1" customWidth="1"/>
    <col min="4" max="4" width="12.140625" style="32" hidden="1" customWidth="1"/>
    <col min="5" max="5" width="8.140625" style="32" hidden="1" customWidth="1"/>
    <col min="6" max="6" width="12.140625" style="32" hidden="1" customWidth="1"/>
    <col min="7" max="7" width="13.28515625" style="32" hidden="1" customWidth="1"/>
    <col min="8" max="8" width="13.28515625" style="2" hidden="1" customWidth="1"/>
    <col min="9" max="9" width="13.28515625" hidden="1" customWidth="1"/>
    <col min="10" max="10" width="10.42578125" hidden="1" customWidth="1"/>
    <col min="11" max="11" width="12.140625" hidden="1" customWidth="1"/>
    <col min="12" max="13" width="13.28515625" hidden="1" customWidth="1"/>
    <col min="14" max="14" width="36.85546875" style="32" hidden="1" customWidth="1"/>
    <col min="15" max="15" width="4.7109375" style="32" hidden="1" customWidth="1"/>
    <col min="16" max="16" width="13.28515625" style="32" hidden="1" customWidth="1"/>
    <col min="17" max="17" width="12.140625" style="32" hidden="1" customWidth="1"/>
    <col min="18" max="18" width="8.140625" style="32" hidden="1" customWidth="1"/>
    <col min="19" max="19" width="12.140625" style="32" hidden="1" customWidth="1"/>
    <col min="20" max="20" width="13.28515625" style="32" hidden="1" customWidth="1"/>
    <col min="21" max="21" width="13.28515625" style="2" hidden="1" customWidth="1"/>
    <col min="22" max="25" width="0" hidden="1" customWidth="1"/>
    <col min="26" max="26" width="3" customWidth="1"/>
    <col min="27" max="27" width="16.140625" bestFit="1" customWidth="1"/>
    <col min="28" max="28" width="16.5703125" customWidth="1"/>
    <col min="29" max="31" width="16.7109375" customWidth="1"/>
    <col min="32" max="32" width="16.42578125" customWidth="1"/>
    <col min="33" max="33" width="9" customWidth="1"/>
    <col min="34" max="34" width="13.85546875" customWidth="1"/>
  </cols>
  <sheetData>
    <row r="1" spans="1:22" ht="15.75" hidden="1" thickBot="1"/>
    <row r="2" spans="1:22" ht="15.75" hidden="1" thickBot="1">
      <c r="C2" s="807">
        <v>1.35</v>
      </c>
      <c r="D2" s="808"/>
      <c r="E2" s="809"/>
      <c r="F2" s="728">
        <v>2</v>
      </c>
      <c r="H2" s="46" t="s">
        <v>163</v>
      </c>
      <c r="P2" s="807">
        <v>1.35</v>
      </c>
      <c r="Q2" s="808"/>
      <c r="R2" s="809"/>
      <c r="S2" s="728">
        <v>2</v>
      </c>
      <c r="U2" s="46" t="s">
        <v>163</v>
      </c>
    </row>
    <row r="3" spans="1:22" ht="15.75" hidden="1" thickBot="1">
      <c r="A3" s="792" t="s">
        <v>167</v>
      </c>
      <c r="B3" s="793"/>
      <c r="C3" s="793"/>
      <c r="D3" s="793"/>
      <c r="E3" s="793"/>
      <c r="F3" s="793"/>
      <c r="G3" s="793"/>
      <c r="H3" s="794"/>
      <c r="N3" s="792" t="s">
        <v>233</v>
      </c>
      <c r="O3" s="793"/>
      <c r="P3" s="793"/>
      <c r="Q3" s="793"/>
      <c r="R3" s="793"/>
      <c r="S3" s="793"/>
      <c r="T3" s="793"/>
      <c r="U3" s="794"/>
    </row>
    <row r="4" spans="1:22" ht="15.75" hidden="1" thickBot="1">
      <c r="A4" s="36" t="s">
        <v>116</v>
      </c>
      <c r="B4" s="36" t="s">
        <v>117</v>
      </c>
      <c r="C4" s="36" t="s">
        <v>162</v>
      </c>
      <c r="D4" s="36" t="s">
        <v>119</v>
      </c>
      <c r="E4" s="36" t="s">
        <v>120</v>
      </c>
      <c r="F4" s="36" t="s">
        <v>118</v>
      </c>
      <c r="G4" s="36" t="s">
        <v>121</v>
      </c>
      <c r="H4" s="36" t="s">
        <v>122</v>
      </c>
      <c r="N4" s="36" t="s">
        <v>116</v>
      </c>
      <c r="O4" s="36" t="s">
        <v>117</v>
      </c>
      <c r="P4" s="36" t="s">
        <v>162</v>
      </c>
      <c r="Q4" s="36" t="s">
        <v>119</v>
      </c>
      <c r="R4" s="36" t="s">
        <v>120</v>
      </c>
      <c r="S4" s="36" t="s">
        <v>118</v>
      </c>
      <c r="T4" s="36" t="s">
        <v>121</v>
      </c>
      <c r="U4" s="36" t="s">
        <v>122</v>
      </c>
    </row>
    <row r="5" spans="1:22" ht="15.75" hidden="1" thickBot="1">
      <c r="A5" s="795"/>
      <c r="B5" s="796"/>
      <c r="C5" s="796"/>
      <c r="D5" s="796"/>
      <c r="E5" s="796"/>
      <c r="F5" s="796"/>
      <c r="G5" s="796"/>
      <c r="H5" s="797"/>
      <c r="K5" s="383" t="s">
        <v>646</v>
      </c>
      <c r="N5" s="795"/>
      <c r="O5" s="796"/>
      <c r="P5" s="796"/>
      <c r="Q5" s="796"/>
      <c r="R5" s="796"/>
      <c r="S5" s="796"/>
      <c r="T5" s="796"/>
      <c r="U5" s="797"/>
    </row>
    <row r="6" spans="1:22" ht="15.75" hidden="1" thickBot="1">
      <c r="A6" s="40">
        <v>0.6</v>
      </c>
      <c r="B6" s="41">
        <v>0.4</v>
      </c>
      <c r="C6" s="47">
        <f>((((A6*2)+(B6*2))*'MATERIALES (2)'!$C$5)+((A6*2)*'MATERIALES (2)'!$C$6)+((B6*2)*'MATERIALES (2)'!$C$7)+((B6*2)*'MATERIALES (2)'!$C$8))*'MATERIALES (2)'!$F$1</f>
        <v>25788.062999999998</v>
      </c>
      <c r="D6" s="47">
        <f>(8*'MATERIALES (2)'!$C$125)+(8*'MATERIALES (2)'!$C$126)+(1*'MATERIALES (2)'!$C$141)+(4*'MATERIALES (2)'!$C$131)+(8*'MATERIALES (2)'!$C$133)+((8*4)*'MATERIALES (2)'!$C$134)+((B6*4)*'MATERIALES (2)'!$C$129)+(((A6*2)+(B6*4))*'MATERIALES (2)'!$C$130)+(2*'MATERIALES (2)'!$C$127)+(4*'MATERIALES (2)'!$C$137)+(((A6*5)*2)*'MATERIALES (2)'!$C$136)+(4*'MATERIALES (2)'!$C$135)</f>
        <v>4882</v>
      </c>
      <c r="E6" s="74"/>
      <c r="F6" s="48">
        <f>(A6*B6)*'MATERIALES (2)'!$D$85</f>
        <v>1776</v>
      </c>
      <c r="G6" s="47">
        <f>SUM(C6:F6)</f>
        <v>32446.062999999998</v>
      </c>
      <c r="H6" s="49">
        <f>((((SUM(C6:E6)*$C$2)+(F6*$F$2))*1.21)*1.05)*1.05</f>
        <v>59973.208371326255</v>
      </c>
      <c r="I6" s="53"/>
      <c r="K6" s="384">
        <f>(U6-H6)</f>
        <v>9444.0317513850168</v>
      </c>
      <c r="N6" s="65">
        <v>0.6</v>
      </c>
      <c r="O6" s="66">
        <v>0.4</v>
      </c>
      <c r="P6" s="58">
        <f>((((N6*2)+(O6*2))*'MATERIALES (2)'!$C$5)+((N6*2)*'MATERIALES (2)'!$C$6)+((O6*2)*'MATERIALES (2)'!$C$7)+((O6*2)*'MATERIALES (2)'!$C$8)+((2*O6)*'MATERIALES (2)'!$C$20)+(O6*'MATERIALES (2)'!$C$21))*'MATERIALES (2)'!$F$1</f>
        <v>30582.027000000002</v>
      </c>
      <c r="Q6" s="58">
        <f>(8*'MATERIALES (2)'!$C$125)+(8*'MATERIALES (2)'!$C$126)+(1*'MATERIALES (2)'!$C$141)+(4*'MATERIALES (2)'!$C$131)+(8*'MATERIALES (2)'!$C$133)+((8*4)*'MATERIALES (2)'!$C$134)+((O6*4)*'MATERIALES (2)'!$C$129)+(((N6*2)+(O6*4))*'MATERIALES (2)'!$C$130)+(4*'MATERIALES (2)'!$C$137)+(((N6*5)*2)*'MATERIALES (2)'!$C$136)+(4*'MATERIALES (2)'!$C$135)+(2*'MATERIALES (2)'!$C$133)+(2*'MATERIALES (2)'!$C$157)+(2*'MATERIALES (2)'!$C$134)+(10*'MATERIALES (2)'!$C$134)+(2*'MATERIALES (2)'!$C$127)</f>
        <v>5332</v>
      </c>
      <c r="R6" s="74"/>
      <c r="S6" s="54">
        <f>(N6*O6)*'MATERIALES (2)'!$D$85</f>
        <v>1776</v>
      </c>
      <c r="T6" s="58">
        <f>SUM(P6:S6)</f>
        <v>37690.027000000002</v>
      </c>
      <c r="U6" s="67">
        <f>((((SUM(P6:R6)*$P$2)+(S6*$S$2))*1.21)*1.05)*1.05</f>
        <v>69417.240122711271</v>
      </c>
      <c r="V6" s="53"/>
    </row>
    <row r="7" spans="1:22" ht="15.75" hidden="1" thickBot="1">
      <c r="A7" s="42">
        <v>0.6</v>
      </c>
      <c r="B7" s="37">
        <v>0.6</v>
      </c>
      <c r="C7" s="38">
        <f>((((A7*2)+(B7*2))*'MATERIALES (2)'!$C$5)+((A7*2)*'MATERIALES (2)'!$C$6)+((B7*2)*'MATERIALES (2)'!$C$7)+((B7*2)*'MATERIALES (2)'!$C$8))*'MATERIALES (2)'!$F$1</f>
        <v>32017.481999999996</v>
      </c>
      <c r="D7" s="38">
        <f>(8*'MATERIALES (2)'!$C$125)+(8*'MATERIALES (2)'!$C$126)+(1*'MATERIALES (2)'!$C$141)+(4*'MATERIALES (2)'!$C$131)+(8*'MATERIALES (2)'!$C$133)+((8*4)*'MATERIALES (2)'!$C$134)+((B7*4)*'MATERIALES (2)'!$C$129)+(((A7*2)+(B7*4))*'MATERIALES (2)'!$C$130)+(2*'MATERIALES (2)'!$C$127)+(4*'MATERIALES (2)'!$C$137)+(((A7*5)*2)*'MATERIALES (2)'!$C$136)+(4*'MATERIALES (2)'!$C$135)</f>
        <v>5202</v>
      </c>
      <c r="E7" s="75"/>
      <c r="F7" s="39">
        <f>(A7*B7)*'MATERIALES (2)'!$D$85</f>
        <v>2664</v>
      </c>
      <c r="G7" s="38">
        <f t="shared" ref="G7:G59" si="0">SUM(C7:F7)</f>
        <v>39883.481999999996</v>
      </c>
      <c r="H7" s="49">
        <f>((((SUM(C7:E7)*$C$2)+(F7*$F$2))*1.21)*1.05)*1.05</f>
        <v>74137.506491317501</v>
      </c>
      <c r="K7" s="385">
        <f t="shared" ref="K7:K45" si="1">(U7-H7)</f>
        <v>13760.837533327503</v>
      </c>
      <c r="N7" s="68">
        <v>0.6</v>
      </c>
      <c r="O7" s="69">
        <v>0.6</v>
      </c>
      <c r="P7" s="59">
        <f>((((N7*2)+(O7*2))*'MATERIALES (2)'!$C$5)+((N7*2)*'MATERIALES (2)'!$C$6)+((O7*2)*'MATERIALES (2)'!$C$7)+((O7*2)*'MATERIALES (2)'!$C$8)+((2*O7)*'MATERIALES (2)'!$C$20)+(O7*'MATERIALES (2)'!$C$21))*'MATERIALES (2)'!$F$1</f>
        <v>39208.427999999993</v>
      </c>
      <c r="Q7" s="59">
        <f>(8*'MATERIALES (2)'!$C$125)+(8*'MATERIALES (2)'!$C$126)+(1*'MATERIALES (2)'!$C$141)+(4*'MATERIALES (2)'!$C$131)+(8*'MATERIALES (2)'!$C$133)+((8*4)*'MATERIALES (2)'!$C$134)+((O7*4)*'MATERIALES (2)'!$C$129)+(((N7*2)+(O7*4))*'MATERIALES (2)'!$C$130)+(4*'MATERIALES (2)'!$C$137)+(((N7*5)*2)*'MATERIALES (2)'!$C$136)+(4*'MATERIALES (2)'!$C$135)+(2*'MATERIALES (2)'!$C$133)+(2*'MATERIALES (2)'!$C$157)+(2*'MATERIALES (2)'!$C$134)+(10*'MATERIALES (2)'!$C$134)+(2*'MATERIALES (2)'!$C$127)</f>
        <v>5652</v>
      </c>
      <c r="R7" s="75"/>
      <c r="S7" s="55">
        <f>(N7*O7)*'MATERIALES (2)'!$D$85</f>
        <v>2664</v>
      </c>
      <c r="T7" s="59">
        <f t="shared" ref="T7:T59" si="2">SUM(P7:S7)</f>
        <v>47524.427999999993</v>
      </c>
      <c r="U7" s="67">
        <f t="shared" ref="U7:U59" si="3">((((SUM(P7:R7)*$P$2)+(S7*$S$2))*1.21)*1.05)*1.05</f>
        <v>87898.344024645005</v>
      </c>
    </row>
    <row r="8" spans="1:22" ht="15.75" hidden="1" thickBot="1">
      <c r="A8" s="42">
        <v>0.8</v>
      </c>
      <c r="B8" s="37">
        <v>0.4</v>
      </c>
      <c r="C8" s="38">
        <f>((((A8*2)+(B8*2))*'MATERIALES (2)'!$C$5)+((A8*2)*'MATERIALES (2)'!$C$6)+((B8*2)*'MATERIALES (2)'!$C$7)+((B8*2)*'MATERIALES (2)'!$C$8))*'MATERIALES (2)'!$F$1</f>
        <v>30231.137999999999</v>
      </c>
      <c r="D8" s="38">
        <f>(8*'MATERIALES (2)'!$C$125)+(8*'MATERIALES (2)'!$C$126)+(1*'MATERIALES (2)'!$C$141)+(4*'MATERIALES (2)'!$C$131)+(8*'MATERIALES (2)'!$C$133)+((8*4)*'MATERIALES (2)'!$C$134)+((B8*4)*'MATERIALES (2)'!$C$129)+(((A8*2)+(B8*4))*'MATERIALES (2)'!$C$130)+(2*'MATERIALES (2)'!$C$127)+(4*'MATERIALES (2)'!$C$137)+(((A8*5)*2)*'MATERIALES (2)'!$C$136)+(4*'MATERIALES (2)'!$C$135)</f>
        <v>4978</v>
      </c>
      <c r="E8" s="75"/>
      <c r="F8" s="39">
        <f>(A8*B8)*'MATERIALES (2)'!$D$85</f>
        <v>2368.0000000000005</v>
      </c>
      <c r="G8" s="38">
        <f t="shared" si="0"/>
        <v>37577.137999999999</v>
      </c>
      <c r="H8" s="49">
        <f t="shared" ref="H8:H59" si="4">((((SUM(C8:E8)*$C$2)+(F8*$F$2))*1.21)*1.05)*1.05</f>
        <v>69727.267332607502</v>
      </c>
      <c r="K8" s="385">
        <f t="shared" si="1"/>
        <v>9444.0317513850168</v>
      </c>
      <c r="N8" s="68">
        <v>0.8</v>
      </c>
      <c r="O8" s="69">
        <v>0.4</v>
      </c>
      <c r="P8" s="59">
        <f>((((N8*2)+(O8*2))*'MATERIALES (2)'!$C$5)+((N8*2)*'MATERIALES (2)'!$C$6)+((O8*2)*'MATERIALES (2)'!$C$7)+((O8*2)*'MATERIALES (2)'!$C$8)+((2*O8)*'MATERIALES (2)'!$C$20)+(O8*'MATERIALES (2)'!$C$21))*'MATERIALES (2)'!$F$1</f>
        <v>35025.102000000006</v>
      </c>
      <c r="Q8" s="59">
        <f>(8*'MATERIALES (2)'!$C$125)+(8*'MATERIALES (2)'!$C$126)+(1*'MATERIALES (2)'!$C$141)+(4*'MATERIALES (2)'!$C$131)+(8*'MATERIALES (2)'!$C$133)+((8*4)*'MATERIALES (2)'!$C$134)+((O8*4)*'MATERIALES (2)'!$C$129)+(((N8*2)+(O8*4))*'MATERIALES (2)'!$C$130)+(4*'MATERIALES (2)'!$C$137)+(((N8*5)*2)*'MATERIALES (2)'!$C$136)+(4*'MATERIALES (2)'!$C$135)+(2*'MATERIALES (2)'!$C$133)+(2*'MATERIALES (2)'!$C$157)+(2*'MATERIALES (2)'!$C$134)+(10*'MATERIALES (2)'!$C$134)+(2*'MATERIALES (2)'!$C$127)</f>
        <v>5428</v>
      </c>
      <c r="R8" s="75"/>
      <c r="S8" s="55">
        <f>(N8*O8)*'MATERIALES (2)'!$D$85</f>
        <v>2368.0000000000005</v>
      </c>
      <c r="T8" s="59">
        <f t="shared" si="2"/>
        <v>42821.102000000006</v>
      </c>
      <c r="U8" s="67">
        <f t="shared" si="3"/>
        <v>79171.299083992519</v>
      </c>
    </row>
    <row r="9" spans="1:22" ht="15.75" hidden="1" thickBot="1">
      <c r="A9" s="42">
        <v>0.8</v>
      </c>
      <c r="B9" s="37">
        <v>0.6</v>
      </c>
      <c r="C9" s="38">
        <f>((((A9*2)+(B9*2))*'MATERIALES (2)'!$C$5)+((A9*2)*'MATERIALES (2)'!$C$6)+((B9*2)*'MATERIALES (2)'!$C$7)+((B9*2)*'MATERIALES (2)'!$C$8))*'MATERIALES (2)'!$F$1</f>
        <v>36460.556999999993</v>
      </c>
      <c r="D9" s="38">
        <f>(8*'MATERIALES (2)'!$C$125)+(8*'MATERIALES (2)'!$C$126)+(1*'MATERIALES (2)'!$C$141)+(4*'MATERIALES (2)'!$C$131)+(8*'MATERIALES (2)'!$C$133)+((8*4)*'MATERIALES (2)'!$C$134)+((B9*4)*'MATERIALES (2)'!$C$129)+(((A9*2)+(B9*4))*'MATERIALES (2)'!$C$130)+(2*'MATERIALES (2)'!$C$127)+(4*'MATERIALES (2)'!$C$137)+(((A9*5)*2)*'MATERIALES (2)'!$C$136)+(4*'MATERIALES (2)'!$C$135)</f>
        <v>5298</v>
      </c>
      <c r="E9" s="75"/>
      <c r="F9" s="39">
        <f>(A9*B9)*'MATERIALES (2)'!$D$85</f>
        <v>3552</v>
      </c>
      <c r="G9" s="38">
        <f t="shared" si="0"/>
        <v>45310.556999999993</v>
      </c>
      <c r="H9" s="49">
        <f t="shared" si="4"/>
        <v>84681.308252598741</v>
      </c>
      <c r="K9" s="385">
        <f t="shared" si="1"/>
        <v>13760.837533327503</v>
      </c>
      <c r="N9" s="68">
        <v>0.8</v>
      </c>
      <c r="O9" s="69">
        <v>0.6</v>
      </c>
      <c r="P9" s="59">
        <f>((((N9*2)+(O9*2))*'MATERIALES (2)'!$C$5)+((N9*2)*'MATERIALES (2)'!$C$6)+((O9*2)*'MATERIALES (2)'!$C$7)+((O9*2)*'MATERIALES (2)'!$C$8)+((2*O9)*'MATERIALES (2)'!$C$20)+(O9*'MATERIALES (2)'!$C$21))*'MATERIALES (2)'!$F$1</f>
        <v>43651.50299999999</v>
      </c>
      <c r="Q9" s="59">
        <f>(8*'MATERIALES (2)'!$C$125)+(8*'MATERIALES (2)'!$C$126)+(1*'MATERIALES (2)'!$C$141)+(4*'MATERIALES (2)'!$C$131)+(8*'MATERIALES (2)'!$C$133)+((8*4)*'MATERIALES (2)'!$C$134)+((O9*4)*'MATERIALES (2)'!$C$129)+(((N9*2)+(O9*4))*'MATERIALES (2)'!$C$130)+(4*'MATERIALES (2)'!$C$137)+(((N9*5)*2)*'MATERIALES (2)'!$C$136)+(4*'MATERIALES (2)'!$C$135)+(2*'MATERIALES (2)'!$C$133)+(2*'MATERIALES (2)'!$C$157)+(2*'MATERIALES (2)'!$C$134)+(10*'MATERIALES (2)'!$C$134)+(2*'MATERIALES (2)'!$C$127)</f>
        <v>5748</v>
      </c>
      <c r="R9" s="75"/>
      <c r="S9" s="55">
        <f>(N9*O9)*'MATERIALES (2)'!$D$85</f>
        <v>3552</v>
      </c>
      <c r="T9" s="59">
        <f t="shared" si="2"/>
        <v>52951.50299999999</v>
      </c>
      <c r="U9" s="67">
        <f t="shared" si="3"/>
        <v>98442.145785926245</v>
      </c>
    </row>
    <row r="10" spans="1:22" ht="15.75" hidden="1" thickBot="1">
      <c r="A10" s="42">
        <v>0.8</v>
      </c>
      <c r="B10" s="37">
        <v>0.8</v>
      </c>
      <c r="C10" s="38">
        <f>((((A10*2)+(B10*2))*'MATERIALES (2)'!$C$5)+((A10*2)*'MATERIALES (2)'!$C$6)+((B10*2)*'MATERIALES (2)'!$C$7)+((B10*2)*'MATERIALES (2)'!$C$8))*'MATERIALES (2)'!$F$1</f>
        <v>42689.976000000002</v>
      </c>
      <c r="D10" s="38">
        <f>(8*'MATERIALES (2)'!$C$125)+(8*'MATERIALES (2)'!$C$126)+(1*'MATERIALES (2)'!$C$141)+(4*'MATERIALES (2)'!$C$131)+(8*'MATERIALES (2)'!$C$133)+((8*4)*'MATERIALES (2)'!$C$134)+((B10*4)*'MATERIALES (2)'!$C$129)+(((A10*2)+(B10*4))*'MATERIALES (2)'!$C$130)+(2*'MATERIALES (2)'!$C$127)+(4*'MATERIALES (2)'!$C$137)+(((A10*5)*2)*'MATERIALES (2)'!$C$136)+(4*'MATERIALES (2)'!$C$135)</f>
        <v>5618</v>
      </c>
      <c r="E10" s="75"/>
      <c r="F10" s="39">
        <f>(A10*B10)*'MATERIALES (2)'!$D$85</f>
        <v>4736.0000000000009</v>
      </c>
      <c r="G10" s="38">
        <f t="shared" si="0"/>
        <v>53043.976000000002</v>
      </c>
      <c r="H10" s="49">
        <f t="shared" si="4"/>
        <v>99635.349172590024</v>
      </c>
      <c r="K10" s="385">
        <f t="shared" si="1"/>
        <v>18077.643315270019</v>
      </c>
      <c r="N10" s="68">
        <v>0.8</v>
      </c>
      <c r="O10" s="69">
        <v>0.8</v>
      </c>
      <c r="P10" s="59">
        <f>((((N10*2)+(O10*2))*'MATERIALES (2)'!$C$5)+((N10*2)*'MATERIALES (2)'!$C$6)+((O10*2)*'MATERIALES (2)'!$C$7)+((O10*2)*'MATERIALES (2)'!$C$8)+((2*O10)*'MATERIALES (2)'!$C$20)+(O10*'MATERIALES (2)'!$C$21))*'MATERIALES (2)'!$F$1</f>
        <v>52277.90400000001</v>
      </c>
      <c r="Q10" s="59">
        <f>(8*'MATERIALES (2)'!$C$125)+(8*'MATERIALES (2)'!$C$126)+(1*'MATERIALES (2)'!$C$141)+(4*'MATERIALES (2)'!$C$131)+(8*'MATERIALES (2)'!$C$133)+((8*4)*'MATERIALES (2)'!$C$134)+((O10*4)*'MATERIALES (2)'!$C$129)+(((N10*2)+(O10*4))*'MATERIALES (2)'!$C$130)+(4*'MATERIALES (2)'!$C$137)+(((N10*5)*2)*'MATERIALES (2)'!$C$136)+(4*'MATERIALES (2)'!$C$135)+(2*'MATERIALES (2)'!$C$133)+(2*'MATERIALES (2)'!$C$157)+(2*'MATERIALES (2)'!$C$134)+(10*'MATERIALES (2)'!$C$134)+(2*'MATERIALES (2)'!$C$127)</f>
        <v>6068</v>
      </c>
      <c r="R10" s="75"/>
      <c r="S10" s="55">
        <f>(N10*O10)*'MATERIALES (2)'!$D$85</f>
        <v>4736.0000000000009</v>
      </c>
      <c r="T10" s="59">
        <f t="shared" si="2"/>
        <v>63081.90400000001</v>
      </c>
      <c r="U10" s="67">
        <f t="shared" si="3"/>
        <v>117712.99248786004</v>
      </c>
    </row>
    <row r="11" spans="1:22" ht="15.75" hidden="1" thickBot="1">
      <c r="A11" s="42">
        <v>1</v>
      </c>
      <c r="B11" s="37">
        <v>0.4</v>
      </c>
      <c r="C11" s="38">
        <f>((((A11*2)+(B11*2))*'MATERIALES (2)'!$C$5)+((A11*2)*'MATERIALES (2)'!$C$6)+((B11*2)*'MATERIALES (2)'!$C$7)+((B11*2)*'MATERIALES (2)'!$C$8))*'MATERIALES (2)'!$F$1</f>
        <v>34674.212999999996</v>
      </c>
      <c r="D11" s="38">
        <f>(8*'MATERIALES (2)'!$C$125)+(8*'MATERIALES (2)'!$C$126)+(1*'MATERIALES (2)'!$C$141)+(4*'MATERIALES (2)'!$C$131)+(8*'MATERIALES (2)'!$C$133)+((8*4)*'MATERIALES (2)'!$C$134)+((B11*4)*'MATERIALES (2)'!$C$129)+(((A11*2)+(B11*4))*'MATERIALES (2)'!$C$130)+(2*'MATERIALES (2)'!$C$127)+(4*'MATERIALES (2)'!$C$137)+(((A11*5)*2)*'MATERIALES (2)'!$C$136)+(4*'MATERIALES (2)'!$C$135)</f>
        <v>5074</v>
      </c>
      <c r="E11" s="75"/>
      <c r="F11" s="39">
        <f>(A11*B11)*'MATERIALES (2)'!$D$85</f>
        <v>2960</v>
      </c>
      <c r="G11" s="38">
        <f t="shared" si="0"/>
        <v>42708.212999999996</v>
      </c>
      <c r="H11" s="49">
        <f t="shared" si="4"/>
        <v>79481.326293888749</v>
      </c>
      <c r="K11" s="385">
        <f t="shared" si="1"/>
        <v>9444.0317513850023</v>
      </c>
      <c r="N11" s="68">
        <v>1</v>
      </c>
      <c r="O11" s="69">
        <v>0.4</v>
      </c>
      <c r="P11" s="59">
        <f>((((N11*2)+(O11*2))*'MATERIALES (2)'!$C$5)+((N11*2)*'MATERIALES (2)'!$C$6)+((O11*2)*'MATERIALES (2)'!$C$7)+((O11*2)*'MATERIALES (2)'!$C$8)+((2*O11)*'MATERIALES (2)'!$C$20)+(O11*'MATERIALES (2)'!$C$21))*'MATERIALES (2)'!$F$1</f>
        <v>39468.176999999996</v>
      </c>
      <c r="Q11" s="59">
        <f>(8*'MATERIALES (2)'!$C$125)+(8*'MATERIALES (2)'!$C$126)+(1*'MATERIALES (2)'!$C$141)+(4*'MATERIALES (2)'!$C$131)+(8*'MATERIALES (2)'!$C$133)+((8*4)*'MATERIALES (2)'!$C$134)+((O11*4)*'MATERIALES (2)'!$C$129)+(((N11*2)+(O11*4))*'MATERIALES (2)'!$C$130)+(4*'MATERIALES (2)'!$C$137)+(((N11*5)*2)*'MATERIALES (2)'!$C$136)+(4*'MATERIALES (2)'!$C$135)+(2*'MATERIALES (2)'!$C$133)+(2*'MATERIALES (2)'!$C$157)+(2*'MATERIALES (2)'!$C$134)+(10*'MATERIALES (2)'!$C$134)+(2*'MATERIALES (2)'!$C$127)</f>
        <v>5524</v>
      </c>
      <c r="R11" s="75"/>
      <c r="S11" s="55">
        <f>(N11*O11)*'MATERIALES (2)'!$D$85</f>
        <v>2960</v>
      </c>
      <c r="T11" s="59">
        <f t="shared" si="2"/>
        <v>47952.176999999996</v>
      </c>
      <c r="U11" s="67">
        <f t="shared" si="3"/>
        <v>88925.358045273751</v>
      </c>
    </row>
    <row r="12" spans="1:22" ht="15.75" hidden="1" thickBot="1">
      <c r="A12" s="42">
        <v>1</v>
      </c>
      <c r="B12" s="37">
        <v>0.6</v>
      </c>
      <c r="C12" s="38">
        <f>((((A12*2)+(B12*2))*'MATERIALES (2)'!$C$5)+((A12*2)*'MATERIALES (2)'!$C$6)+((B12*2)*'MATERIALES (2)'!$C$7)+((B12*2)*'MATERIALES (2)'!$C$8))*'MATERIALES (2)'!$F$1</f>
        <v>40903.631999999998</v>
      </c>
      <c r="D12" s="38">
        <f>(8*'MATERIALES (2)'!$C$125)+(8*'MATERIALES (2)'!$C$126)+(1*'MATERIALES (2)'!$C$141)+(4*'MATERIALES (2)'!$C$131)+(8*'MATERIALES (2)'!$C$133)+((8*4)*'MATERIALES (2)'!$C$134)+((B12*4)*'MATERIALES (2)'!$C$129)+(((A12*2)+(B12*4))*'MATERIALES (2)'!$C$130)+(2*'MATERIALES (2)'!$C$127)+(4*'MATERIALES (2)'!$C$137)+(((A12*5)*2)*'MATERIALES (2)'!$C$136)+(4*'MATERIALES (2)'!$C$135)</f>
        <v>5394</v>
      </c>
      <c r="E12" s="75"/>
      <c r="F12" s="39">
        <f>(A12*B12)*'MATERIALES (2)'!$D$85</f>
        <v>4440</v>
      </c>
      <c r="G12" s="38">
        <f t="shared" si="0"/>
        <v>50737.631999999998</v>
      </c>
      <c r="H12" s="49">
        <f t="shared" si="4"/>
        <v>95225.110013879996</v>
      </c>
      <c r="K12" s="385">
        <f t="shared" si="1"/>
        <v>13760.837533327503</v>
      </c>
      <c r="N12" s="68">
        <v>1</v>
      </c>
      <c r="O12" s="69">
        <v>0.6</v>
      </c>
      <c r="P12" s="59">
        <f>((((N12*2)+(O12*2))*'MATERIALES (2)'!$C$5)+((N12*2)*'MATERIALES (2)'!$C$6)+((O12*2)*'MATERIALES (2)'!$C$7)+((O12*2)*'MATERIALES (2)'!$C$8)+((2*O12)*'MATERIALES (2)'!$C$20)+(O12*'MATERIALES (2)'!$C$21))*'MATERIALES (2)'!$F$1</f>
        <v>48094.577999999994</v>
      </c>
      <c r="Q12" s="59">
        <f>(8*'MATERIALES (2)'!$C$125)+(8*'MATERIALES (2)'!$C$126)+(1*'MATERIALES (2)'!$C$141)+(4*'MATERIALES (2)'!$C$131)+(8*'MATERIALES (2)'!$C$133)+((8*4)*'MATERIALES (2)'!$C$134)+((O12*4)*'MATERIALES (2)'!$C$129)+(((N12*2)+(O12*4))*'MATERIALES (2)'!$C$130)+(4*'MATERIALES (2)'!$C$137)+(((N12*5)*2)*'MATERIALES (2)'!$C$136)+(4*'MATERIALES (2)'!$C$135)+(2*'MATERIALES (2)'!$C$133)+(2*'MATERIALES (2)'!$C$157)+(2*'MATERIALES (2)'!$C$134)+(10*'MATERIALES (2)'!$C$134)+(2*'MATERIALES (2)'!$C$127)</f>
        <v>5844</v>
      </c>
      <c r="R12" s="75"/>
      <c r="S12" s="55">
        <f>(N12*O12)*'MATERIALES (2)'!$D$85</f>
        <v>4440</v>
      </c>
      <c r="T12" s="59">
        <f t="shared" si="2"/>
        <v>58378.577999999994</v>
      </c>
      <c r="U12" s="67">
        <f t="shared" si="3"/>
        <v>108985.9475472075</v>
      </c>
    </row>
    <row r="13" spans="1:22" ht="15.75" hidden="1" thickBot="1">
      <c r="A13" s="42">
        <v>1</v>
      </c>
      <c r="B13" s="37">
        <v>0.8</v>
      </c>
      <c r="C13" s="38">
        <f>((((A13*2)+(B13*2))*'MATERIALES (2)'!$C$5)+((A13*2)*'MATERIALES (2)'!$C$6)+((B13*2)*'MATERIALES (2)'!$C$7)+((B13*2)*'MATERIALES (2)'!$C$8))*'MATERIALES (2)'!$F$1</f>
        <v>47133.050999999999</v>
      </c>
      <c r="D13" s="38">
        <f>(8*'MATERIALES (2)'!$C$125)+(8*'MATERIALES (2)'!$C$126)+(1*'MATERIALES (2)'!$C$141)+(4*'MATERIALES (2)'!$C$131)+(8*'MATERIALES (2)'!$C$133)+((8*4)*'MATERIALES (2)'!$C$134)+((B13*4)*'MATERIALES (2)'!$C$129)+(((A13*2)+(B13*4))*'MATERIALES (2)'!$C$130)+(2*'MATERIALES (2)'!$C$127)+(4*'MATERIALES (2)'!$C$137)+(((A13*5)*2)*'MATERIALES (2)'!$C$136)+(4*'MATERIALES (2)'!$C$135)</f>
        <v>5714</v>
      </c>
      <c r="E13" s="75"/>
      <c r="F13" s="39">
        <f>(A13*B13)*'MATERIALES (2)'!$D$85</f>
        <v>5920</v>
      </c>
      <c r="G13" s="38">
        <f t="shared" si="0"/>
        <v>58767.050999999999</v>
      </c>
      <c r="H13" s="49">
        <f t="shared" si="4"/>
        <v>110968.89373387126</v>
      </c>
      <c r="K13" s="385">
        <f t="shared" si="1"/>
        <v>18077.643315270019</v>
      </c>
      <c r="N13" s="68">
        <v>1</v>
      </c>
      <c r="O13" s="69">
        <v>0.8</v>
      </c>
      <c r="P13" s="59">
        <f>((((N13*2)+(O13*2))*'MATERIALES (2)'!$C$5)+((N13*2)*'MATERIALES (2)'!$C$6)+((O13*2)*'MATERIALES (2)'!$C$7)+((O13*2)*'MATERIALES (2)'!$C$8)+((2*O13)*'MATERIALES (2)'!$C$20)+(O13*'MATERIALES (2)'!$C$21))*'MATERIALES (2)'!$F$1</f>
        <v>56720.979000000007</v>
      </c>
      <c r="Q13" s="59">
        <f>(8*'MATERIALES (2)'!$C$125)+(8*'MATERIALES (2)'!$C$126)+(1*'MATERIALES (2)'!$C$141)+(4*'MATERIALES (2)'!$C$131)+(8*'MATERIALES (2)'!$C$133)+((8*4)*'MATERIALES (2)'!$C$134)+((O13*4)*'MATERIALES (2)'!$C$129)+(((N13*2)+(O13*4))*'MATERIALES (2)'!$C$130)+(4*'MATERIALES (2)'!$C$137)+(((N13*5)*2)*'MATERIALES (2)'!$C$136)+(4*'MATERIALES (2)'!$C$135)+(2*'MATERIALES (2)'!$C$133)+(2*'MATERIALES (2)'!$C$157)+(2*'MATERIALES (2)'!$C$134)+(10*'MATERIALES (2)'!$C$134)+(2*'MATERIALES (2)'!$C$127)</f>
        <v>6164</v>
      </c>
      <c r="R13" s="75"/>
      <c r="S13" s="55">
        <f>(N13*O13)*'MATERIALES (2)'!$D$85</f>
        <v>5920</v>
      </c>
      <c r="T13" s="59">
        <f t="shared" si="2"/>
        <v>68804.979000000007</v>
      </c>
      <c r="U13" s="67">
        <f t="shared" si="3"/>
        <v>129046.53704914128</v>
      </c>
    </row>
    <row r="14" spans="1:22" ht="15.75" hidden="1" thickBot="1">
      <c r="A14" s="42">
        <v>1</v>
      </c>
      <c r="B14" s="37">
        <v>1</v>
      </c>
      <c r="C14" s="38">
        <f>((((A14*2)+(B14*2))*'MATERIALES (2)'!$C$5)+((A14*2)*'MATERIALES (2)'!$C$6)+((B14*2)*'MATERIALES (2)'!$C$7)+((B14*2)*'MATERIALES (2)'!$C$8))*'MATERIALES (2)'!$F$1</f>
        <v>53362.469999999994</v>
      </c>
      <c r="D14" s="38">
        <f>(8*'MATERIALES (2)'!$C$125)+(8*'MATERIALES (2)'!$C$126)+(1*'MATERIALES (2)'!$C$141)+(4*'MATERIALES (2)'!$C$131)+(8*'MATERIALES (2)'!$C$133)+((8*4)*'MATERIALES (2)'!$C$134)+((B14*4)*'MATERIALES (2)'!$C$129)+(((A14*2)+(B14*4))*'MATERIALES (2)'!$C$130)+(2*'MATERIALES (2)'!$C$127)+(4*'MATERIALES (2)'!$C$137)+(((A14*5)*2)*'MATERIALES (2)'!$C$136)+(4*'MATERIALES (2)'!$C$135)</f>
        <v>6034</v>
      </c>
      <c r="E14" s="75"/>
      <c r="F14" s="39">
        <f>(A14*B14)*'MATERIALES (2)'!$D$85</f>
        <v>7400</v>
      </c>
      <c r="G14" s="38">
        <f>SUM(C14:F14)</f>
        <v>66796.47</v>
      </c>
      <c r="H14" s="49">
        <f t="shared" si="4"/>
        <v>126712.6774538625</v>
      </c>
      <c r="K14" s="385">
        <f t="shared" si="1"/>
        <v>22394.449097212491</v>
      </c>
      <c r="N14" s="68">
        <v>1</v>
      </c>
      <c r="O14" s="69">
        <v>1</v>
      </c>
      <c r="P14" s="59">
        <f>((((N14*2)+(O14*2))*'MATERIALES (2)'!$C$5)+((N14*2)*'MATERIALES (2)'!$C$6)+((O14*2)*'MATERIALES (2)'!$C$7)+((O14*2)*'MATERIALES (2)'!$C$8)+((2*O14)*'MATERIALES (2)'!$C$20)+(O14*'MATERIALES (2)'!$C$21))*'MATERIALES (2)'!$F$1</f>
        <v>65347.37999999999</v>
      </c>
      <c r="Q14" s="59">
        <f>(8*'MATERIALES (2)'!$C$125)+(8*'MATERIALES (2)'!$C$126)+(1*'MATERIALES (2)'!$C$141)+(4*'MATERIALES (2)'!$C$131)+(8*'MATERIALES (2)'!$C$133)+((8*4)*'MATERIALES (2)'!$C$134)+((O14*4)*'MATERIALES (2)'!$C$129)+(((N14*2)+(O14*4))*'MATERIALES (2)'!$C$130)+(4*'MATERIALES (2)'!$C$137)+(((N14*5)*2)*'MATERIALES (2)'!$C$136)+(4*'MATERIALES (2)'!$C$135)+(2*'MATERIALES (2)'!$C$133)+(2*'MATERIALES (2)'!$C$157)+(2*'MATERIALES (2)'!$C$134)+(10*'MATERIALES (2)'!$C$134)+(2*'MATERIALES (2)'!$C$127)</f>
        <v>6484</v>
      </c>
      <c r="R14" s="75"/>
      <c r="S14" s="55">
        <f>(N14*O14)*'MATERIALES (2)'!$D$85</f>
        <v>7400</v>
      </c>
      <c r="T14" s="59">
        <f t="shared" si="2"/>
        <v>79231.37999999999</v>
      </c>
      <c r="U14" s="67">
        <f t="shared" si="3"/>
        <v>149107.12655107499</v>
      </c>
    </row>
    <row r="15" spans="1:22" ht="15.75" hidden="1" thickBot="1">
      <c r="A15" s="42">
        <v>1</v>
      </c>
      <c r="B15" s="37">
        <v>1.1000000000000001</v>
      </c>
      <c r="C15" s="38">
        <f>((((A15*2)+(B15*2))*'MATERIALES (2)'!$C$5)+((A15*2)*'MATERIALES (2)'!$C$6)+((B15*2)*'MATERIALES (2)'!$C$7)+((B15*2)*'MATERIALES (2)'!$C$8))*'MATERIALES (2)'!$F$1</f>
        <v>56477.179499999998</v>
      </c>
      <c r="D15" s="38">
        <f>(8*'MATERIALES (2)'!$C$125)+(8*'MATERIALES (2)'!$C$126)+(1*'MATERIALES (2)'!$C$141)+(4*'MATERIALES (2)'!$C$131)+(8*'MATERIALES (2)'!$C$133)+((8*4)*'MATERIALES (2)'!$C$134)+((B15*4)*'MATERIALES (2)'!$C$129)+(((A15*2)+(B15*4))*'MATERIALES (2)'!$C$130)+(2*'MATERIALES (2)'!$C$127)+(4*'MATERIALES (2)'!$C$137)+(((A15*5)*2)*'MATERIALES (2)'!$C$136)+(4*'MATERIALES (2)'!$C$135)</f>
        <v>6194</v>
      </c>
      <c r="E15" s="75"/>
      <c r="F15" s="39">
        <f>(A15*B15)*'MATERIALES (2)'!$D$85</f>
        <v>8140.0000000000009</v>
      </c>
      <c r="G15" s="38">
        <f t="shared" si="0"/>
        <v>70811.179499999998</v>
      </c>
      <c r="H15" s="49">
        <f t="shared" si="4"/>
        <v>134584.56931385814</v>
      </c>
      <c r="K15" s="385">
        <f t="shared" si="1"/>
        <v>24552.851988183742</v>
      </c>
      <c r="N15" s="68">
        <v>1</v>
      </c>
      <c r="O15" s="69">
        <v>1.1000000000000001</v>
      </c>
      <c r="P15" s="59">
        <f>((((N15*2)+(O15*2))*'MATERIALES (2)'!$C$5)+((N15*2)*'MATERIALES (2)'!$C$6)+((O15*2)*'MATERIALES (2)'!$C$7)+((O15*2)*'MATERIALES (2)'!$C$8)+((2*O15)*'MATERIALES (2)'!$C$20)+(O15*'MATERIALES (2)'!$C$21))*'MATERIALES (2)'!$F$1</f>
        <v>69660.580499999996</v>
      </c>
      <c r="Q15" s="59">
        <f>(8*'MATERIALES (2)'!$C$125)+(8*'MATERIALES (2)'!$C$126)+(1*'MATERIALES (2)'!$C$141)+(4*'MATERIALES (2)'!$C$131)+(8*'MATERIALES (2)'!$C$133)+((8*4)*'MATERIALES (2)'!$C$134)+((O15*4)*'MATERIALES (2)'!$C$129)+(((N15*2)+(O15*4))*'MATERIALES (2)'!$C$130)+(4*'MATERIALES (2)'!$C$137)+(((N15*5)*2)*'MATERIALES (2)'!$C$136)+(4*'MATERIALES (2)'!$C$135)+(2*'MATERIALES (2)'!$C$133)+(2*'MATERIALES (2)'!$C$157)+(2*'MATERIALES (2)'!$C$134)+(10*'MATERIALES (2)'!$C$134)+(2*'MATERIALES (2)'!$C$127)</f>
        <v>6644</v>
      </c>
      <c r="R15" s="75"/>
      <c r="S15" s="55">
        <f>(N15*O15)*'MATERIALES (2)'!$D$85</f>
        <v>8140.0000000000009</v>
      </c>
      <c r="T15" s="59">
        <f t="shared" si="2"/>
        <v>84444.580499999996</v>
      </c>
      <c r="U15" s="67">
        <f t="shared" si="3"/>
        <v>159137.42130204188</v>
      </c>
    </row>
    <row r="16" spans="1:22" ht="15.75" hidden="1" thickBot="1">
      <c r="A16" s="42">
        <v>1</v>
      </c>
      <c r="B16" s="37">
        <v>1.2</v>
      </c>
      <c r="C16" s="38">
        <f>((((A16*2)+(B16*2))*'MATERIALES (2)'!$C$5)+((A16*2)*'MATERIALES (2)'!$C$6)+((B16*2)*'MATERIALES (2)'!$C$7)+((B16*2)*'MATERIALES (2)'!$C$8))*'MATERIALES (2)'!$F$1</f>
        <v>59591.889000000003</v>
      </c>
      <c r="D16" s="38">
        <f>(8*'MATERIALES (2)'!$C$125)+(8*'MATERIALES (2)'!$C$126)+(1*'MATERIALES (2)'!$C$141)+(4*'MATERIALES (2)'!$C$131)+(8*'MATERIALES (2)'!$C$133)+((8*4)*'MATERIALES (2)'!$C$134)+((B16*4)*'MATERIALES (2)'!$C$129)+(((A16*2)+(B16*4))*'MATERIALES (2)'!$C$130)+(2*'MATERIALES (2)'!$C$127)+(4*'MATERIALES (2)'!$C$137)+(((A16*5)*2)*'MATERIALES (2)'!$C$136)+(4*'MATERIALES (2)'!$C$135)</f>
        <v>6354</v>
      </c>
      <c r="E16" s="75"/>
      <c r="F16" s="39">
        <f>(A16*B16)*'MATERIALES (2)'!$D$85</f>
        <v>8880</v>
      </c>
      <c r="G16" s="38">
        <f t="shared" si="0"/>
        <v>74825.888999999996</v>
      </c>
      <c r="H16" s="49">
        <f t="shared" si="4"/>
        <v>142456.46117385378</v>
      </c>
      <c r="K16" s="385">
        <f t="shared" si="1"/>
        <v>26711.254879154993</v>
      </c>
      <c r="N16" s="68">
        <v>1</v>
      </c>
      <c r="O16" s="69">
        <v>1.2</v>
      </c>
      <c r="P16" s="59">
        <f>((((N16*2)+(O16*2))*'MATERIALES (2)'!$C$5)+((N16*2)*'MATERIALES (2)'!$C$6)+((O16*2)*'MATERIALES (2)'!$C$7)+((O16*2)*'MATERIALES (2)'!$C$8)+((2*O16)*'MATERIALES (2)'!$C$20)+(O16*'MATERIALES (2)'!$C$21))*'MATERIALES (2)'!$F$1</f>
        <v>73973.781000000003</v>
      </c>
      <c r="Q16" s="59">
        <f>(8*'MATERIALES (2)'!$C$125)+(8*'MATERIALES (2)'!$C$126)+(1*'MATERIALES (2)'!$C$141)+(4*'MATERIALES (2)'!$C$131)+(8*'MATERIALES (2)'!$C$133)+((8*4)*'MATERIALES (2)'!$C$134)+((O16*4)*'MATERIALES (2)'!$C$129)+(((N16*2)+(O16*4))*'MATERIALES (2)'!$C$130)+(4*'MATERIALES (2)'!$C$137)+(((N16*5)*2)*'MATERIALES (2)'!$C$136)+(4*'MATERIALES (2)'!$C$135)+(2*'MATERIALES (2)'!$C$133)+(2*'MATERIALES (2)'!$C$157)+(2*'MATERIALES (2)'!$C$134)+(10*'MATERIALES (2)'!$C$134)+(2*'MATERIALES (2)'!$C$127)</f>
        <v>6804</v>
      </c>
      <c r="R16" s="75"/>
      <c r="S16" s="55">
        <f>(N16*O16)*'MATERIALES (2)'!$D$85</f>
        <v>8880</v>
      </c>
      <c r="T16" s="59">
        <f t="shared" si="2"/>
        <v>89657.781000000003</v>
      </c>
      <c r="U16" s="67">
        <f t="shared" si="3"/>
        <v>169167.71605300877</v>
      </c>
    </row>
    <row r="17" spans="1:22" ht="15.75" hidden="1" thickBot="1">
      <c r="A17" s="42">
        <v>1</v>
      </c>
      <c r="B17" s="37">
        <v>1.5</v>
      </c>
      <c r="C17" s="38">
        <f>((((A17*2)+(B17*2))*'MATERIALES (2)'!$C$5)+((A17*2)*'MATERIALES (2)'!$C$6)+((B17*2)*'MATERIALES (2)'!$C$7)+((B17*2)*'MATERIALES (2)'!$C$8))*'MATERIALES (2)'!$F$1</f>
        <v>68936.017500000002</v>
      </c>
      <c r="D17" s="38">
        <f>(8*'MATERIALES (2)'!$C$125)+(8*'MATERIALES (2)'!$C$126)+(1*'MATERIALES (2)'!$C$141)+(4*'MATERIALES (2)'!$C$131)+(8*'MATERIALES (2)'!$C$133)+((8*4)*'MATERIALES (2)'!$C$134)+((B17*4)*'MATERIALES (2)'!$C$129)+(((A17*2)+(B17*4))*'MATERIALES (2)'!$C$130)+(2*'MATERIALES (2)'!$C$127)+(4*'MATERIALES (2)'!$C$137)+(((A17*5)*2)*'MATERIALES (2)'!$C$136)+(4*'MATERIALES (2)'!$C$135)</f>
        <v>6834</v>
      </c>
      <c r="E17" s="75"/>
      <c r="F17" s="39">
        <f>(A17*B17)*'MATERIALES (2)'!$D$85</f>
        <v>11100</v>
      </c>
      <c r="G17" s="38">
        <f t="shared" si="0"/>
        <v>86870.017500000002</v>
      </c>
      <c r="H17" s="49">
        <f t="shared" si="4"/>
        <v>166072.13675384066</v>
      </c>
      <c r="K17" s="385">
        <f t="shared" si="1"/>
        <v>33186.463552068744</v>
      </c>
      <c r="N17" s="68">
        <v>1</v>
      </c>
      <c r="O17" s="69">
        <v>1.5</v>
      </c>
      <c r="P17" s="59">
        <f>((((N17*2)+(O17*2))*'MATERIALES (2)'!$C$5)+((N17*2)*'MATERIALES (2)'!$C$6)+((O17*2)*'MATERIALES (2)'!$C$7)+((O17*2)*'MATERIALES (2)'!$C$8)+((2*O17)*'MATERIALES (2)'!$C$20)+(O17*'MATERIALES (2)'!$C$21))*'MATERIALES (2)'!$F$1</f>
        <v>86913.382500000007</v>
      </c>
      <c r="Q17" s="59">
        <f>(8*'MATERIALES (2)'!$C$125)+(8*'MATERIALES (2)'!$C$126)+(1*'MATERIALES (2)'!$C$141)+(4*'MATERIALES (2)'!$C$131)+(8*'MATERIALES (2)'!$C$133)+((8*4)*'MATERIALES (2)'!$C$134)+((O17*4)*'MATERIALES (2)'!$C$129)+(((N17*2)+(O17*4))*'MATERIALES (2)'!$C$130)+(4*'MATERIALES (2)'!$C$137)+(((N17*5)*2)*'MATERIALES (2)'!$C$136)+(4*'MATERIALES (2)'!$C$135)+(2*'MATERIALES (2)'!$C$133)+(2*'MATERIALES (2)'!$C$157)+(2*'MATERIALES (2)'!$C$134)+(10*'MATERIALES (2)'!$C$134)+(2*'MATERIALES (2)'!$C$127)</f>
        <v>7284</v>
      </c>
      <c r="R17" s="75"/>
      <c r="S17" s="55">
        <f>(N17*O17)*'MATERIALES (2)'!$D$85</f>
        <v>11100</v>
      </c>
      <c r="T17" s="59">
        <f t="shared" si="2"/>
        <v>105297.38250000001</v>
      </c>
      <c r="U17" s="67">
        <f t="shared" si="3"/>
        <v>199258.60030590941</v>
      </c>
    </row>
    <row r="18" spans="1:22" ht="15.75" hidden="1" thickBot="1">
      <c r="A18" s="42">
        <v>1.2</v>
      </c>
      <c r="B18" s="37">
        <v>0.4</v>
      </c>
      <c r="C18" s="38">
        <f>((((A18*2)+(B18*2))*'MATERIALES (2)'!$C$5)+((A18*2)*'MATERIALES (2)'!$C$6)+((B18*2)*'MATERIALES (2)'!$C$7)+((B18*2)*'MATERIALES (2)'!$C$8))*'MATERIALES (2)'!$F$1</f>
        <v>39117.288</v>
      </c>
      <c r="D18" s="38">
        <f>(8*'MATERIALES (2)'!$C$125)+(8*'MATERIALES (2)'!$C$126)+(1*'MATERIALES (2)'!$C$141)+(4*'MATERIALES (2)'!$C$131)+(8*'MATERIALES (2)'!$C$133)+((8*4)*'MATERIALES (2)'!$C$134)+((B18*4)*'MATERIALES (2)'!$C$129)+(((A18*2)+(B18*4))*'MATERIALES (2)'!$C$130)+(2*'MATERIALES (2)'!$C$127)+(4*'MATERIALES (2)'!$C$137)+(((A18*5)*2)*'MATERIALES (2)'!$C$136)+(4*'MATERIALES (2)'!$C$135)</f>
        <v>5170</v>
      </c>
      <c r="E18" s="75"/>
      <c r="F18" s="39">
        <f>(A18*B18)*'MATERIALES (2)'!$D$85</f>
        <v>3552</v>
      </c>
      <c r="G18" s="38">
        <f t="shared" si="0"/>
        <v>47839.288</v>
      </c>
      <c r="H18" s="49">
        <f t="shared" si="4"/>
        <v>89235.385255169997</v>
      </c>
      <c r="K18" s="385">
        <f t="shared" si="1"/>
        <v>9444.0317513850314</v>
      </c>
      <c r="N18" s="68">
        <v>1.2</v>
      </c>
      <c r="O18" s="69">
        <v>0.4</v>
      </c>
      <c r="P18" s="59">
        <f>((((N18*2)+(O18*2))*'MATERIALES (2)'!$C$5)+((N18*2)*'MATERIALES (2)'!$C$6)+((O18*2)*'MATERIALES (2)'!$C$7)+((O18*2)*'MATERIALES (2)'!$C$8)+((2*O18)*'MATERIALES (2)'!$C$20)+(O18*'MATERIALES (2)'!$C$21))*'MATERIALES (2)'!$F$1</f>
        <v>43911.252000000008</v>
      </c>
      <c r="Q18" s="59">
        <f>(8*'MATERIALES (2)'!$C$125)+(8*'MATERIALES (2)'!$C$126)+(1*'MATERIALES (2)'!$C$141)+(4*'MATERIALES (2)'!$C$131)+(8*'MATERIALES (2)'!$C$133)+((8*4)*'MATERIALES (2)'!$C$134)+((O18*4)*'MATERIALES (2)'!$C$129)+(((N18*2)+(O18*4))*'MATERIALES (2)'!$C$130)+(4*'MATERIALES (2)'!$C$137)+(((N18*5)*2)*'MATERIALES (2)'!$C$136)+(4*'MATERIALES (2)'!$C$135)+(2*'MATERIALES (2)'!$C$133)+(2*'MATERIALES (2)'!$C$157)+(2*'MATERIALES (2)'!$C$134)+(10*'MATERIALES (2)'!$C$134)+(2*'MATERIALES (2)'!$C$127)</f>
        <v>5620</v>
      </c>
      <c r="R18" s="75"/>
      <c r="S18" s="55">
        <f>(N18*O18)*'MATERIALES (2)'!$D$85</f>
        <v>3552</v>
      </c>
      <c r="T18" s="59">
        <f t="shared" si="2"/>
        <v>53083.252000000008</v>
      </c>
      <c r="U18" s="67">
        <f t="shared" si="3"/>
        <v>98679.417006555028</v>
      </c>
    </row>
    <row r="19" spans="1:22" ht="15.75" hidden="1" thickBot="1">
      <c r="A19" s="42">
        <v>1.2</v>
      </c>
      <c r="B19" s="37">
        <v>0.6</v>
      </c>
      <c r="C19" s="38">
        <f>((((A19*2)+(B19*2))*'MATERIALES (2)'!$C$5)+((A19*2)*'MATERIALES (2)'!$C$6)+((B19*2)*'MATERIALES (2)'!$C$7)+((B19*2)*'MATERIALES (2)'!$C$8))*'MATERIALES (2)'!$F$1</f>
        <v>45346.706999999995</v>
      </c>
      <c r="D19" s="38">
        <f>(8*'MATERIALES (2)'!$C$125)+(8*'MATERIALES (2)'!$C$126)+(1*'MATERIALES (2)'!$C$141)+(4*'MATERIALES (2)'!$C$131)+(8*'MATERIALES (2)'!$C$133)+((8*4)*'MATERIALES (2)'!$C$134)+((B19*4)*'MATERIALES (2)'!$C$129)+(((A19*2)+(B19*4))*'MATERIALES (2)'!$C$130)+(2*'MATERIALES (2)'!$C$127)+(4*'MATERIALES (2)'!$C$137)+(((A19*5)*2)*'MATERIALES (2)'!$C$136)+(4*'MATERIALES (2)'!$C$135)</f>
        <v>5490</v>
      </c>
      <c r="E19" s="75"/>
      <c r="F19" s="39">
        <f>(A19*B19)*'MATERIALES (2)'!$D$85</f>
        <v>5328</v>
      </c>
      <c r="G19" s="38">
        <f t="shared" si="0"/>
        <v>56164.706999999995</v>
      </c>
      <c r="H19" s="49">
        <f t="shared" si="4"/>
        <v>105768.91177516124</v>
      </c>
      <c r="K19" s="385">
        <f t="shared" si="1"/>
        <v>13760.837533327489</v>
      </c>
      <c r="N19" s="68">
        <v>1.2</v>
      </c>
      <c r="O19" s="69">
        <v>0.6</v>
      </c>
      <c r="P19" s="59">
        <f>((((N19*2)+(O19*2))*'MATERIALES (2)'!$C$5)+((N19*2)*'MATERIALES (2)'!$C$6)+((O19*2)*'MATERIALES (2)'!$C$7)+((O19*2)*'MATERIALES (2)'!$C$8)+((2*O19)*'MATERIALES (2)'!$C$20)+(O19*'MATERIALES (2)'!$C$21))*'MATERIALES (2)'!$F$1</f>
        <v>52537.652999999991</v>
      </c>
      <c r="Q19" s="59">
        <f>(8*'MATERIALES (2)'!$C$125)+(8*'MATERIALES (2)'!$C$126)+(1*'MATERIALES (2)'!$C$141)+(4*'MATERIALES (2)'!$C$131)+(8*'MATERIALES (2)'!$C$133)+((8*4)*'MATERIALES (2)'!$C$134)+((O19*4)*'MATERIALES (2)'!$C$129)+(((N19*2)+(O19*4))*'MATERIALES (2)'!$C$130)+(4*'MATERIALES (2)'!$C$137)+(((N19*5)*2)*'MATERIALES (2)'!$C$136)+(4*'MATERIALES (2)'!$C$135)+(2*'MATERIALES (2)'!$C$133)+(2*'MATERIALES (2)'!$C$157)+(2*'MATERIALES (2)'!$C$134)+(10*'MATERIALES (2)'!$C$134)+(2*'MATERIALES (2)'!$C$127)</f>
        <v>5940</v>
      </c>
      <c r="R19" s="75"/>
      <c r="S19" s="55">
        <f>(N19*O19)*'MATERIALES (2)'!$D$85</f>
        <v>5328</v>
      </c>
      <c r="T19" s="59">
        <f t="shared" si="2"/>
        <v>63805.652999999991</v>
      </c>
      <c r="U19" s="67">
        <f t="shared" si="3"/>
        <v>119529.74930848872</v>
      </c>
    </row>
    <row r="20" spans="1:22" ht="15.75" hidden="1" thickBot="1">
      <c r="A20" s="42">
        <v>1.2</v>
      </c>
      <c r="B20" s="37">
        <v>0.8</v>
      </c>
      <c r="C20" s="38">
        <f>((((A20*2)+(B20*2))*'MATERIALES (2)'!$C$5)+((A20*2)*'MATERIALES (2)'!$C$6)+((B20*2)*'MATERIALES (2)'!$C$7)+((B20*2)*'MATERIALES (2)'!$C$8))*'MATERIALES (2)'!$F$1</f>
        <v>51576.125999999997</v>
      </c>
      <c r="D20" s="38">
        <f>(8*'MATERIALES (2)'!$C$125)+(8*'MATERIALES (2)'!$C$126)+(1*'MATERIALES (2)'!$C$141)+(4*'MATERIALES (2)'!$C$131)+(8*'MATERIALES (2)'!$C$133)+((8*4)*'MATERIALES (2)'!$C$134)+((B20*4)*'MATERIALES (2)'!$C$129)+(((A20*2)+(B20*4))*'MATERIALES (2)'!$C$130)+(2*'MATERIALES (2)'!$C$127)+(4*'MATERIALES (2)'!$C$137)+(((A20*5)*2)*'MATERIALES (2)'!$C$136)+(4*'MATERIALES (2)'!$C$135)</f>
        <v>5810</v>
      </c>
      <c r="E20" s="75"/>
      <c r="F20" s="39">
        <f>(A20*B20)*'MATERIALES (2)'!$D$85</f>
        <v>7104</v>
      </c>
      <c r="G20" s="38">
        <f t="shared" si="0"/>
        <v>64490.125999999997</v>
      </c>
      <c r="H20" s="49">
        <f t="shared" si="4"/>
        <v>122302.4382951525</v>
      </c>
      <c r="K20" s="385">
        <f t="shared" si="1"/>
        <v>18077.643315270019</v>
      </c>
      <c r="N20" s="68">
        <v>1.2</v>
      </c>
      <c r="O20" s="69">
        <v>0.8</v>
      </c>
      <c r="P20" s="59">
        <f>((((N20*2)+(O20*2))*'MATERIALES (2)'!$C$5)+((N20*2)*'MATERIALES (2)'!$C$6)+((O20*2)*'MATERIALES (2)'!$C$7)+((O20*2)*'MATERIALES (2)'!$C$8)+((2*O20)*'MATERIALES (2)'!$C$20)+(O20*'MATERIALES (2)'!$C$21))*'MATERIALES (2)'!$F$1</f>
        <v>61164.054000000004</v>
      </c>
      <c r="Q20" s="59">
        <f>(8*'MATERIALES (2)'!$C$125)+(8*'MATERIALES (2)'!$C$126)+(1*'MATERIALES (2)'!$C$141)+(4*'MATERIALES (2)'!$C$131)+(8*'MATERIALES (2)'!$C$133)+((8*4)*'MATERIALES (2)'!$C$134)+((O20*4)*'MATERIALES (2)'!$C$129)+(((N20*2)+(O20*4))*'MATERIALES (2)'!$C$130)+(4*'MATERIALES (2)'!$C$137)+(((N20*5)*2)*'MATERIALES (2)'!$C$136)+(4*'MATERIALES (2)'!$C$135)+(2*'MATERIALES (2)'!$C$133)+(2*'MATERIALES (2)'!$C$157)+(2*'MATERIALES (2)'!$C$134)+(10*'MATERIALES (2)'!$C$134)+(2*'MATERIALES (2)'!$C$127)</f>
        <v>6260</v>
      </c>
      <c r="R20" s="75"/>
      <c r="S20" s="55">
        <f>(N20*O20)*'MATERIALES (2)'!$D$85</f>
        <v>7104</v>
      </c>
      <c r="T20" s="59">
        <f t="shared" si="2"/>
        <v>74528.054000000004</v>
      </c>
      <c r="U20" s="67">
        <f t="shared" si="3"/>
        <v>140380.08161042252</v>
      </c>
    </row>
    <row r="21" spans="1:22" ht="15.75" hidden="1" thickBot="1">
      <c r="A21" s="42">
        <v>1.2</v>
      </c>
      <c r="B21" s="37">
        <v>1</v>
      </c>
      <c r="C21" s="38">
        <f>((((A21*2)+(B21*2))*'MATERIALES (2)'!$C$5)+((A21*2)*'MATERIALES (2)'!$C$6)+((B21*2)*'MATERIALES (2)'!$C$7)+((B21*2)*'MATERIALES (2)'!$C$8))*'MATERIALES (2)'!$F$1</f>
        <v>57805.544999999998</v>
      </c>
      <c r="D21" s="38">
        <f>(8*'MATERIALES (2)'!$C$125)+(8*'MATERIALES (2)'!$C$126)+(1*'MATERIALES (2)'!$C$141)+(4*'MATERIALES (2)'!$C$131)+(8*'MATERIALES (2)'!$C$133)+((8*4)*'MATERIALES (2)'!$C$134)+((B21*4)*'MATERIALES (2)'!$C$129)+(((A21*2)+(B21*4))*'MATERIALES (2)'!$C$130)+(2*'MATERIALES (2)'!$C$127)+(4*'MATERIALES (2)'!$C$137)+(((A21*5)*2)*'MATERIALES (2)'!$C$136)+(4*'MATERIALES (2)'!$C$135)</f>
        <v>6130</v>
      </c>
      <c r="E21" s="75"/>
      <c r="F21" s="39">
        <f>(A21*B21)*'MATERIALES (2)'!$D$85</f>
        <v>8880</v>
      </c>
      <c r="G21" s="38">
        <f t="shared" si="0"/>
        <v>72815.544999999998</v>
      </c>
      <c r="H21" s="49">
        <f t="shared" si="4"/>
        <v>138835.96481514379</v>
      </c>
      <c r="K21" s="385">
        <f t="shared" si="1"/>
        <v>22394.449097212433</v>
      </c>
      <c r="N21" s="68">
        <v>1.2</v>
      </c>
      <c r="O21" s="69">
        <v>1</v>
      </c>
      <c r="P21" s="59">
        <f>((((N21*2)+(O21*2))*'MATERIALES (2)'!$C$5)+((N21*2)*'MATERIALES (2)'!$C$6)+((O21*2)*'MATERIALES (2)'!$C$7)+((O21*2)*'MATERIALES (2)'!$C$8)+((2*O21)*'MATERIALES (2)'!$C$20)+(O21*'MATERIALES (2)'!$C$21))*'MATERIALES (2)'!$F$1</f>
        <v>69790.454999999987</v>
      </c>
      <c r="Q21" s="59">
        <f>(8*'MATERIALES (2)'!$C$125)+(8*'MATERIALES (2)'!$C$126)+(1*'MATERIALES (2)'!$C$141)+(4*'MATERIALES (2)'!$C$131)+(8*'MATERIALES (2)'!$C$133)+((8*4)*'MATERIALES (2)'!$C$134)+((O21*4)*'MATERIALES (2)'!$C$129)+(((N21*2)+(O21*4))*'MATERIALES (2)'!$C$130)+(4*'MATERIALES (2)'!$C$137)+(((N21*5)*2)*'MATERIALES (2)'!$C$136)+(4*'MATERIALES (2)'!$C$135)+(2*'MATERIALES (2)'!$C$133)+(2*'MATERIALES (2)'!$C$157)+(2*'MATERIALES (2)'!$C$134)+(10*'MATERIALES (2)'!$C$134)+(2*'MATERIALES (2)'!$C$127)</f>
        <v>6580</v>
      </c>
      <c r="R21" s="75"/>
      <c r="S21" s="55">
        <f>(N21*O21)*'MATERIALES (2)'!$D$85</f>
        <v>8880</v>
      </c>
      <c r="T21" s="59">
        <f t="shared" si="2"/>
        <v>85250.454999999987</v>
      </c>
      <c r="U21" s="67">
        <f t="shared" si="3"/>
        <v>161230.41391235622</v>
      </c>
    </row>
    <row r="22" spans="1:22" ht="15.75" hidden="1" thickBot="1">
      <c r="A22" s="42">
        <v>1.2</v>
      </c>
      <c r="B22" s="37">
        <v>1.1000000000000001</v>
      </c>
      <c r="C22" s="38">
        <f>((((A22*2)+(B22*2))*'MATERIALES (2)'!$C$5)+((A22*2)*'MATERIALES (2)'!$C$6)+((B22*2)*'MATERIALES (2)'!$C$7)+((B22*2)*'MATERIALES (2)'!$C$8))*'MATERIALES (2)'!$F$1</f>
        <v>60920.254499999995</v>
      </c>
      <c r="D22" s="38">
        <f>(8*'MATERIALES (2)'!$C$125)+(8*'MATERIALES (2)'!$C$126)+(1*'MATERIALES (2)'!$C$141)+(4*'MATERIALES (2)'!$C$131)+(8*'MATERIALES (2)'!$C$133)+((8*4)*'MATERIALES (2)'!$C$134)+((B22*4)*'MATERIALES (2)'!$C$129)+(((A22*2)+(B22*4))*'MATERIALES (2)'!$C$130)+(2*'MATERIALES (2)'!$C$127)+(4*'MATERIALES (2)'!$C$137)+(((A22*5)*2)*'MATERIALES (2)'!$C$136)+(4*'MATERIALES (2)'!$C$135)</f>
        <v>6290</v>
      </c>
      <c r="E22" s="75"/>
      <c r="F22" s="39">
        <f>(A22*B22)*'MATERIALES (2)'!$D$85</f>
        <v>9768</v>
      </c>
      <c r="G22" s="38">
        <f t="shared" si="0"/>
        <v>76978.254499999995</v>
      </c>
      <c r="H22" s="49">
        <f t="shared" si="4"/>
        <v>147102.7280751394</v>
      </c>
      <c r="K22" s="385">
        <f t="shared" si="1"/>
        <v>24552.851988183742</v>
      </c>
      <c r="N22" s="68">
        <v>1.2</v>
      </c>
      <c r="O22" s="69">
        <v>1.1000000000000001</v>
      </c>
      <c r="P22" s="59">
        <f>((((N22*2)+(O22*2))*'MATERIALES (2)'!$C$5)+((N22*2)*'MATERIALES (2)'!$C$6)+((O22*2)*'MATERIALES (2)'!$C$7)+((O22*2)*'MATERIALES (2)'!$C$8)+((2*O22)*'MATERIALES (2)'!$C$20)+(O22*'MATERIALES (2)'!$C$21))*'MATERIALES (2)'!$F$1</f>
        <v>74103.655499999993</v>
      </c>
      <c r="Q22" s="59">
        <f>(8*'MATERIALES (2)'!$C$125)+(8*'MATERIALES (2)'!$C$126)+(1*'MATERIALES (2)'!$C$141)+(4*'MATERIALES (2)'!$C$131)+(8*'MATERIALES (2)'!$C$133)+((8*4)*'MATERIALES (2)'!$C$134)+((O22*4)*'MATERIALES (2)'!$C$129)+(((N22*2)+(O22*4))*'MATERIALES (2)'!$C$130)+(4*'MATERIALES (2)'!$C$137)+(((N22*5)*2)*'MATERIALES (2)'!$C$136)+(4*'MATERIALES (2)'!$C$135)+(2*'MATERIALES (2)'!$C$133)+(2*'MATERIALES (2)'!$C$157)+(2*'MATERIALES (2)'!$C$134)+(10*'MATERIALES (2)'!$C$134)+(2*'MATERIALES (2)'!$C$127)</f>
        <v>6740</v>
      </c>
      <c r="R22" s="75"/>
      <c r="S22" s="55">
        <f>(N22*O22)*'MATERIALES (2)'!$D$85</f>
        <v>9768</v>
      </c>
      <c r="T22" s="59">
        <f t="shared" si="2"/>
        <v>90611.655499999993</v>
      </c>
      <c r="U22" s="67">
        <f t="shared" si="3"/>
        <v>171655.58006332314</v>
      </c>
    </row>
    <row r="23" spans="1:22" ht="15.75" hidden="1" thickBot="1">
      <c r="A23" s="42">
        <v>1.2</v>
      </c>
      <c r="B23" s="37">
        <v>1.2</v>
      </c>
      <c r="C23" s="38">
        <f>((((A23*2)+(B23*2))*'MATERIALES (2)'!$C$5)+((A23*2)*'MATERIALES (2)'!$C$6)+((B23*2)*'MATERIALES (2)'!$C$7)+((B23*2)*'MATERIALES (2)'!$C$8))*'MATERIALES (2)'!$F$1</f>
        <v>64034.963999999993</v>
      </c>
      <c r="D23" s="38">
        <f>(8*'MATERIALES (2)'!$C$125)+(8*'MATERIALES (2)'!$C$126)+(1*'MATERIALES (2)'!$C$141)+(4*'MATERIALES (2)'!$C$131)+(8*'MATERIALES (2)'!$C$133)+((8*4)*'MATERIALES (2)'!$C$134)+((B23*4)*'MATERIALES (2)'!$C$129)+(((A23*2)+(B23*4))*'MATERIALES (2)'!$C$130)+(2*'MATERIALES (2)'!$C$127)+(4*'MATERIALES (2)'!$C$137)+(((A23*5)*2)*'MATERIALES (2)'!$C$136)+(4*'MATERIALES (2)'!$C$135)</f>
        <v>6450</v>
      </c>
      <c r="E23" s="75"/>
      <c r="F23" s="39">
        <f>(A23*B23)*'MATERIALES (2)'!$D$85</f>
        <v>10656</v>
      </c>
      <c r="G23" s="38">
        <f t="shared" si="0"/>
        <v>81140.963999999993</v>
      </c>
      <c r="H23" s="49">
        <f t="shared" si="4"/>
        <v>155369.49133513498</v>
      </c>
      <c r="K23" s="385">
        <f t="shared" si="1"/>
        <v>26711.254879154993</v>
      </c>
      <c r="N23" s="68">
        <v>1.2</v>
      </c>
      <c r="O23" s="69">
        <v>1.2</v>
      </c>
      <c r="P23" s="59">
        <f>((((N23*2)+(O23*2))*'MATERIALES (2)'!$C$5)+((N23*2)*'MATERIALES (2)'!$C$6)+((O23*2)*'MATERIALES (2)'!$C$7)+((O23*2)*'MATERIALES (2)'!$C$8)+((2*O23)*'MATERIALES (2)'!$C$20)+(O23*'MATERIALES (2)'!$C$21))*'MATERIALES (2)'!$F$1</f>
        <v>78416.855999999985</v>
      </c>
      <c r="Q23" s="59">
        <f>(8*'MATERIALES (2)'!$C$125)+(8*'MATERIALES (2)'!$C$126)+(1*'MATERIALES (2)'!$C$141)+(4*'MATERIALES (2)'!$C$131)+(8*'MATERIALES (2)'!$C$133)+((8*4)*'MATERIALES (2)'!$C$134)+((O23*4)*'MATERIALES (2)'!$C$129)+(((N23*2)+(O23*4))*'MATERIALES (2)'!$C$130)+(4*'MATERIALES (2)'!$C$137)+(((N23*5)*2)*'MATERIALES (2)'!$C$136)+(4*'MATERIALES (2)'!$C$135)+(2*'MATERIALES (2)'!$C$133)+(2*'MATERIALES (2)'!$C$157)+(2*'MATERIALES (2)'!$C$134)+(10*'MATERIALES (2)'!$C$134)+(2*'MATERIALES (2)'!$C$127)</f>
        <v>6900</v>
      </c>
      <c r="R23" s="75"/>
      <c r="S23" s="55">
        <f>(N23*O23)*'MATERIALES (2)'!$D$85</f>
        <v>10656</v>
      </c>
      <c r="T23" s="59">
        <f t="shared" si="2"/>
        <v>95972.855999999985</v>
      </c>
      <c r="U23" s="67">
        <f t="shared" si="3"/>
        <v>182080.74621428997</v>
      </c>
    </row>
    <row r="24" spans="1:22" ht="15.75" hidden="1" thickBot="1">
      <c r="A24" s="42">
        <v>1.2</v>
      </c>
      <c r="B24" s="37">
        <v>1.5</v>
      </c>
      <c r="C24" s="38">
        <f>((((A24*2)+(B24*2))*'MATERIALES (2)'!$C$5)+((A24*2)*'MATERIALES (2)'!$C$6)+((B24*2)*'MATERIALES (2)'!$C$7)+((B24*2)*'MATERIALES (2)'!$C$8))*'MATERIALES (2)'!$F$1</f>
        <v>73379.092499999999</v>
      </c>
      <c r="D24" s="38">
        <f>(8*'MATERIALES (2)'!$C$125)+(8*'MATERIALES (2)'!$C$126)+(1*'MATERIALES (2)'!$C$141)+(4*'MATERIALES (2)'!$C$131)+(8*'MATERIALES (2)'!$C$133)+((8*4)*'MATERIALES (2)'!$C$134)+((B24*4)*'MATERIALES (2)'!$C$129)+(((A24*2)+(B24*4))*'MATERIALES (2)'!$C$130)+(2*'MATERIALES (2)'!$C$127)+(4*'MATERIALES (2)'!$C$137)+(((A24*5)*2)*'MATERIALES (2)'!$C$136)+(4*'MATERIALES (2)'!$C$135)</f>
        <v>6930</v>
      </c>
      <c r="E24" s="75"/>
      <c r="F24" s="39">
        <f>(A24*B24)*'MATERIALES (2)'!$D$85</f>
        <v>13319.999999999998</v>
      </c>
      <c r="G24" s="38">
        <f t="shared" si="0"/>
        <v>93629.092499999999</v>
      </c>
      <c r="H24" s="49">
        <f t="shared" si="4"/>
        <v>180169.78111512188</v>
      </c>
      <c r="K24" s="385">
        <f t="shared" si="1"/>
        <v>33186.463552068803</v>
      </c>
      <c r="N24" s="68">
        <v>1.2</v>
      </c>
      <c r="O24" s="69">
        <v>1.5</v>
      </c>
      <c r="P24" s="59">
        <f>((((N24*2)+(O24*2))*'MATERIALES (2)'!$C$5)+((N24*2)*'MATERIALES (2)'!$C$6)+((O24*2)*'MATERIALES (2)'!$C$7)+((O24*2)*'MATERIALES (2)'!$C$8)+((2*O24)*'MATERIALES (2)'!$C$20)+(O24*'MATERIALES (2)'!$C$21))*'MATERIALES (2)'!$F$1</f>
        <v>91356.457500000004</v>
      </c>
      <c r="Q24" s="59">
        <f>(8*'MATERIALES (2)'!$C$125)+(8*'MATERIALES (2)'!$C$126)+(1*'MATERIALES (2)'!$C$141)+(4*'MATERIALES (2)'!$C$131)+(8*'MATERIALES (2)'!$C$133)+((8*4)*'MATERIALES (2)'!$C$134)+((O24*4)*'MATERIALES (2)'!$C$129)+(((N24*2)+(O24*4))*'MATERIALES (2)'!$C$130)+(4*'MATERIALES (2)'!$C$137)+(((N24*5)*2)*'MATERIALES (2)'!$C$136)+(4*'MATERIALES (2)'!$C$135)+(2*'MATERIALES (2)'!$C$133)+(2*'MATERIALES (2)'!$C$157)+(2*'MATERIALES (2)'!$C$134)+(10*'MATERIALES (2)'!$C$134)+(2*'MATERIALES (2)'!$C$127)</f>
        <v>7380</v>
      </c>
      <c r="R24" s="75"/>
      <c r="S24" s="55">
        <f>(N24*O24)*'MATERIALES (2)'!$D$85</f>
        <v>13319.999999999998</v>
      </c>
      <c r="T24" s="59">
        <f t="shared" si="2"/>
        <v>112056.4575</v>
      </c>
      <c r="U24" s="67">
        <f t="shared" si="3"/>
        <v>213356.24466719068</v>
      </c>
    </row>
    <row r="25" spans="1:22" ht="15.75" hidden="1" thickBot="1">
      <c r="A25" s="42">
        <v>1.2</v>
      </c>
      <c r="B25" s="37">
        <v>1.8</v>
      </c>
      <c r="C25" s="38">
        <f>((((A25*2)+(B25*2))*'MATERIALES (2)'!$C$5)+((A25*2)*'MATERIALES (2)'!$C$6)+((B25*2)*'MATERIALES (2)'!$C$7)+((B25*2)*'MATERIALES (2)'!$C$8))*'MATERIALES (2)'!$F$1</f>
        <v>82723.22099999999</v>
      </c>
      <c r="D25" s="38">
        <f>(8*'MATERIALES (2)'!$C$125)+(8*'MATERIALES (2)'!$C$126)+(1*'MATERIALES (2)'!$C$141)+(4*'MATERIALES (2)'!$C$131)+(8*'MATERIALES (2)'!$C$133)+((8*4)*'MATERIALES (2)'!$C$134)+((B25*4)*'MATERIALES (2)'!$C$129)+(((A25*2)+(B25*4))*'MATERIALES (2)'!$C$130)+(2*'MATERIALES (2)'!$C$127)+(4*'MATERIALES (2)'!$C$137)+(((A25*5)*2)*'MATERIALES (2)'!$C$136)+(4*'MATERIALES (2)'!$C$135)</f>
        <v>7410</v>
      </c>
      <c r="E25" s="75"/>
      <c r="F25" s="39">
        <f>(A25*B25)*'MATERIALES (2)'!$D$85</f>
        <v>15984.000000000002</v>
      </c>
      <c r="G25" s="38">
        <f t="shared" si="0"/>
        <v>106117.22099999999</v>
      </c>
      <c r="H25" s="49">
        <f t="shared" si="4"/>
        <v>204970.07089510877</v>
      </c>
      <c r="K25" s="385">
        <f t="shared" si="1"/>
        <v>39661.672224982496</v>
      </c>
      <c r="N25" s="68">
        <v>1.2</v>
      </c>
      <c r="O25" s="69">
        <v>1.8</v>
      </c>
      <c r="P25" s="59">
        <f>((((N25*2)+(O25*2))*'MATERIALES (2)'!$C$5)+((N25*2)*'MATERIALES (2)'!$C$6)+((O25*2)*'MATERIALES (2)'!$C$7)+((O25*2)*'MATERIALES (2)'!$C$8)+((2*O25)*'MATERIALES (2)'!$C$20)+(O25*'MATERIALES (2)'!$C$21))*'MATERIALES (2)'!$F$1</f>
        <v>104296.05899999999</v>
      </c>
      <c r="Q25" s="59">
        <f>(8*'MATERIALES (2)'!$C$125)+(8*'MATERIALES (2)'!$C$126)+(1*'MATERIALES (2)'!$C$141)+(4*'MATERIALES (2)'!$C$131)+(8*'MATERIALES (2)'!$C$133)+((8*4)*'MATERIALES (2)'!$C$134)+((O25*4)*'MATERIALES (2)'!$C$129)+(((N25*2)+(O25*4))*'MATERIALES (2)'!$C$130)+(4*'MATERIALES (2)'!$C$137)+(((N25*5)*2)*'MATERIALES (2)'!$C$136)+(4*'MATERIALES (2)'!$C$135)+(2*'MATERIALES (2)'!$C$133)+(2*'MATERIALES (2)'!$C$157)+(2*'MATERIALES (2)'!$C$134)+(10*'MATERIALES (2)'!$C$134)+(2*'MATERIALES (2)'!$C$127)</f>
        <v>7860</v>
      </c>
      <c r="R25" s="75"/>
      <c r="S25" s="55">
        <f>(N25*O25)*'MATERIALES (2)'!$D$85</f>
        <v>15984.000000000002</v>
      </c>
      <c r="T25" s="59">
        <f t="shared" si="2"/>
        <v>128140.05899999999</v>
      </c>
      <c r="U25" s="67">
        <f t="shared" si="3"/>
        <v>244631.74312009127</v>
      </c>
    </row>
    <row r="26" spans="1:22" ht="15.75" hidden="1" thickBot="1">
      <c r="A26" s="42">
        <v>1.5</v>
      </c>
      <c r="B26" s="37">
        <v>0.4</v>
      </c>
      <c r="C26" s="38">
        <f>((((A26*2)+(B26*2))*'MATERIALES (2)'!$C$5)+((A26*2)*'MATERIALES (2)'!$C$6)+((B26*2)*'MATERIALES (2)'!$C$7)+((B26*2)*'MATERIALES (2)'!$C$8))*'MATERIALES (2)'!$F$1</f>
        <v>45781.900499999989</v>
      </c>
      <c r="D26" s="38">
        <f>(8*'MATERIALES (2)'!$C$125)+(8*'MATERIALES (2)'!$C$126)+(1*'MATERIALES (2)'!$C$141)+(4*'MATERIALES (2)'!$C$131)+(8*'MATERIALES (2)'!$C$133)+((8*4)*'MATERIALES (2)'!$C$134)+((B26*4)*'MATERIALES (2)'!$C$129)+(((A26*2)+(B26*4))*'MATERIALES (2)'!$C$130)+(2*'MATERIALES (2)'!$C$127)+(4*'MATERIALES (2)'!$C$137)+(((A26*5)*2)*'MATERIALES (2)'!$C$136)+(4*'MATERIALES (2)'!$C$135)</f>
        <v>5314</v>
      </c>
      <c r="E26" s="75"/>
      <c r="F26" s="39">
        <f>(A26*B26)*'MATERIALES (2)'!$D$85</f>
        <v>4440.0000000000009</v>
      </c>
      <c r="G26" s="38">
        <f t="shared" si="0"/>
        <v>55535.900499999989</v>
      </c>
      <c r="H26" s="49">
        <f t="shared" si="4"/>
        <v>103866.47369709187</v>
      </c>
      <c r="K26" s="385">
        <f t="shared" si="1"/>
        <v>9444.0317513849877</v>
      </c>
      <c r="N26" s="68">
        <v>1.5</v>
      </c>
      <c r="O26" s="69">
        <v>0.4</v>
      </c>
      <c r="P26" s="59">
        <f>((((N26*2)+(O26*2))*'MATERIALES (2)'!$C$5)+((N26*2)*'MATERIALES (2)'!$C$6)+((O26*2)*'MATERIALES (2)'!$C$7)+((O26*2)*'MATERIALES (2)'!$C$8)+((2*O26)*'MATERIALES (2)'!$C$20)+(O26*'MATERIALES (2)'!$C$21))*'MATERIALES (2)'!$F$1</f>
        <v>50575.864499999989</v>
      </c>
      <c r="Q26" s="59">
        <f>(8*'MATERIALES (2)'!$C$125)+(8*'MATERIALES (2)'!$C$126)+(1*'MATERIALES (2)'!$C$141)+(4*'MATERIALES (2)'!$C$131)+(8*'MATERIALES (2)'!$C$133)+((8*4)*'MATERIALES (2)'!$C$134)+((O26*4)*'MATERIALES (2)'!$C$129)+(((N26*2)+(O26*4))*'MATERIALES (2)'!$C$130)+(4*'MATERIALES (2)'!$C$137)+(((N26*5)*2)*'MATERIALES (2)'!$C$136)+(4*'MATERIALES (2)'!$C$135)+(2*'MATERIALES (2)'!$C$133)+(2*'MATERIALES (2)'!$C$157)+(2*'MATERIALES (2)'!$C$134)+(10*'MATERIALES (2)'!$C$134)+(2*'MATERIALES (2)'!$C$127)</f>
        <v>5764</v>
      </c>
      <c r="R26" s="75"/>
      <c r="S26" s="55">
        <f>(N26*O26)*'MATERIALES (2)'!$D$85</f>
        <v>4440.0000000000009</v>
      </c>
      <c r="T26" s="59">
        <f t="shared" si="2"/>
        <v>60779.864499999989</v>
      </c>
      <c r="U26" s="67">
        <f t="shared" si="3"/>
        <v>113310.50544847686</v>
      </c>
    </row>
    <row r="27" spans="1:22" ht="15.75" hidden="1" thickBot="1">
      <c r="A27" s="42">
        <v>1.5</v>
      </c>
      <c r="B27" s="37">
        <v>0.6</v>
      </c>
      <c r="C27" s="38">
        <f>((((A27*2)+(B27*2))*'MATERIALES (2)'!$C$5)+((A27*2)*'MATERIALES (2)'!$C$6)+((B27*2)*'MATERIALES (2)'!$C$7)+((B27*2)*'MATERIALES (2)'!$C$8))*'MATERIALES (2)'!$F$1</f>
        <v>52011.319500000005</v>
      </c>
      <c r="D27" s="38">
        <f>(8*'MATERIALES (2)'!$C$125)+(8*'MATERIALES (2)'!$C$126)+(1*'MATERIALES (2)'!$C$141)+(4*'MATERIALES (2)'!$C$131)+(8*'MATERIALES (2)'!$C$133)+((8*4)*'MATERIALES (2)'!$C$134)+((B27*4)*'MATERIALES (2)'!$C$129)+(((A27*2)+(B27*4))*'MATERIALES (2)'!$C$130)+(2*'MATERIALES (2)'!$C$127)+(4*'MATERIALES (2)'!$C$137)+(((A27*5)*2)*'MATERIALES (2)'!$C$136)+(4*'MATERIALES (2)'!$C$135)</f>
        <v>5634</v>
      </c>
      <c r="E27" s="75"/>
      <c r="F27" s="39">
        <f>(A27*B27)*'MATERIALES (2)'!$D$85</f>
        <v>6659.9999999999991</v>
      </c>
      <c r="G27" s="38">
        <f t="shared" si="0"/>
        <v>64305.319500000005</v>
      </c>
      <c r="H27" s="49">
        <f t="shared" si="4"/>
        <v>121584.61441708315</v>
      </c>
      <c r="K27" s="385">
        <f t="shared" si="1"/>
        <v>13760.837533327489</v>
      </c>
      <c r="N27" s="68">
        <v>1.5</v>
      </c>
      <c r="O27" s="69">
        <v>0.6</v>
      </c>
      <c r="P27" s="59">
        <f>((((N27*2)+(O27*2))*'MATERIALES (2)'!$C$5)+((N27*2)*'MATERIALES (2)'!$C$6)+((O27*2)*'MATERIALES (2)'!$C$7)+((O27*2)*'MATERIALES (2)'!$C$8)+((2*O27)*'MATERIALES (2)'!$C$20)+(O27*'MATERIALES (2)'!$C$21))*'MATERIALES (2)'!$F$1</f>
        <v>59202.265500000001</v>
      </c>
      <c r="Q27" s="59">
        <f>(8*'MATERIALES (2)'!$C$125)+(8*'MATERIALES (2)'!$C$126)+(1*'MATERIALES (2)'!$C$141)+(4*'MATERIALES (2)'!$C$131)+(8*'MATERIALES (2)'!$C$133)+((8*4)*'MATERIALES (2)'!$C$134)+((O27*4)*'MATERIALES (2)'!$C$129)+(((N27*2)+(O27*4))*'MATERIALES (2)'!$C$130)+(4*'MATERIALES (2)'!$C$137)+(((N27*5)*2)*'MATERIALES (2)'!$C$136)+(4*'MATERIALES (2)'!$C$135)+(2*'MATERIALES (2)'!$C$133)+(2*'MATERIALES (2)'!$C$157)+(2*'MATERIALES (2)'!$C$134)+(10*'MATERIALES (2)'!$C$134)+(2*'MATERIALES (2)'!$C$127)</f>
        <v>6084</v>
      </c>
      <c r="R27" s="75"/>
      <c r="S27" s="55">
        <f>(N27*O27)*'MATERIALES (2)'!$D$85</f>
        <v>6659.9999999999991</v>
      </c>
      <c r="T27" s="59">
        <f t="shared" si="2"/>
        <v>71946.265499999994</v>
      </c>
      <c r="U27" s="67">
        <f t="shared" si="3"/>
        <v>135345.45195041064</v>
      </c>
    </row>
    <row r="28" spans="1:22" ht="15.75" hidden="1" thickBot="1">
      <c r="A28" s="42">
        <v>1.5</v>
      </c>
      <c r="B28" s="37">
        <v>0.8</v>
      </c>
      <c r="C28" s="38">
        <f>((((A28*2)+(B28*2))*'MATERIALES (2)'!$C$5)+((A28*2)*'MATERIALES (2)'!$C$6)+((B28*2)*'MATERIALES (2)'!$C$7)+((B28*2)*'MATERIALES (2)'!$C$8))*'MATERIALES (2)'!$F$1</f>
        <v>58240.738500000007</v>
      </c>
      <c r="D28" s="38">
        <f>(8*'MATERIALES (2)'!$C$125)+(8*'MATERIALES (2)'!$C$126)+(1*'MATERIALES (2)'!$C$141)+(4*'MATERIALES (2)'!$C$131)+(8*'MATERIALES (2)'!$C$133)+((8*4)*'MATERIALES (2)'!$C$134)+((B28*4)*'MATERIALES (2)'!$C$129)+(((A28*2)+(B28*4))*'MATERIALES (2)'!$C$130)+(2*'MATERIALES (2)'!$C$127)+(4*'MATERIALES (2)'!$C$137)+(((A28*5)*2)*'MATERIALES (2)'!$C$136)+(4*'MATERIALES (2)'!$C$135)</f>
        <v>5954</v>
      </c>
      <c r="E28" s="75"/>
      <c r="F28" s="39">
        <f>(A28*B28)*'MATERIALES (2)'!$D$85</f>
        <v>8880.0000000000018</v>
      </c>
      <c r="G28" s="38">
        <f t="shared" si="0"/>
        <v>73074.738500000007</v>
      </c>
      <c r="H28" s="49">
        <f t="shared" si="4"/>
        <v>139302.75513707439</v>
      </c>
      <c r="K28" s="385">
        <f t="shared" si="1"/>
        <v>18077.643315270019</v>
      </c>
      <c r="N28" s="68">
        <v>1.5</v>
      </c>
      <c r="O28" s="69">
        <v>0.8</v>
      </c>
      <c r="P28" s="59">
        <f>((((N28*2)+(O28*2))*'MATERIALES (2)'!$C$5)+((N28*2)*'MATERIALES (2)'!$C$6)+((O28*2)*'MATERIALES (2)'!$C$7)+((O28*2)*'MATERIALES (2)'!$C$8)+((2*O28)*'MATERIALES (2)'!$C$20)+(O28*'MATERIALES (2)'!$C$21))*'MATERIALES (2)'!$F$1</f>
        <v>67828.666500000007</v>
      </c>
      <c r="Q28" s="59">
        <f>(8*'MATERIALES (2)'!$C$125)+(8*'MATERIALES (2)'!$C$126)+(1*'MATERIALES (2)'!$C$141)+(4*'MATERIALES (2)'!$C$131)+(8*'MATERIALES (2)'!$C$133)+((8*4)*'MATERIALES (2)'!$C$134)+((O28*4)*'MATERIALES (2)'!$C$129)+(((N28*2)+(O28*4))*'MATERIALES (2)'!$C$130)+(4*'MATERIALES (2)'!$C$137)+(((N28*5)*2)*'MATERIALES (2)'!$C$136)+(4*'MATERIALES (2)'!$C$135)+(2*'MATERIALES (2)'!$C$133)+(2*'MATERIALES (2)'!$C$157)+(2*'MATERIALES (2)'!$C$134)+(10*'MATERIALES (2)'!$C$134)+(2*'MATERIALES (2)'!$C$127)</f>
        <v>6404</v>
      </c>
      <c r="R28" s="75"/>
      <c r="S28" s="55">
        <f>(N28*O28)*'MATERIALES (2)'!$D$85</f>
        <v>8880.0000000000018</v>
      </c>
      <c r="T28" s="59">
        <f t="shared" si="2"/>
        <v>83112.666500000007</v>
      </c>
      <c r="U28" s="67">
        <f t="shared" si="3"/>
        <v>157380.39845234441</v>
      </c>
    </row>
    <row r="29" spans="1:22" ht="15.75" hidden="1" thickBot="1">
      <c r="A29" s="42">
        <v>1.5</v>
      </c>
      <c r="B29" s="37">
        <v>1</v>
      </c>
      <c r="C29" s="38">
        <f>((((A29*2)+(B29*2))*'MATERIALES (2)'!$C$5)+((A29*2)*'MATERIALES (2)'!$C$6)+((B29*2)*'MATERIALES (2)'!$C$7)+((B29*2)*'MATERIALES (2)'!$C$8))*'MATERIALES (2)'!$F$1</f>
        <v>64470.157500000008</v>
      </c>
      <c r="D29" s="38">
        <f>(8*'MATERIALES (2)'!$C$125)+(8*'MATERIALES (2)'!$C$126)+(1*'MATERIALES (2)'!$C$141)+(4*'MATERIALES (2)'!$C$131)+(8*'MATERIALES (2)'!$C$133)+((8*4)*'MATERIALES (2)'!$C$134)+((B29*4)*'MATERIALES (2)'!$C$129)+(((A29*2)+(B29*4))*'MATERIALES (2)'!$C$130)+(2*'MATERIALES (2)'!$C$127)+(4*'MATERIALES (2)'!$C$137)+(((A29*5)*2)*'MATERIALES (2)'!$C$136)+(4*'MATERIALES (2)'!$C$135)</f>
        <v>6274</v>
      </c>
      <c r="E29" s="75"/>
      <c r="F29" s="39">
        <f>(A29*B29)*'MATERIALES (2)'!$D$85</f>
        <v>11100</v>
      </c>
      <c r="G29" s="38">
        <f t="shared" si="0"/>
        <v>81844.157500000001</v>
      </c>
      <c r="H29" s="49">
        <f t="shared" si="4"/>
        <v>157020.89585706565</v>
      </c>
      <c r="K29" s="385">
        <f t="shared" si="1"/>
        <v>22394.449097212462</v>
      </c>
      <c r="N29" s="68">
        <v>1.5</v>
      </c>
      <c r="O29" s="69">
        <v>1</v>
      </c>
      <c r="P29" s="59">
        <f>((((N29*2)+(O29*2))*'MATERIALES (2)'!$C$5)+((N29*2)*'MATERIALES (2)'!$C$6)+((O29*2)*'MATERIALES (2)'!$C$7)+((O29*2)*'MATERIALES (2)'!$C$8)+((2*O29)*'MATERIALES (2)'!$C$20)+(O29*'MATERIALES (2)'!$C$21))*'MATERIALES (2)'!$F$1</f>
        <v>76455.067500000005</v>
      </c>
      <c r="Q29" s="59">
        <f>(8*'MATERIALES (2)'!$C$125)+(8*'MATERIALES (2)'!$C$126)+(1*'MATERIALES (2)'!$C$141)+(4*'MATERIALES (2)'!$C$131)+(8*'MATERIALES (2)'!$C$133)+((8*4)*'MATERIALES (2)'!$C$134)+((O29*4)*'MATERIALES (2)'!$C$129)+(((N29*2)+(O29*4))*'MATERIALES (2)'!$C$130)+(4*'MATERIALES (2)'!$C$137)+(((N29*5)*2)*'MATERIALES (2)'!$C$136)+(4*'MATERIALES (2)'!$C$135)+(2*'MATERIALES (2)'!$C$133)+(2*'MATERIALES (2)'!$C$157)+(2*'MATERIALES (2)'!$C$134)+(10*'MATERIALES (2)'!$C$134)+(2*'MATERIALES (2)'!$C$127)</f>
        <v>6724</v>
      </c>
      <c r="R29" s="75"/>
      <c r="S29" s="55">
        <f>(N29*O29)*'MATERIALES (2)'!$D$85</f>
        <v>11100</v>
      </c>
      <c r="T29" s="59">
        <f t="shared" si="2"/>
        <v>94279.067500000005</v>
      </c>
      <c r="U29" s="67">
        <f t="shared" si="3"/>
        <v>179415.34495427812</v>
      </c>
    </row>
    <row r="30" spans="1:22" ht="15.75" hidden="1" thickBot="1">
      <c r="A30" s="42">
        <v>1.5</v>
      </c>
      <c r="B30" s="37">
        <v>1.1000000000000001</v>
      </c>
      <c r="C30" s="38">
        <f>((((A30*2)+(B30*2))*'MATERIALES (2)'!$C$5)+((A30*2)*'MATERIALES (2)'!$C$6)+((B30*2)*'MATERIALES (2)'!$C$7)+((B30*2)*'MATERIALES (2)'!$C$8))*'MATERIALES (2)'!$F$1</f>
        <v>67584.866999999998</v>
      </c>
      <c r="D30" s="38">
        <f>(8*'MATERIALES (2)'!$C$125)+(8*'MATERIALES (2)'!$C$126)+(1*'MATERIALES (2)'!$C$141)+(4*'MATERIALES (2)'!$C$131)+(8*'MATERIALES (2)'!$C$133)+((8*4)*'MATERIALES (2)'!$C$134)+((B30*4)*'MATERIALES (2)'!$C$129)+(((A30*2)+(B30*4))*'MATERIALES (2)'!$C$130)+(2*'MATERIALES (2)'!$C$127)+(4*'MATERIALES (2)'!$C$137)+(((A30*5)*2)*'MATERIALES (2)'!$C$136)+(4*'MATERIALES (2)'!$C$135)</f>
        <v>6434</v>
      </c>
      <c r="E30" s="75"/>
      <c r="F30" s="39">
        <f>(A30*B30)*'MATERIALES (2)'!$D$85</f>
        <v>12210.000000000002</v>
      </c>
      <c r="G30" s="38">
        <f t="shared" si="0"/>
        <v>86228.866999999998</v>
      </c>
      <c r="H30" s="49">
        <f t="shared" si="4"/>
        <v>165879.96621706127</v>
      </c>
      <c r="K30" s="385">
        <f t="shared" si="1"/>
        <v>24552.851988183742</v>
      </c>
      <c r="N30" s="68">
        <v>1.5</v>
      </c>
      <c r="O30" s="69">
        <v>1.1000000000000001</v>
      </c>
      <c r="P30" s="59">
        <f>((((N30*2)+(O30*2))*'MATERIALES (2)'!$C$5)+((N30*2)*'MATERIALES (2)'!$C$6)+((O30*2)*'MATERIALES (2)'!$C$7)+((O30*2)*'MATERIALES (2)'!$C$8)+((2*O30)*'MATERIALES (2)'!$C$20)+(O30*'MATERIALES (2)'!$C$21))*'MATERIALES (2)'!$F$1</f>
        <v>80768.267999999982</v>
      </c>
      <c r="Q30" s="59">
        <f>(8*'MATERIALES (2)'!$C$125)+(8*'MATERIALES (2)'!$C$126)+(1*'MATERIALES (2)'!$C$141)+(4*'MATERIALES (2)'!$C$131)+(8*'MATERIALES (2)'!$C$133)+((8*4)*'MATERIALES (2)'!$C$134)+((O30*4)*'MATERIALES (2)'!$C$129)+(((N30*2)+(O30*4))*'MATERIALES (2)'!$C$130)+(4*'MATERIALES (2)'!$C$137)+(((N30*5)*2)*'MATERIALES (2)'!$C$136)+(4*'MATERIALES (2)'!$C$135)+(2*'MATERIALES (2)'!$C$133)+(2*'MATERIALES (2)'!$C$157)+(2*'MATERIALES (2)'!$C$134)+(10*'MATERIALES (2)'!$C$134)+(2*'MATERIALES (2)'!$C$127)</f>
        <v>6884</v>
      </c>
      <c r="R30" s="75"/>
      <c r="S30" s="55">
        <f>(N30*O30)*'MATERIALES (2)'!$D$85</f>
        <v>12210.000000000002</v>
      </c>
      <c r="T30" s="59">
        <f t="shared" si="2"/>
        <v>99862.267999999982</v>
      </c>
      <c r="U30" s="67">
        <f t="shared" si="3"/>
        <v>190432.81820524501</v>
      </c>
    </row>
    <row r="31" spans="1:22" ht="15.75" hidden="1" thickBot="1">
      <c r="A31" s="42">
        <v>1.5</v>
      </c>
      <c r="B31" s="37">
        <v>1.2</v>
      </c>
      <c r="C31" s="38">
        <f>((((A31*2)+(B31*2))*'MATERIALES (2)'!$C$5)+((A31*2)*'MATERIALES (2)'!$C$6)+((B31*2)*'MATERIALES (2)'!$C$7)+((B31*2)*'MATERIALES (2)'!$C$8))*'MATERIALES (2)'!$F$1</f>
        <v>70699.576499999996</v>
      </c>
      <c r="D31" s="38">
        <f>(8*'MATERIALES (2)'!$C$125)+(8*'MATERIALES (2)'!$C$126)+(1*'MATERIALES (2)'!$C$141)+(4*'MATERIALES (2)'!$C$131)+(8*'MATERIALES (2)'!$C$133)+((8*4)*'MATERIALES (2)'!$C$134)+((B31*4)*'MATERIALES (2)'!$C$129)+(((A31*2)+(B31*4))*'MATERIALES (2)'!$C$130)+(2*'MATERIALES (2)'!$C$127)+(4*'MATERIALES (2)'!$C$137)+(((A31*5)*2)*'MATERIALES (2)'!$C$136)+(4*'MATERIALES (2)'!$C$135)</f>
        <v>6594</v>
      </c>
      <c r="E31" s="75"/>
      <c r="F31" s="39">
        <f>(A31*B31)*'MATERIALES (2)'!$D$85</f>
        <v>13319.999999999998</v>
      </c>
      <c r="G31" s="38">
        <f t="shared" si="0"/>
        <v>90613.576499999996</v>
      </c>
      <c r="H31" s="49">
        <f t="shared" si="4"/>
        <v>174739.03657705692</v>
      </c>
      <c r="K31" s="385">
        <f t="shared" si="1"/>
        <v>26711.254879154963</v>
      </c>
      <c r="N31" s="68">
        <v>1.5</v>
      </c>
      <c r="O31" s="69">
        <v>1.2</v>
      </c>
      <c r="P31" s="59">
        <f>((((N31*2)+(O31*2))*'MATERIALES (2)'!$C$5)+((N31*2)*'MATERIALES (2)'!$C$6)+((O31*2)*'MATERIALES (2)'!$C$7)+((O31*2)*'MATERIALES (2)'!$C$8)+((2*O31)*'MATERIALES (2)'!$C$20)+(O31*'MATERIALES (2)'!$C$21))*'MATERIALES (2)'!$F$1</f>
        <v>85081.468499999988</v>
      </c>
      <c r="Q31" s="59">
        <f>(8*'MATERIALES (2)'!$C$125)+(8*'MATERIALES (2)'!$C$126)+(1*'MATERIALES (2)'!$C$141)+(4*'MATERIALES (2)'!$C$131)+(8*'MATERIALES (2)'!$C$133)+((8*4)*'MATERIALES (2)'!$C$134)+((O31*4)*'MATERIALES (2)'!$C$129)+(((N31*2)+(O31*4))*'MATERIALES (2)'!$C$130)+(4*'MATERIALES (2)'!$C$137)+(((N31*5)*2)*'MATERIALES (2)'!$C$136)+(4*'MATERIALES (2)'!$C$135)+(2*'MATERIALES (2)'!$C$133)+(2*'MATERIALES (2)'!$C$157)+(2*'MATERIALES (2)'!$C$134)+(10*'MATERIALES (2)'!$C$134)+(2*'MATERIALES (2)'!$C$127)</f>
        <v>7044</v>
      </c>
      <c r="R31" s="75"/>
      <c r="S31" s="55">
        <f>(N31*O31)*'MATERIALES (2)'!$D$85</f>
        <v>13319.999999999998</v>
      </c>
      <c r="T31" s="59">
        <f t="shared" si="2"/>
        <v>105445.46849999999</v>
      </c>
      <c r="U31" s="67">
        <f t="shared" si="3"/>
        <v>201450.29145621188</v>
      </c>
    </row>
    <row r="32" spans="1:22" ht="15" hidden="1" customHeight="1" thickBot="1">
      <c r="A32" s="42">
        <v>1.5</v>
      </c>
      <c r="B32" s="37">
        <v>1.5</v>
      </c>
      <c r="C32" s="38">
        <f>((((A32*2)+(B32*2))*'MATERIALES (2)'!$C$5)+((A32*2)*'MATERIALES (2)'!$C$6)+((B32*2)*'MATERIALES (2)'!$C$7)+((B32*2)*'MATERIALES (2)'!$C$8))*'MATERIALES (2)'!$F$1</f>
        <v>80043.705000000002</v>
      </c>
      <c r="D32" s="38">
        <f>(8*'MATERIALES (2)'!$C$125)+(8*'MATERIALES (2)'!$C$126)+(1*'MATERIALES (2)'!$C$141)+(4*'MATERIALES (2)'!$C$131)+(8*'MATERIALES (2)'!$C$133)+((8*4)*'MATERIALES (2)'!$C$134)+((B32*4)*'MATERIALES (2)'!$C$129)+(((A32*2)+(B32*4))*'MATERIALES (2)'!$C$130)+(2*'MATERIALES (2)'!$C$127)+(4*'MATERIALES (2)'!$C$137)+(((A32*5)*2)*'MATERIALES (2)'!$C$136)+(4*'MATERIALES (2)'!$C$135)</f>
        <v>7074</v>
      </c>
      <c r="E32" s="75"/>
      <c r="F32" s="39">
        <f>(A32*B32)*'MATERIALES (2)'!$D$85</f>
        <v>16650</v>
      </c>
      <c r="G32" s="38">
        <f t="shared" si="0"/>
        <v>103767.705</v>
      </c>
      <c r="H32" s="49">
        <f t="shared" si="4"/>
        <v>201316.24765704377</v>
      </c>
      <c r="I32" s="57"/>
      <c r="K32" s="385">
        <f t="shared" si="1"/>
        <v>33186.463552068744</v>
      </c>
      <c r="N32" s="68">
        <v>1.5</v>
      </c>
      <c r="O32" s="69">
        <v>1.5</v>
      </c>
      <c r="P32" s="59">
        <f>((((N32*2)+(O32*2))*'MATERIALES (2)'!$C$5)+((N32*2)*'MATERIALES (2)'!$C$6)+((O32*2)*'MATERIALES (2)'!$C$7)+((O32*2)*'MATERIALES (2)'!$C$8)+((2*O32)*'MATERIALES (2)'!$C$20)+(O32*'MATERIALES (2)'!$C$21))*'MATERIALES (2)'!$F$1</f>
        <v>98021.07</v>
      </c>
      <c r="Q32" s="59">
        <f>(8*'MATERIALES (2)'!$C$125)+(8*'MATERIALES (2)'!$C$126)+(1*'MATERIALES (2)'!$C$141)+(4*'MATERIALES (2)'!$C$131)+(8*'MATERIALES (2)'!$C$133)+((8*4)*'MATERIALES (2)'!$C$134)+((O32*4)*'MATERIALES (2)'!$C$129)+(((N32*2)+(O32*4))*'MATERIALES (2)'!$C$130)+(4*'MATERIALES (2)'!$C$137)+(((N32*5)*2)*'MATERIALES (2)'!$C$136)+(4*'MATERIALES (2)'!$C$135)+(2*'MATERIALES (2)'!$C$133)+(2*'MATERIALES (2)'!$C$157)+(2*'MATERIALES (2)'!$C$134)+(10*'MATERIALES (2)'!$C$134)+(2*'MATERIALES (2)'!$C$127)</f>
        <v>7524</v>
      </c>
      <c r="R32" s="75"/>
      <c r="S32" s="55">
        <f>(N32*O32)*'MATERIALES (2)'!$D$85</f>
        <v>16650</v>
      </c>
      <c r="T32" s="59">
        <f t="shared" si="2"/>
        <v>122195.07</v>
      </c>
      <c r="U32" s="67">
        <f t="shared" si="3"/>
        <v>234502.71120911252</v>
      </c>
      <c r="V32" s="57"/>
    </row>
    <row r="33" spans="1:22" ht="15.75" hidden="1" thickBot="1">
      <c r="A33" s="42">
        <v>1.5</v>
      </c>
      <c r="B33" s="37">
        <v>1.8</v>
      </c>
      <c r="C33" s="38">
        <f>((((A33*2)+(B33*2))*'MATERIALES (2)'!$C$5)+((A33*2)*'MATERIALES (2)'!$C$6)+((B33*2)*'MATERIALES (2)'!$C$7)+((B33*2)*'MATERIALES (2)'!$C$8))*'MATERIALES (2)'!$F$1</f>
        <v>89387.833499999993</v>
      </c>
      <c r="D33" s="38">
        <f>(8*'MATERIALES (2)'!$C$125)+(8*'MATERIALES (2)'!$C$126)+(1*'MATERIALES (2)'!$C$141)+(4*'MATERIALES (2)'!$C$131)+(8*'MATERIALES (2)'!$C$133)+((8*4)*'MATERIALES (2)'!$C$134)+((B33*4)*'MATERIALES (2)'!$C$129)+(((A33*2)+(B33*4))*'MATERIALES (2)'!$C$130)+(2*'MATERIALES (2)'!$C$127)+(4*'MATERIALES (2)'!$C$137)+(((A33*5)*2)*'MATERIALES (2)'!$C$136)+(4*'MATERIALES (2)'!$C$135)</f>
        <v>7554</v>
      </c>
      <c r="E33" s="75"/>
      <c r="F33" s="39">
        <f>(A33*B33)*'MATERIALES (2)'!$D$85</f>
        <v>19980</v>
      </c>
      <c r="G33" s="38">
        <f t="shared" si="0"/>
        <v>116921.83349999999</v>
      </c>
      <c r="H33" s="49">
        <f t="shared" si="4"/>
        <v>227893.45873703063</v>
      </c>
      <c r="I33" s="57"/>
      <c r="J33" s="53"/>
      <c r="K33" s="385">
        <f t="shared" si="1"/>
        <v>39661.672224982525</v>
      </c>
      <c r="N33" s="68">
        <v>1.5</v>
      </c>
      <c r="O33" s="69">
        <v>1.8</v>
      </c>
      <c r="P33" s="59">
        <f>((((N33*2)+(O33*2))*'MATERIALES (2)'!$C$5)+((N33*2)*'MATERIALES (2)'!$C$6)+((O33*2)*'MATERIALES (2)'!$C$7)+((O33*2)*'MATERIALES (2)'!$C$8)+((2*O33)*'MATERIALES (2)'!$C$20)+(O33*'MATERIALES (2)'!$C$21))*'MATERIALES (2)'!$F$1</f>
        <v>110960.67149999998</v>
      </c>
      <c r="Q33" s="59">
        <f>(8*'MATERIALES (2)'!$C$125)+(8*'MATERIALES (2)'!$C$126)+(1*'MATERIALES (2)'!$C$141)+(4*'MATERIALES (2)'!$C$131)+(8*'MATERIALES (2)'!$C$133)+((8*4)*'MATERIALES (2)'!$C$134)+((O33*4)*'MATERIALES (2)'!$C$129)+(((N33*2)+(O33*4))*'MATERIALES (2)'!$C$130)+(4*'MATERIALES (2)'!$C$137)+(((N33*5)*2)*'MATERIALES (2)'!$C$136)+(4*'MATERIALES (2)'!$C$135)+(2*'MATERIALES (2)'!$C$133)+(2*'MATERIALES (2)'!$C$157)+(2*'MATERIALES (2)'!$C$134)+(10*'MATERIALES (2)'!$C$134)+(2*'MATERIALES (2)'!$C$127)</f>
        <v>8004</v>
      </c>
      <c r="R33" s="75"/>
      <c r="S33" s="55">
        <f>(N33*O33)*'MATERIALES (2)'!$D$85</f>
        <v>19980</v>
      </c>
      <c r="T33" s="59">
        <f t="shared" si="2"/>
        <v>138944.6715</v>
      </c>
      <c r="U33" s="67">
        <f t="shared" si="3"/>
        <v>267555.13096201315</v>
      </c>
      <c r="V33" s="57"/>
    </row>
    <row r="34" spans="1:22" ht="15.75" hidden="1" thickBot="1">
      <c r="A34" s="42">
        <v>1.8</v>
      </c>
      <c r="B34" s="37">
        <v>0.8</v>
      </c>
      <c r="C34" s="38">
        <f>((((A34*2)+(B34*2))*'MATERIALES (2)'!$C$5)+((A34*2)*'MATERIALES (2)'!$C$6)+((B34*2)*'MATERIALES (2)'!$C$7)+((B34*2)*'MATERIALES (2)'!$C$8))*'MATERIALES (2)'!$F$1</f>
        <v>64905.351000000002</v>
      </c>
      <c r="D34" s="38">
        <f>(8*'MATERIALES (2)'!$C$125)+(8*'MATERIALES (2)'!$C$126)+(1*'MATERIALES (2)'!$C$141)+(4*'MATERIALES (2)'!$C$131)+(8*'MATERIALES (2)'!$C$133)+((8*4)*'MATERIALES (2)'!$C$134)+((B34*4)*'MATERIALES (2)'!$C$129)+(((A34*2)+(B34*4))*'MATERIALES (2)'!$C$130)+(2*'MATERIALES (2)'!$C$127)+(4*'MATERIALES (2)'!$C$137)+(((A34*5)*2)*'MATERIALES (2)'!$C$136)+(4*'MATERIALES (2)'!$C$135)</f>
        <v>6098</v>
      </c>
      <c r="E34" s="75"/>
      <c r="F34" s="39">
        <f>(A34*B34)*'MATERIALES (2)'!$D$85</f>
        <v>10656.000000000002</v>
      </c>
      <c r="G34" s="38">
        <f t="shared" si="0"/>
        <v>81659.350999999995</v>
      </c>
      <c r="H34" s="49">
        <f t="shared" si="4"/>
        <v>156303.07197899627</v>
      </c>
      <c r="I34" s="57"/>
      <c r="K34" s="385">
        <f t="shared" si="1"/>
        <v>18077.643315270048</v>
      </c>
      <c r="N34" s="68">
        <v>1.8</v>
      </c>
      <c r="O34" s="69">
        <v>0.8</v>
      </c>
      <c r="P34" s="59">
        <f>((((N34*2)+(O34*2))*'MATERIALES (2)'!$C$5)+((N34*2)*'MATERIALES (2)'!$C$6)+((O34*2)*'MATERIALES (2)'!$C$7)+((O34*2)*'MATERIALES (2)'!$C$8)+((2*O34)*'MATERIALES (2)'!$C$20)+(O34*'MATERIALES (2)'!$C$21))*'MATERIALES (2)'!$F$1</f>
        <v>74493.27900000001</v>
      </c>
      <c r="Q34" s="59">
        <f>(8*'MATERIALES (2)'!$C$125)+(8*'MATERIALES (2)'!$C$126)+(1*'MATERIALES (2)'!$C$141)+(4*'MATERIALES (2)'!$C$131)+(8*'MATERIALES (2)'!$C$133)+((8*4)*'MATERIALES (2)'!$C$134)+((O34*4)*'MATERIALES (2)'!$C$129)+(((N34*2)+(O34*4))*'MATERIALES (2)'!$C$130)+(4*'MATERIALES (2)'!$C$137)+(((N34*5)*2)*'MATERIALES (2)'!$C$136)+(4*'MATERIALES (2)'!$C$135)+(2*'MATERIALES (2)'!$C$133)+(2*'MATERIALES (2)'!$C$157)+(2*'MATERIALES (2)'!$C$134)+(10*'MATERIALES (2)'!$C$134)+(2*'MATERIALES (2)'!$C$127)</f>
        <v>6548</v>
      </c>
      <c r="R34" s="75"/>
      <c r="S34" s="55">
        <f>(N34*O34)*'MATERIALES (2)'!$D$85</f>
        <v>10656.000000000002</v>
      </c>
      <c r="T34" s="59">
        <f t="shared" si="2"/>
        <v>91697.27900000001</v>
      </c>
      <c r="U34" s="67">
        <f t="shared" si="3"/>
        <v>174380.71529426632</v>
      </c>
      <c r="V34" s="57"/>
    </row>
    <row r="35" spans="1:22" ht="15.75" hidden="1" thickBot="1">
      <c r="A35" s="42">
        <v>1.8</v>
      </c>
      <c r="B35" s="37">
        <v>1</v>
      </c>
      <c r="C35" s="38">
        <f>((((A35*2)+(B35*2))*'MATERIALES (2)'!$C$5)+((A35*2)*'MATERIALES (2)'!$C$6)+((B35*2)*'MATERIALES (2)'!$C$7)+((B35*2)*'MATERIALES (2)'!$C$8))*'MATERIALES (2)'!$F$1</f>
        <v>71134.77</v>
      </c>
      <c r="D35" s="38">
        <f>(8*'MATERIALES (2)'!$C$125)+(8*'MATERIALES (2)'!$C$126)+(1*'MATERIALES (2)'!$C$141)+(4*'MATERIALES (2)'!$C$131)+(8*'MATERIALES (2)'!$C$133)+((8*4)*'MATERIALES (2)'!$C$134)+((B35*4)*'MATERIALES (2)'!$C$129)+(((A35*2)+(B35*4))*'MATERIALES (2)'!$C$130)+(2*'MATERIALES (2)'!$C$127)+(4*'MATERIALES (2)'!$C$137)+(((A35*5)*2)*'MATERIALES (2)'!$C$136)+(4*'MATERIALES (2)'!$C$135)</f>
        <v>6418</v>
      </c>
      <c r="E35" s="75"/>
      <c r="F35" s="39">
        <f>(A35*B35)*'MATERIALES (2)'!$D$85</f>
        <v>13320</v>
      </c>
      <c r="G35" s="38">
        <f t="shared" si="0"/>
        <v>90872.77</v>
      </c>
      <c r="H35" s="49">
        <f t="shared" si="4"/>
        <v>175205.82689898752</v>
      </c>
      <c r="I35" s="57"/>
      <c r="K35" s="385">
        <f t="shared" si="1"/>
        <v>22394.449097212491</v>
      </c>
      <c r="N35" s="68">
        <v>1.8</v>
      </c>
      <c r="O35" s="69">
        <v>1</v>
      </c>
      <c r="P35" s="59">
        <f>((((N35*2)+(O35*2))*'MATERIALES (2)'!$C$5)+((N35*2)*'MATERIALES (2)'!$C$6)+((O35*2)*'MATERIALES (2)'!$C$7)+((O35*2)*'MATERIALES (2)'!$C$8)+((2*O35)*'MATERIALES (2)'!$C$20)+(O35*'MATERIALES (2)'!$C$21))*'MATERIALES (2)'!$F$1</f>
        <v>83119.679999999993</v>
      </c>
      <c r="Q35" s="59">
        <f>(8*'MATERIALES (2)'!$C$125)+(8*'MATERIALES (2)'!$C$126)+(1*'MATERIALES (2)'!$C$141)+(4*'MATERIALES (2)'!$C$131)+(8*'MATERIALES (2)'!$C$133)+((8*4)*'MATERIALES (2)'!$C$134)+((O35*4)*'MATERIALES (2)'!$C$129)+(((N35*2)+(O35*4))*'MATERIALES (2)'!$C$130)+(4*'MATERIALES (2)'!$C$137)+(((N35*5)*2)*'MATERIALES (2)'!$C$136)+(4*'MATERIALES (2)'!$C$135)+(2*'MATERIALES (2)'!$C$133)+(2*'MATERIALES (2)'!$C$157)+(2*'MATERIALES (2)'!$C$134)+(10*'MATERIALES (2)'!$C$134)+(2*'MATERIALES (2)'!$C$127)</f>
        <v>6868</v>
      </c>
      <c r="R35" s="75"/>
      <c r="S35" s="55">
        <f>(N35*O35)*'MATERIALES (2)'!$D$85</f>
        <v>13320</v>
      </c>
      <c r="T35" s="59">
        <f t="shared" si="2"/>
        <v>103307.68</v>
      </c>
      <c r="U35" s="67">
        <f t="shared" si="3"/>
        <v>197600.27599620001</v>
      </c>
      <c r="V35" s="57"/>
    </row>
    <row r="36" spans="1:22" ht="15.75" hidden="1" thickBot="1">
      <c r="A36" s="42">
        <v>1.8</v>
      </c>
      <c r="B36" s="37">
        <v>1.1000000000000001</v>
      </c>
      <c r="C36" s="38">
        <f>((((A36*2)+(B36*2))*'MATERIALES (2)'!$C$5)+((A36*2)*'MATERIALES (2)'!$C$6)+((B36*2)*'MATERIALES (2)'!$C$7)+((B36*2)*'MATERIALES (2)'!$C$8))*'MATERIALES (2)'!$F$1</f>
        <v>74249.479500000001</v>
      </c>
      <c r="D36" s="38">
        <f>(8*'MATERIALES (2)'!$C$125)+(8*'MATERIALES (2)'!$C$126)+(1*'MATERIALES (2)'!$C$141)+(4*'MATERIALES (2)'!$C$131)+(8*'MATERIALES (2)'!$C$133)+((8*4)*'MATERIALES (2)'!$C$134)+((B36*4)*'MATERIALES (2)'!$C$129)+(((A36*2)+(B36*4))*'MATERIALES (2)'!$C$130)+(2*'MATERIALES (2)'!$C$127)+(4*'MATERIALES (2)'!$C$137)+(((A36*5)*2)*'MATERIALES (2)'!$C$136)+(4*'MATERIALES (2)'!$C$135)</f>
        <v>6578</v>
      </c>
      <c r="E36" s="75"/>
      <c r="F36" s="39">
        <f>(A36*B36)*'MATERIALES (2)'!$D$85</f>
        <v>14652.000000000002</v>
      </c>
      <c r="G36" s="38">
        <f t="shared" si="0"/>
        <v>95479.479500000001</v>
      </c>
      <c r="H36" s="49">
        <f t="shared" si="4"/>
        <v>184657.20435898312</v>
      </c>
      <c r="I36" s="57"/>
      <c r="K36" s="385">
        <f t="shared" si="1"/>
        <v>24552.851988183771</v>
      </c>
      <c r="N36" s="68">
        <v>1.8</v>
      </c>
      <c r="O36" s="69">
        <v>1.1000000000000001</v>
      </c>
      <c r="P36" s="59">
        <f>((((N36*2)+(O36*2))*'MATERIALES (2)'!$C$5)+((N36*2)*'MATERIALES (2)'!$C$6)+((O36*2)*'MATERIALES (2)'!$C$7)+((O36*2)*'MATERIALES (2)'!$C$8)+((2*O36)*'MATERIALES (2)'!$C$20)+(O36*'MATERIALES (2)'!$C$21))*'MATERIALES (2)'!$F$1</f>
        <v>87432.880499999999</v>
      </c>
      <c r="Q36" s="59">
        <f>(8*'MATERIALES (2)'!$C$125)+(8*'MATERIALES (2)'!$C$126)+(1*'MATERIALES (2)'!$C$141)+(4*'MATERIALES (2)'!$C$131)+(8*'MATERIALES (2)'!$C$133)+((8*4)*'MATERIALES (2)'!$C$134)+((O36*4)*'MATERIALES (2)'!$C$129)+(((N36*2)+(O36*4))*'MATERIALES (2)'!$C$130)+(4*'MATERIALES (2)'!$C$137)+(((N36*5)*2)*'MATERIALES (2)'!$C$136)+(4*'MATERIALES (2)'!$C$135)+(2*'MATERIALES (2)'!$C$133)+(2*'MATERIALES (2)'!$C$157)+(2*'MATERIALES (2)'!$C$134)+(10*'MATERIALES (2)'!$C$134)+(2*'MATERIALES (2)'!$C$127)</f>
        <v>7028</v>
      </c>
      <c r="R36" s="75"/>
      <c r="S36" s="55">
        <f>(N36*O36)*'MATERIALES (2)'!$D$85</f>
        <v>14652.000000000002</v>
      </c>
      <c r="T36" s="59">
        <f t="shared" si="2"/>
        <v>109112.8805</v>
      </c>
      <c r="U36" s="67">
        <f t="shared" si="3"/>
        <v>209210.05634716689</v>
      </c>
      <c r="V36" s="57"/>
    </row>
    <row r="37" spans="1:22" ht="15.75" hidden="1" thickBot="1">
      <c r="A37" s="42">
        <v>1.8</v>
      </c>
      <c r="B37" s="37">
        <v>1.2</v>
      </c>
      <c r="C37" s="38">
        <f>((((A37*2)+(B37*2))*'MATERIALES (2)'!$C$5)+((A37*2)*'MATERIALES (2)'!$C$6)+((B37*2)*'MATERIALES (2)'!$C$7)+((B37*2)*'MATERIALES (2)'!$C$8))*'MATERIALES (2)'!$F$1</f>
        <v>77364.188999999984</v>
      </c>
      <c r="D37" s="38">
        <f>(8*'MATERIALES (2)'!$C$125)+(8*'MATERIALES (2)'!$C$126)+(1*'MATERIALES (2)'!$C$141)+(4*'MATERIALES (2)'!$C$131)+(8*'MATERIALES (2)'!$C$133)+((8*4)*'MATERIALES (2)'!$C$134)+((B37*4)*'MATERIALES (2)'!$C$129)+(((A37*2)+(B37*4))*'MATERIALES (2)'!$C$130)+(2*'MATERIALES (2)'!$C$127)+(4*'MATERIALES (2)'!$C$137)+(((A37*5)*2)*'MATERIALES (2)'!$C$136)+(4*'MATERIALES (2)'!$C$135)</f>
        <v>6738</v>
      </c>
      <c r="E37" s="75"/>
      <c r="F37" s="39">
        <f>(A37*B37)*'MATERIALES (2)'!$D$85</f>
        <v>15984.000000000002</v>
      </c>
      <c r="G37" s="38">
        <f t="shared" si="0"/>
        <v>100086.18899999998</v>
      </c>
      <c r="H37" s="49">
        <f t="shared" si="4"/>
        <v>194108.58181897877</v>
      </c>
      <c r="I37" s="57"/>
      <c r="K37" s="385">
        <f t="shared" si="1"/>
        <v>26711.254879154993</v>
      </c>
      <c r="N37" s="68">
        <v>1.8</v>
      </c>
      <c r="O37" s="69">
        <v>1.2</v>
      </c>
      <c r="P37" s="59">
        <f>((((N37*2)+(O37*2))*'MATERIALES (2)'!$C$5)+((N37*2)*'MATERIALES (2)'!$C$6)+((O37*2)*'MATERIALES (2)'!$C$7)+((O37*2)*'MATERIALES (2)'!$C$8)+((2*O37)*'MATERIALES (2)'!$C$20)+(O37*'MATERIALES (2)'!$C$21))*'MATERIALES (2)'!$F$1</f>
        <v>91746.080999999991</v>
      </c>
      <c r="Q37" s="59">
        <f>(8*'MATERIALES (2)'!$C$125)+(8*'MATERIALES (2)'!$C$126)+(1*'MATERIALES (2)'!$C$141)+(4*'MATERIALES (2)'!$C$131)+(8*'MATERIALES (2)'!$C$133)+((8*4)*'MATERIALES (2)'!$C$134)+((O37*4)*'MATERIALES (2)'!$C$129)+(((N37*2)+(O37*4))*'MATERIALES (2)'!$C$130)+(4*'MATERIALES (2)'!$C$137)+(((N37*5)*2)*'MATERIALES (2)'!$C$136)+(4*'MATERIALES (2)'!$C$135)+(2*'MATERIALES (2)'!$C$133)+(2*'MATERIALES (2)'!$C$157)+(2*'MATERIALES (2)'!$C$134)+(10*'MATERIALES (2)'!$C$134)+(2*'MATERIALES (2)'!$C$127)</f>
        <v>7188</v>
      </c>
      <c r="R37" s="75"/>
      <c r="S37" s="55">
        <f>(N37*O37)*'MATERIALES (2)'!$D$85</f>
        <v>15984.000000000002</v>
      </c>
      <c r="T37" s="59">
        <f t="shared" si="2"/>
        <v>114918.08099999999</v>
      </c>
      <c r="U37" s="67">
        <f t="shared" si="3"/>
        <v>220819.83669813376</v>
      </c>
      <c r="V37" s="57"/>
    </row>
    <row r="38" spans="1:22" ht="15.75" hidden="1" thickBot="1">
      <c r="A38" s="42">
        <v>1.8</v>
      </c>
      <c r="B38" s="37">
        <v>1.5</v>
      </c>
      <c r="C38" s="38">
        <f>((((A38*2)+(B38*2))*'MATERIALES (2)'!$C$5)+((A38*2)*'MATERIALES (2)'!$C$6)+((B38*2)*'MATERIALES (2)'!$C$7)+((B38*2)*'MATERIALES (2)'!$C$8))*'MATERIALES (2)'!$F$1</f>
        <v>86708.31749999999</v>
      </c>
      <c r="D38" s="38">
        <f>(8*'MATERIALES (2)'!$C$125)+(8*'MATERIALES (2)'!$C$126)+(1*'MATERIALES (2)'!$C$141)+(4*'MATERIALES (2)'!$C$131)+(8*'MATERIALES (2)'!$C$133)+((8*4)*'MATERIALES (2)'!$C$134)+((B38*4)*'MATERIALES (2)'!$C$129)+(((A38*2)+(B38*4))*'MATERIALES (2)'!$C$130)+(2*'MATERIALES (2)'!$C$127)+(4*'MATERIALES (2)'!$C$137)+(((A38*5)*2)*'MATERIALES (2)'!$C$136)+(4*'MATERIALES (2)'!$C$135)</f>
        <v>7218</v>
      </c>
      <c r="E38" s="75"/>
      <c r="F38" s="39">
        <f>(A38*B38)*'MATERIALES (2)'!$D$85</f>
        <v>19980</v>
      </c>
      <c r="G38" s="38">
        <f t="shared" si="0"/>
        <v>113906.31749999999</v>
      </c>
      <c r="H38" s="49">
        <f t="shared" si="4"/>
        <v>222462.71419896561</v>
      </c>
      <c r="I38" s="57"/>
      <c r="K38" s="385">
        <f t="shared" si="1"/>
        <v>33186.463552068773</v>
      </c>
      <c r="N38" s="68">
        <v>1.8</v>
      </c>
      <c r="O38" s="69">
        <v>1.5</v>
      </c>
      <c r="P38" s="59">
        <f>((((N38*2)+(O38*2))*'MATERIALES (2)'!$C$5)+((N38*2)*'MATERIALES (2)'!$C$6)+((O38*2)*'MATERIALES (2)'!$C$7)+((O38*2)*'MATERIALES (2)'!$C$8)+((2*O38)*'MATERIALES (2)'!$C$20)+(O38*'MATERIALES (2)'!$C$21))*'MATERIALES (2)'!$F$1</f>
        <v>104685.6825</v>
      </c>
      <c r="Q38" s="59">
        <f>(8*'MATERIALES (2)'!$C$125)+(8*'MATERIALES (2)'!$C$126)+(1*'MATERIALES (2)'!$C$141)+(4*'MATERIALES (2)'!$C$131)+(8*'MATERIALES (2)'!$C$133)+((8*4)*'MATERIALES (2)'!$C$134)+((O38*4)*'MATERIALES (2)'!$C$129)+(((N38*2)+(O38*4))*'MATERIALES (2)'!$C$130)+(4*'MATERIALES (2)'!$C$137)+(((N38*5)*2)*'MATERIALES (2)'!$C$136)+(4*'MATERIALES (2)'!$C$135)+(2*'MATERIALES (2)'!$C$133)+(2*'MATERIALES (2)'!$C$157)+(2*'MATERIALES (2)'!$C$134)+(10*'MATERIALES (2)'!$C$134)+(2*'MATERIALES (2)'!$C$127)</f>
        <v>7668</v>
      </c>
      <c r="R38" s="75"/>
      <c r="S38" s="55">
        <f>(N38*O38)*'MATERIALES (2)'!$D$85</f>
        <v>19980</v>
      </c>
      <c r="T38" s="59">
        <f t="shared" si="2"/>
        <v>132333.6825</v>
      </c>
      <c r="U38" s="67">
        <f t="shared" si="3"/>
        <v>255649.17775103438</v>
      </c>
      <c r="V38" s="57"/>
    </row>
    <row r="39" spans="1:22" ht="15.75" hidden="1" thickBot="1">
      <c r="A39" s="42">
        <v>1.8</v>
      </c>
      <c r="B39" s="37">
        <v>1.8</v>
      </c>
      <c r="C39" s="38">
        <f>((((A39*2)+(B39*2))*'MATERIALES (2)'!$C$5)+((A39*2)*'MATERIALES (2)'!$C$6)+((B39*2)*'MATERIALES (2)'!$C$7)+((B39*2)*'MATERIALES (2)'!$C$8))*'MATERIALES (2)'!$F$1</f>
        <v>96052.446000000011</v>
      </c>
      <c r="D39" s="38">
        <f>(8*'MATERIALES (2)'!$C$125)+(8*'MATERIALES (2)'!$C$126)+(1*'MATERIALES (2)'!$C$141)+(4*'MATERIALES (2)'!$C$131)+(8*'MATERIALES (2)'!$C$133)+((8*4)*'MATERIALES (2)'!$C$134)+((B39*4)*'MATERIALES (2)'!$C$129)+(((A39*2)+(B39*4))*'MATERIALES (2)'!$C$130)+(2*'MATERIALES (2)'!$C$127)+(4*'MATERIALES (2)'!$C$137)+(((A39*5)*2)*'MATERIALES (2)'!$C$136)+(4*'MATERIALES (2)'!$C$135)</f>
        <v>7698</v>
      </c>
      <c r="E39" s="75"/>
      <c r="F39" s="39">
        <f>(A39*B39)*'MATERIALES (2)'!$D$85</f>
        <v>23976</v>
      </c>
      <c r="G39" s="38">
        <f t="shared" si="0"/>
        <v>127726.44600000001</v>
      </c>
      <c r="H39" s="49">
        <f t="shared" si="4"/>
        <v>250816.84657895251</v>
      </c>
      <c r="I39" s="57"/>
      <c r="K39" s="385">
        <f t="shared" si="1"/>
        <v>39661.672224982525</v>
      </c>
      <c r="N39" s="68">
        <v>1.8</v>
      </c>
      <c r="O39" s="69">
        <v>1.8</v>
      </c>
      <c r="P39" s="59">
        <f>((((N39*2)+(O39*2))*'MATERIALES (2)'!$C$5)+((N39*2)*'MATERIALES (2)'!$C$6)+((O39*2)*'MATERIALES (2)'!$C$7)+((O39*2)*'MATERIALES (2)'!$C$8)+((2*O39)*'MATERIALES (2)'!$C$20)+(O39*'MATERIALES (2)'!$C$21))*'MATERIALES (2)'!$F$1</f>
        <v>117625.284</v>
      </c>
      <c r="Q39" s="59">
        <f>(8*'MATERIALES (2)'!$C$125)+(8*'MATERIALES (2)'!$C$126)+(1*'MATERIALES (2)'!$C$141)+(4*'MATERIALES (2)'!$C$131)+(8*'MATERIALES (2)'!$C$133)+((8*4)*'MATERIALES (2)'!$C$134)+((O39*4)*'MATERIALES (2)'!$C$129)+(((N39*2)+(O39*4))*'MATERIALES (2)'!$C$130)+(4*'MATERIALES (2)'!$C$137)+(((N39*5)*2)*'MATERIALES (2)'!$C$136)+(4*'MATERIALES (2)'!$C$135)+(2*'MATERIALES (2)'!$C$133)+(2*'MATERIALES (2)'!$C$157)+(2*'MATERIALES (2)'!$C$134)+(10*'MATERIALES (2)'!$C$134)+(2*'MATERIALES (2)'!$C$127)</f>
        <v>8148</v>
      </c>
      <c r="R39" s="75"/>
      <c r="S39" s="55">
        <f>(N39*O39)*'MATERIALES (2)'!$D$85</f>
        <v>23976</v>
      </c>
      <c r="T39" s="59">
        <f t="shared" si="2"/>
        <v>149749.28399999999</v>
      </c>
      <c r="U39" s="67">
        <f t="shared" si="3"/>
        <v>290478.51880393503</v>
      </c>
      <c r="V39" s="57"/>
    </row>
    <row r="40" spans="1:22" ht="15.75" hidden="1" thickBot="1">
      <c r="A40" s="42">
        <v>2</v>
      </c>
      <c r="B40" s="37">
        <v>0.8</v>
      </c>
      <c r="C40" s="38">
        <f>((((A40*2)+(B40*2))*'MATERIALES (2)'!$C$5)+((A40*2)*'MATERIALES (2)'!$C$6)+((B40*2)*'MATERIALES (2)'!$C$7)+((B40*2)*'MATERIALES (2)'!$C$8))*'MATERIALES (2)'!$F$1</f>
        <v>69348.425999999992</v>
      </c>
      <c r="D40" s="38">
        <f>(8*'MATERIALES (2)'!$C$125)+(8*'MATERIALES (2)'!$C$126)+(1*'MATERIALES (2)'!$C$141)+(4*'MATERIALES (2)'!$C$131)+(8*'MATERIALES (2)'!$C$133)+((8*4)*'MATERIALES (2)'!$C$134)+((B40*4)*'MATERIALES (2)'!$C$129)+(((A40*2)+(B40*4))*'MATERIALES (2)'!$C$130)+(2*'MATERIALES (2)'!$C$127)+(4*'MATERIALES (2)'!$C$137)+(((A40*5)*2)*'MATERIALES (2)'!$C$136)+(4*'MATERIALES (2)'!$C$135)</f>
        <v>6194</v>
      </c>
      <c r="E40" s="75"/>
      <c r="F40" s="39">
        <f>(A40*B40)*'MATERIALES (2)'!$D$85</f>
        <v>11840</v>
      </c>
      <c r="G40" s="38">
        <f t="shared" si="0"/>
        <v>87382.425999999992</v>
      </c>
      <c r="H40" s="49">
        <f t="shared" si="4"/>
        <v>167636.61654027746</v>
      </c>
      <c r="I40" s="57"/>
      <c r="K40" s="385">
        <f t="shared" si="1"/>
        <v>18077.643315270048</v>
      </c>
      <c r="N40" s="68">
        <v>2</v>
      </c>
      <c r="O40" s="69">
        <v>0.8</v>
      </c>
      <c r="P40" s="59">
        <f>((((N40*2)+(O40*2))*'MATERIALES (2)'!$C$5)+((N40*2)*'MATERIALES (2)'!$C$6)+((O40*2)*'MATERIALES (2)'!$C$7)+((O40*2)*'MATERIALES (2)'!$C$8)+((2*O40)*'MATERIALES (2)'!$C$20)+(O40*'MATERIALES (2)'!$C$21))*'MATERIALES (2)'!$F$1</f>
        <v>78936.353999999992</v>
      </c>
      <c r="Q40" s="59">
        <f>(8*'MATERIALES (2)'!$C$125)+(8*'MATERIALES (2)'!$C$126)+(1*'MATERIALES (2)'!$C$141)+(4*'MATERIALES (2)'!$C$131)+(8*'MATERIALES (2)'!$C$133)+((8*4)*'MATERIALES (2)'!$C$134)+((O40*4)*'MATERIALES (2)'!$C$129)+(((N40*2)+(O40*4))*'MATERIALES (2)'!$C$130)+(4*'MATERIALES (2)'!$C$137)+(((N40*5)*2)*'MATERIALES (2)'!$C$136)+(4*'MATERIALES (2)'!$C$135)+(2*'MATERIALES (2)'!$C$133)+(2*'MATERIALES (2)'!$C$157)+(2*'MATERIALES (2)'!$C$134)+(10*'MATERIALES (2)'!$C$134)+(2*'MATERIALES (2)'!$C$127)</f>
        <v>6644</v>
      </c>
      <c r="R40" s="75"/>
      <c r="S40" s="55">
        <f>(N40*O40)*'MATERIALES (2)'!$D$85</f>
        <v>11840</v>
      </c>
      <c r="T40" s="59">
        <f t="shared" si="2"/>
        <v>97420.353999999992</v>
      </c>
      <c r="U40" s="67">
        <f t="shared" si="3"/>
        <v>185714.25985554751</v>
      </c>
      <c r="V40" s="57"/>
    </row>
    <row r="41" spans="1:22" ht="15.75" hidden="1" thickBot="1">
      <c r="A41" s="42">
        <v>2</v>
      </c>
      <c r="B41" s="37">
        <v>1</v>
      </c>
      <c r="C41" s="38">
        <f>((((A41*2)+(B41*2))*'MATERIALES (2)'!$C$5)+((A41*2)*'MATERIALES (2)'!$C$6)+((B41*2)*'MATERIALES (2)'!$C$7)+((B41*2)*'MATERIALES (2)'!$C$8))*'MATERIALES (2)'!$F$1</f>
        <v>75577.845000000001</v>
      </c>
      <c r="D41" s="38">
        <f>(8*'MATERIALES (2)'!$C$125)+(8*'MATERIALES (2)'!$C$126)+(1*'MATERIALES (2)'!$C$141)+(4*'MATERIALES (2)'!$C$131)+(8*'MATERIALES (2)'!$C$133)+((8*4)*'MATERIALES (2)'!$C$134)+((B41*4)*'MATERIALES (2)'!$C$129)+(((A41*2)+(B41*4))*'MATERIALES (2)'!$C$130)+(2*'MATERIALES (2)'!$C$127)+(4*'MATERIALES (2)'!$C$137)+(((A41*5)*2)*'MATERIALES (2)'!$C$136)+(4*'MATERIALES (2)'!$C$135)</f>
        <v>6514</v>
      </c>
      <c r="E41" s="75"/>
      <c r="F41" s="39">
        <f>(A41*B41)*'MATERIALES (2)'!$D$85</f>
        <v>14800</v>
      </c>
      <c r="G41" s="38">
        <f t="shared" si="0"/>
        <v>96891.845000000001</v>
      </c>
      <c r="H41" s="49">
        <f t="shared" si="4"/>
        <v>187329.11426026878</v>
      </c>
      <c r="I41" s="57"/>
      <c r="K41" s="385">
        <f t="shared" si="1"/>
        <v>22394.449097212491</v>
      </c>
      <c r="N41" s="68">
        <v>2</v>
      </c>
      <c r="O41" s="69">
        <v>1</v>
      </c>
      <c r="P41" s="59">
        <f>((((N41*2)+(O41*2))*'MATERIALES (2)'!$C$5)+((N41*2)*'MATERIALES (2)'!$C$6)+((O41*2)*'MATERIALES (2)'!$C$7)+((O41*2)*'MATERIALES (2)'!$C$8)+((2*O41)*'MATERIALES (2)'!$C$20)+(O41*'MATERIALES (2)'!$C$21))*'MATERIALES (2)'!$F$1</f>
        <v>87562.755000000005</v>
      </c>
      <c r="Q41" s="59">
        <f>(8*'MATERIALES (2)'!$C$125)+(8*'MATERIALES (2)'!$C$126)+(1*'MATERIALES (2)'!$C$141)+(4*'MATERIALES (2)'!$C$131)+(8*'MATERIALES (2)'!$C$133)+((8*4)*'MATERIALES (2)'!$C$134)+((O41*4)*'MATERIALES (2)'!$C$129)+(((N41*2)+(O41*4))*'MATERIALES (2)'!$C$130)+(4*'MATERIALES (2)'!$C$137)+(((N41*5)*2)*'MATERIALES (2)'!$C$136)+(4*'MATERIALES (2)'!$C$135)+(2*'MATERIALES (2)'!$C$133)+(2*'MATERIALES (2)'!$C$157)+(2*'MATERIALES (2)'!$C$134)+(10*'MATERIALES (2)'!$C$134)+(2*'MATERIALES (2)'!$C$127)</f>
        <v>6964</v>
      </c>
      <c r="R41" s="75"/>
      <c r="S41" s="55">
        <f>(N41*O41)*'MATERIALES (2)'!$D$85</f>
        <v>14800</v>
      </c>
      <c r="T41" s="59">
        <f t="shared" si="2"/>
        <v>109326.755</v>
      </c>
      <c r="U41" s="67">
        <f t="shared" si="3"/>
        <v>209723.56335748127</v>
      </c>
      <c r="V41" s="57"/>
    </row>
    <row r="42" spans="1:22" ht="15.75" hidden="1" thickBot="1">
      <c r="A42" s="42">
        <v>2</v>
      </c>
      <c r="B42" s="37">
        <v>1.1000000000000001</v>
      </c>
      <c r="C42" s="38">
        <f>((((A42*2)+(B42*2))*'MATERIALES (2)'!$C$5)+((A42*2)*'MATERIALES (2)'!$C$6)+((B42*2)*'MATERIALES (2)'!$C$7)+((B42*2)*'MATERIALES (2)'!$C$8))*'MATERIALES (2)'!$F$1</f>
        <v>78692.554499999998</v>
      </c>
      <c r="D42" s="38">
        <f>(8*'MATERIALES (2)'!$C$125)+(8*'MATERIALES (2)'!$C$126)+(1*'MATERIALES (2)'!$C$141)+(4*'MATERIALES (2)'!$C$131)+(8*'MATERIALES (2)'!$C$133)+((8*4)*'MATERIALES (2)'!$C$134)+((B42*4)*'MATERIALES (2)'!$C$129)+(((A42*2)+(B42*4))*'MATERIALES (2)'!$C$130)+(2*'MATERIALES (2)'!$C$127)+(4*'MATERIALES (2)'!$C$137)+(((A42*5)*2)*'MATERIALES (2)'!$C$136)+(4*'MATERIALES (2)'!$C$135)</f>
        <v>6674</v>
      </c>
      <c r="E42" s="75"/>
      <c r="F42" s="39">
        <f>(A42*B42)*'MATERIALES (2)'!$D$85</f>
        <v>16280.000000000002</v>
      </c>
      <c r="G42" s="38">
        <f t="shared" si="0"/>
        <v>101646.5545</v>
      </c>
      <c r="H42" s="49">
        <f t="shared" si="4"/>
        <v>197175.3631202644</v>
      </c>
      <c r="I42" s="57"/>
      <c r="K42" s="385">
        <f t="shared" si="1"/>
        <v>24552.851988183742</v>
      </c>
      <c r="N42" s="68">
        <v>2</v>
      </c>
      <c r="O42" s="69">
        <v>1.1000000000000001</v>
      </c>
      <c r="P42" s="59">
        <f>((((N42*2)+(O42*2))*'MATERIALES (2)'!$C$5)+((N42*2)*'MATERIALES (2)'!$C$6)+((O42*2)*'MATERIALES (2)'!$C$7)+((O42*2)*'MATERIALES (2)'!$C$8)+((2*O42)*'MATERIALES (2)'!$C$20)+(O42*'MATERIALES (2)'!$C$21))*'MATERIALES (2)'!$F$1</f>
        <v>91875.955500000011</v>
      </c>
      <c r="Q42" s="59">
        <f>(8*'MATERIALES (2)'!$C$125)+(8*'MATERIALES (2)'!$C$126)+(1*'MATERIALES (2)'!$C$141)+(4*'MATERIALES (2)'!$C$131)+(8*'MATERIALES (2)'!$C$133)+((8*4)*'MATERIALES (2)'!$C$134)+((O42*4)*'MATERIALES (2)'!$C$129)+(((N42*2)+(O42*4))*'MATERIALES (2)'!$C$130)+(4*'MATERIALES (2)'!$C$137)+(((N42*5)*2)*'MATERIALES (2)'!$C$136)+(4*'MATERIALES (2)'!$C$135)+(2*'MATERIALES (2)'!$C$133)+(2*'MATERIALES (2)'!$C$157)+(2*'MATERIALES (2)'!$C$134)+(10*'MATERIALES (2)'!$C$134)+(2*'MATERIALES (2)'!$C$127)</f>
        <v>7124</v>
      </c>
      <c r="R42" s="75"/>
      <c r="S42" s="55">
        <f>(N42*O42)*'MATERIALES (2)'!$D$85</f>
        <v>16280.000000000002</v>
      </c>
      <c r="T42" s="59">
        <f t="shared" si="2"/>
        <v>115279.95550000001</v>
      </c>
      <c r="U42" s="67">
        <f t="shared" si="3"/>
        <v>221728.21510844814</v>
      </c>
      <c r="V42" s="57"/>
    </row>
    <row r="43" spans="1:22" ht="15.75" hidden="1" thickBot="1">
      <c r="A43" s="42">
        <v>2</v>
      </c>
      <c r="B43" s="37">
        <v>1.2</v>
      </c>
      <c r="C43" s="38">
        <f>((((A43*2)+(B43*2))*'MATERIALES (2)'!$C$5)+((A43*2)*'MATERIALES (2)'!$C$6)+((B43*2)*'MATERIALES (2)'!$C$7)+((B43*2)*'MATERIALES (2)'!$C$8))*'MATERIALES (2)'!$F$1</f>
        <v>81807.263999999996</v>
      </c>
      <c r="D43" s="38">
        <f>(8*'MATERIALES (2)'!$C$125)+(8*'MATERIALES (2)'!$C$126)+(1*'MATERIALES (2)'!$C$141)+(4*'MATERIALES (2)'!$C$131)+(8*'MATERIALES (2)'!$C$133)+((8*4)*'MATERIALES (2)'!$C$134)+((B43*4)*'MATERIALES (2)'!$C$129)+(((A43*2)+(B43*4))*'MATERIALES (2)'!$C$130)+(2*'MATERIALES (2)'!$C$127)+(4*'MATERIALES (2)'!$C$137)+(((A43*5)*2)*'MATERIALES (2)'!$C$136)+(4*'MATERIALES (2)'!$C$135)</f>
        <v>6834</v>
      </c>
      <c r="E43" s="75"/>
      <c r="F43" s="39">
        <f>(A43*B43)*'MATERIALES (2)'!$D$85</f>
        <v>17760</v>
      </c>
      <c r="G43" s="38">
        <f t="shared" si="0"/>
        <v>106401.264</v>
      </c>
      <c r="H43" s="49">
        <f t="shared" si="4"/>
        <v>207021.61198026</v>
      </c>
      <c r="I43" s="57"/>
      <c r="K43" s="385">
        <f t="shared" si="1"/>
        <v>26711.254879154963</v>
      </c>
      <c r="N43" s="68">
        <v>2</v>
      </c>
      <c r="O43" s="69">
        <v>1.2</v>
      </c>
      <c r="P43" s="59">
        <f>((((N43*2)+(O43*2))*'MATERIALES (2)'!$C$5)+((N43*2)*'MATERIALES (2)'!$C$6)+((O43*2)*'MATERIALES (2)'!$C$7)+((O43*2)*'MATERIALES (2)'!$C$8)+((2*O43)*'MATERIALES (2)'!$C$20)+(O43*'MATERIALES (2)'!$C$21))*'MATERIALES (2)'!$F$1</f>
        <v>96189.155999999988</v>
      </c>
      <c r="Q43" s="59">
        <f>(8*'MATERIALES (2)'!$C$125)+(8*'MATERIALES (2)'!$C$126)+(1*'MATERIALES (2)'!$C$141)+(4*'MATERIALES (2)'!$C$131)+(8*'MATERIALES (2)'!$C$133)+((8*4)*'MATERIALES (2)'!$C$134)+((O43*4)*'MATERIALES (2)'!$C$129)+(((N43*2)+(O43*4))*'MATERIALES (2)'!$C$130)+(4*'MATERIALES (2)'!$C$137)+(((N43*5)*2)*'MATERIALES (2)'!$C$136)+(4*'MATERIALES (2)'!$C$135)+(2*'MATERIALES (2)'!$C$133)+(2*'MATERIALES (2)'!$C$157)+(2*'MATERIALES (2)'!$C$134)+(10*'MATERIALES (2)'!$C$134)+(2*'MATERIALES (2)'!$C$127)</f>
        <v>7284</v>
      </c>
      <c r="R43" s="75"/>
      <c r="S43" s="55">
        <f>(N43*O43)*'MATERIALES (2)'!$D$85</f>
        <v>17760</v>
      </c>
      <c r="T43" s="59">
        <f t="shared" si="2"/>
        <v>121233.15599999999</v>
      </c>
      <c r="U43" s="67">
        <f t="shared" si="3"/>
        <v>233732.86685941496</v>
      </c>
      <c r="V43" s="57"/>
    </row>
    <row r="44" spans="1:22" ht="15.75" hidden="1" thickBot="1">
      <c r="A44" s="42">
        <v>2</v>
      </c>
      <c r="B44" s="37">
        <v>1.5</v>
      </c>
      <c r="C44" s="38">
        <f>((((A44*2)+(B44*2))*'MATERIALES (2)'!$C$5)+((A44*2)*'MATERIALES (2)'!$C$6)+((B44*2)*'MATERIALES (2)'!$C$7)+((B44*2)*'MATERIALES (2)'!$C$8))*'MATERIALES (2)'!$F$1</f>
        <v>91151.392499999987</v>
      </c>
      <c r="D44" s="38">
        <f>(8*'MATERIALES (2)'!$C$125)+(8*'MATERIALES (2)'!$C$126)+(1*'MATERIALES (2)'!$C$141)+(4*'MATERIALES (2)'!$C$131)+(8*'MATERIALES (2)'!$C$133)+((8*4)*'MATERIALES (2)'!$C$134)+((B44*4)*'MATERIALES (2)'!$C$129)+(((A44*2)+(B44*4))*'MATERIALES (2)'!$C$130)+(2*'MATERIALES (2)'!$C$127)+(4*'MATERIALES (2)'!$C$137)+(((A44*5)*2)*'MATERIALES (2)'!$C$136)+(4*'MATERIALES (2)'!$C$135)</f>
        <v>7314</v>
      </c>
      <c r="E44" s="75"/>
      <c r="F44" s="39">
        <f>(A44*B44)*'MATERIALES (2)'!$D$85</f>
        <v>22200</v>
      </c>
      <c r="G44" s="38">
        <f t="shared" si="0"/>
        <v>120665.39249999999</v>
      </c>
      <c r="H44" s="49">
        <f t="shared" si="4"/>
        <v>236560.35856024685</v>
      </c>
      <c r="I44" s="57"/>
      <c r="K44" s="385">
        <f t="shared" si="1"/>
        <v>33186.463552068832</v>
      </c>
      <c r="N44" s="68">
        <v>2</v>
      </c>
      <c r="O44" s="69">
        <v>1.5</v>
      </c>
      <c r="P44" s="59">
        <f>((((N44*2)+(O44*2))*'MATERIALES (2)'!$C$5)+((N44*2)*'MATERIALES (2)'!$C$6)+((O44*2)*'MATERIALES (2)'!$C$7)+((O44*2)*'MATERIALES (2)'!$C$8)+((2*O44)*'MATERIALES (2)'!$C$20)+(O44*'MATERIALES (2)'!$C$21))*'MATERIALES (2)'!$F$1</f>
        <v>109128.75750000001</v>
      </c>
      <c r="Q44" s="59">
        <f>(8*'MATERIALES (2)'!$C$125)+(8*'MATERIALES (2)'!$C$126)+(1*'MATERIALES (2)'!$C$141)+(4*'MATERIALES (2)'!$C$131)+(8*'MATERIALES (2)'!$C$133)+((8*4)*'MATERIALES (2)'!$C$134)+((O44*4)*'MATERIALES (2)'!$C$129)+(((N44*2)+(O44*4))*'MATERIALES (2)'!$C$130)+(4*'MATERIALES (2)'!$C$137)+(((N44*5)*2)*'MATERIALES (2)'!$C$136)+(4*'MATERIALES (2)'!$C$135)+(2*'MATERIALES (2)'!$C$133)+(2*'MATERIALES (2)'!$C$157)+(2*'MATERIALES (2)'!$C$134)+(10*'MATERIALES (2)'!$C$134)+(2*'MATERIALES (2)'!$C$127)</f>
        <v>7764</v>
      </c>
      <c r="R44" s="75"/>
      <c r="S44" s="55">
        <f>(N44*O44)*'MATERIALES (2)'!$D$85</f>
        <v>22200</v>
      </c>
      <c r="T44" s="59">
        <f t="shared" si="2"/>
        <v>139092.75750000001</v>
      </c>
      <c r="U44" s="67">
        <f t="shared" si="3"/>
        <v>269746.82211231568</v>
      </c>
      <c r="V44" s="57"/>
    </row>
    <row r="45" spans="1:22" ht="15.75" hidden="1" thickBot="1">
      <c r="A45" s="42">
        <v>2</v>
      </c>
      <c r="B45" s="37">
        <v>1.8</v>
      </c>
      <c r="C45" s="38">
        <f>((((A45*2)+(B45*2))*'MATERIALES (2)'!$C$5)+((A45*2)*'MATERIALES (2)'!$C$6)+((B45*2)*'MATERIALES (2)'!$C$7)+((B45*2)*'MATERIALES (2)'!$C$8))*'MATERIALES (2)'!$F$1</f>
        <v>100495.52099999999</v>
      </c>
      <c r="D45" s="38">
        <f>(8*'MATERIALES (2)'!$C$125)+(8*'MATERIALES (2)'!$C$126)+(1*'MATERIALES (2)'!$C$141)+(4*'MATERIALES (2)'!$C$131)+(8*'MATERIALES (2)'!$C$133)+((8*4)*'MATERIALES (2)'!$C$134)+((B45*4)*'MATERIALES (2)'!$C$129)+(((A45*2)+(B45*4))*'MATERIALES (2)'!$C$130)+(2*'MATERIALES (2)'!$C$127)+(4*'MATERIALES (2)'!$C$137)+(((A45*5)*2)*'MATERIALES (2)'!$C$136)+(4*'MATERIALES (2)'!$C$135)</f>
        <v>7794</v>
      </c>
      <c r="E45" s="75"/>
      <c r="F45" s="39">
        <f>(A45*B45)*'MATERIALES (2)'!$D$85</f>
        <v>26640</v>
      </c>
      <c r="G45" s="38">
        <f t="shared" si="0"/>
        <v>134929.52100000001</v>
      </c>
      <c r="H45" s="49">
        <f t="shared" si="4"/>
        <v>266099.10514023376</v>
      </c>
      <c r="I45" s="57"/>
      <c r="K45" s="386">
        <f t="shared" si="1"/>
        <v>39661.672224982467</v>
      </c>
      <c r="N45" s="68">
        <v>2</v>
      </c>
      <c r="O45" s="69">
        <v>1.8</v>
      </c>
      <c r="P45" s="59">
        <f>((((N45*2)+(O45*2))*'MATERIALES (2)'!$C$5)+((N45*2)*'MATERIALES (2)'!$C$6)+((O45*2)*'MATERIALES (2)'!$C$7)+((O45*2)*'MATERIALES (2)'!$C$8)+((2*O45)*'MATERIALES (2)'!$C$20)+(O45*'MATERIALES (2)'!$C$21))*'MATERIALES (2)'!$F$1</f>
        <v>122068.359</v>
      </c>
      <c r="Q45" s="59">
        <f>(8*'MATERIALES (2)'!$C$125)+(8*'MATERIALES (2)'!$C$126)+(1*'MATERIALES (2)'!$C$141)+(4*'MATERIALES (2)'!$C$131)+(8*'MATERIALES (2)'!$C$133)+((8*4)*'MATERIALES (2)'!$C$134)+((O45*4)*'MATERIALES (2)'!$C$129)+(((N45*2)+(O45*4))*'MATERIALES (2)'!$C$130)+(4*'MATERIALES (2)'!$C$137)+(((N45*5)*2)*'MATERIALES (2)'!$C$136)+(4*'MATERIALES (2)'!$C$135)+(2*'MATERIALES (2)'!$C$133)+(2*'MATERIALES (2)'!$C$157)+(2*'MATERIALES (2)'!$C$134)+(10*'MATERIALES (2)'!$C$134)+(2*'MATERIALES (2)'!$C$127)</f>
        <v>8244</v>
      </c>
      <c r="R45" s="75"/>
      <c r="S45" s="55">
        <f>(N45*O45)*'MATERIALES (2)'!$D$85</f>
        <v>26640</v>
      </c>
      <c r="T45" s="59">
        <f t="shared" si="2"/>
        <v>156952.359</v>
      </c>
      <c r="U45" s="67">
        <f t="shared" si="3"/>
        <v>305760.77736521623</v>
      </c>
      <c r="V45" s="57"/>
    </row>
    <row r="46" spans="1:22" ht="15.75" hidden="1" thickBot="1">
      <c r="A46" s="42">
        <v>0</v>
      </c>
      <c r="B46" s="37">
        <v>0</v>
      </c>
      <c r="C46" s="38">
        <f>((((A46*2)+(B46*2))*'MATERIALES (2)'!$C$5)+((A46*2)*'MATERIALES (2)'!$C$6)+((B46*2)*'MATERIALES (2)'!$C$7)+((B46*2)*'MATERIALES (2)'!$C$8))*'MATERIALES (2)'!$F$1</f>
        <v>0</v>
      </c>
      <c r="D46" s="38">
        <f>(8*'MATERIALES (2)'!$C$125)+(8*'MATERIALES (2)'!$C$126)+(1*'MATERIALES (2)'!$C$141)+(4*'MATERIALES (2)'!$C$131)+(8*'MATERIALES (2)'!$C$133)+((8*4)*'MATERIALES (2)'!$C$134)+((B46*4)*'MATERIALES (2)'!$C$129)+(((A46*2)+(B46*4))*'MATERIALES (2)'!$C$130)+(2*'MATERIALES (2)'!$C$127)+(4*'MATERIALES (2)'!$C$137)+(((A46*5)*2)*'MATERIALES (2)'!$C$136)+(4*'MATERIALES (2)'!$C$135)</f>
        <v>3954</v>
      </c>
      <c r="E46" s="75"/>
      <c r="F46" s="39">
        <f>(A46*B46)*'MATERIALES (2)'!$D$85</f>
        <v>0</v>
      </c>
      <c r="G46" s="38">
        <f t="shared" si="0"/>
        <v>3954</v>
      </c>
      <c r="H46" s="49">
        <f t="shared" si="4"/>
        <v>7120.8920475000014</v>
      </c>
      <c r="I46" s="57"/>
      <c r="N46" s="68">
        <v>0</v>
      </c>
      <c r="O46" s="69">
        <v>0</v>
      </c>
      <c r="P46" s="59">
        <f>((((N46*2)+(O46*2))*'MATERIALES (2)'!$C$5)+((N46*2)*'MATERIALES (2)'!$C$6)+((O46*2)*'MATERIALES (2)'!$C$7)+((O46*2)*'MATERIALES (2)'!$C$8)+((2*O46)*'MATERIALES (2)'!$C$20)+(O46*'MATERIALES (2)'!$C$21))*'MATERIALES (2)'!$F$1</f>
        <v>0</v>
      </c>
      <c r="Q46" s="59">
        <f>(8*'MATERIALES (2)'!$C$125)+(8*'MATERIALES (2)'!$C$126)+(1*'MATERIALES (2)'!$C$141)+(4*'MATERIALES (2)'!$C$131)+(8*'MATERIALES (2)'!$C$133)+((8*4)*'MATERIALES (2)'!$C$134)+((O46*4)*'MATERIALES (2)'!$C$129)+(((N46*2)+(O46*4))*'MATERIALES (2)'!$C$130)+(4*'MATERIALES (2)'!$C$137)+(((N46*5)*2)*'MATERIALES (2)'!$C$136)+(4*'MATERIALES (2)'!$C$135)+(2*'MATERIALES (2)'!$C$133)+(2*'MATERIALES (2)'!$C$157)+(2*'MATERIALES (2)'!$C$134)+(10*'MATERIALES (2)'!$C$134)+(2*'MATERIALES (2)'!$C$127)</f>
        <v>4404</v>
      </c>
      <c r="R46" s="75"/>
      <c r="S46" s="55">
        <f>(N46*O46)*'MATERIALES (2)'!$D$85</f>
        <v>0</v>
      </c>
      <c r="T46" s="59">
        <f t="shared" si="2"/>
        <v>4404</v>
      </c>
      <c r="U46" s="67">
        <f t="shared" si="3"/>
        <v>7931.3122350000012</v>
      </c>
      <c r="V46" s="57"/>
    </row>
    <row r="47" spans="1:22" ht="15.75" hidden="1" thickBot="1">
      <c r="A47" s="42">
        <v>0</v>
      </c>
      <c r="B47" s="37">
        <v>0</v>
      </c>
      <c r="C47" s="38">
        <f>((((A47*2)+(B47*2))*'MATERIALES (2)'!$C$5)+((A47*2)*'MATERIALES (2)'!$C$6)+((B47*2)*'MATERIALES (2)'!$C$7)+((B47*2)*'MATERIALES (2)'!$C$8))*'MATERIALES (2)'!$F$1</f>
        <v>0</v>
      </c>
      <c r="D47" s="38">
        <f>(8*'MATERIALES (2)'!$C$125)+(8*'MATERIALES (2)'!$C$126)+(1*'MATERIALES (2)'!$C$141)+(4*'MATERIALES (2)'!$C$131)+(8*'MATERIALES (2)'!$C$133)+((8*4)*'MATERIALES (2)'!$C$134)+((B47*4)*'MATERIALES (2)'!$C$129)+(((A47*2)+(B47*4))*'MATERIALES (2)'!$C$130)+(2*'MATERIALES (2)'!$C$127)+(4*'MATERIALES (2)'!$C$137)+(((A47*5)*2)*'MATERIALES (2)'!$C$136)+(4*'MATERIALES (2)'!$C$135)</f>
        <v>3954</v>
      </c>
      <c r="E47" s="75"/>
      <c r="F47" s="39">
        <f>(A47*B47)*'MATERIALES (2)'!$D$85</f>
        <v>0</v>
      </c>
      <c r="G47" s="38">
        <f t="shared" si="0"/>
        <v>3954</v>
      </c>
      <c r="H47" s="49">
        <f t="shared" si="4"/>
        <v>7120.8920475000014</v>
      </c>
      <c r="I47" s="57"/>
      <c r="N47" s="68">
        <v>0</v>
      </c>
      <c r="O47" s="69">
        <v>0</v>
      </c>
      <c r="P47" s="59">
        <f>((((N47*2)+(O47*2))*'MATERIALES (2)'!$C$5)+((N47*2)*'MATERIALES (2)'!$C$6)+((O47*2)*'MATERIALES (2)'!$C$7)+((O47*2)*'MATERIALES (2)'!$C$8)+((2*O47)*'MATERIALES (2)'!$C$20)+(O47*'MATERIALES (2)'!$C$21))*'MATERIALES (2)'!$F$1</f>
        <v>0</v>
      </c>
      <c r="Q47" s="59">
        <f>(8*'MATERIALES (2)'!$C$125)+(8*'MATERIALES (2)'!$C$126)+(1*'MATERIALES (2)'!$C$141)+(4*'MATERIALES (2)'!$C$131)+(8*'MATERIALES (2)'!$C$133)+((8*4)*'MATERIALES (2)'!$C$134)+((O47*4)*'MATERIALES (2)'!$C$129)+(((N47*2)+(O47*4))*'MATERIALES (2)'!$C$130)+(4*'MATERIALES (2)'!$C$137)+(((N47*5)*2)*'MATERIALES (2)'!$C$136)+(4*'MATERIALES (2)'!$C$135)+(2*'MATERIALES (2)'!$C$133)+(2*'MATERIALES (2)'!$C$157)+(2*'MATERIALES (2)'!$C$134)+(10*'MATERIALES (2)'!$C$134)+(2*'MATERIALES (2)'!$C$127)</f>
        <v>4404</v>
      </c>
      <c r="R47" s="75"/>
      <c r="S47" s="55">
        <f>(N47*O47)*'MATERIALES (2)'!$D$85</f>
        <v>0</v>
      </c>
      <c r="T47" s="59">
        <f t="shared" si="2"/>
        <v>4404</v>
      </c>
      <c r="U47" s="67">
        <f t="shared" si="3"/>
        <v>7931.3122350000012</v>
      </c>
      <c r="V47" s="57"/>
    </row>
    <row r="48" spans="1:22" ht="15.75" hidden="1" thickBot="1">
      <c r="A48" s="42">
        <v>0</v>
      </c>
      <c r="B48" s="37">
        <v>0</v>
      </c>
      <c r="C48" s="38">
        <f>((((A48*2)+(B48*2))*'MATERIALES (2)'!$C$5)+((A48*2)*'MATERIALES (2)'!$C$6)+((B48*2)*'MATERIALES (2)'!$C$7)+((B48*2)*'MATERIALES (2)'!$C$8))*'MATERIALES (2)'!$F$1</f>
        <v>0</v>
      </c>
      <c r="D48" s="38">
        <f>(8*'MATERIALES (2)'!$C$125)+(8*'MATERIALES (2)'!$C$126)+(1*'MATERIALES (2)'!$C$141)+(4*'MATERIALES (2)'!$C$131)+(8*'MATERIALES (2)'!$C$133)+((8*4)*'MATERIALES (2)'!$C$134)+((B48*4)*'MATERIALES (2)'!$C$129)+(((A48*2)+(B48*4))*'MATERIALES (2)'!$C$130)+(2*'MATERIALES (2)'!$C$127)+(4*'MATERIALES (2)'!$C$137)+(((A48*5)*2)*'MATERIALES (2)'!$C$136)+(4*'MATERIALES (2)'!$C$135)</f>
        <v>3954</v>
      </c>
      <c r="E48" s="75"/>
      <c r="F48" s="39">
        <f>(A48*B48)*'MATERIALES (2)'!$D$85</f>
        <v>0</v>
      </c>
      <c r="G48" s="38">
        <f t="shared" si="0"/>
        <v>3954</v>
      </c>
      <c r="H48" s="49">
        <f t="shared" si="4"/>
        <v>7120.8920475000014</v>
      </c>
      <c r="I48" s="57"/>
      <c r="N48" s="68">
        <v>0</v>
      </c>
      <c r="O48" s="69">
        <v>0</v>
      </c>
      <c r="P48" s="59">
        <f>((((N48*2)+(O48*2))*'MATERIALES (2)'!$C$5)+((N48*2)*'MATERIALES (2)'!$C$6)+((O48*2)*'MATERIALES (2)'!$C$7)+((O48*2)*'MATERIALES (2)'!$C$8)+((2*O48)*'MATERIALES (2)'!$C$20)+(O48*'MATERIALES (2)'!$C$21))*'MATERIALES (2)'!$F$1</f>
        <v>0</v>
      </c>
      <c r="Q48" s="59">
        <f>(8*'MATERIALES (2)'!$C$125)+(8*'MATERIALES (2)'!$C$126)+(1*'MATERIALES (2)'!$C$141)+(4*'MATERIALES (2)'!$C$131)+(8*'MATERIALES (2)'!$C$133)+((8*4)*'MATERIALES (2)'!$C$134)+((O48*4)*'MATERIALES (2)'!$C$129)+(((N48*2)+(O48*4))*'MATERIALES (2)'!$C$130)+(4*'MATERIALES (2)'!$C$137)+(((N48*5)*2)*'MATERIALES (2)'!$C$136)+(4*'MATERIALES (2)'!$C$135)+(2*'MATERIALES (2)'!$C$133)+(2*'MATERIALES (2)'!$C$157)+(2*'MATERIALES (2)'!$C$134)+(10*'MATERIALES (2)'!$C$134)+(2*'MATERIALES (2)'!$C$127)</f>
        <v>4404</v>
      </c>
      <c r="R48" s="75"/>
      <c r="S48" s="55">
        <f>(N48*O48)*'MATERIALES (2)'!$D$85</f>
        <v>0</v>
      </c>
      <c r="T48" s="59">
        <f t="shared" si="2"/>
        <v>4404</v>
      </c>
      <c r="U48" s="67">
        <f t="shared" si="3"/>
        <v>7931.3122350000012</v>
      </c>
      <c r="V48" s="57"/>
    </row>
    <row r="49" spans="1:22" ht="15.75" hidden="1" thickBot="1">
      <c r="A49" s="42">
        <v>2.2000000000000002</v>
      </c>
      <c r="B49" s="37">
        <v>1</v>
      </c>
      <c r="C49" s="38">
        <f>((((A49*2)+(B49*2))*'MATERIALES (2)'!$C$5)+((A49*2)*'MATERIALES (2)'!$C$6)+((B49*2)*'MATERIALES (2)'!$C$7)+((B49*2)*'MATERIALES (2)'!$C$8))*'MATERIALES (2)'!$F$1</f>
        <v>80020.920000000013</v>
      </c>
      <c r="D49" s="38">
        <f>(8*'MATERIALES (2)'!$C$125)+(8*'MATERIALES (2)'!$C$126)+(1*'MATERIALES (2)'!$C$141)+(4*'MATERIALES (2)'!$C$131)+(8*'MATERIALES (2)'!$C$133)+((8*4)*'MATERIALES (2)'!$C$134)+((B49*4)*'MATERIALES (2)'!$C$129)+(((A49*2)+(B49*4))*'MATERIALES (2)'!$C$130)+(2*'MATERIALES (2)'!$C$127)+(4*'MATERIALES (2)'!$C$137)+(((A49*5)*2)*'MATERIALES (2)'!$C$136)+(4*'MATERIALES (2)'!$C$135)</f>
        <v>6610</v>
      </c>
      <c r="E49" s="75"/>
      <c r="F49" s="39">
        <f>(A49*B49)*'MATERIALES (2)'!$D$85</f>
        <v>16280.000000000002</v>
      </c>
      <c r="G49" s="38">
        <f t="shared" si="0"/>
        <v>102910.92000000001</v>
      </c>
      <c r="H49" s="49">
        <f t="shared" si="4"/>
        <v>199452.40162155006</v>
      </c>
      <c r="I49" s="57"/>
      <c r="N49" s="68">
        <v>2.2000000000000002</v>
      </c>
      <c r="O49" s="69">
        <v>1</v>
      </c>
      <c r="P49" s="59">
        <f>((((N49*2)+(O49*2))*'MATERIALES (2)'!$C$5)+((N49*2)*'MATERIALES (2)'!$C$6)+((O49*2)*'MATERIALES (2)'!$C$7)+((O49*2)*'MATERIALES (2)'!$C$8)+((2*O49)*'MATERIALES (2)'!$C$20)+(O49*'MATERIALES (2)'!$C$21))*'MATERIALES (2)'!$F$1</f>
        <v>92005.83</v>
      </c>
      <c r="Q49" s="59">
        <f>(8*'MATERIALES (2)'!$C$125)+(8*'MATERIALES (2)'!$C$126)+(1*'MATERIALES (2)'!$C$141)+(4*'MATERIALES (2)'!$C$131)+(8*'MATERIALES (2)'!$C$133)+((8*4)*'MATERIALES (2)'!$C$134)+((O49*4)*'MATERIALES (2)'!$C$129)+(((N49*2)+(O49*4))*'MATERIALES (2)'!$C$130)+(4*'MATERIALES (2)'!$C$137)+(((N49*5)*2)*'MATERIALES (2)'!$C$136)+(4*'MATERIALES (2)'!$C$135)+(2*'MATERIALES (2)'!$C$133)+(2*'MATERIALES (2)'!$C$157)+(2*'MATERIALES (2)'!$C$134)+(10*'MATERIALES (2)'!$C$134)+(2*'MATERIALES (2)'!$C$127)</f>
        <v>7060</v>
      </c>
      <c r="R49" s="75"/>
      <c r="S49" s="55">
        <f>(N49*O49)*'MATERIALES (2)'!$D$85</f>
        <v>16280.000000000002</v>
      </c>
      <c r="T49" s="59">
        <f t="shared" si="2"/>
        <v>115345.83</v>
      </c>
      <c r="U49" s="67">
        <f t="shared" si="3"/>
        <v>221846.85071876255</v>
      </c>
      <c r="V49" s="57"/>
    </row>
    <row r="50" spans="1:22" ht="15.75" hidden="1" thickBot="1">
      <c r="A50" s="42">
        <v>2.2000000000000002</v>
      </c>
      <c r="B50" s="37">
        <v>1.2</v>
      </c>
      <c r="C50" s="38">
        <f>((((A50*2)+(B50*2))*'MATERIALES (2)'!$C$5)+((A50*2)*'MATERIALES (2)'!$C$6)+((B50*2)*'MATERIALES (2)'!$C$7)+((B50*2)*'MATERIALES (2)'!$C$8))*'MATERIALES (2)'!$F$1</f>
        <v>86250.339000000007</v>
      </c>
      <c r="D50" s="38">
        <f>(8*'MATERIALES (2)'!$C$125)+(8*'MATERIALES (2)'!$C$126)+(1*'MATERIALES (2)'!$C$141)+(4*'MATERIALES (2)'!$C$131)+(8*'MATERIALES (2)'!$C$133)+((8*4)*'MATERIALES (2)'!$C$134)+((B50*4)*'MATERIALES (2)'!$C$129)+(((A50*2)+(B50*4))*'MATERIALES (2)'!$C$130)+(2*'MATERIALES (2)'!$C$127)+(4*'MATERIALES (2)'!$C$137)+(((A50*5)*2)*'MATERIALES (2)'!$C$136)+(4*'MATERIALES (2)'!$C$135)</f>
        <v>6930</v>
      </c>
      <c r="E50" s="75"/>
      <c r="F50" s="39">
        <f>(A50*B50)*'MATERIALES (2)'!$D$85</f>
        <v>19536</v>
      </c>
      <c r="G50" s="38">
        <f t="shared" si="0"/>
        <v>112716.33900000001</v>
      </c>
      <c r="H50" s="49">
        <f t="shared" si="4"/>
        <v>219934.64214154126</v>
      </c>
      <c r="I50" s="57"/>
      <c r="N50" s="68">
        <v>2.2000000000000002</v>
      </c>
      <c r="O50" s="69">
        <v>1.2</v>
      </c>
      <c r="P50" s="59">
        <f>((((N50*2)+(O50*2))*'MATERIALES (2)'!$C$5)+((N50*2)*'MATERIALES (2)'!$C$6)+((O50*2)*'MATERIALES (2)'!$C$7)+((O50*2)*'MATERIALES (2)'!$C$8)+((2*O50)*'MATERIALES (2)'!$C$20)+(O50*'MATERIALES (2)'!$C$21))*'MATERIALES (2)'!$F$1</f>
        <v>100632.231</v>
      </c>
      <c r="Q50" s="59">
        <f>(8*'MATERIALES (2)'!$C$125)+(8*'MATERIALES (2)'!$C$126)+(1*'MATERIALES (2)'!$C$141)+(4*'MATERIALES (2)'!$C$131)+(8*'MATERIALES (2)'!$C$133)+((8*4)*'MATERIALES (2)'!$C$134)+((O50*4)*'MATERIALES (2)'!$C$129)+(((N50*2)+(O50*4))*'MATERIALES (2)'!$C$130)+(4*'MATERIALES (2)'!$C$137)+(((N50*5)*2)*'MATERIALES (2)'!$C$136)+(4*'MATERIALES (2)'!$C$135)+(2*'MATERIALES (2)'!$C$133)+(2*'MATERIALES (2)'!$C$157)+(2*'MATERIALES (2)'!$C$134)+(10*'MATERIALES (2)'!$C$134)+(2*'MATERIALES (2)'!$C$127)</f>
        <v>7380</v>
      </c>
      <c r="R50" s="75"/>
      <c r="S50" s="55">
        <f>(N50*O50)*'MATERIALES (2)'!$D$85</f>
        <v>19536</v>
      </c>
      <c r="T50" s="59">
        <f t="shared" si="2"/>
        <v>127548.231</v>
      </c>
      <c r="U50" s="67">
        <f t="shared" si="3"/>
        <v>246645.89702069628</v>
      </c>
      <c r="V50" s="57"/>
    </row>
    <row r="51" spans="1:22" ht="15.75" hidden="1" thickBot="1">
      <c r="A51" s="42">
        <v>2.2000000000000002</v>
      </c>
      <c r="B51" s="37">
        <v>1.5</v>
      </c>
      <c r="C51" s="38">
        <f>((((A51*2)+(B51*2))*'MATERIALES (2)'!$C$5)+((A51*2)*'MATERIALES (2)'!$C$6)+((B51*2)*'MATERIALES (2)'!$C$7)+((B51*2)*'MATERIALES (2)'!$C$8))*'MATERIALES (2)'!$F$1</f>
        <v>95594.467499999999</v>
      </c>
      <c r="D51" s="38">
        <f>(8*'MATERIALES (2)'!$C$125)+(8*'MATERIALES (2)'!$C$126)+(1*'MATERIALES (2)'!$C$141)+(4*'MATERIALES (2)'!$C$131)+(8*'MATERIALES (2)'!$C$133)+((8*4)*'MATERIALES (2)'!$C$134)+((B51*4)*'MATERIALES (2)'!$C$129)+(((A51*2)+(B51*4))*'MATERIALES (2)'!$C$130)+(2*'MATERIALES (2)'!$C$127)+(4*'MATERIALES (2)'!$C$137)+(((A51*5)*2)*'MATERIALES (2)'!$C$136)+(4*'MATERIALES (2)'!$C$135)</f>
        <v>7410</v>
      </c>
      <c r="E51" s="75"/>
      <c r="F51" s="39">
        <f>(A51*B51)*'MATERIALES (2)'!$D$85</f>
        <v>24420.000000000004</v>
      </c>
      <c r="G51" s="38">
        <f t="shared" si="0"/>
        <v>127424.4675</v>
      </c>
      <c r="H51" s="49">
        <f t="shared" si="4"/>
        <v>250658.00292152818</v>
      </c>
      <c r="I51" s="57"/>
      <c r="N51" s="68">
        <v>2.2000000000000002</v>
      </c>
      <c r="O51" s="69">
        <v>1.5</v>
      </c>
      <c r="P51" s="59">
        <f>((((N51*2)+(O51*2))*'MATERIALES (2)'!$C$5)+((N51*2)*'MATERIALES (2)'!$C$6)+((O51*2)*'MATERIALES (2)'!$C$7)+((O51*2)*'MATERIALES (2)'!$C$8)+((2*O51)*'MATERIALES (2)'!$C$20)+(O51*'MATERIALES (2)'!$C$21))*'MATERIALES (2)'!$F$1</f>
        <v>113571.83250000002</v>
      </c>
      <c r="Q51" s="59">
        <f>(8*'MATERIALES (2)'!$C$125)+(8*'MATERIALES (2)'!$C$126)+(1*'MATERIALES (2)'!$C$141)+(4*'MATERIALES (2)'!$C$131)+(8*'MATERIALES (2)'!$C$133)+((8*4)*'MATERIALES (2)'!$C$134)+((O51*4)*'MATERIALES (2)'!$C$129)+(((N51*2)+(O51*4))*'MATERIALES (2)'!$C$130)+(4*'MATERIALES (2)'!$C$137)+(((N51*5)*2)*'MATERIALES (2)'!$C$136)+(4*'MATERIALES (2)'!$C$135)+(2*'MATERIALES (2)'!$C$133)+(2*'MATERIALES (2)'!$C$157)+(2*'MATERIALES (2)'!$C$134)+(10*'MATERIALES (2)'!$C$134)+(2*'MATERIALES (2)'!$C$127)</f>
        <v>7860</v>
      </c>
      <c r="R51" s="75"/>
      <c r="S51" s="55">
        <f>(N51*O51)*'MATERIALES (2)'!$D$85</f>
        <v>24420.000000000004</v>
      </c>
      <c r="T51" s="59">
        <f t="shared" si="2"/>
        <v>145851.83250000002</v>
      </c>
      <c r="U51" s="67">
        <f t="shared" si="3"/>
        <v>283844.46647359693</v>
      </c>
      <c r="V51" s="57"/>
    </row>
    <row r="52" spans="1:22" ht="15.75" hidden="1" thickBot="1">
      <c r="A52" s="42">
        <v>2.2000000000000002</v>
      </c>
      <c r="B52" s="37">
        <v>1.8</v>
      </c>
      <c r="C52" s="38">
        <f>((((A52*2)+(B52*2))*'MATERIALES (2)'!$C$5)+((A52*2)*'MATERIALES (2)'!$C$6)+((B52*2)*'MATERIALES (2)'!$C$7)+((B52*2)*'MATERIALES (2)'!$C$8))*'MATERIALES (2)'!$F$1</f>
        <v>104938.59600000001</v>
      </c>
      <c r="D52" s="38">
        <f>(8*'MATERIALES (2)'!$C$125)+(8*'MATERIALES (2)'!$C$126)+(1*'MATERIALES (2)'!$C$141)+(4*'MATERIALES (2)'!$C$131)+(8*'MATERIALES (2)'!$C$133)+((8*4)*'MATERIALES (2)'!$C$134)+((B52*4)*'MATERIALES (2)'!$C$129)+(((A52*2)+(B52*4))*'MATERIALES (2)'!$C$130)+(2*'MATERIALES (2)'!$C$127)+(4*'MATERIALES (2)'!$C$137)+(((A52*5)*2)*'MATERIALES (2)'!$C$136)+(4*'MATERIALES (2)'!$C$135)</f>
        <v>7890</v>
      </c>
      <c r="E52" s="75"/>
      <c r="F52" s="39">
        <f>(A52*B52)*'MATERIALES (2)'!$D$85</f>
        <v>29304.000000000004</v>
      </c>
      <c r="G52" s="38">
        <f t="shared" si="0"/>
        <v>142132.59600000002</v>
      </c>
      <c r="H52" s="49">
        <f t="shared" si="4"/>
        <v>281381.36370151507</v>
      </c>
      <c r="I52" s="57"/>
      <c r="N52" s="68">
        <v>2.2000000000000002</v>
      </c>
      <c r="O52" s="69">
        <v>1.8</v>
      </c>
      <c r="P52" s="59">
        <f>((((N52*2)+(O52*2))*'MATERIALES (2)'!$C$5)+((N52*2)*'MATERIALES (2)'!$C$6)+((O52*2)*'MATERIALES (2)'!$C$7)+((O52*2)*'MATERIALES (2)'!$C$8)+((2*O52)*'MATERIALES (2)'!$C$20)+(O52*'MATERIALES (2)'!$C$21))*'MATERIALES (2)'!$F$1</f>
        <v>126511.43400000001</v>
      </c>
      <c r="Q52" s="59">
        <f>(8*'MATERIALES (2)'!$C$125)+(8*'MATERIALES (2)'!$C$126)+(1*'MATERIALES (2)'!$C$141)+(4*'MATERIALES (2)'!$C$131)+(8*'MATERIALES (2)'!$C$133)+((8*4)*'MATERIALES (2)'!$C$134)+((O52*4)*'MATERIALES (2)'!$C$129)+(((N52*2)+(O52*4))*'MATERIALES (2)'!$C$130)+(4*'MATERIALES (2)'!$C$137)+(((N52*5)*2)*'MATERIALES (2)'!$C$136)+(4*'MATERIALES (2)'!$C$135)+(2*'MATERIALES (2)'!$C$133)+(2*'MATERIALES (2)'!$C$157)+(2*'MATERIALES (2)'!$C$134)+(10*'MATERIALES (2)'!$C$134)+(2*'MATERIALES (2)'!$C$127)</f>
        <v>8340</v>
      </c>
      <c r="R52" s="75"/>
      <c r="S52" s="55">
        <f>(N52*O52)*'MATERIALES (2)'!$D$85</f>
        <v>29304.000000000004</v>
      </c>
      <c r="T52" s="59">
        <f t="shared" si="2"/>
        <v>164155.43400000001</v>
      </c>
      <c r="U52" s="67">
        <f t="shared" si="3"/>
        <v>321043.03592649754</v>
      </c>
      <c r="V52" s="57"/>
    </row>
    <row r="53" spans="1:22" ht="15.75" hidden="1" thickBot="1">
      <c r="A53" s="42">
        <v>2.4</v>
      </c>
      <c r="B53" s="37">
        <v>0.4</v>
      </c>
      <c r="C53" s="38">
        <f>((((A53*2)+(B53*2))*'MATERIALES (2)'!$C$5)+((A53*2)*'MATERIALES (2)'!$C$6)+((B53*2)*'MATERIALES (2)'!$C$7)+((B53*2)*'MATERIALES (2)'!$C$8))*'MATERIALES (2)'!$F$1</f>
        <v>65775.737999999998</v>
      </c>
      <c r="D53" s="38">
        <f>(8*'MATERIALES (2)'!$C$125)+(8*'MATERIALES (2)'!$C$126)+(1*'MATERIALES (2)'!$C$141)+(4*'MATERIALES (2)'!$C$131)+(8*'MATERIALES (2)'!$C$133)+((8*4)*'MATERIALES (2)'!$C$134)+((B53*4)*'MATERIALES (2)'!$C$129)+(((A53*2)+(B53*4))*'MATERIALES (2)'!$C$130)+(2*'MATERIALES (2)'!$C$127)+(4*'MATERIALES (2)'!$C$137)+(((A53*5)*2)*'MATERIALES (2)'!$C$136)+(4*'MATERIALES (2)'!$C$135)</f>
        <v>5746</v>
      </c>
      <c r="E53" s="75"/>
      <c r="F53" s="39">
        <f>(A53*B53)*'MATERIALES (2)'!$D$85</f>
        <v>7104</v>
      </c>
      <c r="G53" s="38">
        <f t="shared" si="0"/>
        <v>78625.737999999998</v>
      </c>
      <c r="H53" s="49">
        <f t="shared" si="4"/>
        <v>147759.73902285754</v>
      </c>
      <c r="I53" s="57"/>
      <c r="N53" s="68">
        <v>2.4</v>
      </c>
      <c r="O53" s="69">
        <v>0.4</v>
      </c>
      <c r="P53" s="59">
        <f>((((N53*2)+(O53*2))*'MATERIALES (2)'!$C$5)+((N53*2)*'MATERIALES (2)'!$C$6)+((O53*2)*'MATERIALES (2)'!$C$7)+((O53*2)*'MATERIALES (2)'!$C$8)+((2*O53)*'MATERIALES (2)'!$C$20)+(O53*'MATERIALES (2)'!$C$21))*'MATERIALES (2)'!$F$1</f>
        <v>70569.70199999999</v>
      </c>
      <c r="Q53" s="59">
        <f>(8*'MATERIALES (2)'!$C$125)+(8*'MATERIALES (2)'!$C$126)+(1*'MATERIALES (2)'!$C$141)+(4*'MATERIALES (2)'!$C$131)+(8*'MATERIALES (2)'!$C$133)+((8*4)*'MATERIALES (2)'!$C$134)+((O53*4)*'MATERIALES (2)'!$C$129)+(((N53*2)+(O53*4))*'MATERIALES (2)'!$C$130)+(4*'MATERIALES (2)'!$C$137)+(((N53*5)*2)*'MATERIALES (2)'!$C$136)+(4*'MATERIALES (2)'!$C$135)+(2*'MATERIALES (2)'!$C$133)+(2*'MATERIALES (2)'!$C$157)+(2*'MATERIALES (2)'!$C$134)+(10*'MATERIALES (2)'!$C$134)+(2*'MATERIALES (2)'!$C$127)</f>
        <v>6196</v>
      </c>
      <c r="R53" s="75"/>
      <c r="S53" s="55">
        <f>(N53*O53)*'MATERIALES (2)'!$D$85</f>
        <v>7104</v>
      </c>
      <c r="T53" s="59">
        <f t="shared" si="2"/>
        <v>83869.70199999999</v>
      </c>
      <c r="U53" s="67">
        <f t="shared" si="3"/>
        <v>157203.77077424253</v>
      </c>
      <c r="V53" s="57"/>
    </row>
    <row r="54" spans="1:22" ht="15.75" hidden="1" thickBot="1">
      <c r="A54" s="42">
        <v>2.4</v>
      </c>
      <c r="B54" s="37">
        <v>0.6</v>
      </c>
      <c r="C54" s="38">
        <f>((((A54*2)+(B54*2))*'MATERIALES (2)'!$C$5)+((A54*2)*'MATERIALES (2)'!$C$6)+((B54*2)*'MATERIALES (2)'!$C$7)+((B54*2)*'MATERIALES (2)'!$C$8))*'MATERIALES (2)'!$F$1</f>
        <v>72005.156999999992</v>
      </c>
      <c r="D54" s="38">
        <f>(8*'MATERIALES (2)'!$C$125)+(8*'MATERIALES (2)'!$C$126)+(1*'MATERIALES (2)'!$C$141)+(4*'MATERIALES (2)'!$C$131)+(8*'MATERIALES (2)'!$C$133)+((8*4)*'MATERIALES (2)'!$C$134)+((B54*4)*'MATERIALES (2)'!$C$129)+(((A54*2)+(B54*4))*'MATERIALES (2)'!$C$130)+(2*'MATERIALES (2)'!$C$127)+(4*'MATERIALES (2)'!$C$137)+(((A54*5)*2)*'MATERIALES (2)'!$C$136)+(4*'MATERIALES (2)'!$C$135)</f>
        <v>6066</v>
      </c>
      <c r="E54" s="75"/>
      <c r="F54" s="39">
        <f>(A54*B54)*'MATERIALES (2)'!$D$85</f>
        <v>10656</v>
      </c>
      <c r="G54" s="38">
        <f t="shared" si="0"/>
        <v>88727.156999999992</v>
      </c>
      <c r="H54" s="49">
        <f t="shared" si="4"/>
        <v>169031.72234284878</v>
      </c>
      <c r="I54" s="57"/>
      <c r="N54" s="68">
        <v>2.4</v>
      </c>
      <c r="O54" s="69">
        <v>0.6</v>
      </c>
      <c r="P54" s="59">
        <f>((((N54*2)+(O54*2))*'MATERIALES (2)'!$C$5)+((N54*2)*'MATERIALES (2)'!$C$6)+((O54*2)*'MATERIALES (2)'!$C$7)+((O54*2)*'MATERIALES (2)'!$C$8)+((2*O54)*'MATERIALES (2)'!$C$20)+(O54*'MATERIALES (2)'!$C$21))*'MATERIALES (2)'!$F$1</f>
        <v>79196.102999999988</v>
      </c>
      <c r="Q54" s="59">
        <f>(8*'MATERIALES (2)'!$C$125)+(8*'MATERIALES (2)'!$C$126)+(1*'MATERIALES (2)'!$C$141)+(4*'MATERIALES (2)'!$C$131)+(8*'MATERIALES (2)'!$C$133)+((8*4)*'MATERIALES (2)'!$C$134)+((O54*4)*'MATERIALES (2)'!$C$129)+(((N54*2)+(O54*4))*'MATERIALES (2)'!$C$130)+(4*'MATERIALES (2)'!$C$137)+(((N54*5)*2)*'MATERIALES (2)'!$C$136)+(4*'MATERIALES (2)'!$C$135)+(2*'MATERIALES (2)'!$C$133)+(2*'MATERIALES (2)'!$C$157)+(2*'MATERIALES (2)'!$C$134)+(10*'MATERIALES (2)'!$C$134)+(2*'MATERIALES (2)'!$C$127)</f>
        <v>6516</v>
      </c>
      <c r="R54" s="75"/>
      <c r="S54" s="55">
        <f>(N54*O54)*'MATERIALES (2)'!$D$85</f>
        <v>10656</v>
      </c>
      <c r="T54" s="59">
        <f t="shared" si="2"/>
        <v>96368.102999999988</v>
      </c>
      <c r="U54" s="67">
        <f t="shared" si="3"/>
        <v>182792.5598761763</v>
      </c>
      <c r="V54" s="57"/>
    </row>
    <row r="55" spans="1:22" ht="15.75" hidden="1" thickBot="1">
      <c r="A55" s="42">
        <v>2.4</v>
      </c>
      <c r="B55" s="37">
        <v>0.8</v>
      </c>
      <c r="C55" s="38">
        <f>((((A55*2)+(B55*2))*'MATERIALES (2)'!$C$5)+((A55*2)*'MATERIALES (2)'!$C$6)+((B55*2)*'MATERIALES (2)'!$C$7)+((B55*2)*'MATERIALES (2)'!$C$8))*'MATERIALES (2)'!$F$1</f>
        <v>78234.576000000001</v>
      </c>
      <c r="D55" s="38">
        <f>(8*'MATERIALES (2)'!$C$125)+(8*'MATERIALES (2)'!$C$126)+(1*'MATERIALES (2)'!$C$141)+(4*'MATERIALES (2)'!$C$131)+(8*'MATERIALES (2)'!$C$133)+((8*4)*'MATERIALES (2)'!$C$134)+((B55*4)*'MATERIALES (2)'!$C$129)+(((A55*2)+(B55*4))*'MATERIALES (2)'!$C$130)+(2*'MATERIALES (2)'!$C$127)+(4*'MATERIALES (2)'!$C$137)+(((A55*5)*2)*'MATERIALES (2)'!$C$136)+(4*'MATERIALES (2)'!$C$135)</f>
        <v>6386</v>
      </c>
      <c r="E55" s="75"/>
      <c r="F55" s="39">
        <f>(A55*B55)*'MATERIALES (2)'!$D$85</f>
        <v>14208</v>
      </c>
      <c r="G55" s="38">
        <f t="shared" si="0"/>
        <v>98828.576000000001</v>
      </c>
      <c r="H55" s="49">
        <f t="shared" si="4"/>
        <v>190303.70566284002</v>
      </c>
      <c r="I55" s="57"/>
      <c r="N55" s="68">
        <v>2.4</v>
      </c>
      <c r="O55" s="69">
        <v>0.8</v>
      </c>
      <c r="P55" s="59">
        <f>((((N55*2)+(O55*2))*'MATERIALES (2)'!$C$5)+((N55*2)*'MATERIALES (2)'!$C$6)+((O55*2)*'MATERIALES (2)'!$C$7)+((O55*2)*'MATERIALES (2)'!$C$8)+((2*O55)*'MATERIALES (2)'!$C$20)+(O55*'MATERIALES (2)'!$C$21))*'MATERIALES (2)'!$F$1</f>
        <v>87822.504000000015</v>
      </c>
      <c r="Q55" s="59">
        <f>(8*'MATERIALES (2)'!$C$125)+(8*'MATERIALES (2)'!$C$126)+(1*'MATERIALES (2)'!$C$141)+(4*'MATERIALES (2)'!$C$131)+(8*'MATERIALES (2)'!$C$133)+((8*4)*'MATERIALES (2)'!$C$134)+((O55*4)*'MATERIALES (2)'!$C$129)+(((N55*2)+(O55*4))*'MATERIALES (2)'!$C$130)+(4*'MATERIALES (2)'!$C$137)+(((N55*5)*2)*'MATERIALES (2)'!$C$136)+(4*'MATERIALES (2)'!$C$135)+(2*'MATERIALES (2)'!$C$133)+(2*'MATERIALES (2)'!$C$157)+(2*'MATERIALES (2)'!$C$134)+(10*'MATERIALES (2)'!$C$134)+(2*'MATERIALES (2)'!$C$127)</f>
        <v>6836</v>
      </c>
      <c r="R55" s="75"/>
      <c r="S55" s="55">
        <f>(N55*O55)*'MATERIALES (2)'!$D$85</f>
        <v>14208</v>
      </c>
      <c r="T55" s="59">
        <f t="shared" si="2"/>
        <v>108866.50400000002</v>
      </c>
      <c r="U55" s="67">
        <f t="shared" si="3"/>
        <v>208381.34897811007</v>
      </c>
      <c r="V55" s="57"/>
    </row>
    <row r="56" spans="1:22" ht="15.75" hidden="1" thickBot="1">
      <c r="A56" s="42">
        <v>2.4</v>
      </c>
      <c r="B56" s="37">
        <v>1</v>
      </c>
      <c r="C56" s="38">
        <f>((((A56*2)+(B56*2))*'MATERIALES (2)'!$C$5)+((A56*2)*'MATERIALES (2)'!$C$6)+((B56*2)*'MATERIALES (2)'!$C$7)+((B56*2)*'MATERIALES (2)'!$C$8))*'MATERIALES (2)'!$F$1</f>
        <v>84463.994999999995</v>
      </c>
      <c r="D56" s="38">
        <f>(8*'MATERIALES (2)'!$C$125)+(8*'MATERIALES (2)'!$C$126)+(1*'MATERIALES (2)'!$C$141)+(4*'MATERIALES (2)'!$C$131)+(8*'MATERIALES (2)'!$C$133)+((8*4)*'MATERIALES (2)'!$C$134)+((B56*4)*'MATERIALES (2)'!$C$129)+(((A56*2)+(B56*4))*'MATERIALES (2)'!$C$130)+(2*'MATERIALES (2)'!$C$127)+(4*'MATERIALES (2)'!$C$137)+(((A56*5)*2)*'MATERIALES (2)'!$C$136)+(4*'MATERIALES (2)'!$C$135)</f>
        <v>6706</v>
      </c>
      <c r="E56" s="75"/>
      <c r="F56" s="39">
        <f>(A56*B56)*'MATERIALES (2)'!$D$85</f>
        <v>17760</v>
      </c>
      <c r="G56" s="38">
        <f t="shared" si="0"/>
        <v>108929.995</v>
      </c>
      <c r="H56" s="49">
        <f t="shared" si="4"/>
        <v>211575.68898283126</v>
      </c>
      <c r="I56" s="57"/>
      <c r="N56" s="68">
        <v>2.4</v>
      </c>
      <c r="O56" s="69">
        <v>1</v>
      </c>
      <c r="P56" s="59">
        <f>((((N56*2)+(O56*2))*'MATERIALES (2)'!$C$5)+((N56*2)*'MATERIALES (2)'!$C$6)+((O56*2)*'MATERIALES (2)'!$C$7)+((O56*2)*'MATERIALES (2)'!$C$8)+((2*O56)*'MATERIALES (2)'!$C$20)+(O56*'MATERIALES (2)'!$C$21))*'MATERIALES (2)'!$F$1</f>
        <v>96448.904999999999</v>
      </c>
      <c r="Q56" s="59">
        <f>(8*'MATERIALES (2)'!$C$125)+(8*'MATERIALES (2)'!$C$126)+(1*'MATERIALES (2)'!$C$141)+(4*'MATERIALES (2)'!$C$131)+(8*'MATERIALES (2)'!$C$133)+((8*4)*'MATERIALES (2)'!$C$134)+((O56*4)*'MATERIALES (2)'!$C$129)+(((N56*2)+(O56*4))*'MATERIALES (2)'!$C$130)+(4*'MATERIALES (2)'!$C$137)+(((N56*5)*2)*'MATERIALES (2)'!$C$136)+(4*'MATERIALES (2)'!$C$135)+(2*'MATERIALES (2)'!$C$133)+(2*'MATERIALES (2)'!$C$157)+(2*'MATERIALES (2)'!$C$134)+(10*'MATERIALES (2)'!$C$134)+(2*'MATERIALES (2)'!$C$127)</f>
        <v>7156</v>
      </c>
      <c r="R56" s="75"/>
      <c r="S56" s="55">
        <f>(N56*O56)*'MATERIALES (2)'!$D$85</f>
        <v>17760</v>
      </c>
      <c r="T56" s="59">
        <f t="shared" si="2"/>
        <v>121364.905</v>
      </c>
      <c r="U56" s="67">
        <f t="shared" si="3"/>
        <v>233970.13808004378</v>
      </c>
      <c r="V56" s="57"/>
    </row>
    <row r="57" spans="1:22" ht="15.75" hidden="1" thickBot="1">
      <c r="A57" s="42">
        <v>2.4</v>
      </c>
      <c r="B57" s="37">
        <v>1.2</v>
      </c>
      <c r="C57" s="38">
        <f>((((A57*2)+(B57*2))*'MATERIALES (2)'!$C$5)+((A57*2)*'MATERIALES (2)'!$C$6)+((B57*2)*'MATERIALES (2)'!$C$7)+((B57*2)*'MATERIALES (2)'!$C$8))*'MATERIALES (2)'!$F$1</f>
        <v>90693.41399999999</v>
      </c>
      <c r="D57" s="38">
        <f>(8*'MATERIALES (2)'!$C$125)+(8*'MATERIALES (2)'!$C$126)+(1*'MATERIALES (2)'!$C$141)+(4*'MATERIALES (2)'!$C$131)+(8*'MATERIALES (2)'!$C$133)+((8*4)*'MATERIALES (2)'!$C$134)+((B57*4)*'MATERIALES (2)'!$C$129)+(((A57*2)+(B57*4))*'MATERIALES (2)'!$C$130)+(2*'MATERIALES (2)'!$C$127)+(4*'MATERIALES (2)'!$C$137)+(((A57*5)*2)*'MATERIALES (2)'!$C$136)+(4*'MATERIALES (2)'!$C$135)</f>
        <v>7026</v>
      </c>
      <c r="E57" s="75"/>
      <c r="F57" s="39">
        <f>(A57*B57)*'MATERIALES (2)'!$D$85</f>
        <v>21312</v>
      </c>
      <c r="G57" s="38">
        <f t="shared" si="0"/>
        <v>119031.41399999999</v>
      </c>
      <c r="H57" s="49">
        <f t="shared" si="4"/>
        <v>232847.67230282252</v>
      </c>
      <c r="I57" s="57"/>
      <c r="N57" s="68">
        <v>2.4</v>
      </c>
      <c r="O57" s="69">
        <v>1.2</v>
      </c>
      <c r="P57" s="59">
        <f>((((N57*2)+(O57*2))*'MATERIALES (2)'!$C$5)+((N57*2)*'MATERIALES (2)'!$C$6)+((O57*2)*'MATERIALES (2)'!$C$7)+((O57*2)*'MATERIALES (2)'!$C$8)+((2*O57)*'MATERIALES (2)'!$C$20)+(O57*'MATERIALES (2)'!$C$21))*'MATERIALES (2)'!$F$1</f>
        <v>105075.30599999998</v>
      </c>
      <c r="Q57" s="59">
        <f>(8*'MATERIALES (2)'!$C$125)+(8*'MATERIALES (2)'!$C$126)+(1*'MATERIALES (2)'!$C$141)+(4*'MATERIALES (2)'!$C$131)+(8*'MATERIALES (2)'!$C$133)+((8*4)*'MATERIALES (2)'!$C$134)+((O57*4)*'MATERIALES (2)'!$C$129)+(((N57*2)+(O57*4))*'MATERIALES (2)'!$C$130)+(4*'MATERIALES (2)'!$C$137)+(((N57*5)*2)*'MATERIALES (2)'!$C$136)+(4*'MATERIALES (2)'!$C$135)+(2*'MATERIALES (2)'!$C$133)+(2*'MATERIALES (2)'!$C$157)+(2*'MATERIALES (2)'!$C$134)+(10*'MATERIALES (2)'!$C$134)+(2*'MATERIALES (2)'!$C$127)</f>
        <v>7476</v>
      </c>
      <c r="R57" s="75"/>
      <c r="S57" s="55">
        <f>(N57*O57)*'MATERIALES (2)'!$D$85</f>
        <v>21312</v>
      </c>
      <c r="T57" s="59">
        <f t="shared" si="2"/>
        <v>133863.30599999998</v>
      </c>
      <c r="U57" s="67">
        <f t="shared" si="3"/>
        <v>259558.92718197749</v>
      </c>
      <c r="V57" s="57"/>
    </row>
    <row r="58" spans="1:22" ht="15.75" hidden="1" thickBot="1">
      <c r="A58" s="42">
        <v>2.4</v>
      </c>
      <c r="B58" s="37">
        <v>1.5</v>
      </c>
      <c r="C58" s="38">
        <f>((((A58*2)+(B58*2))*'MATERIALES (2)'!$C$5)+((A58*2)*'MATERIALES (2)'!$C$6)+((B58*2)*'MATERIALES (2)'!$C$7)+((B58*2)*'MATERIALES (2)'!$C$8))*'MATERIALES (2)'!$F$1</f>
        <v>100037.54249999998</v>
      </c>
      <c r="D58" s="38">
        <f>(8*'MATERIALES (2)'!$C$125)+(8*'MATERIALES (2)'!$C$126)+(1*'MATERIALES (2)'!$C$141)+(4*'MATERIALES (2)'!$C$131)+(8*'MATERIALES (2)'!$C$133)+((8*4)*'MATERIALES (2)'!$C$134)+((B58*4)*'MATERIALES (2)'!$C$129)+(((A58*2)+(B58*4))*'MATERIALES (2)'!$C$130)+(2*'MATERIALES (2)'!$C$127)+(4*'MATERIALES (2)'!$C$137)+(((A58*5)*2)*'MATERIALES (2)'!$C$136)+(4*'MATERIALES (2)'!$C$135)</f>
        <v>7506</v>
      </c>
      <c r="E58" s="75"/>
      <c r="F58" s="39">
        <f>(A58*B58)*'MATERIALES (2)'!$D$85</f>
        <v>26639.999999999996</v>
      </c>
      <c r="G58" s="38">
        <f t="shared" si="0"/>
        <v>134183.54249999998</v>
      </c>
      <c r="H58" s="49">
        <f t="shared" si="4"/>
        <v>264755.64728280937</v>
      </c>
      <c r="I58" s="57"/>
      <c r="N58" s="68">
        <v>2.4</v>
      </c>
      <c r="O58" s="69">
        <v>1.5</v>
      </c>
      <c r="P58" s="59">
        <f>((((N58*2)+(O58*2))*'MATERIALES (2)'!$C$5)+((N58*2)*'MATERIALES (2)'!$C$6)+((O58*2)*'MATERIALES (2)'!$C$7)+((O58*2)*'MATERIALES (2)'!$C$8)+((2*O58)*'MATERIALES (2)'!$C$20)+(O58*'MATERIALES (2)'!$C$21))*'MATERIALES (2)'!$F$1</f>
        <v>118014.9075</v>
      </c>
      <c r="Q58" s="59">
        <f>(8*'MATERIALES (2)'!$C$125)+(8*'MATERIALES (2)'!$C$126)+(1*'MATERIALES (2)'!$C$141)+(4*'MATERIALES (2)'!$C$131)+(8*'MATERIALES (2)'!$C$133)+((8*4)*'MATERIALES (2)'!$C$134)+((O58*4)*'MATERIALES (2)'!$C$129)+(((N58*2)+(O58*4))*'MATERIALES (2)'!$C$130)+(4*'MATERIALES (2)'!$C$137)+(((N58*5)*2)*'MATERIALES (2)'!$C$136)+(4*'MATERIALES (2)'!$C$135)+(2*'MATERIALES (2)'!$C$133)+(2*'MATERIALES (2)'!$C$157)+(2*'MATERIALES (2)'!$C$134)+(10*'MATERIALES (2)'!$C$134)+(2*'MATERIALES (2)'!$C$127)</f>
        <v>7956</v>
      </c>
      <c r="R58" s="75"/>
      <c r="S58" s="55">
        <f>(N58*O58)*'MATERIALES (2)'!$D$85</f>
        <v>26639.999999999996</v>
      </c>
      <c r="T58" s="59">
        <f t="shared" si="2"/>
        <v>152610.9075</v>
      </c>
      <c r="U58" s="67">
        <f t="shared" si="3"/>
        <v>297942.11083487817</v>
      </c>
      <c r="V58" s="57"/>
    </row>
    <row r="59" spans="1:22" ht="15.75" hidden="1" thickBot="1">
      <c r="A59" s="44">
        <v>2.4</v>
      </c>
      <c r="B59" s="45">
        <v>1.8</v>
      </c>
      <c r="C59" s="50">
        <f>((((A59*2)+(B59*2))*'MATERIALES (2)'!$C$5)+((A59*2)*'MATERIALES (2)'!$C$6)+((B59*2)*'MATERIALES (2)'!$C$7)+((B59*2)*'MATERIALES (2)'!$C$8))*'MATERIALES (2)'!$F$1</f>
        <v>109381.671</v>
      </c>
      <c r="D59" s="50">
        <f>(8*'MATERIALES (2)'!$C$125)+(8*'MATERIALES (2)'!$C$126)+(1*'MATERIALES (2)'!$C$141)+(4*'MATERIALES (2)'!$C$131)+(8*'MATERIALES (2)'!$C$133)+((8*4)*'MATERIALES (2)'!$C$134)+((B59*4)*'MATERIALES (2)'!$C$129)+(((A59*2)+(B59*4))*'MATERIALES (2)'!$C$130)+(2*'MATERIALES (2)'!$C$127)+(4*'MATERIALES (2)'!$C$137)+(((A59*5)*2)*'MATERIALES (2)'!$C$136)+(4*'MATERIALES (2)'!$C$135)</f>
        <v>7986</v>
      </c>
      <c r="E59" s="76"/>
      <c r="F59" s="51">
        <f>(A59*B59)*'MATERIALES (2)'!$D$85</f>
        <v>31968.000000000004</v>
      </c>
      <c r="G59" s="50">
        <f t="shared" si="0"/>
        <v>149335.671</v>
      </c>
      <c r="H59" s="49">
        <f t="shared" si="4"/>
        <v>296663.62226279627</v>
      </c>
      <c r="I59" s="57"/>
      <c r="N59" s="71">
        <v>2.4</v>
      </c>
      <c r="O59" s="72">
        <v>1.8</v>
      </c>
      <c r="P59" s="60">
        <f>((((N59*2)+(O59*2))*'MATERIALES (2)'!$C$5)+((N59*2)*'MATERIALES (2)'!$C$6)+((O59*2)*'MATERIALES (2)'!$C$7)+((O59*2)*'MATERIALES (2)'!$C$8)+((2*O59)*'MATERIALES (2)'!$C$20)+(O59*'MATERIALES (2)'!$C$21))*'MATERIALES (2)'!$F$1</f>
        <v>130954.50900000002</v>
      </c>
      <c r="Q59" s="60">
        <f>(8*'MATERIALES (2)'!$C$125)+(8*'MATERIALES (2)'!$C$126)+(1*'MATERIALES (2)'!$C$141)+(4*'MATERIALES (2)'!$C$131)+(8*'MATERIALES (2)'!$C$133)+((8*4)*'MATERIALES (2)'!$C$134)+((O59*4)*'MATERIALES (2)'!$C$129)+(((N59*2)+(O59*4))*'MATERIALES (2)'!$C$130)+(4*'MATERIALES (2)'!$C$137)+(((N59*5)*2)*'MATERIALES (2)'!$C$136)+(4*'MATERIALES (2)'!$C$135)+(2*'MATERIALES (2)'!$C$133)+(2*'MATERIALES (2)'!$C$157)+(2*'MATERIALES (2)'!$C$134)+(10*'MATERIALES (2)'!$C$134)+(2*'MATERIALES (2)'!$C$127)</f>
        <v>8436</v>
      </c>
      <c r="R59" s="76"/>
      <c r="S59" s="56">
        <f>(N59*O59)*'MATERIALES (2)'!$D$85</f>
        <v>31968.000000000004</v>
      </c>
      <c r="T59" s="60">
        <f t="shared" si="2"/>
        <v>171358.50900000002</v>
      </c>
      <c r="U59" s="67">
        <f t="shared" si="3"/>
        <v>336325.29448777885</v>
      </c>
      <c r="V59" s="57"/>
    </row>
    <row r="60" spans="1:22" hidden="1"/>
    <row r="61" spans="1:22" hidden="1"/>
    <row r="62" spans="1:22" ht="15.75" hidden="1" thickBot="1">
      <c r="A62" s="64"/>
      <c r="N62" s="64"/>
    </row>
    <row r="63" spans="1:22" ht="15.75" hidden="1" thickBot="1">
      <c r="C63" s="807">
        <v>1.35</v>
      </c>
      <c r="D63" s="808"/>
      <c r="E63" s="809"/>
      <c r="F63" s="728">
        <v>2</v>
      </c>
      <c r="H63" s="62" t="s">
        <v>163</v>
      </c>
      <c r="P63" s="807">
        <v>1.35</v>
      </c>
      <c r="Q63" s="808"/>
      <c r="R63" s="809"/>
      <c r="S63" s="728">
        <v>2</v>
      </c>
      <c r="U63" s="62" t="s">
        <v>163</v>
      </c>
    </row>
    <row r="64" spans="1:22" ht="15.75" hidden="1" thickBot="1">
      <c r="A64" s="792" t="s">
        <v>168</v>
      </c>
      <c r="B64" s="793"/>
      <c r="C64" s="793"/>
      <c r="D64" s="793"/>
      <c r="E64" s="793"/>
      <c r="F64" s="793"/>
      <c r="G64" s="793"/>
      <c r="H64" s="794"/>
      <c r="N64" s="792" t="s">
        <v>234</v>
      </c>
      <c r="O64" s="793"/>
      <c r="P64" s="793"/>
      <c r="Q64" s="793"/>
      <c r="R64" s="793"/>
      <c r="S64" s="793"/>
      <c r="T64" s="793"/>
      <c r="U64" s="794"/>
    </row>
    <row r="65" spans="1:22" ht="15.75" hidden="1" thickBot="1">
      <c r="A65" s="36" t="s">
        <v>116</v>
      </c>
      <c r="B65" s="36" t="s">
        <v>117</v>
      </c>
      <c r="C65" s="36" t="s">
        <v>162</v>
      </c>
      <c r="D65" s="36" t="s">
        <v>119</v>
      </c>
      <c r="E65" s="36" t="s">
        <v>120</v>
      </c>
      <c r="F65" s="36" t="s">
        <v>118</v>
      </c>
      <c r="G65" s="36" t="s">
        <v>121</v>
      </c>
      <c r="H65" s="36" t="s">
        <v>122</v>
      </c>
      <c r="N65" s="36" t="s">
        <v>116</v>
      </c>
      <c r="O65" s="36" t="s">
        <v>117</v>
      </c>
      <c r="P65" s="36" t="s">
        <v>162</v>
      </c>
      <c r="Q65" s="36" t="s">
        <v>119</v>
      </c>
      <c r="R65" s="36" t="s">
        <v>120</v>
      </c>
      <c r="S65" s="36" t="s">
        <v>118</v>
      </c>
      <c r="T65" s="36" t="s">
        <v>121</v>
      </c>
      <c r="U65" s="36" t="s">
        <v>122</v>
      </c>
    </row>
    <row r="66" spans="1:22" ht="15.75" hidden="1" thickBot="1">
      <c r="A66" s="795"/>
      <c r="B66" s="796"/>
      <c r="C66" s="796"/>
      <c r="D66" s="796"/>
      <c r="E66" s="796"/>
      <c r="F66" s="796"/>
      <c r="G66" s="796"/>
      <c r="H66" s="797"/>
      <c r="N66" s="795"/>
      <c r="O66" s="796"/>
      <c r="P66" s="796"/>
      <c r="Q66" s="796"/>
      <c r="R66" s="796"/>
      <c r="S66" s="796"/>
      <c r="T66" s="796"/>
      <c r="U66" s="797"/>
    </row>
    <row r="67" spans="1:22" ht="15.75" hidden="1" thickBot="1">
      <c r="A67" s="65">
        <v>1.2</v>
      </c>
      <c r="B67" s="66">
        <v>2</v>
      </c>
      <c r="C67" s="58">
        <f>((((A67*2)+(B67*2))*'MATERIALES (2)'!$C$5)+(A67*'MATERIALES (2)'!$C$6)+(A67*'MATERIALES (2)'!$C$9)+((B67*2)*'MATERIALES (2)'!$C$7)+((B67*2)*'MATERIALES (2)'!$C$8)+(A67*'MATERIALES (2)'!$C$6))*'MATERIALES (2)'!$F$1</f>
        <v>100026.15</v>
      </c>
      <c r="D67" s="58">
        <f>(8*'MATERIALES (2)'!$C$125)+(12*'MATERIALES (2)'!$C$126)+(1*'MATERIALES (2)'!$C$141)+(4*'MATERIALES (2)'!$C$132)+(12*'MATERIALES (2)'!$C$133)+((8*4)*'MATERIALES (2)'!$C$134)+((B67*4)*'MATERIALES (2)'!$C$129)+(((A67*4)+(B67*4))*'MATERIALES (2)'!$C$130)+(4*'MATERIALES (2)'!$C$137)+(((A67*5)*2)*'MATERIALES (2)'!$C$136)+(4*'MATERIALES (2)'!$C$135)+(2*'MATERIALES (2)'!$C$127)</f>
        <v>9030</v>
      </c>
      <c r="E67" s="74"/>
      <c r="F67" s="54">
        <f>(A67*B67)*'MATERIALES (2)'!$D$85</f>
        <v>17760</v>
      </c>
      <c r="G67" s="58">
        <f>SUM(C67:F67)</f>
        <v>126816.15</v>
      </c>
      <c r="H67" s="67">
        <f>((((SUM(C67:E67)*$C$63)+(F67*$F$63))*1.21)*1.05)*1.05</f>
        <v>243787.4691800625</v>
      </c>
      <c r="I67" s="53"/>
      <c r="N67" s="65">
        <v>1.2</v>
      </c>
      <c r="O67" s="66">
        <v>2</v>
      </c>
      <c r="P67" s="58">
        <f>((((N67*2)+(O67*2))*'MATERIALES (2)'!$C$5)+(N67*'MATERIALES (2)'!$C$6)+(N67*'MATERIALES (2)'!$C$9)+((O67*2)*'MATERIALES (2)'!$C$7)+((O67*2)*'MATERIALES (2)'!$C$8)+(N67*'MATERIALES (2)'!$C$6)+((2*O67)*'MATERIALES (2)'!$C$20)+(O67*'MATERIALES (2)'!$C$21))*'MATERIALES (2)'!$F$1</f>
        <v>123995.96999999999</v>
      </c>
      <c r="Q67" s="58">
        <f>(8*'MATERIALES (2)'!$C$125)+(12*'MATERIALES (2)'!$C$126)+(1*'MATERIALES (2)'!$C$141)+(4*'MATERIALES (2)'!$C$132)+(12*'MATERIALES (2)'!$C$133)+((8*4)*'MATERIALES (2)'!$C$134)+((O67*4)*'MATERIALES (2)'!$C$129)+(((N67*4)+(O67*4))*'MATERIALES (2)'!$C$130)+(4*'MATERIALES (2)'!$C$137)+(((N67*5)*2)*'MATERIALES (2)'!$C$136)+(4*'MATERIALES (2)'!$C$135)+(2*'MATERIALES (2)'!$C$133)+(2*'MATERIALES (2)'!$C$157)+(2*'MATERIALES (2)'!$C$134)+(10*'MATERIALES (2)'!$C$134)+(2*'MATERIALES (2)'!$C$127)</f>
        <v>9480</v>
      </c>
      <c r="R67" s="74"/>
      <c r="S67" s="54">
        <f>(N67*O67)*'MATERIALES (2)'!$D$85</f>
        <v>17760</v>
      </c>
      <c r="T67" s="58">
        <f>SUM(P67:S67)</f>
        <v>151235.96999999997</v>
      </c>
      <c r="U67" s="67">
        <f>((((SUM(P67:R67)*$P$63)+(S67*$S$63))*1.21)*1.05)*1.05</f>
        <v>287765.94718698744</v>
      </c>
      <c r="V67" s="53"/>
    </row>
    <row r="68" spans="1:22" ht="15.75" hidden="1" thickBot="1">
      <c r="A68" s="68">
        <v>1.5</v>
      </c>
      <c r="B68" s="69">
        <v>2</v>
      </c>
      <c r="C68" s="59">
        <f>((((A68*2)+(B68*2))*'MATERIALES (2)'!$C$5)+(A68*'MATERIALES (2)'!$C$6)+(A68*'MATERIALES (2)'!$C$9)+((B68*2)*'MATERIALES (2)'!$C$7)+((B68*2)*'MATERIALES (2)'!$C$8)+(A68*'MATERIALES (2)'!$C$6))*'MATERIALES (2)'!$F$1</f>
        <v>109459.14</v>
      </c>
      <c r="D68" s="59">
        <f>(8*'MATERIALES (2)'!$C$125)+(12*'MATERIALES (2)'!$C$126)+(1*'MATERIALES (2)'!$C$141)+(4*'MATERIALES (2)'!$C$132)+(12*'MATERIALES (2)'!$C$133)+((8*4)*'MATERIALES (2)'!$C$134)+((B68*4)*'MATERIALES (2)'!$C$129)+(((A68*4)+(B68*4))*'MATERIALES (2)'!$C$130)+(4*'MATERIALES (2)'!$C$137)+(((A68*5)*2)*'MATERIALES (2)'!$C$136)+(4*'MATERIALES (2)'!$C$135)+(2*'MATERIALES (2)'!$C$127)</f>
        <v>9318</v>
      </c>
      <c r="E68" s="75"/>
      <c r="F68" s="55">
        <f>(A68*B68)*'MATERIALES (2)'!$D$85</f>
        <v>22200</v>
      </c>
      <c r="G68" s="59">
        <f t="shared" ref="G68:G72" si="5">SUM(C68:F68)</f>
        <v>140977.14000000001</v>
      </c>
      <c r="H68" s="67">
        <f t="shared" ref="H68:H72" si="6">((((SUM(C68:E68)*$C$63)+(F68*$F$63))*1.21)*1.05)*1.05</f>
        <v>273140.47015447501</v>
      </c>
      <c r="N68" s="68">
        <v>1.5</v>
      </c>
      <c r="O68" s="69">
        <v>2</v>
      </c>
      <c r="P68" s="59">
        <f>((((N68*2)+(O68*2))*'MATERIALES (2)'!$C$5)+(N68*'MATERIALES (2)'!$C$6)+(N68*'MATERIALES (2)'!$C$9)+((O68*2)*'MATERIALES (2)'!$C$7)+((O68*2)*'MATERIALES (2)'!$C$8)+(N68*'MATERIALES (2)'!$C$6)+((2*O68)*'MATERIALES (2)'!$C$20)+(O68*'MATERIALES (2)'!$C$21))*'MATERIALES (2)'!$F$1</f>
        <v>133428.96</v>
      </c>
      <c r="Q68" s="59">
        <f>(8*'MATERIALES (2)'!$C$125)+(12*'MATERIALES (2)'!$C$126)+(1*'MATERIALES (2)'!$C$141)+(4*'MATERIALES (2)'!$C$132)+(12*'MATERIALES (2)'!$C$133)+((8*4)*'MATERIALES (2)'!$C$134)+((O68*4)*'MATERIALES (2)'!$C$129)+(((N68*4)+(O68*4))*'MATERIALES (2)'!$C$130)+(4*'MATERIALES (2)'!$C$137)+(((N68*5)*2)*'MATERIALES (2)'!$C$136)+(4*'MATERIALES (2)'!$C$135)+(2*'MATERIALES (2)'!$C$133)+(2*'MATERIALES (2)'!$C$157)+(2*'MATERIALES (2)'!$C$134)+(10*'MATERIALES (2)'!$C$134)+(2*'MATERIALES (2)'!$C$127)</f>
        <v>9768</v>
      </c>
      <c r="R68" s="75"/>
      <c r="S68" s="55">
        <f>(N68*O68)*'MATERIALES (2)'!$D$85</f>
        <v>22200</v>
      </c>
      <c r="T68" s="59">
        <f t="shared" ref="T68:T72" si="7">SUM(P68:S68)</f>
        <v>165396.96</v>
      </c>
      <c r="U68" s="67">
        <f t="shared" ref="U68:U72" si="8">((((SUM(P68:R68)*$P$63)+(S68*$S$63))*1.21)*1.05)*1.05</f>
        <v>317118.94816140004</v>
      </c>
    </row>
    <row r="69" spans="1:22" ht="15.75" hidden="1" thickBot="1">
      <c r="A69" s="68">
        <v>1.8</v>
      </c>
      <c r="B69" s="69">
        <v>2</v>
      </c>
      <c r="C69" s="59">
        <f>((((A69*2)+(B69*2))*'MATERIALES (2)'!$C$5)+(A69*'MATERIALES (2)'!$C$6)+(A69*'MATERIALES (2)'!$C$9)+((B69*2)*'MATERIALES (2)'!$C$7)+((B69*2)*'MATERIALES (2)'!$C$8)+(A69*'MATERIALES (2)'!$C$6))*'MATERIALES (2)'!$F$1</f>
        <v>118892.13</v>
      </c>
      <c r="D69" s="59">
        <f>(8*'MATERIALES (2)'!$C$125)+(12*'MATERIALES (2)'!$C$126)+(1*'MATERIALES (2)'!$C$141)+(4*'MATERIALES (2)'!$C$132)+(12*'MATERIALES (2)'!$C$133)+((8*4)*'MATERIALES (2)'!$C$134)+((B69*4)*'MATERIALES (2)'!$C$129)+(((A69*4)+(B69*4))*'MATERIALES (2)'!$C$130)+(4*'MATERIALES (2)'!$C$137)+(((A69*5)*2)*'MATERIALES (2)'!$C$136)+(4*'MATERIALES (2)'!$C$135)+(2*'MATERIALES (2)'!$C$127)</f>
        <v>9606</v>
      </c>
      <c r="E69" s="75"/>
      <c r="F69" s="55">
        <f>(A69*B69)*'MATERIALES (2)'!$D$85</f>
        <v>26640</v>
      </c>
      <c r="G69" s="59">
        <f t="shared" si="5"/>
        <v>155138.13</v>
      </c>
      <c r="H69" s="67">
        <f t="shared" si="6"/>
        <v>302493.47112888756</v>
      </c>
      <c r="N69" s="68">
        <v>1.8</v>
      </c>
      <c r="O69" s="69">
        <v>2</v>
      </c>
      <c r="P69" s="59">
        <f>((((N69*2)+(O69*2))*'MATERIALES (2)'!$C$5)+(N69*'MATERIALES (2)'!$C$6)+(N69*'MATERIALES (2)'!$C$9)+((O69*2)*'MATERIALES (2)'!$C$7)+((O69*2)*'MATERIALES (2)'!$C$8)+(N69*'MATERIALES (2)'!$C$6)+((2*O69)*'MATERIALES (2)'!$C$20)+(O69*'MATERIALES (2)'!$C$21))*'MATERIALES (2)'!$F$1</f>
        <v>142861.94999999998</v>
      </c>
      <c r="Q69" s="59">
        <f>(8*'MATERIALES (2)'!$C$125)+(12*'MATERIALES (2)'!$C$126)+(1*'MATERIALES (2)'!$C$141)+(4*'MATERIALES (2)'!$C$132)+(12*'MATERIALES (2)'!$C$133)+((8*4)*'MATERIALES (2)'!$C$134)+((O69*4)*'MATERIALES (2)'!$C$129)+(((N69*4)+(O69*4))*'MATERIALES (2)'!$C$130)+(4*'MATERIALES (2)'!$C$137)+(((N69*5)*2)*'MATERIALES (2)'!$C$136)+(4*'MATERIALES (2)'!$C$135)+(2*'MATERIALES (2)'!$C$133)+(2*'MATERIALES (2)'!$C$157)+(2*'MATERIALES (2)'!$C$134)+(10*'MATERIALES (2)'!$C$134)+(2*'MATERIALES (2)'!$C$127)</f>
        <v>10056</v>
      </c>
      <c r="R69" s="75"/>
      <c r="S69" s="55">
        <f>(N69*O69)*'MATERIALES (2)'!$D$85</f>
        <v>26640</v>
      </c>
      <c r="T69" s="59">
        <f t="shared" si="7"/>
        <v>179557.94999999998</v>
      </c>
      <c r="U69" s="67">
        <f t="shared" si="8"/>
        <v>346471.94913581252</v>
      </c>
    </row>
    <row r="70" spans="1:22" ht="15.75" hidden="1" thickBot="1">
      <c r="A70" s="68">
        <v>2</v>
      </c>
      <c r="B70" s="69">
        <v>2</v>
      </c>
      <c r="C70" s="59">
        <f>((((A70*2)+(B70*2))*'MATERIALES (2)'!$C$5)+(A70*'MATERIALES (2)'!$C$6)+(A70*'MATERIALES (2)'!$C$9)+((B70*2)*'MATERIALES (2)'!$C$7)+((B70*2)*'MATERIALES (2)'!$C$8)+(A70*'MATERIALES (2)'!$C$6))*'MATERIALES (2)'!$F$1</f>
        <v>125180.79000000001</v>
      </c>
      <c r="D70" s="59">
        <f>(8*'MATERIALES (2)'!$C$125)+(12*'MATERIALES (2)'!$C$126)+(1*'MATERIALES (2)'!$C$141)+(4*'MATERIALES (2)'!$C$132)+(12*'MATERIALES (2)'!$C$133)+((8*4)*'MATERIALES (2)'!$C$134)+((B70*4)*'MATERIALES (2)'!$C$129)+(((A70*4)+(B70*4))*'MATERIALES (2)'!$C$130)+(4*'MATERIALES (2)'!$C$137)+(((A70*5)*2)*'MATERIALES (2)'!$C$136)+(4*'MATERIALES (2)'!$C$135)+(2*'MATERIALES (2)'!$C$127)</f>
        <v>9798</v>
      </c>
      <c r="E70" s="75"/>
      <c r="F70" s="55">
        <f>(A70*B70)*'MATERIALES (2)'!$D$85</f>
        <v>29600</v>
      </c>
      <c r="G70" s="59">
        <f t="shared" si="5"/>
        <v>164578.79</v>
      </c>
      <c r="H70" s="67">
        <f t="shared" si="6"/>
        <v>322062.13844516262</v>
      </c>
      <c r="N70" s="68">
        <v>2</v>
      </c>
      <c r="O70" s="69">
        <v>2</v>
      </c>
      <c r="P70" s="59">
        <f>((((N70*2)+(O70*2))*'MATERIALES (2)'!$C$5)+(N70*'MATERIALES (2)'!$C$6)+(N70*'MATERIALES (2)'!$C$9)+((O70*2)*'MATERIALES (2)'!$C$7)+((O70*2)*'MATERIALES (2)'!$C$8)+(N70*'MATERIALES (2)'!$C$6)+((2*O70)*'MATERIALES (2)'!$C$20)+(O70*'MATERIALES (2)'!$C$21))*'MATERIALES (2)'!$F$1</f>
        <v>149150.61000000002</v>
      </c>
      <c r="Q70" s="59">
        <f>(8*'MATERIALES (2)'!$C$125)+(12*'MATERIALES (2)'!$C$126)+(1*'MATERIALES (2)'!$C$141)+(4*'MATERIALES (2)'!$C$132)+(12*'MATERIALES (2)'!$C$133)+((8*4)*'MATERIALES (2)'!$C$134)+((O70*4)*'MATERIALES (2)'!$C$129)+(((N70*4)+(O70*4))*'MATERIALES (2)'!$C$130)+(4*'MATERIALES (2)'!$C$137)+(((N70*5)*2)*'MATERIALES (2)'!$C$136)+(4*'MATERIALES (2)'!$C$135)+(2*'MATERIALES (2)'!$C$133)+(2*'MATERIALES (2)'!$C$157)+(2*'MATERIALES (2)'!$C$134)+(10*'MATERIALES (2)'!$C$134)+(2*'MATERIALES (2)'!$C$127)</f>
        <v>10248</v>
      </c>
      <c r="R70" s="75"/>
      <c r="S70" s="55">
        <f>(N70*O70)*'MATERIALES (2)'!$D$85</f>
        <v>29600</v>
      </c>
      <c r="T70" s="59">
        <f t="shared" si="7"/>
        <v>188998.61000000002</v>
      </c>
      <c r="U70" s="67">
        <f t="shared" si="8"/>
        <v>366040.61645208759</v>
      </c>
    </row>
    <row r="71" spans="1:22" ht="15.75" hidden="1" thickBot="1">
      <c r="A71" s="68">
        <v>2.4</v>
      </c>
      <c r="B71" s="69">
        <v>2</v>
      </c>
      <c r="C71" s="59">
        <f>((((A71*2)+(B71*2))*'MATERIALES (2)'!$C$5)+(A71*'MATERIALES (2)'!$C$6)+(A71*'MATERIALES (2)'!$C$9)+((B71*2)*'MATERIALES (2)'!$C$7)+((B71*2)*'MATERIALES (2)'!$C$8)+(A71*'MATERIALES (2)'!$C$6))*'MATERIALES (2)'!$F$1</f>
        <v>137758.11000000002</v>
      </c>
      <c r="D71" s="59">
        <f>(8*'MATERIALES (2)'!$C$125)+(12*'MATERIALES (2)'!$C$126)+(1*'MATERIALES (2)'!$C$141)+(4*'MATERIALES (2)'!$C$132)+(12*'MATERIALES (2)'!$C$133)+((8*4)*'MATERIALES (2)'!$C$134)+((B71*4)*'MATERIALES (2)'!$C$129)+(((A71*4)+(B71*4))*'MATERIALES (2)'!$C$130)+(4*'MATERIALES (2)'!$C$137)+(((A71*5)*2)*'MATERIALES (2)'!$C$136)+(4*'MATERIALES (2)'!$C$135)+(2*'MATERIALES (2)'!$C$127)</f>
        <v>10182</v>
      </c>
      <c r="E71" s="75"/>
      <c r="F71" s="55">
        <f>(A71*B71)*'MATERIALES (2)'!$D$85</f>
        <v>35520</v>
      </c>
      <c r="G71" s="59">
        <f t="shared" si="5"/>
        <v>183460.11000000002</v>
      </c>
      <c r="H71" s="67">
        <f t="shared" si="6"/>
        <v>361199.47307771252</v>
      </c>
      <c r="N71" s="68">
        <v>2.4</v>
      </c>
      <c r="O71" s="69">
        <v>2</v>
      </c>
      <c r="P71" s="59">
        <f>((((N71*2)+(O71*2))*'MATERIALES (2)'!$C$5)+(N71*'MATERIALES (2)'!$C$6)+(N71*'MATERIALES (2)'!$C$9)+((O71*2)*'MATERIALES (2)'!$C$7)+((O71*2)*'MATERIALES (2)'!$C$8)+(N71*'MATERIALES (2)'!$C$6)+((2*O71)*'MATERIALES (2)'!$C$20)+(O71*'MATERIALES (2)'!$C$21))*'MATERIALES (2)'!$F$1</f>
        <v>161727.93000000002</v>
      </c>
      <c r="Q71" s="59">
        <f>(8*'MATERIALES (2)'!$C$125)+(12*'MATERIALES (2)'!$C$126)+(1*'MATERIALES (2)'!$C$141)+(4*'MATERIALES (2)'!$C$132)+(12*'MATERIALES (2)'!$C$133)+((8*4)*'MATERIALES (2)'!$C$134)+((O71*4)*'MATERIALES (2)'!$C$129)+(((N71*4)+(O71*4))*'MATERIALES (2)'!$C$130)+(4*'MATERIALES (2)'!$C$137)+(((N71*5)*2)*'MATERIALES (2)'!$C$136)+(4*'MATERIALES (2)'!$C$135)+(2*'MATERIALES (2)'!$C$133)+(2*'MATERIALES (2)'!$C$157)+(2*'MATERIALES (2)'!$C$134)+(10*'MATERIALES (2)'!$C$134)+(2*'MATERIALES (2)'!$C$127)</f>
        <v>10632</v>
      </c>
      <c r="R71" s="75"/>
      <c r="S71" s="55">
        <f>(N71*O71)*'MATERIALES (2)'!$D$85</f>
        <v>35520</v>
      </c>
      <c r="T71" s="59">
        <f t="shared" si="7"/>
        <v>207879.93000000002</v>
      </c>
      <c r="U71" s="67">
        <f t="shared" si="8"/>
        <v>405177.95108463761</v>
      </c>
    </row>
    <row r="72" spans="1:22" ht="15.75" hidden="1" thickBot="1">
      <c r="A72" s="71">
        <v>2.4</v>
      </c>
      <c r="B72" s="72">
        <v>2</v>
      </c>
      <c r="C72" s="60">
        <f>((((A72*2)+(B72*2))*'MATERIALES (2)'!$C$5)+(A72*'MATERIALES (2)'!$C$6)+(A72*'MATERIALES (2)'!$C$9)+((B72*2)*'MATERIALES (2)'!$C$7)+((B72*2)*'MATERIALES (2)'!$C$8)+(A72*'MATERIALES (2)'!$C$6))*'MATERIALES (2)'!$F$1</f>
        <v>137758.11000000002</v>
      </c>
      <c r="D72" s="60">
        <f>(8*'MATERIALES (2)'!$C$125)+(12*'MATERIALES (2)'!$C$126)+(1*'MATERIALES (2)'!$C$141)+(4*'MATERIALES (2)'!$C$132)+(12*'MATERIALES (2)'!$C$133)+((8*4)*'MATERIALES (2)'!$C$134)+((B72*4)*'MATERIALES (2)'!$C$129)+(((A72*4)+(B72*4))*'MATERIALES (2)'!$C$130)+(4*'MATERIALES (2)'!$C$137)+(((A72*5)*2)*'MATERIALES (2)'!$C$136)+(4*'MATERIALES (2)'!$C$135)+(2*'MATERIALES (2)'!$C$127)</f>
        <v>10182</v>
      </c>
      <c r="E72" s="76"/>
      <c r="F72" s="56">
        <f>(A72*B72)*'MATERIALES (2)'!$D$85</f>
        <v>35520</v>
      </c>
      <c r="G72" s="60">
        <f t="shared" si="5"/>
        <v>183460.11000000002</v>
      </c>
      <c r="H72" s="67">
        <f t="shared" si="6"/>
        <v>361199.47307771252</v>
      </c>
      <c r="N72" s="71">
        <v>2.4</v>
      </c>
      <c r="O72" s="72">
        <v>2</v>
      </c>
      <c r="P72" s="60">
        <f>((((N72*2)+(O72*2))*'MATERIALES (2)'!$C$5)+(N72*'MATERIALES (2)'!$C$6)+(N72*'MATERIALES (2)'!$C$9)+((O72*2)*'MATERIALES (2)'!$C$7)+((O72*2)*'MATERIALES (2)'!$C$8)+(N72*'MATERIALES (2)'!$C$6)+((2*O72)*'MATERIALES (2)'!$C$20)+(O72*'MATERIALES (2)'!$C$21))*'MATERIALES (2)'!$F$1</f>
        <v>161727.93000000002</v>
      </c>
      <c r="Q72" s="60">
        <f>(8*'MATERIALES (2)'!$C$125)+(12*'MATERIALES (2)'!$C$126)+(1*'MATERIALES (2)'!$C$141)+(4*'MATERIALES (2)'!$C$132)+(12*'MATERIALES (2)'!$C$133)+((8*4)*'MATERIALES (2)'!$C$134)+((O72*4)*'MATERIALES (2)'!$C$129)+(((N72*4)+(O72*4))*'MATERIALES (2)'!$C$130)+(4*'MATERIALES (2)'!$C$137)+(((N72*5)*2)*'MATERIALES (2)'!$C$136)+(4*'MATERIALES (2)'!$C$135)+(2*'MATERIALES (2)'!$C$133)+(2*'MATERIALES (2)'!$C$157)+(2*'MATERIALES (2)'!$C$134)+(10*'MATERIALES (2)'!$C$134)+(2*'MATERIALES (2)'!$C$127)</f>
        <v>10632</v>
      </c>
      <c r="R72" s="76"/>
      <c r="S72" s="56">
        <f>(N72*O72)*'MATERIALES (2)'!$D$85</f>
        <v>35520</v>
      </c>
      <c r="T72" s="60">
        <f t="shared" si="7"/>
        <v>207879.93000000002</v>
      </c>
      <c r="U72" s="67">
        <f t="shared" si="8"/>
        <v>405177.95108463761</v>
      </c>
    </row>
    <row r="73" spans="1:22" hidden="1"/>
    <row r="74" spans="1:22" hidden="1">
      <c r="A74" s="64"/>
      <c r="N74" s="64"/>
    </row>
    <row r="75" spans="1:22" ht="15.75" hidden="1" thickBot="1">
      <c r="A75" s="64"/>
      <c r="N75" s="64"/>
    </row>
    <row r="76" spans="1:22" ht="15.75" hidden="1" thickBot="1">
      <c r="C76" s="807">
        <v>1.35</v>
      </c>
      <c r="D76" s="808"/>
      <c r="E76" s="809"/>
      <c r="F76" s="728">
        <v>2</v>
      </c>
      <c r="H76" s="62" t="s">
        <v>163</v>
      </c>
      <c r="P76" s="807">
        <v>1.35</v>
      </c>
      <c r="Q76" s="808"/>
      <c r="R76" s="809"/>
      <c r="S76" s="728">
        <v>2</v>
      </c>
      <c r="U76" s="62" t="s">
        <v>163</v>
      </c>
    </row>
    <row r="77" spans="1:22" ht="15.75" hidden="1" thickBot="1">
      <c r="A77" s="792" t="s">
        <v>205</v>
      </c>
      <c r="B77" s="793"/>
      <c r="C77" s="793"/>
      <c r="D77" s="793"/>
      <c r="E77" s="793"/>
      <c r="F77" s="793"/>
      <c r="G77" s="793"/>
      <c r="H77" s="794"/>
      <c r="N77" s="792" t="s">
        <v>235</v>
      </c>
      <c r="O77" s="793"/>
      <c r="P77" s="793"/>
      <c r="Q77" s="793"/>
      <c r="R77" s="793"/>
      <c r="S77" s="793"/>
      <c r="T77" s="793"/>
      <c r="U77" s="794"/>
    </row>
    <row r="78" spans="1:22" ht="15.75" hidden="1" thickBot="1">
      <c r="A78" s="36" t="s">
        <v>116</v>
      </c>
      <c r="B78" s="36" t="s">
        <v>117</v>
      </c>
      <c r="C78" s="36" t="s">
        <v>162</v>
      </c>
      <c r="D78" s="36" t="s">
        <v>119</v>
      </c>
      <c r="E78" s="36" t="s">
        <v>120</v>
      </c>
      <c r="F78" s="36" t="s">
        <v>118</v>
      </c>
      <c r="G78" s="36" t="s">
        <v>121</v>
      </c>
      <c r="H78" s="36" t="s">
        <v>122</v>
      </c>
      <c r="N78" s="36" t="s">
        <v>116</v>
      </c>
      <c r="O78" s="36" t="s">
        <v>117</v>
      </c>
      <c r="P78" s="36" t="s">
        <v>162</v>
      </c>
      <c r="Q78" s="36" t="s">
        <v>119</v>
      </c>
      <c r="R78" s="36" t="s">
        <v>120</v>
      </c>
      <c r="S78" s="36" t="s">
        <v>118</v>
      </c>
      <c r="T78" s="36" t="s">
        <v>121</v>
      </c>
      <c r="U78" s="36" t="s">
        <v>122</v>
      </c>
    </row>
    <row r="79" spans="1:22" ht="15.75" hidden="1" thickBot="1">
      <c r="A79" s="795"/>
      <c r="B79" s="796"/>
      <c r="C79" s="796"/>
      <c r="D79" s="796"/>
      <c r="E79" s="796"/>
      <c r="F79" s="796"/>
      <c r="G79" s="796"/>
      <c r="H79" s="797"/>
      <c r="N79" s="795"/>
      <c r="O79" s="796"/>
      <c r="P79" s="796"/>
      <c r="Q79" s="796"/>
      <c r="R79" s="796"/>
      <c r="S79" s="796"/>
      <c r="T79" s="796"/>
      <c r="U79" s="797"/>
    </row>
    <row r="80" spans="1:22" ht="15.75" hidden="1" thickBot="1">
      <c r="A80" s="40">
        <v>1.2</v>
      </c>
      <c r="B80" s="41">
        <v>2</v>
      </c>
      <c r="C80" s="47">
        <f>((((A80*1)+(B80*2))*'MATERIALES (2)'!$C$5)+(A80*'MATERIALES (2)'!$C$6)+(A80*'MATERIALES (2)'!$C$9)+((B80*2)*'MATERIALES (2)'!$C$7)+((B80*2)*'MATERIALES (2)'!$C$8)+(A80*'MATERIALES (2)'!$C$6)+(A80*'MATERIALES (2)'!$C$10))*'MATERIALES (2)'!$F$1</f>
        <v>103115.79600000002</v>
      </c>
      <c r="D80" s="47">
        <f>(8*'MATERIALES (2)'!$C$125)+(12*'MATERIALES (2)'!$C$126)+(1*'MATERIALES (2)'!$C$141)+(4*'MATERIALES (2)'!$C$132)+(12*'MATERIALES (2)'!$C$133)+((8*2)*'MATERIALES (2)'!$C$134)+((B80*4)*'MATERIALES (2)'!$C$129)+(((A80*4)+(B80*4))*'MATERIALES (2)'!$C$130)+(4*'MATERIALES (2)'!$C$137)+(((A80*5)*2)*'MATERIALES (2)'!$C$136)+(2*'MATERIALES (2)'!$C$135)+(4*'MATERIALES (2)'!$C$147)+(2*'MATERIALES (2)'!$C$127)</f>
        <v>8650</v>
      </c>
      <c r="E80" s="74"/>
      <c r="F80" s="48">
        <f>(A80*B80)*'MATERIALES (2)'!$D$85</f>
        <v>17760</v>
      </c>
      <c r="G80" s="47">
        <f>SUM(C80:F80)</f>
        <v>129525.79600000002</v>
      </c>
      <c r="H80" s="49">
        <f>((((SUM(C80:E80)*$C$76)+(F80*$F$76))*1.21)*1.05)*1.05</f>
        <v>248667.36211201502</v>
      </c>
      <c r="I80" s="53"/>
      <c r="N80" s="65">
        <v>1.2</v>
      </c>
      <c r="O80" s="66">
        <v>2</v>
      </c>
      <c r="P80" s="58">
        <f>((((N80*1)+(O80*2))*'MATERIALES (2)'!$C$5)+(N80*'MATERIALES (2)'!$C$6)+(N80*'MATERIALES (2)'!$C$9)+((O80*2)*'MATERIALES (2)'!$C$7)+((O80*2)*'MATERIALES (2)'!$C$8)+(N80*'MATERIALES (2)'!$C$6)+(N80*'MATERIALES (2)'!$C$10)+((2*O80)*'MATERIALES (2)'!$C$20)+(O80*'MATERIALES (2)'!$C$21))*'MATERIALES (2)'!$F$1</f>
        <v>127085.61600000001</v>
      </c>
      <c r="Q80" s="58">
        <f>(8*'MATERIALES (2)'!$C$125)+(12*'MATERIALES (2)'!$C$126)+(1*'MATERIALES (2)'!$C$141)+(4*'MATERIALES (2)'!$C$132)+(12*'MATERIALES (2)'!$C$133)+((8*2)*'MATERIALES (2)'!$C$134)+((O80*4)*'MATERIALES (2)'!$C$129)+(((N80*4)+(O80*4))*'MATERIALES (2)'!$C$130)+(4*'MATERIALES (2)'!$C$137)+(((N80*5)*2)*'MATERIALES (2)'!$C$136)+(2*'MATERIALES (2)'!$C$135)+(4*'MATERIALES (2)'!$C$147)+(2*'MATERIALES (2)'!$C$133)+(2*'MATERIALES (2)'!$C$157)+(2*'MATERIALES (2)'!$C$134)+(10*'MATERIALES (2)'!$C$134)+(2*'MATERIALES (2)'!$C$127)</f>
        <v>9100</v>
      </c>
      <c r="R80" s="74"/>
      <c r="S80" s="54">
        <f>(N80*O80)*'MATERIALES (2)'!$D$85</f>
        <v>17760</v>
      </c>
      <c r="T80" s="58">
        <f>SUM(P80:S80)</f>
        <v>153945.61600000001</v>
      </c>
      <c r="U80" s="67">
        <f>((((SUM(P80:R80)*$P$76)+(S80*$S$76))*1.21)*1.05)*1.05</f>
        <v>292645.84011894005</v>
      </c>
      <c r="V80" s="53"/>
    </row>
    <row r="81" spans="1:21" ht="15.75" hidden="1" thickBot="1">
      <c r="A81" s="42">
        <v>1.5</v>
      </c>
      <c r="B81" s="37">
        <v>2</v>
      </c>
      <c r="C81" s="38">
        <f>((((A81*1)+(B81*2))*'MATERIALES (2)'!$C$5)+(A81*'MATERIALES (2)'!$C$6)+(A81*'MATERIALES (2)'!$C$9)+((B81*2)*'MATERIALES (2)'!$C$7)+((B81*2)*'MATERIALES (2)'!$C$8)+(A81*'MATERIALES (2)'!$C$6)+(A81*'MATERIALES (2)'!$C$10))*'MATERIALES (2)'!$F$1</f>
        <v>113321.19749999999</v>
      </c>
      <c r="D81" s="38">
        <f>(8*'MATERIALES (2)'!$C$125)+(12*'MATERIALES (2)'!$C$126)+(1*'MATERIALES (2)'!$C$141)+(4*'MATERIALES (2)'!$C$132)+(12*'MATERIALES (2)'!$C$133)+((8*2)*'MATERIALES (2)'!$C$134)+((B81*4)*'MATERIALES (2)'!$C$129)+(((A81*4)+(B81*4))*'MATERIALES (2)'!$C$130)+(4*'MATERIALES (2)'!$C$137)+(((A81*5)*2)*'MATERIALES (2)'!$C$136)+(2*'MATERIALES (2)'!$C$135)+(4*'MATERIALES (2)'!$C$147)+(2*'MATERIALES (2)'!$C$127)</f>
        <v>8938</v>
      </c>
      <c r="E81" s="75"/>
      <c r="F81" s="39">
        <f>(A81*B81)*'MATERIALES (2)'!$D$85</f>
        <v>22200</v>
      </c>
      <c r="G81" s="38">
        <f t="shared" ref="G81:G85" si="9">SUM(C81:F81)</f>
        <v>144459.19750000001</v>
      </c>
      <c r="H81" s="49">
        <f t="shared" ref="H81:H85" si="10">((((SUM(C81:E81)*$C$76)+(F81*$F$76))*1.21)*1.05)*1.05</f>
        <v>279411.42502566567</v>
      </c>
      <c r="N81" s="68">
        <v>1.5</v>
      </c>
      <c r="O81" s="69">
        <v>2</v>
      </c>
      <c r="P81" s="59">
        <f>((((N81*1)+(O81*2))*'MATERIALES (2)'!$C$5)+(N81*'MATERIALES (2)'!$C$6)+(N81*'MATERIALES (2)'!$C$9)+((O81*2)*'MATERIALES (2)'!$C$7)+((O81*2)*'MATERIALES (2)'!$C$8)+(N81*'MATERIALES (2)'!$C$6)+(N81*'MATERIALES (2)'!$C$10)+((2*O81)*'MATERIALES (2)'!$C$20)+(O81*'MATERIALES (2)'!$C$21))*'MATERIALES (2)'!$F$1</f>
        <v>137291.01749999999</v>
      </c>
      <c r="Q81" s="59">
        <f>(8*'MATERIALES (2)'!$C$125)+(12*'MATERIALES (2)'!$C$126)+(1*'MATERIALES (2)'!$C$141)+(4*'MATERIALES (2)'!$C$132)+(12*'MATERIALES (2)'!$C$133)+((8*2)*'MATERIALES (2)'!$C$134)+((O81*4)*'MATERIALES (2)'!$C$129)+(((N81*4)+(O81*4))*'MATERIALES (2)'!$C$130)+(4*'MATERIALES (2)'!$C$137)+(((N81*5)*2)*'MATERIALES (2)'!$C$136)+(2*'MATERIALES (2)'!$C$135)+(4*'MATERIALES (2)'!$C$147)+(2*'MATERIALES (2)'!$C$133)+(2*'MATERIALES (2)'!$C$157)+(2*'MATERIALES (2)'!$C$134)+(10*'MATERIALES (2)'!$C$134)+(2*'MATERIALES (2)'!$C$127)</f>
        <v>9388</v>
      </c>
      <c r="R81" s="75"/>
      <c r="S81" s="55">
        <f>(N81*O81)*'MATERIALES (2)'!$D$85</f>
        <v>22200</v>
      </c>
      <c r="T81" s="59">
        <f t="shared" ref="T81:T85" si="11">SUM(P81:S81)</f>
        <v>168879.01749999999</v>
      </c>
      <c r="U81" s="67">
        <f t="shared" ref="U81:U85" si="12">((((SUM(P81:R81)*$P$76)+(S81*$S$76))*1.21)*1.05)*1.05</f>
        <v>323389.90303259069</v>
      </c>
    </row>
    <row r="82" spans="1:21" ht="15.75" hidden="1" thickBot="1">
      <c r="A82" s="42">
        <v>1.8</v>
      </c>
      <c r="B82" s="37">
        <v>2</v>
      </c>
      <c r="C82" s="38">
        <f>((((A82*1)+(B82*2))*'MATERIALES (2)'!$C$5)+(A82*'MATERIALES (2)'!$C$6)+(A82*'MATERIALES (2)'!$C$9)+((B82*2)*'MATERIALES (2)'!$C$7)+((B82*2)*'MATERIALES (2)'!$C$8)+(A82*'MATERIALES (2)'!$C$6)+(A82*'MATERIALES (2)'!$C$10))*'MATERIALES (2)'!$F$1</f>
        <v>123526.599</v>
      </c>
      <c r="D82" s="38">
        <f>(8*'MATERIALES (2)'!$C$125)+(12*'MATERIALES (2)'!$C$126)+(1*'MATERIALES (2)'!$C$141)+(4*'MATERIALES (2)'!$C$132)+(12*'MATERIALES (2)'!$C$133)+((8*2)*'MATERIALES (2)'!$C$134)+((B82*4)*'MATERIALES (2)'!$C$129)+(((A82*4)+(B82*4))*'MATERIALES (2)'!$C$130)+(4*'MATERIALES (2)'!$C$137)+(((A82*5)*2)*'MATERIALES (2)'!$C$136)+(2*'MATERIALES (2)'!$C$135)+(4*'MATERIALES (2)'!$C$147)+(2*'MATERIALES (2)'!$C$127)</f>
        <v>9226</v>
      </c>
      <c r="E82" s="75"/>
      <c r="F82" s="39">
        <f>(A82*B82)*'MATERIALES (2)'!$D$85</f>
        <v>26640</v>
      </c>
      <c r="G82" s="38">
        <f t="shared" si="9"/>
        <v>159392.59899999999</v>
      </c>
      <c r="H82" s="49">
        <f t="shared" si="10"/>
        <v>310155.48793931626</v>
      </c>
      <c r="N82" s="68">
        <v>1.8</v>
      </c>
      <c r="O82" s="69">
        <v>2</v>
      </c>
      <c r="P82" s="59">
        <f>((((N82*1)+(O82*2))*'MATERIALES (2)'!$C$5)+(N82*'MATERIALES (2)'!$C$6)+(N82*'MATERIALES (2)'!$C$9)+((O82*2)*'MATERIALES (2)'!$C$7)+((O82*2)*'MATERIALES (2)'!$C$8)+(N82*'MATERIALES (2)'!$C$6)+(N82*'MATERIALES (2)'!$C$10)+((2*O82)*'MATERIALES (2)'!$C$20)+(O82*'MATERIALES (2)'!$C$21))*'MATERIALES (2)'!$F$1</f>
        <v>147496.41899999999</v>
      </c>
      <c r="Q82" s="59">
        <f>(8*'MATERIALES (2)'!$C$125)+(12*'MATERIALES (2)'!$C$126)+(1*'MATERIALES (2)'!$C$141)+(4*'MATERIALES (2)'!$C$132)+(12*'MATERIALES (2)'!$C$133)+((8*2)*'MATERIALES (2)'!$C$134)+((O82*4)*'MATERIALES (2)'!$C$129)+(((N82*4)+(O82*4))*'MATERIALES (2)'!$C$130)+(4*'MATERIALES (2)'!$C$137)+(((N82*5)*2)*'MATERIALES (2)'!$C$136)+(2*'MATERIALES (2)'!$C$135)+(4*'MATERIALES (2)'!$C$147)+(2*'MATERIALES (2)'!$C$133)+(2*'MATERIALES (2)'!$C$157)+(2*'MATERIALES (2)'!$C$134)+(10*'MATERIALES (2)'!$C$134)+(2*'MATERIALES (2)'!$C$127)</f>
        <v>9676</v>
      </c>
      <c r="R82" s="75"/>
      <c r="S82" s="55">
        <f>(N82*O82)*'MATERIALES (2)'!$D$85</f>
        <v>26640</v>
      </c>
      <c r="T82" s="59">
        <f t="shared" si="11"/>
        <v>183812.41899999999</v>
      </c>
      <c r="U82" s="67">
        <f t="shared" si="12"/>
        <v>354133.96594624128</v>
      </c>
    </row>
    <row r="83" spans="1:21" ht="15.75" hidden="1" thickBot="1">
      <c r="A83" s="42">
        <v>2</v>
      </c>
      <c r="B83" s="37">
        <v>2</v>
      </c>
      <c r="C83" s="38">
        <f>((((A83*1)+(B83*2))*'MATERIALES (2)'!$C$5)+(A83*'MATERIALES (2)'!$C$6)+(A83*'MATERIALES (2)'!$C$9)+((B83*2)*'MATERIALES (2)'!$C$7)+((B83*2)*'MATERIALES (2)'!$C$8)+(A83*'MATERIALES (2)'!$C$6)+(A83*'MATERIALES (2)'!$C$10))*'MATERIALES (2)'!$F$1</f>
        <v>130330.2</v>
      </c>
      <c r="D83" s="38">
        <f>(8*'MATERIALES (2)'!$C$125)+(12*'MATERIALES (2)'!$C$126)+(1*'MATERIALES (2)'!$C$141)+(4*'MATERIALES (2)'!$C$132)+(12*'MATERIALES (2)'!$C$133)+((8*2)*'MATERIALES (2)'!$C$134)+((B83*4)*'MATERIALES (2)'!$C$129)+(((A83*4)+(B83*4))*'MATERIALES (2)'!$C$130)+(4*'MATERIALES (2)'!$C$137)+(((A83*5)*2)*'MATERIALES (2)'!$C$136)+(2*'MATERIALES (2)'!$C$135)+(4*'MATERIALES (2)'!$C$147)+(2*'MATERIALES (2)'!$C$127)</f>
        <v>9418</v>
      </c>
      <c r="E83" s="75"/>
      <c r="F83" s="39">
        <f>(A83*B83)*'MATERIALES (2)'!$D$85</f>
        <v>29600</v>
      </c>
      <c r="G83" s="38">
        <f t="shared" si="9"/>
        <v>169348.2</v>
      </c>
      <c r="H83" s="49">
        <f t="shared" si="10"/>
        <v>330651.52988175006</v>
      </c>
      <c r="N83" s="68">
        <v>2</v>
      </c>
      <c r="O83" s="69">
        <v>2</v>
      </c>
      <c r="P83" s="59">
        <f>((((N83*1)+(O83*2))*'MATERIALES (2)'!$C$5)+(N83*'MATERIALES (2)'!$C$6)+(N83*'MATERIALES (2)'!$C$9)+((O83*2)*'MATERIALES (2)'!$C$7)+((O83*2)*'MATERIALES (2)'!$C$8)+(N83*'MATERIALES (2)'!$C$6)+(N83*'MATERIALES (2)'!$C$10)+((2*O83)*'MATERIALES (2)'!$C$20)+(O83*'MATERIALES (2)'!$C$21))*'MATERIALES (2)'!$F$1</f>
        <v>154300.01999999999</v>
      </c>
      <c r="Q83" s="59">
        <f>(8*'MATERIALES (2)'!$C$125)+(12*'MATERIALES (2)'!$C$126)+(1*'MATERIALES (2)'!$C$141)+(4*'MATERIALES (2)'!$C$132)+(12*'MATERIALES (2)'!$C$133)+((8*2)*'MATERIALES (2)'!$C$134)+((O83*4)*'MATERIALES (2)'!$C$129)+(((N83*4)+(O83*4))*'MATERIALES (2)'!$C$130)+(4*'MATERIALES (2)'!$C$137)+(((N83*5)*2)*'MATERIALES (2)'!$C$136)+(2*'MATERIALES (2)'!$C$135)+(4*'MATERIALES (2)'!$C$147)+(2*'MATERIALES (2)'!$C$133)+(2*'MATERIALES (2)'!$C$157)+(2*'MATERIALES (2)'!$C$134)+(10*'MATERIALES (2)'!$C$134)+(2*'MATERIALES (2)'!$C$127)</f>
        <v>9868</v>
      </c>
      <c r="R83" s="75"/>
      <c r="S83" s="55">
        <f>(N83*O83)*'MATERIALES (2)'!$D$85</f>
        <v>29600</v>
      </c>
      <c r="T83" s="59">
        <f t="shared" si="11"/>
        <v>193768.02</v>
      </c>
      <c r="U83" s="67">
        <f t="shared" si="12"/>
        <v>374630.00788867503</v>
      </c>
    </row>
    <row r="84" spans="1:21" ht="15.75" hidden="1" thickBot="1">
      <c r="A84" s="42">
        <v>2.2000000000000002</v>
      </c>
      <c r="B84" s="37">
        <v>2</v>
      </c>
      <c r="C84" s="38">
        <f>((((A84*1)+(B84*2))*'MATERIALES (2)'!$C$5)+(A84*'MATERIALES (2)'!$C$6)+(A84*'MATERIALES (2)'!$C$9)+((B84*2)*'MATERIALES (2)'!$C$7)+((B84*2)*'MATERIALES (2)'!$C$8)+(A84*'MATERIALES (2)'!$C$6)+(A84*'MATERIALES (2)'!$C$10))*'MATERIALES (2)'!$F$1</f>
        <v>137133.80100000001</v>
      </c>
      <c r="D84" s="38">
        <f>(8*'MATERIALES (2)'!$C$125)+(12*'MATERIALES (2)'!$C$126)+(1*'MATERIALES (2)'!$C$141)+(4*'MATERIALES (2)'!$C$132)+(12*'MATERIALES (2)'!$C$133)+((8*2)*'MATERIALES (2)'!$C$134)+((B84*4)*'MATERIALES (2)'!$C$129)+(((A84*4)+(B84*4))*'MATERIALES (2)'!$C$130)+(4*'MATERIALES (2)'!$C$137)+(((A84*5)*2)*'MATERIALES (2)'!$C$136)+(2*'MATERIALES (2)'!$C$135)+(4*'MATERIALES (2)'!$C$147)+(2*'MATERIALES (2)'!$C$127)</f>
        <v>9610</v>
      </c>
      <c r="E84" s="75"/>
      <c r="F84" s="39">
        <f>(A84*B84)*'MATERIALES (2)'!$D$85</f>
        <v>32560.000000000004</v>
      </c>
      <c r="G84" s="38">
        <f t="shared" si="9"/>
        <v>179303.80100000001</v>
      </c>
      <c r="H84" s="49">
        <f t="shared" si="10"/>
        <v>351147.57182418386</v>
      </c>
      <c r="N84" s="68">
        <v>2.2000000000000002</v>
      </c>
      <c r="O84" s="69">
        <v>2</v>
      </c>
      <c r="P84" s="59">
        <f>((((N84*1)+(O84*2))*'MATERIALES (2)'!$C$5)+(N84*'MATERIALES (2)'!$C$6)+(N84*'MATERIALES (2)'!$C$9)+((O84*2)*'MATERIALES (2)'!$C$7)+((O84*2)*'MATERIALES (2)'!$C$8)+(N84*'MATERIALES (2)'!$C$6)+(N84*'MATERIALES (2)'!$C$10)+((2*O84)*'MATERIALES (2)'!$C$20)+(O84*'MATERIALES (2)'!$C$21))*'MATERIALES (2)'!$F$1</f>
        <v>161103.62099999998</v>
      </c>
      <c r="Q84" s="59">
        <f>(8*'MATERIALES (2)'!$C$125)+(12*'MATERIALES (2)'!$C$126)+(1*'MATERIALES (2)'!$C$141)+(4*'MATERIALES (2)'!$C$132)+(12*'MATERIALES (2)'!$C$133)+((8*2)*'MATERIALES (2)'!$C$134)+((O84*4)*'MATERIALES (2)'!$C$129)+(((N84*4)+(O84*4))*'MATERIALES (2)'!$C$130)+(4*'MATERIALES (2)'!$C$137)+(((N84*5)*2)*'MATERIALES (2)'!$C$136)+(2*'MATERIALES (2)'!$C$135)+(4*'MATERIALES (2)'!$C$147)+(2*'MATERIALES (2)'!$C$133)+(2*'MATERIALES (2)'!$C$157)+(2*'MATERIALES (2)'!$C$134)+(10*'MATERIALES (2)'!$C$134)+(2*'MATERIALES (2)'!$C$127)</f>
        <v>10060</v>
      </c>
      <c r="R84" s="75"/>
      <c r="S84" s="55">
        <f>(N84*O84)*'MATERIALES (2)'!$D$85</f>
        <v>32560.000000000004</v>
      </c>
      <c r="T84" s="59">
        <f t="shared" si="11"/>
        <v>203723.62099999998</v>
      </c>
      <c r="U84" s="67">
        <f t="shared" si="12"/>
        <v>395126.04983110877</v>
      </c>
    </row>
    <row r="85" spans="1:21" ht="15.75" hidden="1" thickBot="1">
      <c r="A85" s="44">
        <v>2.4</v>
      </c>
      <c r="B85" s="45">
        <v>2</v>
      </c>
      <c r="C85" s="50">
        <f>((((A85*1)+(B85*2))*'MATERIALES (2)'!$C$5)+(A85*'MATERIALES (2)'!$C$6)+(A85*'MATERIALES (2)'!$C$9)+((B85*2)*'MATERIALES (2)'!$C$7)+((B85*2)*'MATERIALES (2)'!$C$8)+(A85*'MATERIALES (2)'!$C$6)+(A85*'MATERIALES (2)'!$C$10))*'MATERIALES (2)'!$F$1</f>
        <v>143937.402</v>
      </c>
      <c r="D85" s="50">
        <f>(8*'MATERIALES (2)'!$C$125)+(12*'MATERIALES (2)'!$C$126)+(1*'MATERIALES (2)'!$C$141)+(4*'MATERIALES (2)'!$C$132)+(12*'MATERIALES (2)'!$C$133)+((8*2)*'MATERIALES (2)'!$C$134)+((B85*4)*'MATERIALES (2)'!$C$129)+(((A85*4)+(B85*4))*'MATERIALES (2)'!$C$130)+(4*'MATERIALES (2)'!$C$137)+(((A85*5)*2)*'MATERIALES (2)'!$C$136)+(2*'MATERIALES (2)'!$C$135)+(4*'MATERIALES (2)'!$C$147)+(2*'MATERIALES (2)'!$C$127)</f>
        <v>9802</v>
      </c>
      <c r="E85" s="76"/>
      <c r="F85" s="51">
        <f>(A85*B85)*'MATERIALES (2)'!$D$85</f>
        <v>35520</v>
      </c>
      <c r="G85" s="50">
        <f t="shared" si="9"/>
        <v>189259.402</v>
      </c>
      <c r="H85" s="49">
        <f t="shared" si="10"/>
        <v>371643.61376661755</v>
      </c>
      <c r="N85" s="71">
        <v>2.4</v>
      </c>
      <c r="O85" s="72">
        <v>2</v>
      </c>
      <c r="P85" s="60">
        <f>((((N85*1)+(O85*2))*'MATERIALES (2)'!$C$5)+(N85*'MATERIALES (2)'!$C$6)+(N85*'MATERIALES (2)'!$C$9)+((O85*2)*'MATERIALES (2)'!$C$7)+((O85*2)*'MATERIALES (2)'!$C$8)+(N85*'MATERIALES (2)'!$C$6)+(N85*'MATERIALES (2)'!$C$10)+((2*O85)*'MATERIALES (2)'!$C$20)+(O85*'MATERIALES (2)'!$C$21))*'MATERIALES (2)'!$F$1</f>
        <v>167907.22199999998</v>
      </c>
      <c r="Q85" s="60">
        <f>(8*'MATERIALES (2)'!$C$125)+(12*'MATERIALES (2)'!$C$126)+(1*'MATERIALES (2)'!$C$141)+(4*'MATERIALES (2)'!$C$132)+(12*'MATERIALES (2)'!$C$133)+((8*2)*'MATERIALES (2)'!$C$134)+((O85*4)*'MATERIALES (2)'!$C$129)+(((N85*4)+(O85*4))*'MATERIALES (2)'!$C$130)+(4*'MATERIALES (2)'!$C$137)+(((N85*5)*2)*'MATERIALES (2)'!$C$136)+(2*'MATERIALES (2)'!$C$135)+(4*'MATERIALES (2)'!$C$147)+(2*'MATERIALES (2)'!$C$133)+(2*'MATERIALES (2)'!$C$157)+(2*'MATERIALES (2)'!$C$134)+(10*'MATERIALES (2)'!$C$134)+(2*'MATERIALES (2)'!$C$127)</f>
        <v>10252</v>
      </c>
      <c r="R85" s="76"/>
      <c r="S85" s="56">
        <f>(N85*O85)*'MATERIALES (2)'!$D$85</f>
        <v>35520</v>
      </c>
      <c r="T85" s="60">
        <f t="shared" si="11"/>
        <v>213679.22199999998</v>
      </c>
      <c r="U85" s="67">
        <f t="shared" si="12"/>
        <v>415622.09177354252</v>
      </c>
    </row>
    <row r="86" spans="1:21" hidden="1"/>
    <row r="87" spans="1:21" s="81" customFormat="1" hidden="1">
      <c r="A87" s="79"/>
      <c r="B87" s="79"/>
      <c r="C87" s="79"/>
      <c r="D87" s="79"/>
      <c r="E87" s="79"/>
      <c r="F87" s="79"/>
      <c r="G87" s="79"/>
      <c r="H87" s="80"/>
      <c r="N87" s="79"/>
      <c r="O87" s="79"/>
      <c r="P87" s="79"/>
      <c r="Q87" s="79"/>
      <c r="R87" s="79"/>
      <c r="S87" s="79"/>
      <c r="T87" s="79"/>
      <c r="U87" s="80"/>
    </row>
    <row r="88" spans="1:21" ht="15.75" hidden="1" thickBot="1"/>
    <row r="89" spans="1:21" ht="15.75" hidden="1" thickBot="1">
      <c r="C89" s="807">
        <v>1.35</v>
      </c>
      <c r="D89" s="808"/>
      <c r="E89" s="808"/>
      <c r="F89" s="809"/>
      <c r="G89" s="545">
        <v>2</v>
      </c>
      <c r="H89" s="46" t="s">
        <v>163</v>
      </c>
      <c r="P89" s="807">
        <v>1.35</v>
      </c>
      <c r="Q89" s="808"/>
      <c r="R89" s="808"/>
      <c r="S89" s="809"/>
      <c r="T89" s="667">
        <v>2</v>
      </c>
      <c r="U89" s="62" t="s">
        <v>163</v>
      </c>
    </row>
    <row r="90" spans="1:21" ht="15.75" hidden="1" thickBot="1">
      <c r="A90" s="792" t="s">
        <v>237</v>
      </c>
      <c r="B90" s="793"/>
      <c r="C90" s="793"/>
      <c r="D90" s="793"/>
      <c r="E90" s="793"/>
      <c r="F90" s="793"/>
      <c r="G90" s="793"/>
      <c r="H90" s="794"/>
      <c r="N90" s="792" t="s">
        <v>247</v>
      </c>
      <c r="O90" s="793"/>
      <c r="P90" s="793"/>
      <c r="Q90" s="793"/>
      <c r="R90" s="793"/>
      <c r="S90" s="793"/>
      <c r="T90" s="793"/>
      <c r="U90" s="794"/>
    </row>
    <row r="91" spans="1:21" ht="15.75" hidden="1" thickBot="1">
      <c r="A91" s="36" t="s">
        <v>116</v>
      </c>
      <c r="B91" s="36" t="s">
        <v>117</v>
      </c>
      <c r="C91" s="36" t="s">
        <v>162</v>
      </c>
      <c r="D91" s="36" t="s">
        <v>119</v>
      </c>
      <c r="E91" s="36" t="s">
        <v>120</v>
      </c>
      <c r="F91" s="36" t="s">
        <v>238</v>
      </c>
      <c r="G91" s="36" t="s">
        <v>121</v>
      </c>
      <c r="H91" s="36" t="s">
        <v>122</v>
      </c>
      <c r="N91" s="36" t="s">
        <v>116</v>
      </c>
      <c r="O91" s="36" t="s">
        <v>117</v>
      </c>
      <c r="P91" s="36" t="s">
        <v>162</v>
      </c>
      <c r="Q91" s="36" t="s">
        <v>119</v>
      </c>
      <c r="R91" s="36" t="s">
        <v>120</v>
      </c>
      <c r="S91" s="36" t="s">
        <v>238</v>
      </c>
      <c r="T91" s="36" t="s">
        <v>121</v>
      </c>
      <c r="U91" s="36" t="s">
        <v>122</v>
      </c>
    </row>
    <row r="92" spans="1:21" ht="15.75" hidden="1" thickBot="1">
      <c r="A92" s="795"/>
      <c r="B92" s="796"/>
      <c r="C92" s="796"/>
      <c r="D92" s="796"/>
      <c r="E92" s="796"/>
      <c r="F92" s="796"/>
      <c r="G92" s="796"/>
      <c r="H92" s="797"/>
      <c r="N92" s="795"/>
      <c r="O92" s="796"/>
      <c r="P92" s="796"/>
      <c r="Q92" s="796"/>
      <c r="R92" s="796"/>
      <c r="S92" s="796"/>
      <c r="T92" s="796"/>
      <c r="U92" s="797"/>
    </row>
    <row r="93" spans="1:21" ht="15.75" hidden="1" thickBot="1">
      <c r="A93" s="69">
        <v>0.6</v>
      </c>
      <c r="B93" s="69">
        <v>0.4</v>
      </c>
      <c r="C93" s="59">
        <f>(((A93)+(B93*2))*'MATERIALES (2)'!$C$16)*'MATERIALES (2)'!$F$1</f>
        <v>4960.2944999999991</v>
      </c>
      <c r="D93" s="59">
        <f>(16*'MATERIALES (2)'!$C$134)+(2*'MATERIALES (2)'!$C$161)+(2*'MATERIALES (2)'!$C$162)+(4*'MATERIALES (2)'!$C$160)+(((A93)+(B93*2))*'MATERIALES (2)'!$C$159)</f>
        <v>1132</v>
      </c>
      <c r="E93" s="75"/>
      <c r="F93" s="55">
        <f>((A93/2)*B93)*'MATERIALES (2)'!$C$158</f>
        <v>1021.1999999999999</v>
      </c>
      <c r="G93" s="59">
        <f>SUM(C93:F93)</f>
        <v>7113.4944999999989</v>
      </c>
      <c r="H93" s="124">
        <f>((((SUM(C93:E93)*$C$89)+(F93*$G$89))*1.21)*1.05)*1.05</f>
        <v>13696.431439989376</v>
      </c>
      <c r="N93" s="65">
        <v>1.2</v>
      </c>
      <c r="O93" s="66">
        <v>2</v>
      </c>
      <c r="P93" s="58">
        <f>((((N93)+(O93*2))*'MATERIALES (2)'!$C$16)+(N93*'MATERIALES (2)'!$C$17))*'MATERIALES (2)'!$F$1</f>
        <v>25847.304</v>
      </c>
      <c r="Q93" s="58">
        <f>(16*'MATERIALES (2)'!$C$134)+(2*'MATERIALES (2)'!$C$161)+(2*'MATERIALES (2)'!$C$162)+(4*'MATERIALES (2)'!$C$160)+(((N93*2)+(O93*2))*'MATERIALES (2)'!$C$159)+(4*'MATERIALES (2)'!$C$163)</f>
        <v>1712</v>
      </c>
      <c r="R93" s="74"/>
      <c r="S93" s="54">
        <f>((N93/2)*O93)*'MATERIALES (2)'!$C$158</f>
        <v>10212</v>
      </c>
      <c r="T93" s="58">
        <f>SUM(P93:S93)</f>
        <v>37771.304000000004</v>
      </c>
      <c r="U93" s="67">
        <f>((((SUM(P93:R93)*$P$89)+(S93*$T$89))*1.21)*1.05)*1.05</f>
        <v>76878.607300110001</v>
      </c>
    </row>
    <row r="94" spans="1:21" ht="15.75" hidden="1" thickBot="1">
      <c r="A94" s="69">
        <v>0.6</v>
      </c>
      <c r="B94" s="69">
        <v>0.6</v>
      </c>
      <c r="C94" s="59">
        <f>(((A94)+(B94*2))*'MATERIALES (2)'!$C$16)*'MATERIALES (2)'!$F$1</f>
        <v>6377.5214999999998</v>
      </c>
      <c r="D94" s="59">
        <f>(16*'MATERIALES (2)'!$C$134)+(2*'MATERIALES (2)'!$C$161)+(2*'MATERIALES (2)'!$C$162)+(4*'MATERIALES (2)'!$C$160)+(((A94)+(B94*2))*'MATERIALES (2)'!$C$159)</f>
        <v>1164</v>
      </c>
      <c r="E94" s="75"/>
      <c r="F94" s="55">
        <f>((A94/2)*B94)*'MATERIALES (2)'!$C$158</f>
        <v>1531.8</v>
      </c>
      <c r="G94" s="59">
        <f>SUM(C94:F94)</f>
        <v>9073.3215</v>
      </c>
      <c r="H94" s="124">
        <f t="shared" ref="H94:H146" si="13">((((SUM(C94:E94)*$C$89)+(F94*$G$89))*1.21)*1.05)*1.05</f>
        <v>17668.699585700626</v>
      </c>
      <c r="N94" s="68">
        <v>1.5</v>
      </c>
      <c r="O94" s="69">
        <v>2</v>
      </c>
      <c r="P94" s="59">
        <f>((((N94)+(O94*2))*'MATERIALES (2)'!$C$16)+(N94*'MATERIALES (2)'!$C$17))*'MATERIALES (2)'!$F$1</f>
        <v>28766.0625</v>
      </c>
      <c r="Q94" s="59">
        <f>(16*'MATERIALES (2)'!$C$134)+(2*'MATERIALES (2)'!$C$161)+(2*'MATERIALES (2)'!$C$162)+(4*'MATERIALES (2)'!$C$160)+(((N94*2)+(O94*2))*'MATERIALES (2)'!$C$159)+(4*'MATERIALES (2)'!$C$163)</f>
        <v>1760</v>
      </c>
      <c r="R94" s="75"/>
      <c r="S94" s="55">
        <f>((N94/2)*O94)*'MATERIALES (2)'!$C$158</f>
        <v>12765</v>
      </c>
      <c r="T94" s="59">
        <f t="shared" ref="T94:T98" si="14">SUM(P94:S94)</f>
        <v>43291.0625</v>
      </c>
      <c r="U94" s="67">
        <f t="shared" ref="U94:U98" si="15">((((SUM(P94:R94)*$P$89)+(S94*$T$89))*1.21)*1.05)*1.05</f>
        <v>89033.074460859396</v>
      </c>
    </row>
    <row r="95" spans="1:21" ht="15.75" hidden="1" thickBot="1">
      <c r="A95" s="69">
        <v>0.8</v>
      </c>
      <c r="B95" s="69">
        <v>0.4</v>
      </c>
      <c r="C95" s="59">
        <f>(((A95)+(B95*2))*'MATERIALES (2)'!$C$16)*'MATERIALES (2)'!$F$1</f>
        <v>5668.9080000000004</v>
      </c>
      <c r="D95" s="59">
        <f>(16*'MATERIALES (2)'!$C$134)+(2*'MATERIALES (2)'!$C$161)+(2*'MATERIALES (2)'!$C$162)+(4*'MATERIALES (2)'!$C$160)+(((A95)+(B95*2))*'MATERIALES (2)'!$C$159)</f>
        <v>1148</v>
      </c>
      <c r="E95" s="75"/>
      <c r="F95" s="55">
        <f>((A95/2)*B95)*'MATERIALES (2)'!$C$158</f>
        <v>1361.6000000000004</v>
      </c>
      <c r="G95" s="59">
        <f t="shared" ref="G95:G146" si="16">SUM(C95:F95)</f>
        <v>8178.5080000000007</v>
      </c>
      <c r="H95" s="124">
        <f t="shared" si="13"/>
        <v>15909.616567845003</v>
      </c>
      <c r="N95" s="68">
        <v>1.8</v>
      </c>
      <c r="O95" s="69">
        <v>2</v>
      </c>
      <c r="P95" s="59">
        <f>((((N95)+(O95*2))*'MATERIALES (2)'!$C$16)+(N95*'MATERIALES (2)'!$C$17))*'MATERIALES (2)'!$F$1</f>
        <v>31684.821</v>
      </c>
      <c r="Q95" s="59">
        <f>(16*'MATERIALES (2)'!$C$134)+(2*'MATERIALES (2)'!$C$161)+(2*'MATERIALES (2)'!$C$162)+(4*'MATERIALES (2)'!$C$160)+(((N95*2)+(O95*2))*'MATERIALES (2)'!$C$159)+(4*'MATERIALES (2)'!$C$163)</f>
        <v>1808</v>
      </c>
      <c r="R95" s="75"/>
      <c r="S95" s="55">
        <f>((N95/2)*O95)*'MATERIALES (2)'!$C$158</f>
        <v>15318</v>
      </c>
      <c r="T95" s="59">
        <f t="shared" si="14"/>
        <v>48810.820999999996</v>
      </c>
      <c r="U95" s="67">
        <f t="shared" si="15"/>
        <v>101187.54162160876</v>
      </c>
    </row>
    <row r="96" spans="1:21" ht="15.75" hidden="1" thickBot="1">
      <c r="A96" s="69">
        <v>0.8</v>
      </c>
      <c r="B96" s="69">
        <v>0.6</v>
      </c>
      <c r="C96" s="59">
        <f>(((A96)+(B96*2))*'MATERIALES (2)'!$C$16)*'MATERIALES (2)'!$F$1</f>
        <v>7086.1350000000002</v>
      </c>
      <c r="D96" s="59">
        <f>(16*'MATERIALES (2)'!$C$134)+(2*'MATERIALES (2)'!$C$161)+(2*'MATERIALES (2)'!$C$162)+(4*'MATERIALES (2)'!$C$160)+(((A96)+(B96*2))*'MATERIALES (2)'!$C$159)</f>
        <v>1180</v>
      </c>
      <c r="E96" s="75"/>
      <c r="F96" s="55">
        <f>((A96/2)*B96)*'MATERIALES (2)'!$C$158</f>
        <v>2042.3999999999999</v>
      </c>
      <c r="G96" s="59">
        <f t="shared" si="16"/>
        <v>10308.535</v>
      </c>
      <c r="H96" s="124">
        <f t="shared" si="13"/>
        <v>20335.98682355625</v>
      </c>
      <c r="N96" s="68">
        <v>2</v>
      </c>
      <c r="O96" s="69">
        <v>2</v>
      </c>
      <c r="P96" s="59">
        <f>((((N96)+(O96*2))*'MATERIALES (2)'!$C$16)+(N96*'MATERIALES (2)'!$C$17))*'MATERIALES (2)'!$F$1</f>
        <v>33630.659999999996</v>
      </c>
      <c r="Q96" s="59">
        <f>(16*'MATERIALES (2)'!$C$134)+(2*'MATERIALES (2)'!$C$161)+(2*'MATERIALES (2)'!$C$162)+(4*'MATERIALES (2)'!$C$160)+(((N96*2)+(O96*2))*'MATERIALES (2)'!$C$159)+(4*'MATERIALES (2)'!$C$163)</f>
        <v>1840</v>
      </c>
      <c r="R96" s="75"/>
      <c r="S96" s="55">
        <f>((N96/2)*O96)*'MATERIALES (2)'!$C$158</f>
        <v>17020</v>
      </c>
      <c r="T96" s="59">
        <f t="shared" si="14"/>
        <v>52490.659999999996</v>
      </c>
      <c r="U96" s="67">
        <f t="shared" si="15"/>
        <v>109290.51972877502</v>
      </c>
    </row>
    <row r="97" spans="1:21" ht="15.75" hidden="1" thickBot="1">
      <c r="A97" s="69">
        <v>0.8</v>
      </c>
      <c r="B97" s="69">
        <v>0.8</v>
      </c>
      <c r="C97" s="59">
        <f>(((A97)+(B97*2))*'MATERIALES (2)'!$C$16)*'MATERIALES (2)'!$F$1</f>
        <v>8503.362000000001</v>
      </c>
      <c r="D97" s="59">
        <f>(16*'MATERIALES (2)'!$C$134)+(2*'MATERIALES (2)'!$C$161)+(2*'MATERIALES (2)'!$C$162)+(4*'MATERIALES (2)'!$C$160)+(((A97)+(B97*2))*'MATERIALES (2)'!$C$159)</f>
        <v>1212</v>
      </c>
      <c r="E97" s="75"/>
      <c r="F97" s="55">
        <f>((A97/2)*B97)*'MATERIALES (2)'!$C$158</f>
        <v>2723.2000000000007</v>
      </c>
      <c r="G97" s="59">
        <f t="shared" si="16"/>
        <v>12438.562000000002</v>
      </c>
      <c r="H97" s="124">
        <f t="shared" si="13"/>
        <v>24762.357079267505</v>
      </c>
      <c r="N97" s="68">
        <v>2.4</v>
      </c>
      <c r="O97" s="69">
        <v>2</v>
      </c>
      <c r="P97" s="59">
        <f>((((N97)+(O97*2))*'MATERIALES (2)'!$C$16)+(N97*'MATERIALES (2)'!$C$17))*'MATERIALES (2)'!$F$1</f>
        <v>37522.338000000003</v>
      </c>
      <c r="Q97" s="59">
        <f>(16*'MATERIALES (2)'!$C$134)+(2*'MATERIALES (2)'!$C$161)+(2*'MATERIALES (2)'!$C$162)+(4*'MATERIALES (2)'!$C$160)+(((N97*2)+(O97*2))*'MATERIALES (2)'!$C$159)+(4*'MATERIALES (2)'!$C$163)</f>
        <v>1904</v>
      </c>
      <c r="R97" s="75"/>
      <c r="S97" s="55">
        <f>((N97/2)*O97)*'MATERIALES (2)'!$C$158</f>
        <v>20424</v>
      </c>
      <c r="T97" s="59">
        <f t="shared" si="14"/>
        <v>59850.338000000003</v>
      </c>
      <c r="U97" s="67">
        <f t="shared" si="15"/>
        <v>125496.47594310754</v>
      </c>
    </row>
    <row r="98" spans="1:21" ht="15.75" hidden="1" thickBot="1">
      <c r="A98" s="69">
        <v>1</v>
      </c>
      <c r="B98" s="69">
        <v>0.4</v>
      </c>
      <c r="C98" s="59">
        <f>(((A98)+(B98*2))*'MATERIALES (2)'!$C$16)*'MATERIALES (2)'!$F$1</f>
        <v>6377.5214999999998</v>
      </c>
      <c r="D98" s="59">
        <f>(16*'MATERIALES (2)'!$C$134)+(2*'MATERIALES (2)'!$C$161)+(2*'MATERIALES (2)'!$C$162)+(4*'MATERIALES (2)'!$C$160)+(((A98)+(B98*2))*'MATERIALES (2)'!$C$159)</f>
        <v>1164</v>
      </c>
      <c r="E98" s="75"/>
      <c r="F98" s="55">
        <f>((A98/2)*B98)*'MATERIALES (2)'!$C$158</f>
        <v>1702</v>
      </c>
      <c r="G98" s="59">
        <f t="shared" si="16"/>
        <v>9243.5214999999989</v>
      </c>
      <c r="H98" s="124">
        <f t="shared" si="13"/>
        <v>18122.801695700629</v>
      </c>
      <c r="N98" s="71">
        <v>2.4</v>
      </c>
      <c r="O98" s="72">
        <v>2</v>
      </c>
      <c r="P98" s="60">
        <f>((((N98)+(O98*2))*'MATERIALES (2)'!$C$16)+(N98*'MATERIALES (2)'!$C$17))*'MATERIALES (2)'!$F$1</f>
        <v>37522.338000000003</v>
      </c>
      <c r="Q98" s="60">
        <f>(16*'MATERIALES (2)'!$C$134)+(2*'MATERIALES (2)'!$C$161)+(2*'MATERIALES (2)'!$C$162)+(4*'MATERIALES (2)'!$C$160)+(((N98*2)+(O98*2))*'MATERIALES (2)'!$C$159)+(4*'MATERIALES (2)'!$C$163)</f>
        <v>1904</v>
      </c>
      <c r="R98" s="76"/>
      <c r="S98" s="56">
        <f>((N98/2)*O98)*'MATERIALES (2)'!$C$158</f>
        <v>20424</v>
      </c>
      <c r="T98" s="60">
        <f t="shared" si="14"/>
        <v>59850.338000000003</v>
      </c>
      <c r="U98" s="67">
        <f t="shared" si="15"/>
        <v>125496.47594310754</v>
      </c>
    </row>
    <row r="99" spans="1:21" hidden="1">
      <c r="A99" s="69">
        <v>1</v>
      </c>
      <c r="B99" s="69">
        <v>0.6</v>
      </c>
      <c r="C99" s="59">
        <f>(((A99)+(B99*2))*'MATERIALES (2)'!$C$16)*'MATERIALES (2)'!$F$1</f>
        <v>7794.7485000000006</v>
      </c>
      <c r="D99" s="59">
        <f>(16*'MATERIALES (2)'!$C$134)+(2*'MATERIALES (2)'!$C$161)+(2*'MATERIALES (2)'!$C$162)+(4*'MATERIALES (2)'!$C$160)+(((A99)+(B99*2))*'MATERIALES (2)'!$C$159)</f>
        <v>1196</v>
      </c>
      <c r="E99" s="75"/>
      <c r="F99" s="55">
        <f>((A99/2)*B99)*'MATERIALES (2)'!$C$158</f>
        <v>2553</v>
      </c>
      <c r="G99" s="59">
        <f t="shared" si="16"/>
        <v>11543.748500000002</v>
      </c>
      <c r="H99" s="124">
        <f t="shared" si="13"/>
        <v>23003.274061411877</v>
      </c>
    </row>
    <row r="100" spans="1:21" hidden="1">
      <c r="A100" s="69">
        <v>1</v>
      </c>
      <c r="B100" s="69">
        <v>0.8</v>
      </c>
      <c r="C100" s="59">
        <f>(((A100)+(B100*2))*'MATERIALES (2)'!$C$16)*'MATERIALES (2)'!$F$1</f>
        <v>9211.9755000000005</v>
      </c>
      <c r="D100" s="59">
        <f>(16*'MATERIALES (2)'!$C$134)+(2*'MATERIALES (2)'!$C$161)+(2*'MATERIALES (2)'!$C$162)+(4*'MATERIALES (2)'!$C$160)+(((A100)+(B100*2))*'MATERIALES (2)'!$C$159)</f>
        <v>1228</v>
      </c>
      <c r="E100" s="75"/>
      <c r="F100" s="55">
        <f>((A100/2)*B100)*'MATERIALES (2)'!$C$158</f>
        <v>3404</v>
      </c>
      <c r="G100" s="59">
        <f t="shared" si="16"/>
        <v>13843.9755</v>
      </c>
      <c r="H100" s="124">
        <f t="shared" si="13"/>
        <v>27883.746427123129</v>
      </c>
    </row>
    <row r="101" spans="1:21" ht="15.75" hidden="1" thickBot="1">
      <c r="A101" s="69">
        <v>1</v>
      </c>
      <c r="B101" s="69">
        <v>1</v>
      </c>
      <c r="C101" s="59">
        <f>(((A101)+(B101*2))*'MATERIALES (2)'!$C$16)*'MATERIALES (2)'!$F$1</f>
        <v>10629.202500000001</v>
      </c>
      <c r="D101" s="59">
        <f>(16*'MATERIALES (2)'!$C$134)+(2*'MATERIALES (2)'!$C$161)+(2*'MATERIALES (2)'!$C$162)+(4*'MATERIALES (2)'!$C$160)+(((A101)+(B101*2))*'MATERIALES (2)'!$C$159)</f>
        <v>1260</v>
      </c>
      <c r="E101" s="75"/>
      <c r="F101" s="55">
        <f>((A101/2)*B101)*'MATERIALES (2)'!$C$158</f>
        <v>4255</v>
      </c>
      <c r="G101" s="59">
        <f t="shared" si="16"/>
        <v>16144.202500000001</v>
      </c>
      <c r="H101" s="124">
        <f t="shared" si="13"/>
        <v>32764.218792834377</v>
      </c>
    </row>
    <row r="102" spans="1:21" ht="15.75" hidden="1" thickBot="1">
      <c r="A102" s="69">
        <v>1</v>
      </c>
      <c r="B102" s="69">
        <v>1.1000000000000001</v>
      </c>
      <c r="C102" s="59">
        <f>(((A102)+(B102*2))*'MATERIALES (2)'!$C$16)*'MATERIALES (2)'!$F$1</f>
        <v>11337.816000000001</v>
      </c>
      <c r="D102" s="59">
        <f>(16*'MATERIALES (2)'!$C$134)+(2*'MATERIALES (2)'!$C$161)+(2*'MATERIALES (2)'!$C$162)+(4*'MATERIALES (2)'!$C$160)+(((A102)+(B102*2))*'MATERIALES (2)'!$C$159)</f>
        <v>1276</v>
      </c>
      <c r="E102" s="75"/>
      <c r="F102" s="55">
        <f>((A102/2)*B102)*'MATERIALES (2)'!$C$158</f>
        <v>4680.5</v>
      </c>
      <c r="G102" s="59">
        <f t="shared" si="16"/>
        <v>17294.315999999999</v>
      </c>
      <c r="H102" s="124">
        <f t="shared" si="13"/>
        <v>35204.454975690001</v>
      </c>
      <c r="P102" s="807">
        <v>1.35</v>
      </c>
      <c r="Q102" s="808"/>
      <c r="R102" s="808"/>
      <c r="S102" s="809"/>
      <c r="T102" s="666">
        <v>2</v>
      </c>
      <c r="U102" s="46" t="s">
        <v>163</v>
      </c>
    </row>
    <row r="103" spans="1:21" ht="15.75" hidden="1" thickBot="1">
      <c r="A103" s="69">
        <v>1</v>
      </c>
      <c r="B103" s="69">
        <v>1.2</v>
      </c>
      <c r="C103" s="59">
        <f>(((A103)+(B103*2))*'MATERIALES (2)'!$C$16)*'MATERIALES (2)'!$F$1</f>
        <v>12046.429499999998</v>
      </c>
      <c r="D103" s="59">
        <f>(16*'MATERIALES (2)'!$C$134)+(2*'MATERIALES (2)'!$C$161)+(2*'MATERIALES (2)'!$C$162)+(4*'MATERIALES (2)'!$C$160)+(((A103)+(B103*2))*'MATERIALES (2)'!$C$159)</f>
        <v>1292</v>
      </c>
      <c r="E103" s="75"/>
      <c r="F103" s="55">
        <f>((A103/2)*B103)*'MATERIALES (2)'!$C$158</f>
        <v>5106</v>
      </c>
      <c r="G103" s="59">
        <f t="shared" si="16"/>
        <v>18444.429499999998</v>
      </c>
      <c r="H103" s="124">
        <f t="shared" si="13"/>
        <v>37644.691158545626</v>
      </c>
      <c r="N103" s="792" t="s">
        <v>667</v>
      </c>
      <c r="O103" s="793"/>
      <c r="P103" s="793"/>
      <c r="Q103" s="793"/>
      <c r="R103" s="793"/>
      <c r="S103" s="793"/>
      <c r="T103" s="793"/>
      <c r="U103" s="794"/>
    </row>
    <row r="104" spans="1:21" ht="15.75" hidden="1" thickBot="1">
      <c r="A104" s="69">
        <v>1</v>
      </c>
      <c r="B104" s="69">
        <v>1.5</v>
      </c>
      <c r="C104" s="59">
        <f>(((A104)+(B104*2))*'MATERIALES (2)'!$C$16)*'MATERIALES (2)'!$F$1</f>
        <v>14172.27</v>
      </c>
      <c r="D104" s="59">
        <f>(16*'MATERIALES (2)'!$C$134)+(2*'MATERIALES (2)'!$C$161)+(2*'MATERIALES (2)'!$C$162)+(4*'MATERIALES (2)'!$C$160)+(((A104)+(B104*2))*'MATERIALES (2)'!$C$159)</f>
        <v>1340</v>
      </c>
      <c r="E104" s="75"/>
      <c r="F104" s="55">
        <f>((A104/2)*B104)*'MATERIALES (2)'!$C$158</f>
        <v>6382.5</v>
      </c>
      <c r="G104" s="59">
        <f t="shared" si="16"/>
        <v>21894.77</v>
      </c>
      <c r="H104" s="124">
        <f t="shared" si="13"/>
        <v>44965.399707112498</v>
      </c>
      <c r="N104" s="36" t="s">
        <v>116</v>
      </c>
      <c r="O104" s="36" t="s">
        <v>117</v>
      </c>
      <c r="P104" s="36" t="s">
        <v>162</v>
      </c>
      <c r="Q104" s="36" t="s">
        <v>119</v>
      </c>
      <c r="R104" s="36" t="s">
        <v>120</v>
      </c>
      <c r="S104" s="36" t="s">
        <v>238</v>
      </c>
      <c r="T104" s="36" t="s">
        <v>121</v>
      </c>
      <c r="U104" s="36" t="s">
        <v>122</v>
      </c>
    </row>
    <row r="105" spans="1:21" ht="15.75" hidden="1" thickBot="1">
      <c r="A105" s="69">
        <v>1.2</v>
      </c>
      <c r="B105" s="69">
        <v>0.4</v>
      </c>
      <c r="C105" s="59">
        <f>(((A105)+(B105*2))*'MATERIALES (2)'!$C$16)*'MATERIALES (2)'!$F$1</f>
        <v>7086.1350000000002</v>
      </c>
      <c r="D105" s="59">
        <f>(16*'MATERIALES (2)'!$C$134)+(2*'MATERIALES (2)'!$C$161)+(2*'MATERIALES (2)'!$C$162)+(4*'MATERIALES (2)'!$C$160)+(((A105)+(B105*2))*'MATERIALES (2)'!$C$159)</f>
        <v>1180</v>
      </c>
      <c r="E105" s="75"/>
      <c r="F105" s="55">
        <f>((A105/2)*B105)*'MATERIALES (2)'!$C$158</f>
        <v>2042.3999999999999</v>
      </c>
      <c r="G105" s="59">
        <f t="shared" si="16"/>
        <v>10308.535</v>
      </c>
      <c r="H105" s="124">
        <f t="shared" si="13"/>
        <v>20335.98682355625</v>
      </c>
      <c r="N105" s="795"/>
      <c r="O105" s="796"/>
      <c r="P105" s="796"/>
      <c r="Q105" s="796"/>
      <c r="R105" s="796"/>
      <c r="S105" s="796"/>
      <c r="T105" s="796"/>
      <c r="U105" s="797"/>
    </row>
    <row r="106" spans="1:21" ht="15.75" hidden="1" thickBot="1">
      <c r="A106" s="69">
        <v>1.2</v>
      </c>
      <c r="B106" s="69">
        <v>0.6</v>
      </c>
      <c r="C106" s="59">
        <f>(((A106)+(B106*2))*'MATERIALES (2)'!$C$16)*'MATERIALES (2)'!$F$1</f>
        <v>8503.3619999999992</v>
      </c>
      <c r="D106" s="59">
        <f>(16*'MATERIALES (2)'!$C$134)+(2*'MATERIALES (2)'!$C$161)+(2*'MATERIALES (2)'!$C$162)+(4*'MATERIALES (2)'!$C$160)+(((A106)+(B106*2))*'MATERIALES (2)'!$C$159)</f>
        <v>1212</v>
      </c>
      <c r="E106" s="75"/>
      <c r="F106" s="55">
        <f>((A106/2)*B106)*'MATERIALES (2)'!$C$158</f>
        <v>3063.6</v>
      </c>
      <c r="G106" s="59">
        <f t="shared" si="16"/>
        <v>12778.962</v>
      </c>
      <c r="H106" s="124">
        <f t="shared" si="13"/>
        <v>25670.561299267501</v>
      </c>
      <c r="N106" s="65">
        <v>0.6</v>
      </c>
      <c r="O106" s="66">
        <v>0.4</v>
      </c>
      <c r="P106" s="58">
        <f>(((N106)+(O106*2))*'MATERIALES (2)'!$C$16)*'MATERIALES (2)'!$F$1</f>
        <v>4960.2944999999991</v>
      </c>
      <c r="Q106" s="58">
        <f>(16*'MATERIALES (2)'!$C$134)+(2*'MATERIALES (2)'!$C$161)+(2*'MATERIALES (2)'!$C$162)+(4*'MATERIALES (2)'!$C$160)+(((N106)+(O106*2))*'MATERIALES (2)'!$C$159)</f>
        <v>1132</v>
      </c>
      <c r="R106" s="74"/>
      <c r="S106" s="54">
        <f>((N106/2)*O106)*'MATERIALES (2)'!$C$158</f>
        <v>1021.1999999999999</v>
      </c>
      <c r="T106" s="58">
        <f>SUM(P106:S106)</f>
        <v>7113.4944999999989</v>
      </c>
      <c r="U106" s="67">
        <f>((((SUM(P106:R106)*$P$102)+(S106*$T$102))*1.21)*1.05)*1.05</f>
        <v>13696.431439989376</v>
      </c>
    </row>
    <row r="107" spans="1:21" ht="15.75" hidden="1" thickBot="1">
      <c r="A107" s="69">
        <v>1.2</v>
      </c>
      <c r="B107" s="69">
        <v>0.8</v>
      </c>
      <c r="C107" s="59">
        <f>(((A107)+(B107*2))*'MATERIALES (2)'!$C$16)*'MATERIALES (2)'!$F$1</f>
        <v>9920.5889999999981</v>
      </c>
      <c r="D107" s="59">
        <f>(16*'MATERIALES (2)'!$C$134)+(2*'MATERIALES (2)'!$C$161)+(2*'MATERIALES (2)'!$C$162)+(4*'MATERIALES (2)'!$C$160)+(((A107)+(B107*2))*'MATERIALES (2)'!$C$159)</f>
        <v>1244</v>
      </c>
      <c r="E107" s="75"/>
      <c r="F107" s="55">
        <f>((A107/2)*B107)*'MATERIALES (2)'!$C$158</f>
        <v>4084.7999999999997</v>
      </c>
      <c r="G107" s="59">
        <f t="shared" si="16"/>
        <v>15249.388999999997</v>
      </c>
      <c r="H107" s="124">
        <f t="shared" si="13"/>
        <v>31005.135774978753</v>
      </c>
      <c r="N107" s="68">
        <v>0.6</v>
      </c>
      <c r="O107" s="69">
        <v>0.6</v>
      </c>
      <c r="P107" s="59">
        <f>(((N107)+(O107*2))*'MATERIALES (2)'!$C$16)*'MATERIALES (2)'!$F$1</f>
        <v>6377.5214999999998</v>
      </c>
      <c r="Q107" s="59">
        <f>(16*'MATERIALES (2)'!$C$134)+(2*'MATERIALES (2)'!$C$161)+(2*'MATERIALES (2)'!$C$162)+(4*'MATERIALES (2)'!$C$160)+(((N107)+(O107*2))*'MATERIALES (2)'!$C$159)</f>
        <v>1164</v>
      </c>
      <c r="R107" s="75"/>
      <c r="S107" s="55">
        <f>((N107/2)*O107)*'MATERIALES (2)'!$C$158</f>
        <v>1531.8</v>
      </c>
      <c r="T107" s="59">
        <f>SUM(P107:S107)</f>
        <v>9073.3215</v>
      </c>
      <c r="U107" s="67">
        <f t="shared" ref="U107:U126" si="17">((((SUM(P107:R107)*$P$102)+(S107*$T$102))*1.21)*1.05)*1.05</f>
        <v>17668.699585700626</v>
      </c>
    </row>
    <row r="108" spans="1:21" ht="15.75" hidden="1" thickBot="1">
      <c r="A108" s="69">
        <v>1.2</v>
      </c>
      <c r="B108" s="69">
        <v>1</v>
      </c>
      <c r="C108" s="59">
        <f>(((A108)+(B108*2))*'MATERIALES (2)'!$C$16)*'MATERIALES (2)'!$F$1</f>
        <v>11337.816000000001</v>
      </c>
      <c r="D108" s="59">
        <f>(16*'MATERIALES (2)'!$C$134)+(2*'MATERIALES (2)'!$C$161)+(2*'MATERIALES (2)'!$C$162)+(4*'MATERIALES (2)'!$C$160)+(((A108)+(B108*2))*'MATERIALES (2)'!$C$159)</f>
        <v>1276</v>
      </c>
      <c r="E108" s="75"/>
      <c r="F108" s="55">
        <f>((A108/2)*B108)*'MATERIALES (2)'!$C$158</f>
        <v>5106</v>
      </c>
      <c r="G108" s="59">
        <f t="shared" si="16"/>
        <v>17719.815999999999</v>
      </c>
      <c r="H108" s="124">
        <f t="shared" si="13"/>
        <v>36339.710250690005</v>
      </c>
      <c r="N108" s="68">
        <v>0.6</v>
      </c>
      <c r="O108" s="69">
        <v>0.8</v>
      </c>
      <c r="P108" s="59">
        <f>(((N108)+(O108*2))*'MATERIALES (2)'!$C$16)*'MATERIALES (2)'!$F$1</f>
        <v>7794.7485000000006</v>
      </c>
      <c r="Q108" s="59">
        <f>(16*'MATERIALES (2)'!$C$134)+(2*'MATERIALES (2)'!$C$161)+(2*'MATERIALES (2)'!$C$162)+(4*'MATERIALES (2)'!$C$160)+(((N108)+(O108*2))*'MATERIALES (2)'!$C$159)</f>
        <v>1196</v>
      </c>
      <c r="R108" s="75"/>
      <c r="S108" s="55">
        <f>((N108/2)*O108)*'MATERIALES (2)'!$C$158</f>
        <v>2042.3999999999999</v>
      </c>
      <c r="T108" s="59">
        <f t="shared" ref="T108:T126" si="18">SUM(P108:S108)</f>
        <v>11033.148500000001</v>
      </c>
      <c r="U108" s="67">
        <f t="shared" si="17"/>
        <v>21640.967731411882</v>
      </c>
    </row>
    <row r="109" spans="1:21" ht="15.75" hidden="1" thickBot="1">
      <c r="A109" s="69">
        <v>1.2</v>
      </c>
      <c r="B109" s="69">
        <v>1.1000000000000001</v>
      </c>
      <c r="C109" s="59">
        <f>(((A109)+(B109*2))*'MATERIALES (2)'!$C$16)*'MATERIALES (2)'!$F$1</f>
        <v>12046.429500000002</v>
      </c>
      <c r="D109" s="59">
        <f>(16*'MATERIALES (2)'!$C$134)+(2*'MATERIALES (2)'!$C$161)+(2*'MATERIALES (2)'!$C$162)+(4*'MATERIALES (2)'!$C$160)+(((A109)+(B109*2))*'MATERIALES (2)'!$C$159)</f>
        <v>1292</v>
      </c>
      <c r="E109" s="75"/>
      <c r="F109" s="55">
        <f>((A109/2)*B109)*'MATERIALES (2)'!$C$158</f>
        <v>5616.6</v>
      </c>
      <c r="G109" s="59">
        <f t="shared" si="16"/>
        <v>18955.029500000004</v>
      </c>
      <c r="H109" s="124">
        <f t="shared" si="13"/>
        <v>39006.997488545632</v>
      </c>
      <c r="N109" s="68">
        <v>0.6</v>
      </c>
      <c r="O109" s="69">
        <v>1</v>
      </c>
      <c r="P109" s="59">
        <f>(((N109)+(O109*2))*'MATERIALES (2)'!$C$16)*'MATERIALES (2)'!$F$1</f>
        <v>9211.9755000000005</v>
      </c>
      <c r="Q109" s="59">
        <f>(16*'MATERIALES (2)'!$C$134)+(2*'MATERIALES (2)'!$C$161)+(2*'MATERIALES (2)'!$C$162)+(4*'MATERIALES (2)'!$C$160)+(((N109)+(O109*2))*'MATERIALES (2)'!$C$159)</f>
        <v>1228</v>
      </c>
      <c r="R109" s="75"/>
      <c r="S109" s="55">
        <f>((N109/2)*O109)*'MATERIALES (2)'!$C$158</f>
        <v>2553</v>
      </c>
      <c r="T109" s="59">
        <f t="shared" si="18"/>
        <v>12992.9755</v>
      </c>
      <c r="U109" s="67">
        <f t="shared" si="17"/>
        <v>25613.23587712313</v>
      </c>
    </row>
    <row r="110" spans="1:21" ht="15.75" hidden="1" thickBot="1">
      <c r="A110" s="69">
        <v>1.2</v>
      </c>
      <c r="B110" s="69">
        <v>1.2</v>
      </c>
      <c r="C110" s="59">
        <f>(((A110)+(B110*2))*'MATERIALES (2)'!$C$16)*'MATERIALES (2)'!$F$1</f>
        <v>12755.043</v>
      </c>
      <c r="D110" s="59">
        <f>(16*'MATERIALES (2)'!$C$134)+(2*'MATERIALES (2)'!$C$161)+(2*'MATERIALES (2)'!$C$162)+(4*'MATERIALES (2)'!$C$160)+(((A110)+(B110*2))*'MATERIALES (2)'!$C$159)</f>
        <v>1308</v>
      </c>
      <c r="E110" s="75"/>
      <c r="F110" s="55">
        <f>((A110/2)*B110)*'MATERIALES (2)'!$C$158</f>
        <v>6127.2</v>
      </c>
      <c r="G110" s="59">
        <f t="shared" si="16"/>
        <v>20190.242999999999</v>
      </c>
      <c r="H110" s="124">
        <f t="shared" si="13"/>
        <v>41674.284726401253</v>
      </c>
      <c r="N110" s="68">
        <v>0.6</v>
      </c>
      <c r="O110" s="69">
        <v>1.2</v>
      </c>
      <c r="P110" s="59">
        <f>(((N110)+(O110*2))*'MATERIALES (2)'!$C$16)*'MATERIALES (2)'!$F$1</f>
        <v>10629.202500000001</v>
      </c>
      <c r="Q110" s="59">
        <f>(16*'MATERIALES (2)'!$C$134)+(2*'MATERIALES (2)'!$C$161)+(2*'MATERIALES (2)'!$C$162)+(4*'MATERIALES (2)'!$C$160)+(((N110)+(O110*2))*'MATERIALES (2)'!$C$159)</f>
        <v>1260</v>
      </c>
      <c r="R110" s="75"/>
      <c r="S110" s="55">
        <f>((N110/2)*O110)*'MATERIALES (2)'!$C$158</f>
        <v>3063.6</v>
      </c>
      <c r="T110" s="59">
        <f t="shared" si="18"/>
        <v>14952.802500000002</v>
      </c>
      <c r="U110" s="67">
        <f t="shared" si="17"/>
        <v>29585.504022834379</v>
      </c>
    </row>
    <row r="111" spans="1:21" ht="15.75" hidden="1" thickBot="1">
      <c r="A111" s="69">
        <v>1.2</v>
      </c>
      <c r="B111" s="69">
        <v>1.5</v>
      </c>
      <c r="C111" s="59">
        <f>(((A111)+(B111*2))*'MATERIALES (2)'!$C$16)*'MATERIALES (2)'!$F$1</f>
        <v>14880.8835</v>
      </c>
      <c r="D111" s="59">
        <f>(16*'MATERIALES (2)'!$C$134)+(2*'MATERIALES (2)'!$C$161)+(2*'MATERIALES (2)'!$C$162)+(4*'MATERIALES (2)'!$C$160)+(((A111)+(B111*2))*'MATERIALES (2)'!$C$159)</f>
        <v>1356</v>
      </c>
      <c r="E111" s="75"/>
      <c r="F111" s="55">
        <f>((A111/2)*B111)*'MATERIALES (2)'!$C$158</f>
        <v>7658.9999999999991</v>
      </c>
      <c r="G111" s="59">
        <f t="shared" si="16"/>
        <v>23895.8835</v>
      </c>
      <c r="H111" s="124">
        <f t="shared" si="13"/>
        <v>49676.146439968121</v>
      </c>
      <c r="N111" s="68">
        <v>0.8</v>
      </c>
      <c r="O111" s="69">
        <v>0.4</v>
      </c>
      <c r="P111" s="59">
        <f>(((N111)+(O111*2))*'MATERIALES (2)'!$C$16)*'MATERIALES (2)'!$F$1</f>
        <v>5668.9080000000004</v>
      </c>
      <c r="Q111" s="59">
        <f>(16*'MATERIALES (2)'!$C$134)+(2*'MATERIALES (2)'!$C$161)+(2*'MATERIALES (2)'!$C$162)+(4*'MATERIALES (2)'!$C$160)+(((N111)+(O111*2))*'MATERIALES (2)'!$C$159)</f>
        <v>1148</v>
      </c>
      <c r="R111" s="75"/>
      <c r="S111" s="55">
        <f>((N111/2)*O111)*'MATERIALES (2)'!$C$158</f>
        <v>1361.6000000000004</v>
      </c>
      <c r="T111" s="59">
        <f t="shared" si="18"/>
        <v>8178.5080000000007</v>
      </c>
      <c r="U111" s="67">
        <f t="shared" si="17"/>
        <v>15909.616567845003</v>
      </c>
    </row>
    <row r="112" spans="1:21" ht="15.75" hidden="1" thickBot="1">
      <c r="A112" s="69">
        <v>1.2</v>
      </c>
      <c r="B112" s="69">
        <v>1.8</v>
      </c>
      <c r="C112" s="59">
        <f>(((A112)+(B112*2))*'MATERIALES (2)'!$C$16)*'MATERIALES (2)'!$F$1</f>
        <v>17006.723999999998</v>
      </c>
      <c r="D112" s="59">
        <f>(16*'MATERIALES (2)'!$C$134)+(2*'MATERIALES (2)'!$C$161)+(2*'MATERIALES (2)'!$C$162)+(4*'MATERIALES (2)'!$C$160)+(((A112)+(B112*2))*'MATERIALES (2)'!$C$159)</f>
        <v>1404</v>
      </c>
      <c r="E112" s="75"/>
      <c r="F112" s="55">
        <f>((A112/2)*B112)*'MATERIALES (2)'!$C$158</f>
        <v>9190.8000000000011</v>
      </c>
      <c r="G112" s="59">
        <f t="shared" si="16"/>
        <v>27601.523999999998</v>
      </c>
      <c r="H112" s="124">
        <f t="shared" si="13"/>
        <v>57678.008153535004</v>
      </c>
      <c r="N112" s="68">
        <v>0.8</v>
      </c>
      <c r="O112" s="69">
        <v>0.6</v>
      </c>
      <c r="P112" s="59">
        <f>(((N112)+(O112*2))*'MATERIALES (2)'!$C$16)*'MATERIALES (2)'!$F$1</f>
        <v>7086.1350000000002</v>
      </c>
      <c r="Q112" s="59">
        <f>(16*'MATERIALES (2)'!$C$134)+(2*'MATERIALES (2)'!$C$161)+(2*'MATERIALES (2)'!$C$162)+(4*'MATERIALES (2)'!$C$160)+(((N112)+(O112*2))*'MATERIALES (2)'!$C$159)</f>
        <v>1180</v>
      </c>
      <c r="R112" s="75"/>
      <c r="S112" s="55">
        <f>((N112/2)*O112)*'MATERIALES (2)'!$C$158</f>
        <v>2042.3999999999999</v>
      </c>
      <c r="T112" s="59">
        <f t="shared" si="18"/>
        <v>10308.535</v>
      </c>
      <c r="U112" s="67">
        <f t="shared" si="17"/>
        <v>20335.98682355625</v>
      </c>
    </row>
    <row r="113" spans="1:21" ht="15.75" hidden="1" thickBot="1">
      <c r="A113" s="69">
        <v>1.5</v>
      </c>
      <c r="B113" s="69">
        <v>0.4</v>
      </c>
      <c r="C113" s="59">
        <f>(((A113)+(B113*2))*'MATERIALES (2)'!$C$16)*'MATERIALES (2)'!$F$1</f>
        <v>8149.0552499999994</v>
      </c>
      <c r="D113" s="59">
        <f>(16*'MATERIALES (2)'!$C$134)+(2*'MATERIALES (2)'!$C$161)+(2*'MATERIALES (2)'!$C$162)+(4*'MATERIALES (2)'!$C$160)+(((A113)+(B113*2))*'MATERIALES (2)'!$C$159)</f>
        <v>1204</v>
      </c>
      <c r="E113" s="75"/>
      <c r="F113" s="55">
        <f>((A113/2)*B113)*'MATERIALES (2)'!$C$158</f>
        <v>2553.0000000000005</v>
      </c>
      <c r="G113" s="59">
        <f t="shared" si="16"/>
        <v>11906.055249999999</v>
      </c>
      <c r="H113" s="124">
        <f t="shared" si="13"/>
        <v>23655.764515339692</v>
      </c>
      <c r="N113" s="68">
        <v>0.8</v>
      </c>
      <c r="O113" s="69">
        <v>0.8</v>
      </c>
      <c r="P113" s="59">
        <f>(((N113)+(O113*2))*'MATERIALES (2)'!$C$16)*'MATERIALES (2)'!$F$1</f>
        <v>8503.362000000001</v>
      </c>
      <c r="Q113" s="59">
        <f>(16*'MATERIALES (2)'!$C$134)+(2*'MATERIALES (2)'!$C$161)+(2*'MATERIALES (2)'!$C$162)+(4*'MATERIALES (2)'!$C$160)+(((N113)+(O113*2))*'MATERIALES (2)'!$C$159)</f>
        <v>1212</v>
      </c>
      <c r="R113" s="75"/>
      <c r="S113" s="55">
        <f>((N113/2)*O113)*'MATERIALES (2)'!$C$158</f>
        <v>2723.2000000000007</v>
      </c>
      <c r="T113" s="59">
        <f t="shared" si="18"/>
        <v>12438.562000000002</v>
      </c>
      <c r="U113" s="67">
        <f t="shared" si="17"/>
        <v>24762.357079267505</v>
      </c>
    </row>
    <row r="114" spans="1:21" ht="15.75" hidden="1" thickBot="1">
      <c r="A114" s="69">
        <v>1.5</v>
      </c>
      <c r="B114" s="69">
        <v>0.6</v>
      </c>
      <c r="C114" s="59">
        <f>(((A114)+(B114*2))*'MATERIALES (2)'!$C$16)*'MATERIALES (2)'!$F$1</f>
        <v>9566.2822500000002</v>
      </c>
      <c r="D114" s="59">
        <f>(16*'MATERIALES (2)'!$C$134)+(2*'MATERIALES (2)'!$C$161)+(2*'MATERIALES (2)'!$C$162)+(4*'MATERIALES (2)'!$C$160)+(((A114)+(B114*2))*'MATERIALES (2)'!$C$159)</f>
        <v>1236</v>
      </c>
      <c r="E114" s="75"/>
      <c r="F114" s="55">
        <f>((A114/2)*B114)*'MATERIALES (2)'!$C$158</f>
        <v>3829.4999999999995</v>
      </c>
      <c r="G114" s="59">
        <f t="shared" si="16"/>
        <v>14631.78225</v>
      </c>
      <c r="H114" s="124">
        <f t="shared" si="13"/>
        <v>29671.492156050943</v>
      </c>
      <c r="N114" s="68">
        <v>0.8</v>
      </c>
      <c r="O114" s="69">
        <v>1</v>
      </c>
      <c r="P114" s="59">
        <f>(((N114)+(O114*2))*'MATERIALES (2)'!$C$16)*'MATERIALES (2)'!$F$1</f>
        <v>9920.5889999999981</v>
      </c>
      <c r="Q114" s="59">
        <f>(16*'MATERIALES (2)'!$C$134)+(2*'MATERIALES (2)'!$C$161)+(2*'MATERIALES (2)'!$C$162)+(4*'MATERIALES (2)'!$C$160)+(((N114)+(O114*2))*'MATERIALES (2)'!$C$159)</f>
        <v>1244</v>
      </c>
      <c r="R114" s="75"/>
      <c r="S114" s="55">
        <f>((N114/2)*O114)*'MATERIALES (2)'!$C$158</f>
        <v>3404</v>
      </c>
      <c r="T114" s="59">
        <f t="shared" si="18"/>
        <v>14568.588999999998</v>
      </c>
      <c r="U114" s="67">
        <f t="shared" si="17"/>
        <v>29188.72733497875</v>
      </c>
    </row>
    <row r="115" spans="1:21" ht="15.75" hidden="1" thickBot="1">
      <c r="A115" s="69">
        <v>1.5</v>
      </c>
      <c r="B115" s="69">
        <v>0.8</v>
      </c>
      <c r="C115" s="59">
        <f>(((A115)+(B115*2))*'MATERIALES (2)'!$C$16)*'MATERIALES (2)'!$F$1</f>
        <v>10983.509250000001</v>
      </c>
      <c r="D115" s="59">
        <f>(16*'MATERIALES (2)'!$C$134)+(2*'MATERIALES (2)'!$C$161)+(2*'MATERIALES (2)'!$C$162)+(4*'MATERIALES (2)'!$C$160)+(((A115)+(B115*2))*'MATERIALES (2)'!$C$159)</f>
        <v>1268</v>
      </c>
      <c r="E115" s="75"/>
      <c r="F115" s="55">
        <f>((A115/2)*B115)*'MATERIALES (2)'!$C$158</f>
        <v>5106.0000000000009</v>
      </c>
      <c r="G115" s="59">
        <f t="shared" si="16"/>
        <v>17357.509250000003</v>
      </c>
      <c r="H115" s="124">
        <f t="shared" si="13"/>
        <v>35687.219796762191</v>
      </c>
      <c r="N115" s="68">
        <v>0.8</v>
      </c>
      <c r="O115" s="69">
        <v>1.2</v>
      </c>
      <c r="P115" s="59">
        <f>(((N115)+(O115*2))*'MATERIALES (2)'!$C$16)*'MATERIALES (2)'!$F$1</f>
        <v>11337.816000000001</v>
      </c>
      <c r="Q115" s="59">
        <f>(16*'MATERIALES (2)'!$C$134)+(2*'MATERIALES (2)'!$C$161)+(2*'MATERIALES (2)'!$C$162)+(4*'MATERIALES (2)'!$C$160)+(((N115)+(O115*2))*'MATERIALES (2)'!$C$159)</f>
        <v>1276</v>
      </c>
      <c r="R115" s="75"/>
      <c r="S115" s="55">
        <f>((N115/2)*O115)*'MATERIALES (2)'!$C$158</f>
        <v>4084.7999999999997</v>
      </c>
      <c r="T115" s="59">
        <f t="shared" si="18"/>
        <v>16698.616000000002</v>
      </c>
      <c r="U115" s="67">
        <f t="shared" si="17"/>
        <v>33615.097590689998</v>
      </c>
    </row>
    <row r="116" spans="1:21" ht="15.75" hidden="1" thickBot="1">
      <c r="A116" s="69">
        <v>1.5</v>
      </c>
      <c r="B116" s="69">
        <v>1</v>
      </c>
      <c r="C116" s="59">
        <f>(((A116)+(B116*2))*'MATERIALES (2)'!$C$16)*'MATERIALES (2)'!$F$1</f>
        <v>12400.73625</v>
      </c>
      <c r="D116" s="59">
        <f>(16*'MATERIALES (2)'!$C$134)+(2*'MATERIALES (2)'!$C$161)+(2*'MATERIALES (2)'!$C$162)+(4*'MATERIALES (2)'!$C$160)+(((A116)+(B116*2))*'MATERIALES (2)'!$C$159)</f>
        <v>1300</v>
      </c>
      <c r="E116" s="75"/>
      <c r="F116" s="55">
        <f>((A116/2)*B116)*'MATERIALES (2)'!$C$158</f>
        <v>6382.5</v>
      </c>
      <c r="G116" s="59">
        <f t="shared" si="16"/>
        <v>20083.236250000002</v>
      </c>
      <c r="H116" s="124">
        <f t="shared" si="13"/>
        <v>41702.947437473442</v>
      </c>
      <c r="N116" s="68">
        <v>0.8</v>
      </c>
      <c r="O116" s="69">
        <v>1.5</v>
      </c>
      <c r="P116" s="59">
        <f>(((N116)+(O116*2))*'MATERIALES (2)'!$C$16)*'MATERIALES (2)'!$F$1</f>
        <v>13463.656499999999</v>
      </c>
      <c r="Q116" s="59">
        <f>(16*'MATERIALES (2)'!$C$134)+(2*'MATERIALES (2)'!$C$161)+(2*'MATERIALES (2)'!$C$162)+(4*'MATERIALES (2)'!$C$160)+(((N116)+(O116*2))*'MATERIALES (2)'!$C$159)</f>
        <v>1324</v>
      </c>
      <c r="R116" s="75"/>
      <c r="S116" s="55">
        <f>((N116/2)*O116)*'MATERIALES (2)'!$C$158</f>
        <v>5106.0000000000009</v>
      </c>
      <c r="T116" s="59">
        <f t="shared" si="18"/>
        <v>19893.656500000001</v>
      </c>
      <c r="U116" s="67">
        <f t="shared" si="17"/>
        <v>40254.652974256875</v>
      </c>
    </row>
    <row r="117" spans="1:21" ht="15.75" hidden="1" thickBot="1">
      <c r="A117" s="69">
        <v>1.5</v>
      </c>
      <c r="B117" s="69">
        <v>1.1000000000000001</v>
      </c>
      <c r="C117" s="59">
        <f>(((A117)+(B117*2))*'MATERIALES (2)'!$C$16)*'MATERIALES (2)'!$F$1</f>
        <v>13109.349750000001</v>
      </c>
      <c r="D117" s="59">
        <f>(16*'MATERIALES (2)'!$C$134)+(2*'MATERIALES (2)'!$C$161)+(2*'MATERIALES (2)'!$C$162)+(4*'MATERIALES (2)'!$C$160)+(((A117)+(B117*2))*'MATERIALES (2)'!$C$159)</f>
        <v>1316</v>
      </c>
      <c r="E117" s="75"/>
      <c r="F117" s="55">
        <f>((A117/2)*B117)*'MATERIALES (2)'!$C$158</f>
        <v>7020.7500000000009</v>
      </c>
      <c r="G117" s="59">
        <f t="shared" si="16"/>
        <v>21446.099750000001</v>
      </c>
      <c r="H117" s="124">
        <f t="shared" si="13"/>
        <v>44710.81125782906</v>
      </c>
      <c r="N117" s="68">
        <v>1</v>
      </c>
      <c r="O117" s="69">
        <v>0.6</v>
      </c>
      <c r="P117" s="59">
        <f>(((N117)+(O117*2))*'MATERIALES (2)'!$C$16)*'MATERIALES (2)'!$F$1</f>
        <v>7794.7485000000006</v>
      </c>
      <c r="Q117" s="59">
        <f>(16*'MATERIALES (2)'!$C$134)+(2*'MATERIALES (2)'!$C$161)+(2*'MATERIALES (2)'!$C$162)+(4*'MATERIALES (2)'!$C$160)+(((N117)+(O117*2))*'MATERIALES (2)'!$C$159)</f>
        <v>1196</v>
      </c>
      <c r="R117" s="75"/>
      <c r="S117" s="55">
        <f>((N117/2)*O117)*'MATERIALES (2)'!$C$158</f>
        <v>2553</v>
      </c>
      <c r="T117" s="59">
        <f t="shared" si="18"/>
        <v>11543.748500000002</v>
      </c>
      <c r="U117" s="67">
        <f t="shared" si="17"/>
        <v>23003.274061411877</v>
      </c>
    </row>
    <row r="118" spans="1:21" ht="15.75" hidden="1" thickBot="1">
      <c r="A118" s="69">
        <v>1.5</v>
      </c>
      <c r="B118" s="69">
        <v>1.2</v>
      </c>
      <c r="C118" s="59">
        <f>(((A118)+(B118*2))*'MATERIALES (2)'!$C$16)*'MATERIALES (2)'!$F$1</f>
        <v>13817.963249999999</v>
      </c>
      <c r="D118" s="59">
        <f>(16*'MATERIALES (2)'!$C$134)+(2*'MATERIALES (2)'!$C$161)+(2*'MATERIALES (2)'!$C$162)+(4*'MATERIALES (2)'!$C$160)+(((A118)+(B118*2))*'MATERIALES (2)'!$C$159)</f>
        <v>1332</v>
      </c>
      <c r="E118" s="75"/>
      <c r="F118" s="55">
        <f>((A118/2)*B118)*'MATERIALES (2)'!$C$158</f>
        <v>7658.9999999999991</v>
      </c>
      <c r="G118" s="59">
        <f t="shared" si="16"/>
        <v>22808.963249999997</v>
      </c>
      <c r="H118" s="124">
        <f t="shared" si="13"/>
        <v>47718.675078184686</v>
      </c>
      <c r="N118" s="68">
        <v>1</v>
      </c>
      <c r="O118" s="69">
        <v>0.8</v>
      </c>
      <c r="P118" s="59">
        <f>(((N118)+(O118*2))*'MATERIALES (2)'!$C$16)*'MATERIALES (2)'!$F$1</f>
        <v>9211.9755000000005</v>
      </c>
      <c r="Q118" s="59">
        <f>(16*'MATERIALES (2)'!$C$134)+(2*'MATERIALES (2)'!$C$161)+(2*'MATERIALES (2)'!$C$162)+(4*'MATERIALES (2)'!$C$160)+(((N118)+(O118*2))*'MATERIALES (2)'!$C$159)</f>
        <v>1228</v>
      </c>
      <c r="R118" s="75"/>
      <c r="S118" s="55">
        <f>((N118/2)*O118)*'MATERIALES (2)'!$C$158</f>
        <v>3404</v>
      </c>
      <c r="T118" s="59">
        <f t="shared" si="18"/>
        <v>13843.9755</v>
      </c>
      <c r="U118" s="67">
        <f t="shared" si="17"/>
        <v>27883.746427123129</v>
      </c>
    </row>
    <row r="119" spans="1:21" ht="15.75" hidden="1" thickBot="1">
      <c r="A119" s="69">
        <v>1.5</v>
      </c>
      <c r="B119" s="69">
        <v>1.5</v>
      </c>
      <c r="C119" s="59">
        <f>(((A119)+(B119*2))*'MATERIALES (2)'!$C$16)*'MATERIALES (2)'!$F$1</f>
        <v>15943.803749999999</v>
      </c>
      <c r="D119" s="59">
        <f>(16*'MATERIALES (2)'!$C$134)+(2*'MATERIALES (2)'!$C$161)+(2*'MATERIALES (2)'!$C$162)+(4*'MATERIALES (2)'!$C$160)+(((A119)+(B119*2))*'MATERIALES (2)'!$C$159)</f>
        <v>1380</v>
      </c>
      <c r="E119" s="75"/>
      <c r="F119" s="55">
        <f>((A119/2)*B119)*'MATERIALES (2)'!$C$158</f>
        <v>9573.75</v>
      </c>
      <c r="G119" s="59">
        <f t="shared" si="16"/>
        <v>26897.553749999999</v>
      </c>
      <c r="H119" s="124">
        <f t="shared" si="13"/>
        <v>56742.26653925157</v>
      </c>
      <c r="N119" s="68">
        <v>1</v>
      </c>
      <c r="O119" s="69">
        <v>1</v>
      </c>
      <c r="P119" s="59">
        <f>(((N119)+(O119*2))*'MATERIALES (2)'!$C$16)*'MATERIALES (2)'!$F$1</f>
        <v>10629.202500000001</v>
      </c>
      <c r="Q119" s="59">
        <f>(16*'MATERIALES (2)'!$C$134)+(2*'MATERIALES (2)'!$C$161)+(2*'MATERIALES (2)'!$C$162)+(4*'MATERIALES (2)'!$C$160)+(((N119)+(O119*2))*'MATERIALES (2)'!$C$159)</f>
        <v>1260</v>
      </c>
      <c r="R119" s="75"/>
      <c r="S119" s="55">
        <f>((N119/2)*O119)*'MATERIALES (2)'!$C$158</f>
        <v>4255</v>
      </c>
      <c r="T119" s="59">
        <f t="shared" si="18"/>
        <v>16144.202500000001</v>
      </c>
      <c r="U119" s="67">
        <f t="shared" si="17"/>
        <v>32764.218792834377</v>
      </c>
    </row>
    <row r="120" spans="1:21" ht="15.75" hidden="1" thickBot="1">
      <c r="A120" s="69">
        <v>1.5</v>
      </c>
      <c r="B120" s="69">
        <v>1.8</v>
      </c>
      <c r="C120" s="59">
        <f>(((A120)+(B120*2))*'MATERIALES (2)'!$C$16)*'MATERIALES (2)'!$F$1</f>
        <v>18069.644249999998</v>
      </c>
      <c r="D120" s="59">
        <f>(16*'MATERIALES (2)'!$C$134)+(2*'MATERIALES (2)'!$C$161)+(2*'MATERIALES (2)'!$C$162)+(4*'MATERIALES (2)'!$C$160)+(((A120)+(B120*2))*'MATERIALES (2)'!$C$159)</f>
        <v>1428</v>
      </c>
      <c r="E120" s="75"/>
      <c r="F120" s="55">
        <f>((A120/2)*B120)*'MATERIALES (2)'!$C$158</f>
        <v>11488.5</v>
      </c>
      <c r="G120" s="59">
        <f t="shared" si="16"/>
        <v>30986.144249999998</v>
      </c>
      <c r="H120" s="124">
        <f t="shared" si="13"/>
        <v>65765.858000318432</v>
      </c>
      <c r="N120" s="68">
        <v>1</v>
      </c>
      <c r="O120" s="69">
        <v>1.2</v>
      </c>
      <c r="P120" s="59">
        <f>(((N120)+(O120*2))*'MATERIALES (2)'!$C$16)*'MATERIALES (2)'!$F$1</f>
        <v>12046.429499999998</v>
      </c>
      <c r="Q120" s="59">
        <f>(16*'MATERIALES (2)'!$C$134)+(2*'MATERIALES (2)'!$C$161)+(2*'MATERIALES (2)'!$C$162)+(4*'MATERIALES (2)'!$C$160)+(((N120)+(O120*2))*'MATERIALES (2)'!$C$159)</f>
        <v>1292</v>
      </c>
      <c r="R120" s="75"/>
      <c r="S120" s="55">
        <f>((N120/2)*O120)*'MATERIALES (2)'!$C$158</f>
        <v>5106</v>
      </c>
      <c r="T120" s="59">
        <f t="shared" si="18"/>
        <v>18444.429499999998</v>
      </c>
      <c r="U120" s="67">
        <f t="shared" si="17"/>
        <v>37644.691158545626</v>
      </c>
    </row>
    <row r="121" spans="1:21" ht="15.75" hidden="1" thickBot="1">
      <c r="A121" s="69">
        <v>1.8</v>
      </c>
      <c r="B121" s="69">
        <v>0.8</v>
      </c>
      <c r="C121" s="59">
        <f>(((A121)+(B121*2))*'MATERIALES (2)'!$C$16)*'MATERIALES (2)'!$F$1</f>
        <v>12046.429500000002</v>
      </c>
      <c r="D121" s="59">
        <f>(16*'MATERIALES (2)'!$C$134)+(2*'MATERIALES (2)'!$C$161)+(2*'MATERIALES (2)'!$C$162)+(4*'MATERIALES (2)'!$C$160)+(((A121)+(B121*2))*'MATERIALES (2)'!$C$159)</f>
        <v>1292</v>
      </c>
      <c r="E121" s="75"/>
      <c r="F121" s="55">
        <f>((A121/2)*B121)*'MATERIALES (2)'!$C$158</f>
        <v>6127.2000000000007</v>
      </c>
      <c r="G121" s="59">
        <f t="shared" si="16"/>
        <v>19465.629500000003</v>
      </c>
      <c r="H121" s="124">
        <f t="shared" si="13"/>
        <v>40369.303818545639</v>
      </c>
      <c r="N121" s="68">
        <v>1</v>
      </c>
      <c r="O121" s="69">
        <v>1.5</v>
      </c>
      <c r="P121" s="59">
        <f>(((N121)+(O121*2))*'MATERIALES (2)'!$C$16)*'MATERIALES (2)'!$F$1</f>
        <v>14172.27</v>
      </c>
      <c r="Q121" s="59">
        <f>(16*'MATERIALES (2)'!$C$134)+(2*'MATERIALES (2)'!$C$161)+(2*'MATERIALES (2)'!$C$162)+(4*'MATERIALES (2)'!$C$160)+(((N121)+(O121*2))*'MATERIALES (2)'!$C$159)</f>
        <v>1340</v>
      </c>
      <c r="R121" s="75"/>
      <c r="S121" s="55">
        <f>((N121/2)*O121)*'MATERIALES (2)'!$C$158</f>
        <v>6382.5</v>
      </c>
      <c r="T121" s="59">
        <f t="shared" si="18"/>
        <v>21894.77</v>
      </c>
      <c r="U121" s="67">
        <f t="shared" si="17"/>
        <v>44965.399707112498</v>
      </c>
    </row>
    <row r="122" spans="1:21" ht="15.75" hidden="1" thickBot="1">
      <c r="A122" s="69">
        <v>1.8</v>
      </c>
      <c r="B122" s="69">
        <v>1</v>
      </c>
      <c r="C122" s="59">
        <f>(((A122)+(B122*2))*'MATERIALES (2)'!$C$16)*'MATERIALES (2)'!$F$1</f>
        <v>13463.656499999999</v>
      </c>
      <c r="D122" s="59">
        <f>(16*'MATERIALES (2)'!$C$134)+(2*'MATERIALES (2)'!$C$161)+(2*'MATERIALES (2)'!$C$162)+(4*'MATERIALES (2)'!$C$160)+(((A122)+(B122*2))*'MATERIALES (2)'!$C$159)</f>
        <v>1324</v>
      </c>
      <c r="E122" s="75"/>
      <c r="F122" s="55">
        <f>((A122/2)*B122)*'MATERIALES (2)'!$C$158</f>
        <v>7659</v>
      </c>
      <c r="G122" s="59">
        <f t="shared" si="16"/>
        <v>22446.656499999997</v>
      </c>
      <c r="H122" s="124">
        <f t="shared" si="13"/>
        <v>47066.184624256879</v>
      </c>
      <c r="N122" s="68">
        <v>1.2</v>
      </c>
      <c r="O122" s="69">
        <v>0.6</v>
      </c>
      <c r="P122" s="59">
        <f>(((N122)+(O122*2))*'MATERIALES (2)'!$C$16)*'MATERIALES (2)'!$F$1</f>
        <v>8503.3619999999992</v>
      </c>
      <c r="Q122" s="59">
        <f>(16*'MATERIALES (2)'!$C$134)+(2*'MATERIALES (2)'!$C$161)+(2*'MATERIALES (2)'!$C$162)+(4*'MATERIALES (2)'!$C$160)+(((N122)+(O122*2))*'MATERIALES (2)'!$C$159)</f>
        <v>1212</v>
      </c>
      <c r="R122" s="75"/>
      <c r="S122" s="55">
        <f>((N122/2)*O122)*'MATERIALES (2)'!$C$158</f>
        <v>3063.6</v>
      </c>
      <c r="T122" s="59">
        <f t="shared" si="18"/>
        <v>12778.962</v>
      </c>
      <c r="U122" s="67">
        <f t="shared" si="17"/>
        <v>25670.561299267501</v>
      </c>
    </row>
    <row r="123" spans="1:21" ht="15.75" hidden="1" thickBot="1">
      <c r="A123" s="69">
        <v>1.8</v>
      </c>
      <c r="B123" s="69">
        <v>1.1000000000000001</v>
      </c>
      <c r="C123" s="59">
        <f>(((A123)+(B123*2))*'MATERIALES (2)'!$C$16)*'MATERIALES (2)'!$F$1</f>
        <v>14172.27</v>
      </c>
      <c r="D123" s="59">
        <f>(16*'MATERIALES (2)'!$C$134)+(2*'MATERIALES (2)'!$C$161)+(2*'MATERIALES (2)'!$C$162)+(4*'MATERIALES (2)'!$C$160)+(((A123)+(B123*2))*'MATERIALES (2)'!$C$159)</f>
        <v>1340</v>
      </c>
      <c r="E123" s="75"/>
      <c r="F123" s="55">
        <f>((A123/2)*B123)*'MATERIALES (2)'!$C$158</f>
        <v>8424.9000000000015</v>
      </c>
      <c r="G123" s="59">
        <f t="shared" si="16"/>
        <v>23937.170000000002</v>
      </c>
      <c r="H123" s="124">
        <f t="shared" si="13"/>
        <v>50414.625027112503</v>
      </c>
      <c r="N123" s="68">
        <v>1.2</v>
      </c>
      <c r="O123" s="69">
        <v>0.8</v>
      </c>
      <c r="P123" s="59">
        <f>(((N123)+(O123*2))*'MATERIALES (2)'!$C$16)*'MATERIALES (2)'!$F$1</f>
        <v>9920.5889999999981</v>
      </c>
      <c r="Q123" s="59">
        <f>(16*'MATERIALES (2)'!$C$134)+(2*'MATERIALES (2)'!$C$161)+(2*'MATERIALES (2)'!$C$162)+(4*'MATERIALES (2)'!$C$160)+(((N123)+(O123*2))*'MATERIALES (2)'!$C$159)</f>
        <v>1244</v>
      </c>
      <c r="R123" s="75"/>
      <c r="S123" s="55">
        <f>((N123/2)*O123)*'MATERIALES (2)'!$C$158</f>
        <v>4084.7999999999997</v>
      </c>
      <c r="T123" s="59">
        <f t="shared" si="18"/>
        <v>15249.388999999997</v>
      </c>
      <c r="U123" s="67">
        <f t="shared" si="17"/>
        <v>31005.135774978753</v>
      </c>
    </row>
    <row r="124" spans="1:21" ht="15.75" hidden="1" thickBot="1">
      <c r="A124" s="69">
        <v>1.8</v>
      </c>
      <c r="B124" s="69">
        <v>1.2</v>
      </c>
      <c r="C124" s="59">
        <f>(((A124)+(B124*2))*'MATERIALES (2)'!$C$16)*'MATERIALES (2)'!$F$1</f>
        <v>14880.8835</v>
      </c>
      <c r="D124" s="59">
        <f>(16*'MATERIALES (2)'!$C$134)+(2*'MATERIALES (2)'!$C$161)+(2*'MATERIALES (2)'!$C$162)+(4*'MATERIALES (2)'!$C$160)+(((A124)+(B124*2))*'MATERIALES (2)'!$C$159)</f>
        <v>1356</v>
      </c>
      <c r="E124" s="75"/>
      <c r="F124" s="55">
        <f>((A124/2)*B124)*'MATERIALES (2)'!$C$158</f>
        <v>9190.8000000000011</v>
      </c>
      <c r="G124" s="59">
        <f t="shared" si="16"/>
        <v>25427.683499999999</v>
      </c>
      <c r="H124" s="124">
        <f t="shared" si="13"/>
        <v>53763.065429968141</v>
      </c>
      <c r="N124" s="68">
        <v>1.2</v>
      </c>
      <c r="O124" s="69">
        <v>1</v>
      </c>
      <c r="P124" s="59">
        <f>(((N124)+(O124*2))*'MATERIALES (2)'!$C$16)*'MATERIALES (2)'!$F$1</f>
        <v>11337.816000000001</v>
      </c>
      <c r="Q124" s="59">
        <f>(16*'MATERIALES (2)'!$C$134)+(2*'MATERIALES (2)'!$C$161)+(2*'MATERIALES (2)'!$C$162)+(4*'MATERIALES (2)'!$C$160)+(((N124)+(O124*2))*'MATERIALES (2)'!$C$159)</f>
        <v>1276</v>
      </c>
      <c r="R124" s="75"/>
      <c r="S124" s="55">
        <f>((N124/2)*O124)*'MATERIALES (2)'!$C$158</f>
        <v>5106</v>
      </c>
      <c r="T124" s="59">
        <f t="shared" si="18"/>
        <v>17719.815999999999</v>
      </c>
      <c r="U124" s="67">
        <f t="shared" si="17"/>
        <v>36339.710250690005</v>
      </c>
    </row>
    <row r="125" spans="1:21" ht="15.75" hidden="1" thickBot="1">
      <c r="A125" s="69">
        <v>1.8</v>
      </c>
      <c r="B125" s="69">
        <v>1.5</v>
      </c>
      <c r="C125" s="59">
        <f>(((A125)+(B125*2))*'MATERIALES (2)'!$C$16)*'MATERIALES (2)'!$F$1</f>
        <v>17006.723999999998</v>
      </c>
      <c r="D125" s="59">
        <f>(16*'MATERIALES (2)'!$C$134)+(2*'MATERIALES (2)'!$C$161)+(2*'MATERIALES (2)'!$C$162)+(4*'MATERIALES (2)'!$C$160)+(((A125)+(B125*2))*'MATERIALES (2)'!$C$159)</f>
        <v>1404</v>
      </c>
      <c r="E125" s="75"/>
      <c r="F125" s="55">
        <f>((A125/2)*B125)*'MATERIALES (2)'!$C$158</f>
        <v>11488.5</v>
      </c>
      <c r="G125" s="59">
        <f t="shared" si="16"/>
        <v>29899.223999999998</v>
      </c>
      <c r="H125" s="124">
        <f t="shared" si="13"/>
        <v>63808.386638535005</v>
      </c>
      <c r="N125" s="68">
        <v>1.2</v>
      </c>
      <c r="O125" s="69">
        <v>1.2</v>
      </c>
      <c r="P125" s="59">
        <f>(((N125)+(O125*2))*'MATERIALES (2)'!$C$16)*'MATERIALES (2)'!$F$1</f>
        <v>12755.043</v>
      </c>
      <c r="Q125" s="59">
        <f>(16*'MATERIALES (2)'!$C$134)+(2*'MATERIALES (2)'!$C$161)+(2*'MATERIALES (2)'!$C$162)+(4*'MATERIALES (2)'!$C$160)+(((N125)+(O125*2))*'MATERIALES (2)'!$C$159)</f>
        <v>1308</v>
      </c>
      <c r="R125" s="75"/>
      <c r="S125" s="55">
        <f>((N125/2)*O125)*'MATERIALES (2)'!$C$158</f>
        <v>6127.2</v>
      </c>
      <c r="T125" s="59">
        <f t="shared" si="18"/>
        <v>20190.242999999999</v>
      </c>
      <c r="U125" s="67">
        <f t="shared" si="17"/>
        <v>41674.284726401253</v>
      </c>
    </row>
    <row r="126" spans="1:21" ht="15.75" hidden="1" thickBot="1">
      <c r="A126" s="69">
        <v>1.8</v>
      </c>
      <c r="B126" s="69">
        <v>1.8</v>
      </c>
      <c r="C126" s="59">
        <f>(((A126)+(B126*2))*'MATERIALES (2)'!$C$16)*'MATERIALES (2)'!$F$1</f>
        <v>19132.5645</v>
      </c>
      <c r="D126" s="59">
        <f>(16*'MATERIALES (2)'!$C$134)+(2*'MATERIALES (2)'!$C$161)+(2*'MATERIALES (2)'!$C$162)+(4*'MATERIALES (2)'!$C$160)+(((A126)+(B126*2))*'MATERIALES (2)'!$C$159)</f>
        <v>1452</v>
      </c>
      <c r="E126" s="75"/>
      <c r="F126" s="55">
        <f>((A126/2)*B126)*'MATERIALES (2)'!$C$158</f>
        <v>13786.2</v>
      </c>
      <c r="G126" s="59">
        <f t="shared" si="16"/>
        <v>34370.764500000005</v>
      </c>
      <c r="H126" s="124">
        <f t="shared" si="13"/>
        <v>73853.70784710189</v>
      </c>
      <c r="N126" s="44">
        <v>1.2</v>
      </c>
      <c r="O126" s="45">
        <v>1.5</v>
      </c>
      <c r="P126" s="60">
        <f>(((N126)+(O126*2))*'MATERIALES (2)'!$C$16)*'MATERIALES (2)'!$F$1</f>
        <v>14880.8835</v>
      </c>
      <c r="Q126" s="60">
        <f>(16*'MATERIALES (2)'!$C$134)+(2*'MATERIALES (2)'!$C$161)+(2*'MATERIALES (2)'!$C$162)+(4*'MATERIALES (2)'!$C$160)+(((N126)+(O126*2))*'MATERIALES (2)'!$C$159)</f>
        <v>1356</v>
      </c>
      <c r="R126" s="76"/>
      <c r="S126" s="56">
        <f>((N126/2)*O126)*'MATERIALES (2)'!$C$158</f>
        <v>7658.9999999999991</v>
      </c>
      <c r="T126" s="60">
        <f t="shared" si="18"/>
        <v>23895.8835</v>
      </c>
      <c r="U126" s="67">
        <f t="shared" si="17"/>
        <v>49676.146439968121</v>
      </c>
    </row>
    <row r="127" spans="1:21" hidden="1">
      <c r="A127" s="69">
        <v>2</v>
      </c>
      <c r="B127" s="69">
        <v>0.8</v>
      </c>
      <c r="C127" s="59">
        <f>(((A127)+(B127*2))*'MATERIALES (2)'!$C$16)*'MATERIALES (2)'!$F$1</f>
        <v>12755.043</v>
      </c>
      <c r="D127" s="59">
        <f>(16*'MATERIALES (2)'!$C$134)+(2*'MATERIALES (2)'!$C$161)+(2*'MATERIALES (2)'!$C$162)+(4*'MATERIALES (2)'!$C$160)+(((A127)+(B127*2))*'MATERIALES (2)'!$C$159)</f>
        <v>1308</v>
      </c>
      <c r="E127" s="75"/>
      <c r="F127" s="55">
        <f>((A127/2)*B127)*'MATERIALES (2)'!$C$158</f>
        <v>6808</v>
      </c>
      <c r="G127" s="59">
        <f t="shared" si="16"/>
        <v>20871.042999999998</v>
      </c>
      <c r="H127" s="124">
        <f t="shared" si="13"/>
        <v>43490.693166401259</v>
      </c>
    </row>
    <row r="128" spans="1:21" hidden="1">
      <c r="A128" s="69">
        <v>2</v>
      </c>
      <c r="B128" s="69">
        <v>1</v>
      </c>
      <c r="C128" s="59">
        <f>(((A128)+(B128*2))*'MATERIALES (2)'!$C$16)*'MATERIALES (2)'!$F$1</f>
        <v>14172.27</v>
      </c>
      <c r="D128" s="59">
        <f>(16*'MATERIALES (2)'!$C$134)+(2*'MATERIALES (2)'!$C$161)+(2*'MATERIALES (2)'!$C$162)+(4*'MATERIALES (2)'!$C$160)+(((A128)+(B128*2))*'MATERIALES (2)'!$C$159)</f>
        <v>1340</v>
      </c>
      <c r="E128" s="75"/>
      <c r="F128" s="55">
        <f>((A128/2)*B128)*'MATERIALES (2)'!$C$158</f>
        <v>8510</v>
      </c>
      <c r="G128" s="59">
        <f t="shared" si="16"/>
        <v>24022.27</v>
      </c>
      <c r="H128" s="124">
        <f t="shared" si="13"/>
        <v>50641.676082112499</v>
      </c>
    </row>
    <row r="129" spans="1:8" hidden="1">
      <c r="A129" s="69">
        <v>2</v>
      </c>
      <c r="B129" s="69">
        <v>1.1000000000000001</v>
      </c>
      <c r="C129" s="59">
        <f>(((A129)+(B129*2))*'MATERIALES (2)'!$C$16)*'MATERIALES (2)'!$F$1</f>
        <v>14880.8835</v>
      </c>
      <c r="D129" s="59">
        <f>(16*'MATERIALES (2)'!$C$134)+(2*'MATERIALES (2)'!$C$161)+(2*'MATERIALES (2)'!$C$162)+(4*'MATERIALES (2)'!$C$160)+(((A129)+(B129*2))*'MATERIALES (2)'!$C$159)</f>
        <v>1356</v>
      </c>
      <c r="E129" s="75"/>
      <c r="F129" s="55">
        <f>((A129/2)*B129)*'MATERIALES (2)'!$C$158</f>
        <v>9361</v>
      </c>
      <c r="G129" s="59">
        <f t="shared" si="16"/>
        <v>25597.8835</v>
      </c>
      <c r="H129" s="124">
        <f t="shared" si="13"/>
        <v>54217.167539968141</v>
      </c>
    </row>
    <row r="130" spans="1:8" hidden="1">
      <c r="A130" s="69">
        <v>2</v>
      </c>
      <c r="B130" s="69">
        <v>1.2</v>
      </c>
      <c r="C130" s="59">
        <f>(((A130)+(B130*2))*'MATERIALES (2)'!$C$16)*'MATERIALES (2)'!$F$1</f>
        <v>15589.497000000001</v>
      </c>
      <c r="D130" s="59">
        <f>(16*'MATERIALES (2)'!$C$134)+(2*'MATERIALES (2)'!$C$161)+(2*'MATERIALES (2)'!$C$162)+(4*'MATERIALES (2)'!$C$160)+(((A130)+(B130*2))*'MATERIALES (2)'!$C$159)</f>
        <v>1372</v>
      </c>
      <c r="E130" s="75"/>
      <c r="F130" s="55">
        <f>((A130/2)*B130)*'MATERIALES (2)'!$C$158</f>
        <v>10212</v>
      </c>
      <c r="G130" s="59">
        <f t="shared" si="16"/>
        <v>27173.497000000003</v>
      </c>
      <c r="H130" s="124">
        <f t="shared" si="13"/>
        <v>57792.658997823761</v>
      </c>
    </row>
    <row r="131" spans="1:8" hidden="1">
      <c r="A131" s="69">
        <v>2</v>
      </c>
      <c r="B131" s="69">
        <v>1.5</v>
      </c>
      <c r="C131" s="59">
        <f>(((A131)+(B131*2))*'MATERIALES (2)'!$C$16)*'MATERIALES (2)'!$F$1</f>
        <v>17715.337499999998</v>
      </c>
      <c r="D131" s="59">
        <f>(16*'MATERIALES (2)'!$C$134)+(2*'MATERIALES (2)'!$C$161)+(2*'MATERIALES (2)'!$C$162)+(4*'MATERIALES (2)'!$C$160)+(((A131)+(B131*2))*'MATERIALES (2)'!$C$159)</f>
        <v>1420</v>
      </c>
      <c r="E131" s="75"/>
      <c r="F131" s="55">
        <f>((A131/2)*B131)*'MATERIALES (2)'!$C$158</f>
        <v>12765</v>
      </c>
      <c r="G131" s="59">
        <f t="shared" si="16"/>
        <v>31900.337499999998</v>
      </c>
      <c r="H131" s="124">
        <f t="shared" si="13"/>
        <v>68519.133371390635</v>
      </c>
    </row>
    <row r="132" spans="1:8" hidden="1">
      <c r="A132" s="69">
        <v>2</v>
      </c>
      <c r="B132" s="69">
        <v>1.8</v>
      </c>
      <c r="C132" s="59">
        <f>(((A132)+(B132*2))*'MATERIALES (2)'!$C$16)*'MATERIALES (2)'!$F$1</f>
        <v>19841.177999999996</v>
      </c>
      <c r="D132" s="59">
        <f>(16*'MATERIALES (2)'!$C$134)+(2*'MATERIALES (2)'!$C$161)+(2*'MATERIALES (2)'!$C$162)+(4*'MATERIALES (2)'!$C$160)+(((A132)+(B132*2))*'MATERIALES (2)'!$C$159)</f>
        <v>1468</v>
      </c>
      <c r="E132" s="75"/>
      <c r="F132" s="55">
        <f>((A132/2)*B132)*'MATERIALES (2)'!$C$158</f>
        <v>15318</v>
      </c>
      <c r="G132" s="59">
        <f t="shared" si="16"/>
        <v>36627.178</v>
      </c>
      <c r="H132" s="124">
        <f t="shared" si="13"/>
        <v>79245.607744957495</v>
      </c>
    </row>
    <row r="133" spans="1:8" hidden="1">
      <c r="A133" s="69">
        <v>0</v>
      </c>
      <c r="B133" s="69">
        <v>0</v>
      </c>
      <c r="C133" s="59">
        <f>(((A133)+(B133*2))*'MATERIALES (2)'!$C$16)*'MATERIALES (2)'!$F$1</f>
        <v>0</v>
      </c>
      <c r="D133" s="59">
        <f>(16*'MATERIALES (2)'!$C$134)+(2*'MATERIALES (2)'!$C$161)+(2*'MATERIALES (2)'!$C$162)+(4*'MATERIALES (2)'!$C$160)+(((A133)+(B133*2))*'MATERIALES (2)'!$C$159)</f>
        <v>1020</v>
      </c>
      <c r="E133" s="75"/>
      <c r="F133" s="55">
        <f>((A133/2)*B133)*'MATERIALES (2)'!$C$158</f>
        <v>0</v>
      </c>
      <c r="G133" s="59">
        <f t="shared" si="16"/>
        <v>1020</v>
      </c>
      <c r="H133" s="124">
        <f t="shared" si="13"/>
        <v>1836.9524249999999</v>
      </c>
    </row>
    <row r="134" spans="1:8" hidden="1">
      <c r="A134" s="69">
        <v>0</v>
      </c>
      <c r="B134" s="69">
        <v>0</v>
      </c>
      <c r="C134" s="59">
        <f>(((A134)+(B134*2))*'MATERIALES (2)'!$C$16)*'MATERIALES (2)'!$F$1</f>
        <v>0</v>
      </c>
      <c r="D134" s="59">
        <f>(16*'MATERIALES (2)'!$C$134)+(2*'MATERIALES (2)'!$C$161)+(2*'MATERIALES (2)'!$C$162)+(4*'MATERIALES (2)'!$C$160)+(((A134)+(B134*2))*'MATERIALES (2)'!$C$159)</f>
        <v>1020</v>
      </c>
      <c r="E134" s="75"/>
      <c r="F134" s="55">
        <f>((A134/2)*B134)*'MATERIALES (2)'!$C$158</f>
        <v>0</v>
      </c>
      <c r="G134" s="59">
        <f t="shared" si="16"/>
        <v>1020</v>
      </c>
      <c r="H134" s="124">
        <f t="shared" si="13"/>
        <v>1836.9524249999999</v>
      </c>
    </row>
    <row r="135" spans="1:8" hidden="1">
      <c r="A135" s="69">
        <v>0</v>
      </c>
      <c r="B135" s="69">
        <v>0</v>
      </c>
      <c r="C135" s="59">
        <f>(((A135)+(B135*2))*'MATERIALES (2)'!$C$16)*'MATERIALES (2)'!$F$1</f>
        <v>0</v>
      </c>
      <c r="D135" s="59">
        <f>(16*'MATERIALES (2)'!$C$134)+(2*'MATERIALES (2)'!$C$161)+(2*'MATERIALES (2)'!$C$162)+(4*'MATERIALES (2)'!$C$160)+(((A135)+(B135*2))*'MATERIALES (2)'!$C$159)</f>
        <v>1020</v>
      </c>
      <c r="E135" s="75"/>
      <c r="F135" s="55">
        <f>((A135/2)*B135)*'MATERIALES (2)'!$C$158</f>
        <v>0</v>
      </c>
      <c r="G135" s="59">
        <f t="shared" si="16"/>
        <v>1020</v>
      </c>
      <c r="H135" s="124">
        <f t="shared" si="13"/>
        <v>1836.9524249999999</v>
      </c>
    </row>
    <row r="136" spans="1:8" hidden="1">
      <c r="A136" s="69">
        <v>2.2000000000000002</v>
      </c>
      <c r="B136" s="69">
        <v>1</v>
      </c>
      <c r="C136" s="59">
        <f>(((A136)+(B136*2))*'MATERIALES (2)'!$C$16)*'MATERIALES (2)'!$F$1</f>
        <v>14880.8835</v>
      </c>
      <c r="D136" s="59">
        <f>(16*'MATERIALES (2)'!$C$134)+(2*'MATERIALES (2)'!$C$161)+(2*'MATERIALES (2)'!$C$162)+(4*'MATERIALES (2)'!$C$160)+(((A136)+(B136*2))*'MATERIALES (2)'!$C$159)</f>
        <v>1356</v>
      </c>
      <c r="E136" s="75"/>
      <c r="F136" s="55">
        <f>((A136/2)*B136)*'MATERIALES (2)'!$C$158</f>
        <v>9361</v>
      </c>
      <c r="G136" s="59">
        <f t="shared" si="16"/>
        <v>25597.8835</v>
      </c>
      <c r="H136" s="124">
        <f t="shared" si="13"/>
        <v>54217.167539968141</v>
      </c>
    </row>
    <row r="137" spans="1:8" hidden="1">
      <c r="A137" s="69">
        <v>2.2000000000000002</v>
      </c>
      <c r="B137" s="69">
        <v>1.2</v>
      </c>
      <c r="C137" s="59">
        <f>(((A137)+(B137*2))*'MATERIALES (2)'!$C$16)*'MATERIALES (2)'!$F$1</f>
        <v>16298.110499999999</v>
      </c>
      <c r="D137" s="59">
        <f>(16*'MATERIALES (2)'!$C$134)+(2*'MATERIALES (2)'!$C$161)+(2*'MATERIALES (2)'!$C$162)+(4*'MATERIALES (2)'!$C$160)+(((A137)+(B137*2))*'MATERIALES (2)'!$C$159)</f>
        <v>1388</v>
      </c>
      <c r="E137" s="75"/>
      <c r="F137" s="55">
        <f>((A137/2)*B137)*'MATERIALES (2)'!$C$158</f>
        <v>11233.2</v>
      </c>
      <c r="G137" s="59">
        <f t="shared" si="16"/>
        <v>28919.3105</v>
      </c>
      <c r="H137" s="124">
        <f t="shared" si="13"/>
        <v>61822.252565679373</v>
      </c>
    </row>
    <row r="138" spans="1:8" hidden="1">
      <c r="A138" s="69">
        <v>2.2000000000000002</v>
      </c>
      <c r="B138" s="69">
        <v>1.5</v>
      </c>
      <c r="C138" s="59">
        <f>(((A138)+(B138*2))*'MATERIALES (2)'!$C$16)*'MATERIALES (2)'!$F$1</f>
        <v>18423.951000000001</v>
      </c>
      <c r="D138" s="59">
        <f>(16*'MATERIALES (2)'!$C$134)+(2*'MATERIALES (2)'!$C$161)+(2*'MATERIALES (2)'!$C$162)+(4*'MATERIALES (2)'!$C$160)+(((A138)+(B138*2))*'MATERIALES (2)'!$C$159)</f>
        <v>1436</v>
      </c>
      <c r="E138" s="75"/>
      <c r="F138" s="55">
        <f>((A138/2)*B138)*'MATERIALES (2)'!$C$158</f>
        <v>14041.500000000002</v>
      </c>
      <c r="G138" s="59">
        <f t="shared" si="16"/>
        <v>33901.451000000001</v>
      </c>
      <c r="H138" s="124">
        <f t="shared" si="13"/>
        <v>73229.880104246244</v>
      </c>
    </row>
    <row r="139" spans="1:8" hidden="1">
      <c r="A139" s="69">
        <v>2.2000000000000002</v>
      </c>
      <c r="B139" s="69">
        <v>1.8</v>
      </c>
      <c r="C139" s="59">
        <f>(((A139)+(B139*2))*'MATERIALES (2)'!$C$16)*'MATERIALES (2)'!$F$1</f>
        <v>20549.791500000003</v>
      </c>
      <c r="D139" s="59">
        <f>(16*'MATERIALES (2)'!$C$134)+(2*'MATERIALES (2)'!$C$161)+(2*'MATERIALES (2)'!$C$162)+(4*'MATERIALES (2)'!$C$160)+(((A139)+(B139*2))*'MATERIALES (2)'!$C$159)</f>
        <v>1484</v>
      </c>
      <c r="E139" s="75"/>
      <c r="F139" s="55">
        <f>((A139/2)*B139)*'MATERIALES (2)'!$C$158</f>
        <v>16849.800000000003</v>
      </c>
      <c r="G139" s="59">
        <f t="shared" si="16"/>
        <v>38883.59150000001</v>
      </c>
      <c r="H139" s="124">
        <f t="shared" si="13"/>
        <v>84637.507642813143</v>
      </c>
    </row>
    <row r="140" spans="1:8" hidden="1">
      <c r="A140" s="69">
        <v>2.4</v>
      </c>
      <c r="B140" s="69">
        <v>0.4</v>
      </c>
      <c r="C140" s="59">
        <f>(((A140)+(B140*2))*'MATERIALES (2)'!$C$16)*'MATERIALES (2)'!$F$1</f>
        <v>11337.816000000001</v>
      </c>
      <c r="D140" s="59">
        <f>(16*'MATERIALES (2)'!$C$134)+(2*'MATERIALES (2)'!$C$161)+(2*'MATERIALES (2)'!$C$162)+(4*'MATERIALES (2)'!$C$160)+(((A140)+(B140*2))*'MATERIALES (2)'!$C$159)</f>
        <v>1276</v>
      </c>
      <c r="E140" s="75"/>
      <c r="F140" s="55">
        <f>((A140/2)*B140)*'MATERIALES (2)'!$C$158</f>
        <v>4084.7999999999997</v>
      </c>
      <c r="G140" s="59">
        <f t="shared" si="16"/>
        <v>16698.616000000002</v>
      </c>
      <c r="H140" s="124">
        <f t="shared" si="13"/>
        <v>33615.097590689998</v>
      </c>
    </row>
    <row r="141" spans="1:8" hidden="1">
      <c r="A141" s="69">
        <v>2.4</v>
      </c>
      <c r="B141" s="69">
        <v>0.6</v>
      </c>
      <c r="C141" s="59">
        <f>(((A141)+(B141*2))*'MATERIALES (2)'!$C$16)*'MATERIALES (2)'!$F$1</f>
        <v>12755.043</v>
      </c>
      <c r="D141" s="59">
        <f>(16*'MATERIALES (2)'!$C$134)+(2*'MATERIALES (2)'!$C$161)+(2*'MATERIALES (2)'!$C$162)+(4*'MATERIALES (2)'!$C$160)+(((A141)+(B141*2))*'MATERIALES (2)'!$C$159)</f>
        <v>1308</v>
      </c>
      <c r="E141" s="75"/>
      <c r="F141" s="55">
        <f>((A141/2)*B141)*'MATERIALES (2)'!$C$158</f>
        <v>6127.2</v>
      </c>
      <c r="G141" s="59">
        <f t="shared" si="16"/>
        <v>20190.242999999999</v>
      </c>
      <c r="H141" s="124">
        <f t="shared" si="13"/>
        <v>41674.284726401253</v>
      </c>
    </row>
    <row r="142" spans="1:8" hidden="1">
      <c r="A142" s="69">
        <v>2.4</v>
      </c>
      <c r="B142" s="69">
        <v>0.8</v>
      </c>
      <c r="C142" s="59">
        <f>(((A142)+(B142*2))*'MATERIALES (2)'!$C$16)*'MATERIALES (2)'!$F$1</f>
        <v>14172.27</v>
      </c>
      <c r="D142" s="59">
        <f>(16*'MATERIALES (2)'!$C$134)+(2*'MATERIALES (2)'!$C$161)+(2*'MATERIALES (2)'!$C$162)+(4*'MATERIALES (2)'!$C$160)+(((A142)+(B142*2))*'MATERIALES (2)'!$C$159)</f>
        <v>1340</v>
      </c>
      <c r="E142" s="75"/>
      <c r="F142" s="55">
        <f>((A142/2)*B142)*'MATERIALES (2)'!$C$158</f>
        <v>8169.5999999999995</v>
      </c>
      <c r="G142" s="59">
        <f t="shared" si="16"/>
        <v>23681.87</v>
      </c>
      <c r="H142" s="124">
        <f t="shared" si="13"/>
        <v>49733.471862112507</v>
      </c>
    </row>
    <row r="143" spans="1:8" hidden="1">
      <c r="A143" s="69">
        <v>2.4</v>
      </c>
      <c r="B143" s="69">
        <v>1</v>
      </c>
      <c r="C143" s="59">
        <f>(((A143)+(B143*2))*'MATERIALES (2)'!$C$16)*'MATERIALES (2)'!$F$1</f>
        <v>15589.497000000001</v>
      </c>
      <c r="D143" s="59">
        <f>(16*'MATERIALES (2)'!$C$134)+(2*'MATERIALES (2)'!$C$161)+(2*'MATERIALES (2)'!$C$162)+(4*'MATERIALES (2)'!$C$160)+(((A143)+(B143*2))*'MATERIALES (2)'!$C$159)</f>
        <v>1372</v>
      </c>
      <c r="E143" s="75"/>
      <c r="F143" s="55">
        <f>((A143/2)*B143)*'MATERIALES (2)'!$C$158</f>
        <v>10212</v>
      </c>
      <c r="G143" s="59">
        <f t="shared" si="16"/>
        <v>27173.497000000003</v>
      </c>
      <c r="H143" s="124">
        <f t="shared" si="13"/>
        <v>57792.658997823761</v>
      </c>
    </row>
    <row r="144" spans="1:8" hidden="1">
      <c r="A144" s="69">
        <v>2.4</v>
      </c>
      <c r="B144" s="69">
        <v>1.2</v>
      </c>
      <c r="C144" s="59">
        <f>(((A144)+(B144*2))*'MATERIALES (2)'!$C$16)*'MATERIALES (2)'!$F$1</f>
        <v>17006.723999999998</v>
      </c>
      <c r="D144" s="59">
        <f>(16*'MATERIALES (2)'!$C$134)+(2*'MATERIALES (2)'!$C$161)+(2*'MATERIALES (2)'!$C$162)+(4*'MATERIALES (2)'!$C$160)+(((A144)+(B144*2))*'MATERIALES (2)'!$C$159)</f>
        <v>1404</v>
      </c>
      <c r="E144" s="75"/>
      <c r="F144" s="55">
        <f>((A144/2)*B144)*'MATERIALES (2)'!$C$158</f>
        <v>12254.4</v>
      </c>
      <c r="G144" s="59">
        <f t="shared" si="16"/>
        <v>30665.123999999996</v>
      </c>
      <c r="H144" s="124">
        <f t="shared" si="13"/>
        <v>65851.846133535</v>
      </c>
    </row>
    <row r="145" spans="1:21" hidden="1">
      <c r="A145" s="69">
        <v>2.4</v>
      </c>
      <c r="B145" s="69">
        <v>1.5</v>
      </c>
      <c r="C145" s="59">
        <f>(((A145)+(B145*2))*'MATERIALES (2)'!$C$16)*'MATERIALES (2)'!$F$1</f>
        <v>19132.5645</v>
      </c>
      <c r="D145" s="59">
        <f>(16*'MATERIALES (2)'!$C$134)+(2*'MATERIALES (2)'!$C$161)+(2*'MATERIALES (2)'!$C$162)+(4*'MATERIALES (2)'!$C$160)+(((A145)+(B145*2))*'MATERIALES (2)'!$C$159)</f>
        <v>1452</v>
      </c>
      <c r="E145" s="75"/>
      <c r="F145" s="55">
        <f>((A145/2)*B145)*'MATERIALES (2)'!$C$158</f>
        <v>15317.999999999998</v>
      </c>
      <c r="G145" s="59">
        <f t="shared" si="16"/>
        <v>35902.5645</v>
      </c>
      <c r="H145" s="124">
        <f t="shared" si="13"/>
        <v>77940.626837101881</v>
      </c>
    </row>
    <row r="146" spans="1:21" hidden="1">
      <c r="A146" s="69">
        <v>2.4</v>
      </c>
      <c r="B146" s="69">
        <v>1.8</v>
      </c>
      <c r="C146" s="59">
        <f>(((A146)+(B146*2))*'MATERIALES (2)'!$C$16)*'MATERIALES (2)'!$F$1</f>
        <v>21258.405000000002</v>
      </c>
      <c r="D146" s="59">
        <f>(16*'MATERIALES (2)'!$C$134)+(2*'MATERIALES (2)'!$C$161)+(2*'MATERIALES (2)'!$C$162)+(4*'MATERIALES (2)'!$C$160)+(((A146)+(B146*2))*'MATERIALES (2)'!$C$159)</f>
        <v>1500</v>
      </c>
      <c r="E146" s="75"/>
      <c r="F146" s="55">
        <f>((A146/2)*B146)*'MATERIALES (2)'!$C$158</f>
        <v>18381.600000000002</v>
      </c>
      <c r="G146" s="59">
        <f t="shared" si="16"/>
        <v>41140.005000000005</v>
      </c>
      <c r="H146" s="124">
        <f t="shared" si="13"/>
        <v>90029.407540668763</v>
      </c>
    </row>
    <row r="147" spans="1:21" hidden="1"/>
    <row r="148" spans="1:21" s="81" customFormat="1" hidden="1">
      <c r="A148" s="79"/>
      <c r="B148" s="79"/>
      <c r="C148" s="79"/>
      <c r="D148" s="79"/>
      <c r="E148" s="79"/>
      <c r="F148" s="79"/>
      <c r="G148" s="79"/>
      <c r="H148" s="80"/>
      <c r="N148" s="79"/>
      <c r="O148" s="79"/>
      <c r="P148" s="79"/>
      <c r="Q148" s="79"/>
      <c r="R148" s="79"/>
      <c r="S148" s="79"/>
      <c r="T148" s="79"/>
      <c r="U148" s="80"/>
    </row>
    <row r="149" spans="1:21" hidden="1"/>
    <row r="150" spans="1:21" ht="15.75" hidden="1" thickBot="1"/>
    <row r="151" spans="1:21" ht="15.75" hidden="1" thickBot="1">
      <c r="H151" s="32"/>
      <c r="I151" s="941">
        <v>1.4</v>
      </c>
      <c r="J151" s="942"/>
      <c r="K151" s="942"/>
      <c r="L151" s="943"/>
      <c r="M151" s="46" t="s">
        <v>163</v>
      </c>
    </row>
    <row r="152" spans="1:21" ht="15.75" hidden="1" thickBot="1">
      <c r="G152" s="792" t="s">
        <v>253</v>
      </c>
      <c r="H152" s="793"/>
      <c r="I152" s="793"/>
      <c r="J152" s="793"/>
      <c r="K152" s="793"/>
      <c r="L152" s="793"/>
      <c r="M152" s="794"/>
      <c r="N152" s="94"/>
    </row>
    <row r="153" spans="1:21" ht="15.75" hidden="1" thickBot="1">
      <c r="G153" s="36" t="s">
        <v>116</v>
      </c>
      <c r="H153" s="36" t="s">
        <v>117</v>
      </c>
      <c r="I153" s="36" t="s">
        <v>162</v>
      </c>
      <c r="J153" s="36" t="s">
        <v>119</v>
      </c>
      <c r="K153" s="36" t="s">
        <v>120</v>
      </c>
      <c r="L153" s="36" t="s">
        <v>121</v>
      </c>
      <c r="M153" s="36" t="s">
        <v>122</v>
      </c>
      <c r="T153" s="2"/>
      <c r="U153"/>
    </row>
    <row r="154" spans="1:21" ht="15.75" hidden="1" thickBot="1">
      <c r="G154" s="91"/>
      <c r="H154" s="92"/>
      <c r="I154" s="92"/>
      <c r="J154" s="92"/>
      <c r="K154" s="92"/>
      <c r="L154" s="92"/>
      <c r="M154" s="93"/>
      <c r="T154" s="2"/>
      <c r="U154"/>
    </row>
    <row r="155" spans="1:21" ht="16.5" hidden="1" thickBot="1">
      <c r="D155" s="591" t="s">
        <v>539</v>
      </c>
      <c r="G155" s="65">
        <v>0.6</v>
      </c>
      <c r="H155" s="66">
        <v>0.4</v>
      </c>
      <c r="I155" s="58">
        <f>(((G155*2)+(H155*4)*'MATERIALES (2)'!$C$31)+((H155*2)*'MATERIALES (2)'!$C$32)+((G155*1)*'MATERIALES (2)'!$C$32))*'MATERIALES (2)'!$F$1</f>
        <v>23826.274499999996</v>
      </c>
      <c r="J155" s="58">
        <f>((4*'MATERIALES (2)'!$C$126)+(4*'MATERIALES (2)'!$C$163))*2</f>
        <v>408</v>
      </c>
      <c r="K155" s="74"/>
      <c r="L155" s="58">
        <f>SUM(I155:K155)</f>
        <v>24234.274499999996</v>
      </c>
      <c r="M155" s="67">
        <f>(((SUM(I155:K155)*$I$151)*1.21)*1.05)*1.05</f>
        <v>45260.779255807487</v>
      </c>
      <c r="N155" s="798" t="s">
        <v>255</v>
      </c>
      <c r="T155" s="2"/>
      <c r="U155"/>
    </row>
    <row r="156" spans="1:21" ht="16.5" hidden="1" thickBot="1">
      <c r="D156" s="592" t="s">
        <v>540</v>
      </c>
      <c r="G156" s="68">
        <v>0.6</v>
      </c>
      <c r="H156" s="69">
        <v>0.6</v>
      </c>
      <c r="I156" s="59">
        <f>(((G156*2)+(H156*4)*'MATERIALES (2)'!$C$31)+((H156*2)*'MATERIALES (2)'!$C$32)+((G156*1)*'MATERIALES (2)'!$C$32))*'MATERIALES (2)'!$F$1</f>
        <v>27676.939499999997</v>
      </c>
      <c r="J156" s="59">
        <f>((4*'MATERIALES (2)'!$C$126)+(4*'MATERIALES (2)'!$C$163))*2</f>
        <v>408</v>
      </c>
      <c r="K156" s="75"/>
      <c r="L156" s="59">
        <f t="shared" ref="L156:L208" si="19">SUM(I156:K156)</f>
        <v>28084.939499999997</v>
      </c>
      <c r="M156" s="67">
        <f t="shared" ref="M156:M208" si="20">(((SUM(I156:K156)*$I$151)*1.21)*1.05)*1.05</f>
        <v>52452.415983082494</v>
      </c>
      <c r="N156" s="799"/>
      <c r="T156" s="2"/>
      <c r="U156"/>
    </row>
    <row r="157" spans="1:21" ht="16.5" hidden="1" thickBot="1">
      <c r="D157" s="593" t="s">
        <v>541</v>
      </c>
      <c r="G157" s="68">
        <v>0.8</v>
      </c>
      <c r="H157" s="69">
        <v>0.4</v>
      </c>
      <c r="I157" s="59">
        <f>(((G157*2)+(H157*4)*'MATERIALES (2)'!$C$31)+((H157*2)*'MATERIALES (2)'!$C$32)+((G157*1)*'MATERIALES (2)'!$C$32))*'MATERIALES (2)'!$F$1</f>
        <v>29201.256000000001</v>
      </c>
      <c r="J157" s="59">
        <f>((4*'MATERIALES (2)'!$C$126)+(4*'MATERIALES (2)'!$C$163))*2</f>
        <v>408</v>
      </c>
      <c r="K157" s="75"/>
      <c r="L157" s="59">
        <f t="shared" si="19"/>
        <v>29609.256000000001</v>
      </c>
      <c r="M157" s="67">
        <f t="shared" si="20"/>
        <v>55299.282829560005</v>
      </c>
      <c r="N157" s="799"/>
      <c r="T157" s="2"/>
      <c r="U157"/>
    </row>
    <row r="158" spans="1:21" ht="16.5" hidden="1" thickBot="1">
      <c r="D158" s="592" t="s">
        <v>542</v>
      </c>
      <c r="G158" s="68">
        <v>0.8</v>
      </c>
      <c r="H158" s="69">
        <v>0.6</v>
      </c>
      <c r="I158" s="59">
        <f>(((G158*2)+(H158*4)*'MATERIALES (2)'!$C$31)+((H158*2)*'MATERIALES (2)'!$C$32)+((G158*1)*'MATERIALES (2)'!$C$32))*'MATERIALES (2)'!$F$1</f>
        <v>33051.921000000002</v>
      </c>
      <c r="J158" s="59">
        <f>((4*'MATERIALES (2)'!$C$126)+(4*'MATERIALES (2)'!$C$163))*2</f>
        <v>408</v>
      </c>
      <c r="K158" s="75"/>
      <c r="L158" s="59">
        <f t="shared" si="19"/>
        <v>33459.921000000002</v>
      </c>
      <c r="M158" s="67">
        <f t="shared" si="20"/>
        <v>62490.919556835004</v>
      </c>
      <c r="N158" s="799"/>
      <c r="T158" s="2"/>
      <c r="U158"/>
    </row>
    <row r="159" spans="1:21" ht="16.5" hidden="1" thickBot="1">
      <c r="D159" s="593" t="s">
        <v>543</v>
      </c>
      <c r="G159" s="68">
        <v>0.8</v>
      </c>
      <c r="H159" s="69">
        <v>0.8</v>
      </c>
      <c r="I159" s="59">
        <f>(((G159*2)+(H159*4)*'MATERIALES (2)'!$C$31)+((H159*2)*'MATERIALES (2)'!$C$32)+((G159*1)*'MATERIALES (2)'!$C$32))*'MATERIALES (2)'!$F$1</f>
        <v>36902.585999999996</v>
      </c>
      <c r="J159" s="59">
        <f>((4*'MATERIALES (2)'!$C$126)+(4*'MATERIALES (2)'!$C$163))*2</f>
        <v>408</v>
      </c>
      <c r="K159" s="75"/>
      <c r="L159" s="59">
        <f t="shared" si="19"/>
        <v>37310.585999999996</v>
      </c>
      <c r="M159" s="67">
        <f t="shared" si="20"/>
        <v>69682.556284109989</v>
      </c>
      <c r="N159" s="799"/>
      <c r="T159" s="2"/>
      <c r="U159"/>
    </row>
    <row r="160" spans="1:21" ht="16.5" hidden="1" thickBot="1">
      <c r="D160" s="592" t="s">
        <v>544</v>
      </c>
      <c r="G160" s="68">
        <v>1</v>
      </c>
      <c r="H160" s="69">
        <v>0.4</v>
      </c>
      <c r="I160" s="59">
        <f>(((G160*2)+(H160*4)*'MATERIALES (2)'!$C$31)+((H160*2)*'MATERIALES (2)'!$C$32)+((G160*1)*'MATERIALES (2)'!$C$32))*'MATERIALES (2)'!$F$1</f>
        <v>34576.237499999996</v>
      </c>
      <c r="J160" s="59">
        <f>((4*'MATERIALES (2)'!$C$126)+(4*'MATERIALES (2)'!$C$163))*2</f>
        <v>408</v>
      </c>
      <c r="K160" s="75"/>
      <c r="L160" s="59">
        <f t="shared" si="19"/>
        <v>34984.237499999996</v>
      </c>
      <c r="M160" s="67">
        <f t="shared" si="20"/>
        <v>65337.786403312486</v>
      </c>
      <c r="N160" s="799"/>
      <c r="T160" s="2"/>
      <c r="U160"/>
    </row>
    <row r="161" spans="4:21" ht="16.5" hidden="1" thickBot="1">
      <c r="D161" s="593" t="s">
        <v>545</v>
      </c>
      <c r="G161" s="68">
        <v>1</v>
      </c>
      <c r="H161" s="69">
        <v>0.6</v>
      </c>
      <c r="I161" s="59">
        <f>(((G161*2)+(H161*4)*'MATERIALES (2)'!$C$31)+((H161*2)*'MATERIALES (2)'!$C$32)+((G161*1)*'MATERIALES (2)'!$C$32))*'MATERIALES (2)'!$F$1</f>
        <v>38426.902499999997</v>
      </c>
      <c r="J161" s="59">
        <f>((4*'MATERIALES (2)'!$C$126)+(4*'MATERIALES (2)'!$C$163))*2</f>
        <v>408</v>
      </c>
      <c r="K161" s="75"/>
      <c r="L161" s="59">
        <f t="shared" si="19"/>
        <v>38834.902499999997</v>
      </c>
      <c r="M161" s="67">
        <f t="shared" si="20"/>
        <v>72529.4231305875</v>
      </c>
      <c r="N161" s="799"/>
      <c r="T161" s="2"/>
      <c r="U161"/>
    </row>
    <row r="162" spans="4:21" ht="16.5" hidden="1" thickBot="1">
      <c r="D162" s="592" t="s">
        <v>546</v>
      </c>
      <c r="G162" s="68">
        <v>1</v>
      </c>
      <c r="H162" s="69">
        <v>0.8</v>
      </c>
      <c r="I162" s="59">
        <f>(((G162*2)+(H162*4)*'MATERIALES (2)'!$C$31)+((H162*2)*'MATERIALES (2)'!$C$32)+((G162*1)*'MATERIALES (2)'!$C$32))*'MATERIALES (2)'!$F$1</f>
        <v>42277.567500000005</v>
      </c>
      <c r="J162" s="59">
        <f>((4*'MATERIALES (2)'!$C$126)+(4*'MATERIALES (2)'!$C$163))*2</f>
        <v>408</v>
      </c>
      <c r="K162" s="75"/>
      <c r="L162" s="59">
        <f t="shared" si="19"/>
        <v>42685.567500000005</v>
      </c>
      <c r="M162" s="67">
        <f t="shared" si="20"/>
        <v>79721.059857862507</v>
      </c>
      <c r="N162" s="799"/>
      <c r="T162" s="2"/>
      <c r="U162"/>
    </row>
    <row r="163" spans="4:21" ht="16.5" hidden="1" thickBot="1">
      <c r="D163" s="593" t="s">
        <v>547</v>
      </c>
      <c r="G163" s="68">
        <v>1</v>
      </c>
      <c r="H163" s="69">
        <v>1</v>
      </c>
      <c r="I163" s="59">
        <f>(((G163*2)+(H163*4)*'MATERIALES (2)'!$C$31)+((H163*2)*'MATERIALES (2)'!$C$32)+((G163*1)*'MATERIALES (2)'!$C$32))*'MATERIALES (2)'!$F$1</f>
        <v>46128.232499999991</v>
      </c>
      <c r="J163" s="59">
        <f>((4*'MATERIALES (2)'!$C$126)+(4*'MATERIALES (2)'!$C$163))*2</f>
        <v>408</v>
      </c>
      <c r="K163" s="75"/>
      <c r="L163" s="59">
        <f t="shared" si="19"/>
        <v>46536.232499999991</v>
      </c>
      <c r="M163" s="67">
        <f t="shared" si="20"/>
        <v>86912.696585137499</v>
      </c>
      <c r="N163" s="799"/>
      <c r="T163" s="2"/>
      <c r="U163"/>
    </row>
    <row r="164" spans="4:21" ht="16.5" hidden="1" thickBot="1">
      <c r="D164" s="592" t="s">
        <v>548</v>
      </c>
      <c r="G164" s="68">
        <v>1</v>
      </c>
      <c r="H164" s="69">
        <v>1.1000000000000001</v>
      </c>
      <c r="I164" s="59">
        <f>(((G164*2)+(H164*4)*'MATERIALES (2)'!$C$31)+((H164*2)*'MATERIALES (2)'!$C$32)+((G164*1)*'MATERIALES (2)'!$C$32))*'MATERIALES (2)'!$F$1</f>
        <v>48053.565000000002</v>
      </c>
      <c r="J164" s="59">
        <f>((4*'MATERIALES (2)'!$C$126)+(4*'MATERIALES (2)'!$C$163))*2</f>
        <v>408</v>
      </c>
      <c r="K164" s="75"/>
      <c r="L164" s="59">
        <f t="shared" si="19"/>
        <v>48461.565000000002</v>
      </c>
      <c r="M164" s="67">
        <f t="shared" si="20"/>
        <v>90508.514948775017</v>
      </c>
      <c r="N164" s="799"/>
      <c r="T164" s="2"/>
      <c r="U164"/>
    </row>
    <row r="165" spans="4:21" ht="16.5" hidden="1" thickBot="1">
      <c r="D165" s="593" t="s">
        <v>549</v>
      </c>
      <c r="G165" s="68">
        <v>1</v>
      </c>
      <c r="H165" s="69">
        <v>1.2</v>
      </c>
      <c r="I165" s="59">
        <f>(((G165*2)+(H165*4)*'MATERIALES (2)'!$C$31)+((H165*2)*'MATERIALES (2)'!$C$32)+((G165*1)*'MATERIALES (2)'!$C$32))*'MATERIALES (2)'!$F$1</f>
        <v>49978.897499999992</v>
      </c>
      <c r="J165" s="59">
        <f>((4*'MATERIALES (2)'!$C$126)+(4*'MATERIALES (2)'!$C$163))*2</f>
        <v>408</v>
      </c>
      <c r="K165" s="75"/>
      <c r="L165" s="59">
        <f t="shared" si="19"/>
        <v>50386.897499999992</v>
      </c>
      <c r="M165" s="67">
        <f t="shared" si="20"/>
        <v>94104.333312412491</v>
      </c>
      <c r="N165" s="799"/>
      <c r="T165" s="2"/>
      <c r="U165"/>
    </row>
    <row r="166" spans="4:21" ht="16.5" hidden="1" thickBot="1">
      <c r="D166" s="592" t="s">
        <v>550</v>
      </c>
      <c r="G166" s="68">
        <v>1</v>
      </c>
      <c r="H166" s="69">
        <v>1.5</v>
      </c>
      <c r="I166" s="59">
        <f>(((G166*2)+(H166*4)*'MATERIALES (2)'!$C$31)+((H166*2)*'MATERIALES (2)'!$C$32)+((G166*1)*'MATERIALES (2)'!$C$32))*'MATERIALES (2)'!$F$1</f>
        <v>55754.895000000004</v>
      </c>
      <c r="J166" s="59">
        <f>((4*'MATERIALES (2)'!$C$126)+(4*'MATERIALES (2)'!$C$163))*2</f>
        <v>408</v>
      </c>
      <c r="K166" s="75"/>
      <c r="L166" s="59">
        <f t="shared" si="19"/>
        <v>56162.895000000004</v>
      </c>
      <c r="M166" s="67">
        <f t="shared" si="20"/>
        <v>104891.78840332502</v>
      </c>
      <c r="N166" s="799"/>
      <c r="T166" s="2"/>
      <c r="U166"/>
    </row>
    <row r="167" spans="4:21" ht="16.5" hidden="1" thickBot="1">
      <c r="D167" s="593" t="s">
        <v>551</v>
      </c>
      <c r="G167" s="68">
        <v>1.2</v>
      </c>
      <c r="H167" s="69">
        <v>0.4</v>
      </c>
      <c r="I167" s="59">
        <f>(((G167*2)+(H167*4)*'MATERIALES (2)'!$C$31)+((H167*2)*'MATERIALES (2)'!$C$32)+((G167*1)*'MATERIALES (2)'!$C$32))*'MATERIALES (2)'!$F$1</f>
        <v>39951.219000000005</v>
      </c>
      <c r="J167" s="59">
        <f>((4*'MATERIALES (2)'!$C$126)+(4*'MATERIALES (2)'!$C$163))*2</f>
        <v>408</v>
      </c>
      <c r="K167" s="75"/>
      <c r="L167" s="59">
        <f t="shared" si="19"/>
        <v>40359.219000000005</v>
      </c>
      <c r="M167" s="67">
        <f t="shared" si="20"/>
        <v>75376.289977065011</v>
      </c>
      <c r="N167" s="799"/>
      <c r="T167" s="2"/>
      <c r="U167"/>
    </row>
    <row r="168" spans="4:21" ht="16.5" hidden="1" thickBot="1">
      <c r="D168" s="592" t="s">
        <v>552</v>
      </c>
      <c r="G168" s="68">
        <v>1.2</v>
      </c>
      <c r="H168" s="69">
        <v>0.6</v>
      </c>
      <c r="I168" s="59">
        <f>(((G168*2)+(H168*4)*'MATERIALES (2)'!$C$31)+((H168*2)*'MATERIALES (2)'!$C$32)+((G168*1)*'MATERIALES (2)'!$C$32))*'MATERIALES (2)'!$F$1</f>
        <v>43801.884000000005</v>
      </c>
      <c r="J168" s="59">
        <f>((4*'MATERIALES (2)'!$C$126)+(4*'MATERIALES (2)'!$C$163))*2</f>
        <v>408</v>
      </c>
      <c r="K168" s="75"/>
      <c r="L168" s="59">
        <f t="shared" si="19"/>
        <v>44209.884000000005</v>
      </c>
      <c r="M168" s="67">
        <f t="shared" si="20"/>
        <v>82567.926704340003</v>
      </c>
      <c r="N168" s="799"/>
      <c r="T168" s="2"/>
      <c r="U168"/>
    </row>
    <row r="169" spans="4:21" ht="16.5" hidden="1" thickBot="1">
      <c r="D169" s="593" t="s">
        <v>553</v>
      </c>
      <c r="G169" s="68">
        <v>1.2</v>
      </c>
      <c r="H169" s="69">
        <v>0.8</v>
      </c>
      <c r="I169" s="59">
        <f>(((G169*2)+(H169*4)*'MATERIALES (2)'!$C$31)+((H169*2)*'MATERIALES (2)'!$C$32)+((G169*1)*'MATERIALES (2)'!$C$32))*'MATERIALES (2)'!$F$1</f>
        <v>47652.548999999992</v>
      </c>
      <c r="J169" s="59">
        <f>((4*'MATERIALES (2)'!$C$126)+(4*'MATERIALES (2)'!$C$163))*2</f>
        <v>408</v>
      </c>
      <c r="K169" s="75"/>
      <c r="L169" s="59">
        <f t="shared" si="19"/>
        <v>48060.548999999992</v>
      </c>
      <c r="M169" s="67">
        <f t="shared" si="20"/>
        <v>89759.563431614981</v>
      </c>
      <c r="N169" s="799"/>
      <c r="T169" s="2"/>
      <c r="U169"/>
    </row>
    <row r="170" spans="4:21" ht="16.5" hidden="1" thickBot="1">
      <c r="D170" s="592" t="s">
        <v>554</v>
      </c>
      <c r="G170" s="68">
        <v>1.2</v>
      </c>
      <c r="H170" s="69">
        <v>1</v>
      </c>
      <c r="I170" s="59">
        <f>(((G170*2)+(H170*4)*'MATERIALES (2)'!$C$31)+((H170*2)*'MATERIALES (2)'!$C$32)+((G170*1)*'MATERIALES (2)'!$C$32))*'MATERIALES (2)'!$F$1</f>
        <v>51503.213999999993</v>
      </c>
      <c r="J170" s="59">
        <f>((4*'MATERIALES (2)'!$C$126)+(4*'MATERIALES (2)'!$C$163))*2</f>
        <v>408</v>
      </c>
      <c r="K170" s="75"/>
      <c r="L170" s="59">
        <f t="shared" si="19"/>
        <v>51911.213999999993</v>
      </c>
      <c r="M170" s="67">
        <f t="shared" si="20"/>
        <v>96951.200158889988</v>
      </c>
      <c r="N170" s="799"/>
      <c r="T170" s="2"/>
      <c r="U170"/>
    </row>
    <row r="171" spans="4:21" ht="16.5" hidden="1" thickBot="1">
      <c r="D171" s="593" t="s">
        <v>555</v>
      </c>
      <c r="G171" s="68">
        <v>1.2</v>
      </c>
      <c r="H171" s="69">
        <v>1.1000000000000001</v>
      </c>
      <c r="I171" s="59">
        <f>(((G171*2)+(H171*4)*'MATERIALES (2)'!$C$31)+((H171*2)*'MATERIALES (2)'!$C$32)+((G171*1)*'MATERIALES (2)'!$C$32))*'MATERIALES (2)'!$F$1</f>
        <v>53428.546499999997</v>
      </c>
      <c r="J171" s="59">
        <f>((4*'MATERIALES (2)'!$C$126)+(4*'MATERIALES (2)'!$C$163))*2</f>
        <v>408</v>
      </c>
      <c r="K171" s="75"/>
      <c r="L171" s="59">
        <f t="shared" si="19"/>
        <v>53836.546499999997</v>
      </c>
      <c r="M171" s="67">
        <f t="shared" si="20"/>
        <v>100547.01852252748</v>
      </c>
      <c r="N171" s="799"/>
      <c r="T171" s="2"/>
      <c r="U171"/>
    </row>
    <row r="172" spans="4:21" ht="16.5" hidden="1" thickBot="1">
      <c r="D172" s="592" t="s">
        <v>556</v>
      </c>
      <c r="G172" s="68">
        <v>1.2</v>
      </c>
      <c r="H172" s="69">
        <v>1.2</v>
      </c>
      <c r="I172" s="59">
        <f>(((G172*2)+(H172*4)*'MATERIALES (2)'!$C$31)+((H172*2)*'MATERIALES (2)'!$C$32)+((G172*1)*'MATERIALES (2)'!$C$32))*'MATERIALES (2)'!$F$1</f>
        <v>55353.878999999994</v>
      </c>
      <c r="J172" s="59">
        <f>((4*'MATERIALES (2)'!$C$126)+(4*'MATERIALES (2)'!$C$163))*2</f>
        <v>408</v>
      </c>
      <c r="K172" s="75"/>
      <c r="L172" s="59">
        <f t="shared" si="19"/>
        <v>55761.878999999994</v>
      </c>
      <c r="M172" s="67">
        <f t="shared" si="20"/>
        <v>104142.83688616499</v>
      </c>
      <c r="N172" s="799"/>
      <c r="T172" s="2"/>
      <c r="U172"/>
    </row>
    <row r="173" spans="4:21" ht="16.5" hidden="1" thickBot="1">
      <c r="D173" s="593" t="s">
        <v>557</v>
      </c>
      <c r="G173" s="68">
        <v>1.2</v>
      </c>
      <c r="H173" s="69">
        <v>1.5</v>
      </c>
      <c r="I173" s="59">
        <f>(((G173*2)+(H173*4)*'MATERIALES (2)'!$C$31)+((H173*2)*'MATERIALES (2)'!$C$32)+((G173*1)*'MATERIALES (2)'!$C$32))*'MATERIALES (2)'!$F$1</f>
        <v>61129.876499999991</v>
      </c>
      <c r="J173" s="59">
        <f>((4*'MATERIALES (2)'!$C$126)+(4*'MATERIALES (2)'!$C$163))*2</f>
        <v>408</v>
      </c>
      <c r="K173" s="75"/>
      <c r="L173" s="59">
        <f t="shared" si="19"/>
        <v>61537.876499999991</v>
      </c>
      <c r="M173" s="67">
        <f t="shared" si="20"/>
        <v>114930.29197707748</v>
      </c>
      <c r="N173" s="799"/>
      <c r="T173" s="2"/>
      <c r="U173"/>
    </row>
    <row r="174" spans="4:21" ht="16.5" hidden="1" thickBot="1">
      <c r="D174" s="592" t="s">
        <v>558</v>
      </c>
      <c r="G174" s="68">
        <v>1.2</v>
      </c>
      <c r="H174" s="69">
        <v>1.8</v>
      </c>
      <c r="I174" s="59">
        <f>(((G174*2)+(H174*4)*'MATERIALES (2)'!$C$31)+((H174*2)*'MATERIALES (2)'!$C$32)+((G174*1)*'MATERIALES (2)'!$C$32))*'MATERIALES (2)'!$F$1</f>
        <v>66905.873999999982</v>
      </c>
      <c r="J174" s="59">
        <f>((4*'MATERIALES (2)'!$C$126)+(4*'MATERIALES (2)'!$C$163))*2</f>
        <v>408</v>
      </c>
      <c r="K174" s="75"/>
      <c r="L174" s="59">
        <f t="shared" si="19"/>
        <v>67313.873999999982</v>
      </c>
      <c r="M174" s="67">
        <f t="shared" si="20"/>
        <v>125717.74706798996</v>
      </c>
      <c r="N174" s="799"/>
      <c r="T174" s="2"/>
      <c r="U174"/>
    </row>
    <row r="175" spans="4:21" ht="16.5" hidden="1" thickBot="1">
      <c r="D175" s="593" t="s">
        <v>559</v>
      </c>
      <c r="G175" s="68">
        <v>1.5</v>
      </c>
      <c r="H175" s="69">
        <v>0.4</v>
      </c>
      <c r="I175" s="59">
        <f>(((G175*2)+(H175*4)*'MATERIALES (2)'!$C$31)+((H175*2)*'MATERIALES (2)'!$C$32)+((G175*1)*'MATERIALES (2)'!$C$32))*'MATERIALES (2)'!$F$1</f>
        <v>48013.691249999989</v>
      </c>
      <c r="J175" s="59">
        <f>((4*'MATERIALES (2)'!$C$126)+(4*'MATERIALES (2)'!$C$163))*2</f>
        <v>408</v>
      </c>
      <c r="K175" s="75"/>
      <c r="L175" s="59">
        <f t="shared" si="19"/>
        <v>48421.691249999989</v>
      </c>
      <c r="M175" s="67">
        <f t="shared" si="20"/>
        <v>90434.045337693722</v>
      </c>
      <c r="N175" s="799"/>
      <c r="T175" s="2"/>
      <c r="U175"/>
    </row>
    <row r="176" spans="4:21" ht="16.5" hidden="1" thickBot="1">
      <c r="D176" s="592" t="s">
        <v>560</v>
      </c>
      <c r="G176" s="68">
        <v>1.5</v>
      </c>
      <c r="H176" s="69">
        <v>0.6</v>
      </c>
      <c r="I176" s="59">
        <f>(((G176*2)+(H176*4)*'MATERIALES (2)'!$C$31)+((H176*2)*'MATERIALES (2)'!$C$32)+((G176*1)*'MATERIALES (2)'!$C$32))*'MATERIALES (2)'!$F$1</f>
        <v>51864.35624999999</v>
      </c>
      <c r="J176" s="59">
        <f>((4*'MATERIALES (2)'!$C$126)+(4*'MATERIALES (2)'!$C$163))*2</f>
        <v>408</v>
      </c>
      <c r="K176" s="75"/>
      <c r="L176" s="59">
        <f t="shared" si="19"/>
        <v>52272.35624999999</v>
      </c>
      <c r="M176" s="67">
        <f t="shared" si="20"/>
        <v>97625.682064968743</v>
      </c>
      <c r="N176" s="799"/>
      <c r="T176" s="2"/>
      <c r="U176"/>
    </row>
    <row r="177" spans="4:21" ht="16.5" hidden="1" thickBot="1">
      <c r="D177" s="593" t="s">
        <v>561</v>
      </c>
      <c r="G177" s="68">
        <v>1.5</v>
      </c>
      <c r="H177" s="69">
        <v>0.8</v>
      </c>
      <c r="I177" s="59">
        <f>(((G177*2)+(H177*4)*'MATERIALES (2)'!$C$31)+((H177*2)*'MATERIALES (2)'!$C$32)+((G177*1)*'MATERIALES (2)'!$C$32))*'MATERIALES (2)'!$F$1</f>
        <v>55715.021250000005</v>
      </c>
      <c r="J177" s="59">
        <f>((4*'MATERIALES (2)'!$C$126)+(4*'MATERIALES (2)'!$C$163))*2</f>
        <v>408</v>
      </c>
      <c r="K177" s="75"/>
      <c r="L177" s="59">
        <f t="shared" si="19"/>
        <v>56123.021250000005</v>
      </c>
      <c r="M177" s="67">
        <f t="shared" si="20"/>
        <v>104817.31879224375</v>
      </c>
      <c r="N177" s="799"/>
      <c r="T177" s="2"/>
      <c r="U177"/>
    </row>
    <row r="178" spans="4:21" ht="16.5" hidden="1" thickBot="1">
      <c r="D178" s="592" t="s">
        <v>562</v>
      </c>
      <c r="G178" s="68">
        <v>1.5</v>
      </c>
      <c r="H178" s="69">
        <v>1</v>
      </c>
      <c r="I178" s="59">
        <f>(((G178*2)+(H178*4)*'MATERIALES (2)'!$C$31)+((H178*2)*'MATERIALES (2)'!$C$32)+((G178*1)*'MATERIALES (2)'!$C$32))*'MATERIALES (2)'!$F$1</f>
        <v>59565.686249999992</v>
      </c>
      <c r="J178" s="59">
        <f>((4*'MATERIALES (2)'!$C$126)+(4*'MATERIALES (2)'!$C$163))*2</f>
        <v>408</v>
      </c>
      <c r="K178" s="75"/>
      <c r="L178" s="59">
        <f t="shared" si="19"/>
        <v>59973.686249999992</v>
      </c>
      <c r="M178" s="67">
        <f t="shared" si="20"/>
        <v>112008.95551951874</v>
      </c>
      <c r="N178" s="799"/>
      <c r="T178" s="2"/>
      <c r="U178"/>
    </row>
    <row r="179" spans="4:21" ht="16.5" hidden="1" thickBot="1">
      <c r="D179" s="593" t="s">
        <v>563</v>
      </c>
      <c r="G179" s="68">
        <v>1.5</v>
      </c>
      <c r="H179" s="69">
        <v>1.1000000000000001</v>
      </c>
      <c r="I179" s="59">
        <f>(((G179*2)+(H179*4)*'MATERIALES (2)'!$C$31)+((H179*2)*'MATERIALES (2)'!$C$32)+((G179*1)*'MATERIALES (2)'!$C$32))*'MATERIALES (2)'!$F$1</f>
        <v>61491.018750000003</v>
      </c>
      <c r="J179" s="59">
        <f>((4*'MATERIALES (2)'!$C$126)+(4*'MATERIALES (2)'!$C$163))*2</f>
        <v>408</v>
      </c>
      <c r="K179" s="75"/>
      <c r="L179" s="59">
        <f t="shared" si="19"/>
        <v>61899.018750000003</v>
      </c>
      <c r="M179" s="67">
        <f t="shared" si="20"/>
        <v>115604.77388315626</v>
      </c>
      <c r="N179" s="799"/>
      <c r="T179" s="2"/>
      <c r="U179"/>
    </row>
    <row r="180" spans="4:21" ht="16.5" hidden="1" thickBot="1">
      <c r="D180" s="592" t="s">
        <v>564</v>
      </c>
      <c r="G180" s="68">
        <v>1.5</v>
      </c>
      <c r="H180" s="69">
        <v>1.2</v>
      </c>
      <c r="I180" s="59">
        <f>(((G180*2)+(H180*4)*'MATERIALES (2)'!$C$31)+((H180*2)*'MATERIALES (2)'!$C$32)+((G180*1)*'MATERIALES (2)'!$C$32))*'MATERIALES (2)'!$F$1</f>
        <v>63416.351249999992</v>
      </c>
      <c r="J180" s="59">
        <f>((4*'MATERIALES (2)'!$C$126)+(4*'MATERIALES (2)'!$C$163))*2</f>
        <v>408</v>
      </c>
      <c r="K180" s="75"/>
      <c r="L180" s="59">
        <f t="shared" si="19"/>
        <v>63824.351249999992</v>
      </c>
      <c r="M180" s="67">
        <f t="shared" si="20"/>
        <v>119200.59224679373</v>
      </c>
      <c r="N180" s="799"/>
      <c r="T180" s="2"/>
      <c r="U180"/>
    </row>
    <row r="181" spans="4:21" ht="16.5" hidden="1" thickBot="1">
      <c r="D181" s="593" t="s">
        <v>565</v>
      </c>
      <c r="G181" s="68">
        <v>1.5</v>
      </c>
      <c r="H181" s="69">
        <v>1.5</v>
      </c>
      <c r="I181" s="59">
        <f>(((G181*2)+(H181*4)*'MATERIALES (2)'!$C$31)+((H181*2)*'MATERIALES (2)'!$C$32)+((G181*1)*'MATERIALES (2)'!$C$32))*'MATERIALES (2)'!$F$1</f>
        <v>69192.348750000005</v>
      </c>
      <c r="J181" s="59">
        <f>((4*'MATERIALES (2)'!$C$126)+(4*'MATERIALES (2)'!$C$163))*2</f>
        <v>408</v>
      </c>
      <c r="K181" s="75"/>
      <c r="L181" s="59">
        <f t="shared" si="19"/>
        <v>69600.348750000005</v>
      </c>
      <c r="M181" s="67">
        <f t="shared" si="20"/>
        <v>129988.04733770626</v>
      </c>
      <c r="N181" s="799"/>
      <c r="T181" s="2"/>
      <c r="U181"/>
    </row>
    <row r="182" spans="4:21" ht="16.5" hidden="1" thickBot="1">
      <c r="D182" s="592" t="s">
        <v>566</v>
      </c>
      <c r="G182" s="68">
        <v>1.5</v>
      </c>
      <c r="H182" s="69">
        <v>1.8</v>
      </c>
      <c r="I182" s="59">
        <f>(((G182*2)+(H182*4)*'MATERIALES (2)'!$C$31)+((H182*2)*'MATERIALES (2)'!$C$32)+((G182*1)*'MATERIALES (2)'!$C$32))*'MATERIALES (2)'!$F$1</f>
        <v>74968.346250000002</v>
      </c>
      <c r="J182" s="59">
        <f>((4*'MATERIALES (2)'!$C$126)+(4*'MATERIALES (2)'!$C$163))*2</f>
        <v>408</v>
      </c>
      <c r="K182" s="75"/>
      <c r="L182" s="59">
        <f t="shared" si="19"/>
        <v>75376.346250000002</v>
      </c>
      <c r="M182" s="67">
        <f t="shared" si="20"/>
        <v>140775.50242861875</v>
      </c>
      <c r="N182" s="799"/>
      <c r="T182" s="2"/>
      <c r="U182"/>
    </row>
    <row r="183" spans="4:21" ht="16.5" hidden="1" thickBot="1">
      <c r="D183" s="593" t="s">
        <v>567</v>
      </c>
      <c r="G183" s="68">
        <v>1.8</v>
      </c>
      <c r="H183" s="69">
        <v>0.8</v>
      </c>
      <c r="I183" s="59">
        <f>(((G183*2)+(H183*4)*'MATERIALES (2)'!$C$31)+((H183*2)*'MATERIALES (2)'!$C$32)+((G183*1)*'MATERIALES (2)'!$C$32))*'MATERIALES (2)'!$F$1</f>
        <v>63777.493500000004</v>
      </c>
      <c r="J183" s="59">
        <f>((4*'MATERIALES (2)'!$C$126)+(4*'MATERIALES (2)'!$C$163))*2</f>
        <v>408</v>
      </c>
      <c r="K183" s="75"/>
      <c r="L183" s="59">
        <f t="shared" si="19"/>
        <v>64185.493500000004</v>
      </c>
      <c r="M183" s="67">
        <f t="shared" si="20"/>
        <v>119875.07415287252</v>
      </c>
      <c r="N183" s="799"/>
      <c r="T183" s="2"/>
      <c r="U183"/>
    </row>
    <row r="184" spans="4:21" ht="16.5" hidden="1" thickBot="1">
      <c r="D184" s="592" t="s">
        <v>568</v>
      </c>
      <c r="G184" s="68">
        <v>1.8</v>
      </c>
      <c r="H184" s="69">
        <v>1</v>
      </c>
      <c r="I184" s="59">
        <f>(((G184*2)+(H184*4)*'MATERIALES (2)'!$C$31)+((H184*2)*'MATERIALES (2)'!$C$32)+((G184*1)*'MATERIALES (2)'!$C$32))*'MATERIALES (2)'!$F$1</f>
        <v>67628.158500000005</v>
      </c>
      <c r="J184" s="59">
        <f>((4*'MATERIALES (2)'!$C$126)+(4*'MATERIALES (2)'!$C$163))*2</f>
        <v>408</v>
      </c>
      <c r="K184" s="75"/>
      <c r="L184" s="59">
        <f t="shared" si="19"/>
        <v>68036.158500000005</v>
      </c>
      <c r="M184" s="67">
        <f t="shared" si="20"/>
        <v>127066.71088014751</v>
      </c>
      <c r="N184" s="799"/>
      <c r="T184" s="2"/>
      <c r="U184"/>
    </row>
    <row r="185" spans="4:21" ht="16.5" hidden="1" thickBot="1">
      <c r="D185" s="593" t="s">
        <v>569</v>
      </c>
      <c r="G185" s="68">
        <v>1.8</v>
      </c>
      <c r="H185" s="69">
        <v>1.1000000000000001</v>
      </c>
      <c r="I185" s="59">
        <f>(((G185*2)+(H185*4)*'MATERIALES (2)'!$C$31)+((H185*2)*'MATERIALES (2)'!$C$32)+((G185*1)*'MATERIALES (2)'!$C$32))*'MATERIALES (2)'!$F$1</f>
        <v>69553.490999999995</v>
      </c>
      <c r="J185" s="59">
        <f>((4*'MATERIALES (2)'!$C$126)+(4*'MATERIALES (2)'!$C$163))*2</f>
        <v>408</v>
      </c>
      <c r="K185" s="75"/>
      <c r="L185" s="59">
        <f t="shared" si="19"/>
        <v>69961.490999999995</v>
      </c>
      <c r="M185" s="67">
        <f t="shared" si="20"/>
        <v>130662.52924378499</v>
      </c>
      <c r="N185" s="799"/>
      <c r="T185" s="2"/>
      <c r="U185"/>
    </row>
    <row r="186" spans="4:21" ht="16.5" hidden="1" thickBot="1">
      <c r="D186" s="592" t="s">
        <v>570</v>
      </c>
      <c r="G186" s="68">
        <v>1.8</v>
      </c>
      <c r="H186" s="69">
        <v>1.2</v>
      </c>
      <c r="I186" s="59">
        <f>(((G186*2)+(H186*4)*'MATERIALES (2)'!$C$31)+((H186*2)*'MATERIALES (2)'!$C$32)+((G186*1)*'MATERIALES (2)'!$C$32))*'MATERIALES (2)'!$F$1</f>
        <v>71478.823499999999</v>
      </c>
      <c r="J186" s="59">
        <f>((4*'MATERIALES (2)'!$C$126)+(4*'MATERIALES (2)'!$C$163))*2</f>
        <v>408</v>
      </c>
      <c r="K186" s="75"/>
      <c r="L186" s="59">
        <f t="shared" si="19"/>
        <v>71886.823499999999</v>
      </c>
      <c r="M186" s="67">
        <f t="shared" si="20"/>
        <v>134258.3476074225</v>
      </c>
      <c r="N186" s="799"/>
      <c r="T186" s="2"/>
      <c r="U186"/>
    </row>
    <row r="187" spans="4:21" ht="16.5" hidden="1" thickBot="1">
      <c r="D187" s="593" t="s">
        <v>571</v>
      </c>
      <c r="G187" s="68">
        <v>1.8</v>
      </c>
      <c r="H187" s="69">
        <v>1.5</v>
      </c>
      <c r="I187" s="59">
        <f>(((G187*2)+(H187*4)*'MATERIALES (2)'!$C$31)+((H187*2)*'MATERIALES (2)'!$C$32)+((G187*1)*'MATERIALES (2)'!$C$32))*'MATERIALES (2)'!$F$1</f>
        <v>77254.820999999996</v>
      </c>
      <c r="J187" s="59">
        <f>((4*'MATERIALES (2)'!$C$126)+(4*'MATERIALES (2)'!$C$163))*2</f>
        <v>408</v>
      </c>
      <c r="K187" s="75"/>
      <c r="L187" s="59">
        <f t="shared" si="19"/>
        <v>77662.820999999996</v>
      </c>
      <c r="M187" s="67">
        <f t="shared" si="20"/>
        <v>145045.802698335</v>
      </c>
      <c r="N187" s="799"/>
      <c r="T187" s="2"/>
      <c r="U187"/>
    </row>
    <row r="188" spans="4:21" ht="16.5" hidden="1" thickBot="1">
      <c r="D188" s="592" t="s">
        <v>572</v>
      </c>
      <c r="G188" s="68">
        <v>1.8</v>
      </c>
      <c r="H188" s="69">
        <v>1.8</v>
      </c>
      <c r="I188" s="59">
        <f>(((G188*2)+(H188*4)*'MATERIALES (2)'!$C$31)+((H188*2)*'MATERIALES (2)'!$C$32)+((G188*1)*'MATERIALES (2)'!$C$32))*'MATERIALES (2)'!$F$1</f>
        <v>83030.818500000008</v>
      </c>
      <c r="J188" s="59">
        <f>((4*'MATERIALES (2)'!$C$126)+(4*'MATERIALES (2)'!$C$163))*2</f>
        <v>408</v>
      </c>
      <c r="K188" s="75"/>
      <c r="L188" s="59">
        <f t="shared" si="19"/>
        <v>83438.818500000008</v>
      </c>
      <c r="M188" s="67">
        <f t="shared" si="20"/>
        <v>155833.25778924752</v>
      </c>
      <c r="N188" s="799"/>
      <c r="T188" s="2"/>
      <c r="U188"/>
    </row>
    <row r="189" spans="4:21" ht="16.5" hidden="1" thickBot="1">
      <c r="D189" s="593" t="s">
        <v>573</v>
      </c>
      <c r="G189" s="68">
        <v>2</v>
      </c>
      <c r="H189" s="69">
        <v>0.8</v>
      </c>
      <c r="I189" s="59">
        <f>(((G189*2)+(H189*4)*'MATERIALES (2)'!$C$31)+((H189*2)*'MATERIALES (2)'!$C$32)+((G189*1)*'MATERIALES (2)'!$C$32))*'MATERIALES (2)'!$F$1</f>
        <v>69152.474999999991</v>
      </c>
      <c r="J189" s="59">
        <f>((4*'MATERIALES (2)'!$C$126)+(4*'MATERIALES (2)'!$C$163))*2</f>
        <v>408</v>
      </c>
      <c r="K189" s="75"/>
      <c r="L189" s="59">
        <f t="shared" si="19"/>
        <v>69560.474999999991</v>
      </c>
      <c r="M189" s="67">
        <f t="shared" si="20"/>
        <v>129913.57772662499</v>
      </c>
      <c r="N189" s="799"/>
      <c r="T189" s="2"/>
      <c r="U189"/>
    </row>
    <row r="190" spans="4:21" ht="16.5" hidden="1" thickBot="1">
      <c r="D190" s="592" t="s">
        <v>574</v>
      </c>
      <c r="G190" s="68">
        <v>2</v>
      </c>
      <c r="H190" s="69">
        <v>1</v>
      </c>
      <c r="I190" s="59">
        <f>(((G190*2)+(H190*4)*'MATERIALES (2)'!$C$31)+((H190*2)*'MATERIALES (2)'!$C$32)+((G190*1)*'MATERIALES (2)'!$C$32))*'MATERIALES (2)'!$F$1</f>
        <v>73003.14</v>
      </c>
      <c r="J190" s="59">
        <f>((4*'MATERIALES (2)'!$C$126)+(4*'MATERIALES (2)'!$C$163))*2</f>
        <v>408</v>
      </c>
      <c r="K190" s="75"/>
      <c r="L190" s="59">
        <f t="shared" si="19"/>
        <v>73411.14</v>
      </c>
      <c r="M190" s="67">
        <f t="shared" si="20"/>
        <v>137105.2144539</v>
      </c>
      <c r="N190" s="799"/>
      <c r="T190" s="2"/>
      <c r="U190"/>
    </row>
    <row r="191" spans="4:21" ht="16.5" hidden="1" thickBot="1">
      <c r="D191" s="593" t="s">
        <v>575</v>
      </c>
      <c r="G191" s="68">
        <v>2</v>
      </c>
      <c r="H191" s="69">
        <v>1.1000000000000001</v>
      </c>
      <c r="I191" s="59">
        <f>(((G191*2)+(H191*4)*'MATERIALES (2)'!$C$31)+((H191*2)*'MATERIALES (2)'!$C$32)+((G191*1)*'MATERIALES (2)'!$C$32))*'MATERIALES (2)'!$F$1</f>
        <v>74928.472500000003</v>
      </c>
      <c r="J191" s="59">
        <f>((4*'MATERIALES (2)'!$C$126)+(4*'MATERIALES (2)'!$C$163))*2</f>
        <v>408</v>
      </c>
      <c r="K191" s="75"/>
      <c r="L191" s="59">
        <f t="shared" si="19"/>
        <v>75336.472500000003</v>
      </c>
      <c r="M191" s="67">
        <f t="shared" si="20"/>
        <v>140701.03281753749</v>
      </c>
      <c r="N191" s="799"/>
      <c r="T191" s="2"/>
      <c r="U191"/>
    </row>
    <row r="192" spans="4:21" ht="16.5" hidden="1" thickBot="1">
      <c r="D192" s="592" t="s">
        <v>576</v>
      </c>
      <c r="G192" s="68">
        <v>2</v>
      </c>
      <c r="H192" s="69">
        <v>1.2</v>
      </c>
      <c r="I192" s="59">
        <f>(((G192*2)+(H192*4)*'MATERIALES (2)'!$C$31)+((H192*2)*'MATERIALES (2)'!$C$32)+((G192*1)*'MATERIALES (2)'!$C$32))*'MATERIALES (2)'!$F$1</f>
        <v>76853.804999999993</v>
      </c>
      <c r="J192" s="59">
        <f>((4*'MATERIALES (2)'!$C$126)+(4*'MATERIALES (2)'!$C$163))*2</f>
        <v>408</v>
      </c>
      <c r="K192" s="75"/>
      <c r="L192" s="59">
        <f t="shared" si="19"/>
        <v>77261.804999999993</v>
      </c>
      <c r="M192" s="67">
        <f t="shared" si="20"/>
        <v>144296.85118117498</v>
      </c>
      <c r="N192" s="799"/>
      <c r="T192" s="2"/>
      <c r="U192"/>
    </row>
    <row r="193" spans="4:21" ht="16.5" hidden="1" thickBot="1">
      <c r="D193" s="593" t="s">
        <v>577</v>
      </c>
      <c r="G193" s="68">
        <v>2</v>
      </c>
      <c r="H193" s="69">
        <v>1.5</v>
      </c>
      <c r="I193" s="59">
        <f>(((G193*2)+(H193*4)*'MATERIALES (2)'!$C$31)+((H193*2)*'MATERIALES (2)'!$C$32)+((G193*1)*'MATERIALES (2)'!$C$32))*'MATERIALES (2)'!$F$1</f>
        <v>82629.802500000005</v>
      </c>
      <c r="J193" s="59">
        <f>((4*'MATERIALES (2)'!$C$126)+(4*'MATERIALES (2)'!$C$163))*2</f>
        <v>408</v>
      </c>
      <c r="K193" s="75"/>
      <c r="L193" s="59">
        <f t="shared" si="19"/>
        <v>83037.802500000005</v>
      </c>
      <c r="M193" s="67">
        <f t="shared" si="20"/>
        <v>155084.30627208753</v>
      </c>
      <c r="N193" s="799"/>
      <c r="T193" s="2"/>
      <c r="U193"/>
    </row>
    <row r="194" spans="4:21" ht="16.5" hidden="1" thickBot="1">
      <c r="D194" s="594" t="s">
        <v>578</v>
      </c>
      <c r="G194" s="68">
        <v>2</v>
      </c>
      <c r="H194" s="69">
        <v>1.8</v>
      </c>
      <c r="I194" s="59">
        <f>(((G194*2)+(H194*4)*'MATERIALES (2)'!$C$31)+((H194*2)*'MATERIALES (2)'!$C$32)+((G194*1)*'MATERIALES (2)'!$C$32))*'MATERIALES (2)'!$F$1</f>
        <v>88405.8</v>
      </c>
      <c r="J194" s="59">
        <f>((4*'MATERIALES (2)'!$C$126)+(4*'MATERIALES (2)'!$C$163))*2</f>
        <v>408</v>
      </c>
      <c r="K194" s="75"/>
      <c r="L194" s="59">
        <f t="shared" si="19"/>
        <v>88813.8</v>
      </c>
      <c r="M194" s="67">
        <f t="shared" si="20"/>
        <v>165871.76136300003</v>
      </c>
      <c r="N194" s="799"/>
      <c r="T194" s="2"/>
      <c r="U194"/>
    </row>
    <row r="195" spans="4:21" ht="15.75" hidden="1" thickBot="1">
      <c r="G195" s="68"/>
      <c r="H195" s="69"/>
      <c r="I195" s="59">
        <f>(((G195*2)+(H195*4)*'MATERIALES (2)'!$C$31)+((H195*2)*'MATERIALES (2)'!$C$32)+((G195*1)*'MATERIALES (2)'!$C$32))*'MATERIALES (2)'!$F$1</f>
        <v>0</v>
      </c>
      <c r="J195" s="59">
        <f>((4*'MATERIALES (2)'!$C$126)+(4*'MATERIALES (2)'!$C$163))*2</f>
        <v>408</v>
      </c>
      <c r="K195" s="75"/>
      <c r="L195" s="59">
        <f t="shared" si="19"/>
        <v>408</v>
      </c>
      <c r="M195" s="67">
        <f t="shared" si="20"/>
        <v>761.99507999999992</v>
      </c>
      <c r="N195" s="799"/>
      <c r="T195" s="2"/>
      <c r="U195"/>
    </row>
    <row r="196" spans="4:21" ht="15.75" hidden="1" thickBot="1">
      <c r="G196" s="68"/>
      <c r="H196" s="69"/>
      <c r="I196" s="59">
        <f>(((G196*2)+(H196*4)*'MATERIALES (2)'!$C$31)+((H196*2)*'MATERIALES (2)'!$C$32)+((G196*1)*'MATERIALES (2)'!$C$32))*'MATERIALES (2)'!$F$1</f>
        <v>0</v>
      </c>
      <c r="J196" s="59">
        <f>((4*'MATERIALES (2)'!$C$126)+(4*'MATERIALES (2)'!$C$163))*2</f>
        <v>408</v>
      </c>
      <c r="K196" s="75"/>
      <c r="L196" s="59">
        <f t="shared" si="19"/>
        <v>408</v>
      </c>
      <c r="M196" s="67">
        <f t="shared" si="20"/>
        <v>761.99507999999992</v>
      </c>
      <c r="N196" s="799"/>
      <c r="T196" s="2"/>
      <c r="U196"/>
    </row>
    <row r="197" spans="4:21" ht="15.75" hidden="1" thickBot="1">
      <c r="G197" s="68"/>
      <c r="H197" s="69"/>
      <c r="I197" s="59">
        <f>(((G197*2)+(H197*4)*'MATERIALES (2)'!$C$31)+((H197*2)*'MATERIALES (2)'!$C$32)+((G197*1)*'MATERIALES (2)'!$C$32))*'MATERIALES (2)'!$F$1</f>
        <v>0</v>
      </c>
      <c r="J197" s="59">
        <f>((4*'MATERIALES (2)'!$C$126)+(4*'MATERIALES (2)'!$C$163))*2</f>
        <v>408</v>
      </c>
      <c r="K197" s="75"/>
      <c r="L197" s="59">
        <f t="shared" si="19"/>
        <v>408</v>
      </c>
      <c r="M197" s="67">
        <f t="shared" si="20"/>
        <v>761.99507999999992</v>
      </c>
      <c r="N197" s="799"/>
      <c r="T197" s="2"/>
      <c r="U197"/>
    </row>
    <row r="198" spans="4:21" ht="15.75" hidden="1" thickBot="1">
      <c r="G198" s="68">
        <v>2.2000000000000002</v>
      </c>
      <c r="H198" s="69">
        <v>1</v>
      </c>
      <c r="I198" s="59">
        <f>(((G198*2)+(H198*4)*'MATERIALES (2)'!$C$31)+((H198*2)*'MATERIALES (2)'!$C$32)+((G198*1)*'MATERIALES (2)'!$C$32))*'MATERIALES (2)'!$F$1</f>
        <v>78378.121499999994</v>
      </c>
      <c r="J198" s="59">
        <f>((4*'MATERIALES (2)'!$C$126)+(4*'MATERIALES (2)'!$C$163))*2</f>
        <v>408</v>
      </c>
      <c r="K198" s="75"/>
      <c r="L198" s="59">
        <f t="shared" si="19"/>
        <v>78786.121499999994</v>
      </c>
      <c r="M198" s="67">
        <f t="shared" si="20"/>
        <v>147143.71802765247</v>
      </c>
      <c r="N198" s="799"/>
      <c r="T198" s="2"/>
      <c r="U198"/>
    </row>
    <row r="199" spans="4:21" ht="15.75" hidden="1" thickBot="1">
      <c r="G199" s="68">
        <v>2.2000000000000002</v>
      </c>
      <c r="H199" s="69">
        <v>1.2</v>
      </c>
      <c r="I199" s="59">
        <f>(((G199*2)+(H199*4)*'MATERIALES (2)'!$C$31)+((H199*2)*'MATERIALES (2)'!$C$32)+((G199*1)*'MATERIALES (2)'!$C$32))*'MATERIALES (2)'!$F$1</f>
        <v>82228.786500000002</v>
      </c>
      <c r="J199" s="59">
        <f>((4*'MATERIALES (2)'!$C$126)+(4*'MATERIALES (2)'!$C$163))*2</f>
        <v>408</v>
      </c>
      <c r="K199" s="75"/>
      <c r="L199" s="59">
        <f t="shared" si="19"/>
        <v>82636.786500000002</v>
      </c>
      <c r="M199" s="67">
        <f t="shared" si="20"/>
        <v>154335.35475492748</v>
      </c>
      <c r="N199" s="799"/>
      <c r="T199" s="2"/>
      <c r="U199"/>
    </row>
    <row r="200" spans="4:21" ht="15.75" hidden="1" thickBot="1">
      <c r="G200" s="68">
        <v>2.2000000000000002</v>
      </c>
      <c r="H200" s="69">
        <v>1.5</v>
      </c>
      <c r="I200" s="59">
        <f>(((G200*2)+(H200*4)*'MATERIALES (2)'!$C$31)+((H200*2)*'MATERIALES (2)'!$C$32)+((G200*1)*'MATERIALES (2)'!$C$32))*'MATERIALES (2)'!$F$1</f>
        <v>88004.784</v>
      </c>
      <c r="J200" s="59">
        <f>((4*'MATERIALES (2)'!$C$126)+(4*'MATERIALES (2)'!$C$163))*2</f>
        <v>408</v>
      </c>
      <c r="K200" s="75"/>
      <c r="L200" s="59">
        <f t="shared" si="19"/>
        <v>88412.784</v>
      </c>
      <c r="M200" s="67">
        <f t="shared" si="20"/>
        <v>165122.80984584001</v>
      </c>
      <c r="N200" s="799"/>
      <c r="T200" s="2"/>
      <c r="U200"/>
    </row>
    <row r="201" spans="4:21" ht="15.75" hidden="1" thickBot="1">
      <c r="G201" s="68">
        <v>2.2000000000000002</v>
      </c>
      <c r="H201" s="69">
        <v>1.8</v>
      </c>
      <c r="I201" s="59">
        <f>(((G201*2)+(H201*4)*'MATERIALES (2)'!$C$31)+((H201*2)*'MATERIALES (2)'!$C$32)+((G201*1)*'MATERIALES (2)'!$C$32))*'MATERIALES (2)'!$F$1</f>
        <v>93780.781499999997</v>
      </c>
      <c r="J201" s="59">
        <f>((4*'MATERIALES (2)'!$C$126)+(4*'MATERIALES (2)'!$C$163))*2</f>
        <v>408</v>
      </c>
      <c r="K201" s="75"/>
      <c r="L201" s="59">
        <f t="shared" si="19"/>
        <v>94188.781499999997</v>
      </c>
      <c r="M201" s="67">
        <f t="shared" si="20"/>
        <v>175910.2649367525</v>
      </c>
      <c r="N201" s="799"/>
      <c r="T201" s="2"/>
      <c r="U201"/>
    </row>
    <row r="202" spans="4:21" ht="15.75" hidden="1" thickBot="1">
      <c r="G202" s="68">
        <v>2.4</v>
      </c>
      <c r="H202" s="69">
        <v>0.4</v>
      </c>
      <c r="I202" s="59">
        <f>(((G202*2)+(H202*4)*'MATERIALES (2)'!$C$31)+((H202*2)*'MATERIALES (2)'!$C$32)+((G202*1)*'MATERIALES (2)'!$C$32))*'MATERIALES (2)'!$F$1</f>
        <v>72201.108000000007</v>
      </c>
      <c r="J202" s="59">
        <f>((4*'MATERIALES (2)'!$C$126)+(4*'MATERIALES (2)'!$C$163))*2</f>
        <v>408</v>
      </c>
      <c r="K202" s="75"/>
      <c r="L202" s="59">
        <f t="shared" si="19"/>
        <v>72609.108000000007</v>
      </c>
      <c r="M202" s="67">
        <f t="shared" si="20"/>
        <v>135607.31141958002</v>
      </c>
      <c r="N202" s="799"/>
      <c r="T202" s="2"/>
      <c r="U202"/>
    </row>
    <row r="203" spans="4:21" ht="15.75" hidden="1" thickBot="1">
      <c r="G203" s="68">
        <v>2.4</v>
      </c>
      <c r="H203" s="69">
        <v>0.6</v>
      </c>
      <c r="I203" s="59">
        <f>(((G203*2)+(H203*4)*'MATERIALES (2)'!$C$31)+((H203*2)*'MATERIALES (2)'!$C$32)+((G203*1)*'MATERIALES (2)'!$C$32))*'MATERIALES (2)'!$F$1</f>
        <v>76051.772999999986</v>
      </c>
      <c r="J203" s="59">
        <f>((4*'MATERIALES (2)'!$C$126)+(4*'MATERIALES (2)'!$C$163))*2</f>
        <v>408</v>
      </c>
      <c r="K203" s="75"/>
      <c r="L203" s="59">
        <f t="shared" si="19"/>
        <v>76459.772999999986</v>
      </c>
      <c r="M203" s="67">
        <f t="shared" si="20"/>
        <v>142798.94814685499</v>
      </c>
      <c r="N203" s="799"/>
      <c r="T203" s="2"/>
      <c r="U203"/>
    </row>
    <row r="204" spans="4:21" ht="15.75" hidden="1" thickBot="1">
      <c r="G204" s="68">
        <v>2.4</v>
      </c>
      <c r="H204" s="69">
        <v>0.8</v>
      </c>
      <c r="I204" s="59">
        <f>(((G204*2)+(H204*4)*'MATERIALES (2)'!$C$31)+((H204*2)*'MATERIALES (2)'!$C$32)+((G204*1)*'MATERIALES (2)'!$C$32))*'MATERIALES (2)'!$F$1</f>
        <v>79902.438000000009</v>
      </c>
      <c r="J204" s="59">
        <f>((4*'MATERIALES (2)'!$C$126)+(4*'MATERIALES (2)'!$C$163))*2</f>
        <v>408</v>
      </c>
      <c r="K204" s="75"/>
      <c r="L204" s="59">
        <f t="shared" si="19"/>
        <v>80310.438000000009</v>
      </c>
      <c r="M204" s="67">
        <f t="shared" si="20"/>
        <v>149990.58487413003</v>
      </c>
      <c r="N204" s="799"/>
      <c r="T204" s="2"/>
      <c r="U204"/>
    </row>
    <row r="205" spans="4:21" ht="15.75" hidden="1" thickBot="1">
      <c r="G205" s="68">
        <v>2.4</v>
      </c>
      <c r="H205" s="69">
        <v>1</v>
      </c>
      <c r="I205" s="59">
        <f>(((G205*2)+(H205*4)*'MATERIALES (2)'!$C$31)+((H205*2)*'MATERIALES (2)'!$C$32)+((G205*1)*'MATERIALES (2)'!$C$32))*'MATERIALES (2)'!$F$1</f>
        <v>83753.103000000003</v>
      </c>
      <c r="J205" s="59">
        <f>((4*'MATERIALES (2)'!$C$126)+(4*'MATERIALES (2)'!$C$163))*2</f>
        <v>408</v>
      </c>
      <c r="K205" s="75"/>
      <c r="L205" s="59">
        <f t="shared" si="19"/>
        <v>84161.103000000003</v>
      </c>
      <c r="M205" s="67">
        <f t="shared" si="20"/>
        <v>157182.22160140498</v>
      </c>
      <c r="N205" s="799"/>
      <c r="T205" s="2"/>
      <c r="U205"/>
    </row>
    <row r="206" spans="4:21" ht="15.75" hidden="1" thickBot="1">
      <c r="G206" s="68">
        <v>2.4</v>
      </c>
      <c r="H206" s="69">
        <v>1.2</v>
      </c>
      <c r="I206" s="59">
        <f>(((G206*2)+(H206*4)*'MATERIALES (2)'!$C$31)+((H206*2)*'MATERIALES (2)'!$C$32)+((G206*1)*'MATERIALES (2)'!$C$32))*'MATERIALES (2)'!$F$1</f>
        <v>87603.768000000011</v>
      </c>
      <c r="J206" s="59">
        <f>((4*'MATERIALES (2)'!$C$126)+(4*'MATERIALES (2)'!$C$163))*2</f>
        <v>408</v>
      </c>
      <c r="K206" s="75"/>
      <c r="L206" s="59">
        <f t="shared" si="19"/>
        <v>88011.768000000011</v>
      </c>
      <c r="M206" s="67">
        <f t="shared" si="20"/>
        <v>164373.85832867998</v>
      </c>
      <c r="N206" s="799"/>
      <c r="T206" s="2"/>
      <c r="U206"/>
    </row>
    <row r="207" spans="4:21" ht="15.75" hidden="1" thickBot="1">
      <c r="G207" s="68">
        <v>2.4</v>
      </c>
      <c r="H207" s="69">
        <v>1.5</v>
      </c>
      <c r="I207" s="59">
        <f>(((G207*2)+(H207*4)*'MATERIALES (2)'!$C$31)+((H207*2)*'MATERIALES (2)'!$C$32)+((G207*1)*'MATERIALES (2)'!$C$32))*'MATERIALES (2)'!$F$1</f>
        <v>93379.765499999994</v>
      </c>
      <c r="J207" s="59">
        <f>((4*'MATERIALES (2)'!$C$126)+(4*'MATERIALES (2)'!$C$163))*2</f>
        <v>408</v>
      </c>
      <c r="K207" s="75"/>
      <c r="L207" s="59">
        <f t="shared" si="19"/>
        <v>93787.765499999994</v>
      </c>
      <c r="M207" s="67">
        <f t="shared" si="20"/>
        <v>175161.31341959251</v>
      </c>
      <c r="N207" s="799"/>
      <c r="T207" s="2"/>
      <c r="U207"/>
    </row>
    <row r="208" spans="4:21" ht="15.75" hidden="1" thickBot="1">
      <c r="G208" s="71">
        <v>2.4</v>
      </c>
      <c r="H208" s="72">
        <v>1.8</v>
      </c>
      <c r="I208" s="60">
        <f>(((G208*2)+(H208*4)*'MATERIALES (2)'!$C$31)+((H208*2)*'MATERIALES (2)'!$C$32)+((G208*1)*'MATERIALES (2)'!$C$32))*'MATERIALES (2)'!$F$1</f>
        <v>99155.762999999992</v>
      </c>
      <c r="J208" s="60">
        <f>((4*'MATERIALES (2)'!$C$126)+(4*'MATERIALES (2)'!$C$163))*2</f>
        <v>408</v>
      </c>
      <c r="K208" s="76"/>
      <c r="L208" s="60">
        <f t="shared" si="19"/>
        <v>99563.762999999992</v>
      </c>
      <c r="M208" s="67">
        <f t="shared" si="20"/>
        <v>185948.768510505</v>
      </c>
      <c r="N208" s="800"/>
      <c r="T208" s="2"/>
      <c r="U208"/>
    </row>
    <row r="209" spans="7:34" hidden="1">
      <c r="M209" s="32"/>
      <c r="T209" s="2"/>
      <c r="U209"/>
    </row>
    <row r="210" spans="7:34" ht="15.75" hidden="1" thickBot="1"/>
    <row r="211" spans="7:34" ht="15.75" hidden="1" thickBot="1">
      <c r="H211" s="32"/>
      <c r="I211" s="941">
        <v>1.4</v>
      </c>
      <c r="J211" s="942"/>
      <c r="K211" s="942"/>
      <c r="L211" s="943"/>
      <c r="M211" s="46" t="s">
        <v>163</v>
      </c>
    </row>
    <row r="212" spans="7:34" ht="15.75" hidden="1" thickBot="1">
      <c r="G212" s="792" t="s">
        <v>253</v>
      </c>
      <c r="H212" s="793"/>
      <c r="I212" s="793"/>
      <c r="J212" s="793"/>
      <c r="K212" s="793"/>
      <c r="L212" s="793"/>
      <c r="M212" s="794"/>
      <c r="N212" s="94"/>
    </row>
    <row r="213" spans="7:34" ht="15.75" hidden="1" thickBot="1">
      <c r="G213" s="36" t="s">
        <v>116</v>
      </c>
      <c r="H213" s="36" t="s">
        <v>117</v>
      </c>
      <c r="I213" s="36" t="s">
        <v>162</v>
      </c>
      <c r="J213" s="36" t="s">
        <v>119</v>
      </c>
      <c r="K213" s="36" t="s">
        <v>120</v>
      </c>
      <c r="L213" s="36" t="s">
        <v>121</v>
      </c>
      <c r="M213" s="36" t="s">
        <v>122</v>
      </c>
      <c r="T213" s="2"/>
      <c r="U213"/>
    </row>
    <row r="214" spans="7:34" ht="15.75" hidden="1" thickBot="1">
      <c r="G214" s="91"/>
      <c r="H214" s="92"/>
      <c r="I214" s="92"/>
      <c r="J214" s="92"/>
      <c r="K214" s="92"/>
      <c r="L214" s="92"/>
      <c r="M214" s="93"/>
      <c r="T214" s="2"/>
      <c r="U214"/>
    </row>
    <row r="215" spans="7:34" ht="15.75" hidden="1" thickBot="1">
      <c r="G215" s="65">
        <v>1.2</v>
      </c>
      <c r="H215" s="66">
        <v>2</v>
      </c>
      <c r="I215" s="58">
        <f>(((G215*2)+(H215*4)*'MATERIALES (2)'!$C$31)+((H215*2)*'MATERIALES (2)'!$C$32)+((G215*2)*'MATERIALES (2)'!$C$32))*'MATERIALES (2)'!$F$1</f>
        <v>75664.428</v>
      </c>
      <c r="J215" s="58">
        <f>((6*'MATERIALES (2)'!$C$126)+(6*'MATERIALES (2)'!$C$163))*2</f>
        <v>612</v>
      </c>
      <c r="K215" s="74"/>
      <c r="L215" s="47">
        <f>SUM(I215:K215)</f>
        <v>76276.428</v>
      </c>
      <c r="M215" s="49">
        <f>(((SUM(I215:K215)*$I$211)*1.21)*1.05)*1.05</f>
        <v>142456.52660778002</v>
      </c>
      <c r="N215" s="786" t="s">
        <v>254</v>
      </c>
      <c r="T215" s="2"/>
      <c r="U215"/>
    </row>
    <row r="216" spans="7:34" ht="15.75" hidden="1" thickBot="1">
      <c r="G216" s="68">
        <v>1.5</v>
      </c>
      <c r="H216" s="69">
        <v>2</v>
      </c>
      <c r="I216" s="59">
        <f>(((G216*2)+(H216*4)*'MATERIALES (2)'!$C$31)+((H216*2)*'MATERIALES (2)'!$C$32)+((G216*2)*'MATERIALES (2)'!$C$32))*'MATERIALES (2)'!$F$1</f>
        <v>84953.872499999998</v>
      </c>
      <c r="J216" s="59">
        <f>((6*'MATERIALES (2)'!$C$126)+(6*'MATERIALES (2)'!$C$163))*2</f>
        <v>612</v>
      </c>
      <c r="K216" s="75"/>
      <c r="L216" s="38">
        <f t="shared" ref="L216:L220" si="21">SUM(I216:K216)</f>
        <v>85565.872499999998</v>
      </c>
      <c r="M216" s="49">
        <f t="shared" ref="M216:M220" si="22">(((SUM(I216:K216)*$I$211)*1.21)*1.05)*1.05</f>
        <v>159805.81828653748</v>
      </c>
      <c r="N216" s="787"/>
      <c r="T216" s="2"/>
      <c r="U216"/>
    </row>
    <row r="217" spans="7:34" ht="15.75" hidden="1" thickBot="1">
      <c r="G217" s="68">
        <v>1.8</v>
      </c>
      <c r="H217" s="69">
        <v>2</v>
      </c>
      <c r="I217" s="59">
        <f>(((G217*2)+(H217*4)*'MATERIALES (2)'!$C$31)+((H217*2)*'MATERIALES (2)'!$C$32)+((G217*2)*'MATERIALES (2)'!$C$32))*'MATERIALES (2)'!$F$1</f>
        <v>94243.31700000001</v>
      </c>
      <c r="J217" s="59">
        <f>((6*'MATERIALES (2)'!$C$126)+(6*'MATERIALES (2)'!$C$163))*2</f>
        <v>612</v>
      </c>
      <c r="K217" s="75"/>
      <c r="L217" s="38">
        <f t="shared" si="21"/>
        <v>94855.31700000001</v>
      </c>
      <c r="M217" s="49">
        <f t="shared" si="22"/>
        <v>177155.10996529501</v>
      </c>
      <c r="N217" s="787"/>
      <c r="T217" s="2"/>
      <c r="U217"/>
    </row>
    <row r="218" spans="7:34" ht="15.75" hidden="1" thickBot="1">
      <c r="G218" s="68">
        <v>2</v>
      </c>
      <c r="H218" s="69">
        <v>2</v>
      </c>
      <c r="I218" s="59">
        <f>(((G218*2)+(H218*4)*'MATERIALES (2)'!$C$31)+((H218*2)*'MATERIALES (2)'!$C$32)+((G218*2)*'MATERIALES (2)'!$C$32))*'MATERIALES (2)'!$F$1</f>
        <v>100436.27999999998</v>
      </c>
      <c r="J218" s="59">
        <f>((6*'MATERIALES (2)'!$C$126)+(6*'MATERIALES (2)'!$C$163))*2</f>
        <v>612</v>
      </c>
      <c r="K218" s="75"/>
      <c r="L218" s="38">
        <f t="shared" si="21"/>
        <v>101048.27999999998</v>
      </c>
      <c r="M218" s="49">
        <f t="shared" si="22"/>
        <v>188721.30441779998</v>
      </c>
      <c r="N218" s="787"/>
      <c r="T218" s="2"/>
      <c r="U218"/>
    </row>
    <row r="219" spans="7:34" ht="15.75" hidden="1" thickBot="1">
      <c r="G219" s="68">
        <v>2.4</v>
      </c>
      <c r="H219" s="69">
        <v>2</v>
      </c>
      <c r="I219" s="59">
        <f>(((G219*2)+(H219*4)*'MATERIALES (2)'!$C$31)+((H219*2)*'MATERIALES (2)'!$C$32)+((G219*2)*'MATERIALES (2)'!$C$32))*'MATERIALES (2)'!$F$1</f>
        <v>112822.20600000001</v>
      </c>
      <c r="J219" s="59">
        <f>((6*'MATERIALES (2)'!$C$126)+(6*'MATERIALES (2)'!$C$163))*2</f>
        <v>612</v>
      </c>
      <c r="K219" s="75"/>
      <c r="L219" s="38">
        <f t="shared" si="21"/>
        <v>113434.20600000001</v>
      </c>
      <c r="M219" s="49">
        <f t="shared" si="22"/>
        <v>211853.69332281002</v>
      </c>
      <c r="N219" s="787"/>
      <c r="T219" s="2"/>
      <c r="U219"/>
    </row>
    <row r="220" spans="7:34" ht="15.75" hidden="1" customHeight="1" thickBot="1">
      <c r="G220" s="71">
        <v>2.4</v>
      </c>
      <c r="H220" s="72">
        <v>2</v>
      </c>
      <c r="I220" s="60">
        <f>(((G220*2)+(H220*4)*'MATERIALES (2)'!$C$31)+((H220*2)*'MATERIALES (2)'!$C$32)+((G220*2)*'MATERIALES (2)'!$C$32))*'MATERIALES (2)'!$F$1</f>
        <v>112822.20600000001</v>
      </c>
      <c r="J220" s="60">
        <f>((6*'MATERIALES (2)'!$C$126)+(6*'MATERIALES (2)'!$C$163))*2</f>
        <v>612</v>
      </c>
      <c r="K220" s="76"/>
      <c r="L220" s="50">
        <f t="shared" si="21"/>
        <v>113434.20600000001</v>
      </c>
      <c r="M220" s="49">
        <f t="shared" si="22"/>
        <v>211853.69332281002</v>
      </c>
      <c r="N220" s="788"/>
      <c r="T220" s="2"/>
      <c r="U220"/>
    </row>
    <row r="221" spans="7:34" ht="15.75" thickBot="1"/>
    <row r="222" spans="7:34" ht="15" customHeight="1">
      <c r="AA222" s="841" t="s">
        <v>923</v>
      </c>
      <c r="AB222" s="842"/>
      <c r="AC222" s="842"/>
      <c r="AD222" s="842"/>
      <c r="AE222" s="842"/>
      <c r="AF222" s="843"/>
      <c r="AH222" s="944" t="s">
        <v>664</v>
      </c>
    </row>
    <row r="223" spans="7:34" ht="15.75" customHeight="1" thickBot="1">
      <c r="AA223" s="844"/>
      <c r="AB223" s="845"/>
      <c r="AC223" s="845"/>
      <c r="AD223" s="845"/>
      <c r="AE223" s="845"/>
      <c r="AF223" s="846"/>
      <c r="AH223" s="945"/>
    </row>
    <row r="224" spans="7:34" ht="57" customHeight="1" thickBot="1">
      <c r="AA224" s="239" t="s">
        <v>534</v>
      </c>
      <c r="AB224" s="240" t="s">
        <v>535</v>
      </c>
      <c r="AC224" s="240" t="s">
        <v>536</v>
      </c>
      <c r="AD224" s="240" t="s">
        <v>537</v>
      </c>
      <c r="AE224" s="241" t="s">
        <v>858</v>
      </c>
      <c r="AF224" s="271" t="s">
        <v>538</v>
      </c>
      <c r="AH224" s="945"/>
    </row>
    <row r="225" spans="27:34" ht="50.25" customHeight="1" thickBot="1">
      <c r="AA225" s="243"/>
      <c r="AB225" s="244"/>
      <c r="AC225" s="244"/>
      <c r="AD225" s="244"/>
      <c r="AE225" s="244"/>
      <c r="AF225" s="244"/>
      <c r="AH225" s="945"/>
    </row>
    <row r="226" spans="27:34" ht="15.75">
      <c r="AA226" s="245" t="s">
        <v>539</v>
      </c>
      <c r="AB226" s="246">
        <f>+H6</f>
        <v>59973.208371326255</v>
      </c>
      <c r="AC226" s="246">
        <f>+U6</f>
        <v>69417.240122711271</v>
      </c>
      <c r="AD226" s="246">
        <f>+H93</f>
        <v>13696.431439989376</v>
      </c>
      <c r="AE226" s="247">
        <f t="shared" ref="AE226:AE265" si="23">+M155</f>
        <v>45260.779255807487</v>
      </c>
      <c r="AF226" s="247">
        <f>+Rejas!F6</f>
        <v>22100</v>
      </c>
      <c r="AH226" s="945"/>
    </row>
    <row r="227" spans="27:34" ht="15.75">
      <c r="AA227" s="245" t="s">
        <v>540</v>
      </c>
      <c r="AB227" s="246">
        <f t="shared" ref="AB227:AB265" si="24">+H7</f>
        <v>74137.506491317501</v>
      </c>
      <c r="AC227" s="246">
        <f t="shared" ref="AC227:AC265" si="25">+U7</f>
        <v>87898.344024645005</v>
      </c>
      <c r="AD227" s="246">
        <f t="shared" ref="AD227:AD265" si="26">+H94</f>
        <v>17668.699585700626</v>
      </c>
      <c r="AE227" s="247">
        <f t="shared" si="23"/>
        <v>52452.415983082494</v>
      </c>
      <c r="AF227" s="247">
        <f>+Rejas!F7</f>
        <v>22100</v>
      </c>
      <c r="AH227" s="945"/>
    </row>
    <row r="228" spans="27:34" ht="15.75">
      <c r="AA228" s="245" t="s">
        <v>541</v>
      </c>
      <c r="AB228" s="246">
        <f t="shared" si="24"/>
        <v>69727.267332607502</v>
      </c>
      <c r="AC228" s="246">
        <f t="shared" si="25"/>
        <v>79171.299083992519</v>
      </c>
      <c r="AD228" s="246">
        <f t="shared" si="26"/>
        <v>15909.616567845003</v>
      </c>
      <c r="AE228" s="247">
        <f t="shared" si="23"/>
        <v>55299.282829560005</v>
      </c>
      <c r="AF228" s="247">
        <f>+Rejas!F8</f>
        <v>22100</v>
      </c>
      <c r="AH228" s="945"/>
    </row>
    <row r="229" spans="27:34" ht="15.75">
      <c r="AA229" s="245" t="s">
        <v>542</v>
      </c>
      <c r="AB229" s="246">
        <f t="shared" si="24"/>
        <v>84681.308252598741</v>
      </c>
      <c r="AC229" s="246">
        <f t="shared" si="25"/>
        <v>98442.145785926245</v>
      </c>
      <c r="AD229" s="246">
        <f t="shared" si="26"/>
        <v>20335.98682355625</v>
      </c>
      <c r="AE229" s="247">
        <f t="shared" si="23"/>
        <v>62490.919556835004</v>
      </c>
      <c r="AF229" s="247">
        <f>+Rejas!F9</f>
        <v>22100</v>
      </c>
      <c r="AH229" s="945"/>
    </row>
    <row r="230" spans="27:34" ht="15.75">
      <c r="AA230" s="245" t="s">
        <v>543</v>
      </c>
      <c r="AB230" s="246">
        <f t="shared" si="24"/>
        <v>99635.349172590024</v>
      </c>
      <c r="AC230" s="246">
        <f t="shared" si="25"/>
        <v>117712.99248786004</v>
      </c>
      <c r="AD230" s="246">
        <f t="shared" si="26"/>
        <v>24762.357079267505</v>
      </c>
      <c r="AE230" s="247">
        <f t="shared" si="23"/>
        <v>69682.556284109989</v>
      </c>
      <c r="AF230" s="247">
        <f>+Rejas!F10</f>
        <v>28288.000000000007</v>
      </c>
      <c r="AH230" s="945"/>
    </row>
    <row r="231" spans="27:34" ht="15.75">
      <c r="AA231" s="245" t="s">
        <v>544</v>
      </c>
      <c r="AB231" s="246">
        <f t="shared" si="24"/>
        <v>79481.326293888749</v>
      </c>
      <c r="AC231" s="246">
        <f t="shared" si="25"/>
        <v>88925.358045273751</v>
      </c>
      <c r="AD231" s="246">
        <f t="shared" si="26"/>
        <v>18122.801695700629</v>
      </c>
      <c r="AE231" s="247">
        <f t="shared" si="23"/>
        <v>65337.786403312486</v>
      </c>
      <c r="AF231" s="247">
        <f>+Rejas!F11</f>
        <v>22100</v>
      </c>
      <c r="AH231" s="945"/>
    </row>
    <row r="232" spans="27:34" ht="16.5" thickBot="1">
      <c r="AA232" s="245" t="s">
        <v>545</v>
      </c>
      <c r="AB232" s="246">
        <f t="shared" si="24"/>
        <v>95225.110013879996</v>
      </c>
      <c r="AC232" s="246">
        <f t="shared" si="25"/>
        <v>108985.9475472075</v>
      </c>
      <c r="AD232" s="246">
        <f t="shared" si="26"/>
        <v>23003.274061411877</v>
      </c>
      <c r="AE232" s="247">
        <f t="shared" si="23"/>
        <v>72529.4231305875</v>
      </c>
      <c r="AF232" s="247">
        <f>+Rejas!F12</f>
        <v>26520</v>
      </c>
      <c r="AH232" s="946"/>
    </row>
    <row r="233" spans="27:34" ht="15.75">
      <c r="AA233" s="249" t="s">
        <v>546</v>
      </c>
      <c r="AB233" s="246">
        <f t="shared" si="24"/>
        <v>110968.89373387126</v>
      </c>
      <c r="AC233" s="246">
        <f t="shared" si="25"/>
        <v>129046.53704914128</v>
      </c>
      <c r="AD233" s="246">
        <f t="shared" si="26"/>
        <v>27883.746427123129</v>
      </c>
      <c r="AE233" s="247">
        <f t="shared" si="23"/>
        <v>79721.059857862507</v>
      </c>
      <c r="AF233" s="247">
        <f>+Rejas!F13</f>
        <v>35360</v>
      </c>
      <c r="AG233" s="252"/>
      <c r="AH233" s="252"/>
    </row>
    <row r="234" spans="27:34" ht="15.75">
      <c r="AA234" s="249" t="s">
        <v>547</v>
      </c>
      <c r="AB234" s="246">
        <f t="shared" si="24"/>
        <v>126712.6774538625</v>
      </c>
      <c r="AC234" s="246">
        <f t="shared" si="25"/>
        <v>149107.12655107499</v>
      </c>
      <c r="AD234" s="246">
        <f t="shared" si="26"/>
        <v>32764.218792834377</v>
      </c>
      <c r="AE234" s="247">
        <f t="shared" si="23"/>
        <v>86912.696585137499</v>
      </c>
      <c r="AF234" s="247">
        <f>+Rejas!F14</f>
        <v>44200</v>
      </c>
      <c r="AG234" s="252"/>
      <c r="AH234" s="252"/>
    </row>
    <row r="235" spans="27:34" ht="15.75">
      <c r="AA235" s="249" t="s">
        <v>548</v>
      </c>
      <c r="AB235" s="246">
        <f t="shared" si="24"/>
        <v>134584.56931385814</v>
      </c>
      <c r="AC235" s="246">
        <f t="shared" si="25"/>
        <v>159137.42130204188</v>
      </c>
      <c r="AD235" s="246">
        <f t="shared" si="26"/>
        <v>35204.454975690001</v>
      </c>
      <c r="AE235" s="247">
        <f t="shared" si="23"/>
        <v>90508.514948775017</v>
      </c>
      <c r="AF235" s="247">
        <f>+Rejas!F15</f>
        <v>48620</v>
      </c>
      <c r="AG235" s="252"/>
      <c r="AH235" s="252"/>
    </row>
    <row r="236" spans="27:34" ht="15.75">
      <c r="AA236" s="249" t="s">
        <v>549</v>
      </c>
      <c r="AB236" s="246">
        <f t="shared" si="24"/>
        <v>142456.46117385378</v>
      </c>
      <c r="AC236" s="246">
        <f t="shared" si="25"/>
        <v>169167.71605300877</v>
      </c>
      <c r="AD236" s="246">
        <f t="shared" si="26"/>
        <v>37644.691158545626</v>
      </c>
      <c r="AE236" s="247">
        <f t="shared" si="23"/>
        <v>94104.333312412491</v>
      </c>
      <c r="AF236" s="247">
        <f>+Rejas!F16</f>
        <v>53040</v>
      </c>
      <c r="AG236" s="252"/>
      <c r="AH236" s="252"/>
    </row>
    <row r="237" spans="27:34" ht="15.75">
      <c r="AA237" s="249" t="s">
        <v>550</v>
      </c>
      <c r="AB237" s="246">
        <f t="shared" si="24"/>
        <v>166072.13675384066</v>
      </c>
      <c r="AC237" s="246">
        <f t="shared" si="25"/>
        <v>199258.60030590941</v>
      </c>
      <c r="AD237" s="246">
        <f t="shared" si="26"/>
        <v>44965.399707112498</v>
      </c>
      <c r="AE237" s="247">
        <f t="shared" si="23"/>
        <v>104891.78840332502</v>
      </c>
      <c r="AF237" s="247">
        <f>+Rejas!F17</f>
        <v>22100</v>
      </c>
      <c r="AG237" s="252"/>
      <c r="AH237" s="252"/>
    </row>
    <row r="238" spans="27:34" ht="15.75">
      <c r="AA238" s="249" t="s">
        <v>551</v>
      </c>
      <c r="AB238" s="246">
        <f t="shared" si="24"/>
        <v>89235.385255169997</v>
      </c>
      <c r="AC238" s="246">
        <f t="shared" si="25"/>
        <v>98679.417006555028</v>
      </c>
      <c r="AD238" s="246">
        <f t="shared" si="26"/>
        <v>20335.98682355625</v>
      </c>
      <c r="AE238" s="247">
        <f t="shared" si="23"/>
        <v>75376.289977065011</v>
      </c>
      <c r="AF238" s="247">
        <f>+Rejas!F18</f>
        <v>22100</v>
      </c>
      <c r="AG238" s="252"/>
      <c r="AH238" s="252"/>
    </row>
    <row r="239" spans="27:34" ht="15.75">
      <c r="AA239" s="249" t="s">
        <v>552</v>
      </c>
      <c r="AB239" s="246">
        <f t="shared" si="24"/>
        <v>105768.91177516124</v>
      </c>
      <c r="AC239" s="246">
        <f t="shared" si="25"/>
        <v>119529.74930848872</v>
      </c>
      <c r="AD239" s="246">
        <f t="shared" si="26"/>
        <v>25670.561299267501</v>
      </c>
      <c r="AE239" s="247">
        <f t="shared" si="23"/>
        <v>82567.926704340003</v>
      </c>
      <c r="AF239" s="247">
        <f>+Rejas!F19</f>
        <v>31824</v>
      </c>
      <c r="AG239" s="252"/>
      <c r="AH239" s="252"/>
    </row>
    <row r="240" spans="27:34" ht="15.75">
      <c r="AA240" s="249" t="s">
        <v>553</v>
      </c>
      <c r="AB240" s="246">
        <f t="shared" si="24"/>
        <v>122302.4382951525</v>
      </c>
      <c r="AC240" s="246">
        <f t="shared" si="25"/>
        <v>140380.08161042252</v>
      </c>
      <c r="AD240" s="246">
        <f t="shared" si="26"/>
        <v>31005.135774978753</v>
      </c>
      <c r="AE240" s="247">
        <f t="shared" si="23"/>
        <v>89759.563431614981</v>
      </c>
      <c r="AF240" s="247">
        <f>+Rejas!F20</f>
        <v>42432</v>
      </c>
      <c r="AG240" s="252"/>
      <c r="AH240" s="252"/>
    </row>
    <row r="241" spans="27:35" ht="15.75">
      <c r="AA241" s="249" t="s">
        <v>554</v>
      </c>
      <c r="AB241" s="246">
        <f t="shared" si="24"/>
        <v>138835.96481514379</v>
      </c>
      <c r="AC241" s="246">
        <f t="shared" si="25"/>
        <v>161230.41391235622</v>
      </c>
      <c r="AD241" s="246">
        <f t="shared" si="26"/>
        <v>36339.710250690005</v>
      </c>
      <c r="AE241" s="247">
        <f t="shared" si="23"/>
        <v>96951.200158889988</v>
      </c>
      <c r="AF241" s="247">
        <f>+Rejas!F21</f>
        <v>53040</v>
      </c>
      <c r="AG241" s="252"/>
      <c r="AH241" s="252"/>
    </row>
    <row r="242" spans="27:35" ht="15.75">
      <c r="AA242" s="249" t="s">
        <v>555</v>
      </c>
      <c r="AB242" s="246">
        <f t="shared" si="24"/>
        <v>147102.7280751394</v>
      </c>
      <c r="AC242" s="246">
        <f t="shared" si="25"/>
        <v>171655.58006332314</v>
      </c>
      <c r="AD242" s="246">
        <f t="shared" si="26"/>
        <v>39006.997488545632</v>
      </c>
      <c r="AE242" s="247">
        <f t="shared" si="23"/>
        <v>100547.01852252748</v>
      </c>
      <c r="AF242" s="247">
        <f>+Rejas!F22</f>
        <v>58344</v>
      </c>
      <c r="AG242" s="252"/>
      <c r="AH242" s="252"/>
    </row>
    <row r="243" spans="27:35" ht="15.75">
      <c r="AA243" s="249" t="s">
        <v>556</v>
      </c>
      <c r="AB243" s="246">
        <f t="shared" si="24"/>
        <v>155369.49133513498</v>
      </c>
      <c r="AC243" s="246">
        <f t="shared" si="25"/>
        <v>182080.74621428997</v>
      </c>
      <c r="AD243" s="246">
        <f t="shared" si="26"/>
        <v>41674.284726401253</v>
      </c>
      <c r="AE243" s="247">
        <f t="shared" si="23"/>
        <v>104142.83688616499</v>
      </c>
      <c r="AF243" s="247">
        <f>+Rejas!F23</f>
        <v>63648</v>
      </c>
      <c r="AG243" s="252"/>
      <c r="AH243" s="252"/>
    </row>
    <row r="244" spans="27:35" ht="15.75">
      <c r="AA244" s="249" t="s">
        <v>557</v>
      </c>
      <c r="AB244" s="246">
        <f t="shared" si="24"/>
        <v>180169.78111512188</v>
      </c>
      <c r="AC244" s="246">
        <f t="shared" si="25"/>
        <v>213356.24466719068</v>
      </c>
      <c r="AD244" s="246">
        <f t="shared" si="26"/>
        <v>49676.146439968121</v>
      </c>
      <c r="AE244" s="247">
        <f t="shared" si="23"/>
        <v>114930.29197707748</v>
      </c>
      <c r="AF244" s="247">
        <f>+Rejas!F24</f>
        <v>79560</v>
      </c>
      <c r="AG244" s="252"/>
      <c r="AH244" s="252"/>
    </row>
    <row r="245" spans="27:35" ht="15.75">
      <c r="AA245" s="249" t="s">
        <v>558</v>
      </c>
      <c r="AB245" s="246">
        <f t="shared" si="24"/>
        <v>204970.07089510877</v>
      </c>
      <c r="AC245" s="246">
        <f t="shared" si="25"/>
        <v>244631.74312009127</v>
      </c>
      <c r="AD245" s="246">
        <f t="shared" si="26"/>
        <v>57678.008153535004</v>
      </c>
      <c r="AE245" s="247">
        <f t="shared" si="23"/>
        <v>125717.74706798996</v>
      </c>
      <c r="AF245" s="247">
        <f>+Rejas!F25</f>
        <v>95472</v>
      </c>
      <c r="AG245" s="252"/>
      <c r="AH245" s="252"/>
    </row>
    <row r="246" spans="27:35" ht="15.75">
      <c r="AA246" s="254" t="s">
        <v>559</v>
      </c>
      <c r="AB246" s="246">
        <f t="shared" si="24"/>
        <v>103866.47369709187</v>
      </c>
      <c r="AC246" s="246">
        <f t="shared" si="25"/>
        <v>113310.50544847686</v>
      </c>
      <c r="AD246" s="246">
        <f t="shared" si="26"/>
        <v>23655.764515339692</v>
      </c>
      <c r="AE246" s="247">
        <f t="shared" si="23"/>
        <v>90434.045337693722</v>
      </c>
      <c r="AF246" s="247">
        <f>+Rejas!F26</f>
        <v>26520.000000000007</v>
      </c>
    </row>
    <row r="247" spans="27:35" ht="15.75">
      <c r="AA247" s="254" t="s">
        <v>560</v>
      </c>
      <c r="AB247" s="246">
        <f t="shared" si="24"/>
        <v>121584.61441708315</v>
      </c>
      <c r="AC247" s="246">
        <f t="shared" si="25"/>
        <v>135345.45195041064</v>
      </c>
      <c r="AD247" s="246">
        <f t="shared" si="26"/>
        <v>29671.492156050943</v>
      </c>
      <c r="AE247" s="247">
        <f t="shared" si="23"/>
        <v>97625.682064968743</v>
      </c>
      <c r="AF247" s="247">
        <f>+Rejas!F27</f>
        <v>39780</v>
      </c>
    </row>
    <row r="248" spans="27:35" ht="15.75">
      <c r="AA248" s="254" t="s">
        <v>561</v>
      </c>
      <c r="AB248" s="246">
        <f t="shared" si="24"/>
        <v>139302.75513707439</v>
      </c>
      <c r="AC248" s="246">
        <f t="shared" si="25"/>
        <v>157380.39845234441</v>
      </c>
      <c r="AD248" s="246">
        <f t="shared" si="26"/>
        <v>35687.219796762191</v>
      </c>
      <c r="AE248" s="247">
        <f t="shared" si="23"/>
        <v>104817.31879224375</v>
      </c>
      <c r="AF248" s="247">
        <f>+Rejas!F28</f>
        <v>53040.000000000015</v>
      </c>
    </row>
    <row r="249" spans="27:35" ht="15.75">
      <c r="AA249" s="254" t="s">
        <v>562</v>
      </c>
      <c r="AB249" s="246">
        <f t="shared" si="24"/>
        <v>157020.89585706565</v>
      </c>
      <c r="AC249" s="246">
        <f t="shared" si="25"/>
        <v>179415.34495427812</v>
      </c>
      <c r="AD249" s="246">
        <f t="shared" si="26"/>
        <v>41702.947437473442</v>
      </c>
      <c r="AE249" s="247">
        <f t="shared" si="23"/>
        <v>112008.95551951874</v>
      </c>
      <c r="AF249" s="247">
        <f>+Rejas!F29</f>
        <v>66300</v>
      </c>
    </row>
    <row r="250" spans="27:35" ht="15.75">
      <c r="AA250" s="254" t="s">
        <v>563</v>
      </c>
      <c r="AB250" s="246">
        <f t="shared" si="24"/>
        <v>165879.96621706127</v>
      </c>
      <c r="AC250" s="246">
        <f t="shared" si="25"/>
        <v>190432.81820524501</v>
      </c>
      <c r="AD250" s="246">
        <f t="shared" si="26"/>
        <v>44710.81125782906</v>
      </c>
      <c r="AE250" s="247">
        <f t="shared" si="23"/>
        <v>115604.77388315626</v>
      </c>
      <c r="AF250" s="247">
        <f>+Rejas!F30</f>
        <v>72930.000000000015</v>
      </c>
      <c r="AI250" s="646"/>
    </row>
    <row r="251" spans="27:35" ht="15.75">
      <c r="AA251" s="254" t="s">
        <v>564</v>
      </c>
      <c r="AB251" s="246">
        <f t="shared" si="24"/>
        <v>174739.03657705692</v>
      </c>
      <c r="AC251" s="246">
        <f t="shared" si="25"/>
        <v>201450.29145621188</v>
      </c>
      <c r="AD251" s="246">
        <f t="shared" si="26"/>
        <v>47718.675078184686</v>
      </c>
      <c r="AE251" s="247">
        <f t="shared" si="23"/>
        <v>119200.59224679373</v>
      </c>
      <c r="AF251" s="247">
        <f>+Rejas!F31</f>
        <v>79560</v>
      </c>
    </row>
    <row r="252" spans="27:35" ht="15.75">
      <c r="AA252" s="254" t="s">
        <v>565</v>
      </c>
      <c r="AB252" s="246">
        <f t="shared" si="24"/>
        <v>201316.24765704377</v>
      </c>
      <c r="AC252" s="246">
        <f t="shared" si="25"/>
        <v>234502.71120911252</v>
      </c>
      <c r="AD252" s="246">
        <f t="shared" si="26"/>
        <v>56742.26653925157</v>
      </c>
      <c r="AE252" s="247">
        <f t="shared" si="23"/>
        <v>129988.04733770626</v>
      </c>
      <c r="AF252" s="247">
        <f>+Rejas!F32</f>
        <v>99450</v>
      </c>
    </row>
    <row r="253" spans="27:35" ht="15.75">
      <c r="AA253" s="254" t="s">
        <v>566</v>
      </c>
      <c r="AB253" s="246">
        <f t="shared" si="24"/>
        <v>227893.45873703063</v>
      </c>
      <c r="AC253" s="246">
        <f t="shared" si="25"/>
        <v>267555.13096201315</v>
      </c>
      <c r="AD253" s="246">
        <f t="shared" si="26"/>
        <v>65765.858000318432</v>
      </c>
      <c r="AE253" s="247">
        <f t="shared" si="23"/>
        <v>140775.50242861875</v>
      </c>
      <c r="AF253" s="247">
        <f>+Rejas!F33</f>
        <v>119340</v>
      </c>
    </row>
    <row r="254" spans="27:35" ht="15.75">
      <c r="AA254" s="254" t="s">
        <v>567</v>
      </c>
      <c r="AB254" s="246">
        <f t="shared" si="24"/>
        <v>156303.07197899627</v>
      </c>
      <c r="AC254" s="246">
        <f t="shared" si="25"/>
        <v>174380.71529426632</v>
      </c>
      <c r="AD254" s="246">
        <f t="shared" si="26"/>
        <v>40369.303818545639</v>
      </c>
      <c r="AE254" s="247">
        <f t="shared" si="23"/>
        <v>119875.07415287252</v>
      </c>
      <c r="AF254" s="247">
        <f>+Rejas!F34</f>
        <v>63648.000000000015</v>
      </c>
    </row>
    <row r="255" spans="27:35" ht="15.75">
      <c r="AA255" s="254" t="s">
        <v>568</v>
      </c>
      <c r="AB255" s="246">
        <f t="shared" si="24"/>
        <v>175205.82689898752</v>
      </c>
      <c r="AC255" s="246">
        <f t="shared" si="25"/>
        <v>197600.27599620001</v>
      </c>
      <c r="AD255" s="246">
        <f t="shared" si="26"/>
        <v>47066.184624256879</v>
      </c>
      <c r="AE255" s="247">
        <f t="shared" si="23"/>
        <v>127066.71088014751</v>
      </c>
      <c r="AF255" s="247">
        <f>+Rejas!F35</f>
        <v>79560</v>
      </c>
      <c r="AH255" s="646"/>
    </row>
    <row r="256" spans="27:35" ht="15.75">
      <c r="AA256" s="254" t="s">
        <v>569</v>
      </c>
      <c r="AB256" s="246">
        <f t="shared" si="24"/>
        <v>184657.20435898312</v>
      </c>
      <c r="AC256" s="246">
        <f t="shared" si="25"/>
        <v>209210.05634716689</v>
      </c>
      <c r="AD256" s="246">
        <f t="shared" si="26"/>
        <v>50414.625027112503</v>
      </c>
      <c r="AE256" s="247">
        <f t="shared" si="23"/>
        <v>130662.52924378499</v>
      </c>
      <c r="AF256" s="247">
        <f>+Rejas!F36</f>
        <v>87516</v>
      </c>
    </row>
    <row r="257" spans="27:32" ht="15.75">
      <c r="AA257" s="254" t="s">
        <v>570</v>
      </c>
      <c r="AB257" s="246">
        <f t="shared" si="24"/>
        <v>194108.58181897877</v>
      </c>
      <c r="AC257" s="246">
        <f t="shared" si="25"/>
        <v>220819.83669813376</v>
      </c>
      <c r="AD257" s="246">
        <f t="shared" si="26"/>
        <v>53763.065429968141</v>
      </c>
      <c r="AE257" s="247">
        <f t="shared" si="23"/>
        <v>134258.3476074225</v>
      </c>
      <c r="AF257" s="247">
        <f>+Rejas!F37</f>
        <v>95472</v>
      </c>
    </row>
    <row r="258" spans="27:32" ht="15.75">
      <c r="AA258" s="254" t="s">
        <v>571</v>
      </c>
      <c r="AB258" s="246">
        <f t="shared" si="24"/>
        <v>222462.71419896561</v>
      </c>
      <c r="AC258" s="246">
        <f t="shared" si="25"/>
        <v>255649.17775103438</v>
      </c>
      <c r="AD258" s="246">
        <f t="shared" si="26"/>
        <v>63808.386638535005</v>
      </c>
      <c r="AE258" s="247">
        <f t="shared" si="23"/>
        <v>145045.802698335</v>
      </c>
      <c r="AF258" s="247">
        <f>+Rejas!F38</f>
        <v>119340</v>
      </c>
    </row>
    <row r="259" spans="27:32" ht="15.75">
      <c r="AA259" s="254" t="s">
        <v>572</v>
      </c>
      <c r="AB259" s="246">
        <f t="shared" si="24"/>
        <v>250816.84657895251</v>
      </c>
      <c r="AC259" s="246">
        <f t="shared" si="25"/>
        <v>290478.51880393503</v>
      </c>
      <c r="AD259" s="246">
        <f t="shared" si="26"/>
        <v>73853.70784710189</v>
      </c>
      <c r="AE259" s="247">
        <f t="shared" si="23"/>
        <v>155833.25778924752</v>
      </c>
      <c r="AF259" s="247">
        <f>+Rejas!F39</f>
        <v>143208</v>
      </c>
    </row>
    <row r="260" spans="27:32" ht="15.75">
      <c r="AA260" s="254" t="s">
        <v>573</v>
      </c>
      <c r="AB260" s="246">
        <f t="shared" si="24"/>
        <v>167636.61654027746</v>
      </c>
      <c r="AC260" s="246">
        <f t="shared" si="25"/>
        <v>185714.25985554751</v>
      </c>
      <c r="AD260" s="246">
        <f t="shared" si="26"/>
        <v>43490.693166401259</v>
      </c>
      <c r="AE260" s="247">
        <f t="shared" si="23"/>
        <v>129913.57772662499</v>
      </c>
      <c r="AF260" s="247">
        <f>+Rejas!F40</f>
        <v>70720</v>
      </c>
    </row>
    <row r="261" spans="27:32" ht="15.75">
      <c r="AA261" s="254" t="s">
        <v>574</v>
      </c>
      <c r="AB261" s="246">
        <f t="shared" si="24"/>
        <v>187329.11426026878</v>
      </c>
      <c r="AC261" s="246">
        <f t="shared" si="25"/>
        <v>209723.56335748127</v>
      </c>
      <c r="AD261" s="246">
        <f t="shared" si="26"/>
        <v>50641.676082112499</v>
      </c>
      <c r="AE261" s="247">
        <f t="shared" si="23"/>
        <v>137105.2144539</v>
      </c>
      <c r="AF261" s="247">
        <f>+Rejas!F41</f>
        <v>88400</v>
      </c>
    </row>
    <row r="262" spans="27:32" ht="15.75">
      <c r="AA262" s="254" t="s">
        <v>575</v>
      </c>
      <c r="AB262" s="246">
        <f t="shared" si="24"/>
        <v>197175.3631202644</v>
      </c>
      <c r="AC262" s="246">
        <f t="shared" si="25"/>
        <v>221728.21510844814</v>
      </c>
      <c r="AD262" s="246">
        <f t="shared" si="26"/>
        <v>54217.167539968141</v>
      </c>
      <c r="AE262" s="247">
        <f t="shared" si="23"/>
        <v>140701.03281753749</v>
      </c>
      <c r="AF262" s="247">
        <f>+Rejas!F42</f>
        <v>97240</v>
      </c>
    </row>
    <row r="263" spans="27:32" ht="15.75">
      <c r="AA263" s="254" t="s">
        <v>576</v>
      </c>
      <c r="AB263" s="246">
        <f t="shared" si="24"/>
        <v>207021.61198026</v>
      </c>
      <c r="AC263" s="246">
        <f t="shared" si="25"/>
        <v>233732.86685941496</v>
      </c>
      <c r="AD263" s="246">
        <f t="shared" si="26"/>
        <v>57792.658997823761</v>
      </c>
      <c r="AE263" s="247">
        <f t="shared" si="23"/>
        <v>144296.85118117498</v>
      </c>
      <c r="AF263" s="247">
        <f>+Rejas!F43</f>
        <v>106080</v>
      </c>
    </row>
    <row r="264" spans="27:32" ht="15.75">
      <c r="AA264" s="254" t="s">
        <v>577</v>
      </c>
      <c r="AB264" s="246">
        <f t="shared" si="24"/>
        <v>236560.35856024685</v>
      </c>
      <c r="AC264" s="246">
        <f t="shared" si="25"/>
        <v>269746.82211231568</v>
      </c>
      <c r="AD264" s="246">
        <f t="shared" si="26"/>
        <v>68519.133371390635</v>
      </c>
      <c r="AE264" s="247">
        <f t="shared" si="23"/>
        <v>155084.30627208753</v>
      </c>
      <c r="AF264" s="247">
        <f>+Rejas!F44</f>
        <v>132600</v>
      </c>
    </row>
    <row r="265" spans="27:32" ht="16.5" thickBot="1">
      <c r="AA265" s="254" t="s">
        <v>578</v>
      </c>
      <c r="AB265" s="246">
        <f t="shared" si="24"/>
        <v>266099.10514023376</v>
      </c>
      <c r="AC265" s="246">
        <f t="shared" si="25"/>
        <v>305760.77736521623</v>
      </c>
      <c r="AD265" s="246">
        <f t="shared" si="26"/>
        <v>79245.607744957495</v>
      </c>
      <c r="AE265" s="247">
        <f t="shared" si="23"/>
        <v>165871.76136300003</v>
      </c>
      <c r="AF265" s="247">
        <f>+Rejas!F45</f>
        <v>159120</v>
      </c>
    </row>
    <row r="266" spans="27:32" ht="15" customHeight="1">
      <c r="AA266" s="841" t="s">
        <v>922</v>
      </c>
      <c r="AB266" s="842"/>
      <c r="AC266" s="842"/>
      <c r="AD266" s="842"/>
      <c r="AE266" s="842"/>
      <c r="AF266" s="843"/>
    </row>
    <row r="267" spans="27:32" ht="15.75" customHeight="1" thickBot="1">
      <c r="AA267" s="844"/>
      <c r="AB267" s="845"/>
      <c r="AC267" s="845"/>
      <c r="AD267" s="845"/>
      <c r="AE267" s="845"/>
      <c r="AF267" s="846"/>
    </row>
    <row r="268" spans="27:32" ht="57" thickBot="1">
      <c r="AA268" s="239" t="s">
        <v>534</v>
      </c>
      <c r="AB268" s="240" t="s">
        <v>535</v>
      </c>
      <c r="AC268" s="240" t="s">
        <v>536</v>
      </c>
      <c r="AD268" s="240" t="s">
        <v>537</v>
      </c>
      <c r="AE268" s="241" t="s">
        <v>1036</v>
      </c>
      <c r="AF268" s="241" t="s">
        <v>580</v>
      </c>
    </row>
    <row r="269" spans="27:32" ht="15.75">
      <c r="AA269" s="249" t="s">
        <v>581</v>
      </c>
      <c r="AB269" s="250">
        <f t="shared" ref="AB269:AB273" si="27">+H67</f>
        <v>243787.4691800625</v>
      </c>
      <c r="AC269" s="250">
        <f t="shared" ref="AC269:AC273" si="28">+U67</f>
        <v>287765.94718698744</v>
      </c>
      <c r="AD269" s="250">
        <f t="shared" ref="AD269:AD273" si="29">+U93</f>
        <v>76878.607300110001</v>
      </c>
      <c r="AE269" s="251">
        <f t="shared" ref="AE269:AE273" si="30">+M215</f>
        <v>142456.52660778002</v>
      </c>
      <c r="AF269" s="251">
        <f>+Rejas!N6</f>
        <v>156000</v>
      </c>
    </row>
    <row r="270" spans="27:32" ht="15.75">
      <c r="AA270" s="249" t="s">
        <v>582</v>
      </c>
      <c r="AB270" s="250">
        <f t="shared" si="27"/>
        <v>273140.47015447501</v>
      </c>
      <c r="AC270" s="250">
        <f t="shared" si="28"/>
        <v>317118.94816140004</v>
      </c>
      <c r="AD270" s="250">
        <f t="shared" si="29"/>
        <v>89033.074460859396</v>
      </c>
      <c r="AE270" s="251">
        <f t="shared" si="30"/>
        <v>159805.81828653748</v>
      </c>
      <c r="AF270" s="251">
        <f>+Rejas!N7</f>
        <v>156000</v>
      </c>
    </row>
    <row r="271" spans="27:32" ht="15.75">
      <c r="AA271" s="249" t="s">
        <v>583</v>
      </c>
      <c r="AB271" s="250">
        <f t="shared" si="27"/>
        <v>302493.47112888756</v>
      </c>
      <c r="AC271" s="250">
        <f t="shared" si="28"/>
        <v>346471.94913581252</v>
      </c>
      <c r="AD271" s="250">
        <f t="shared" si="29"/>
        <v>101187.54162160876</v>
      </c>
      <c r="AE271" s="251">
        <f t="shared" si="30"/>
        <v>177155.10996529501</v>
      </c>
      <c r="AF271" s="251">
        <f>+Rejas!N8</f>
        <v>208000</v>
      </c>
    </row>
    <row r="272" spans="27:32" ht="15.75">
      <c r="AA272" s="249" t="s">
        <v>584</v>
      </c>
      <c r="AB272" s="250">
        <f t="shared" si="27"/>
        <v>322062.13844516262</v>
      </c>
      <c r="AC272" s="250">
        <f t="shared" si="28"/>
        <v>366040.61645208759</v>
      </c>
      <c r="AD272" s="250">
        <f t="shared" si="29"/>
        <v>109290.51972877502</v>
      </c>
      <c r="AE272" s="251">
        <f t="shared" si="30"/>
        <v>188721.30441779998</v>
      </c>
      <c r="AF272" s="251">
        <f>+Rejas!N9</f>
        <v>208000</v>
      </c>
    </row>
    <row r="273" spans="27:32" ht="15.75">
      <c r="AA273" s="249" t="s">
        <v>585</v>
      </c>
      <c r="AB273" s="250">
        <f t="shared" si="27"/>
        <v>361199.47307771252</v>
      </c>
      <c r="AC273" s="250">
        <f t="shared" si="28"/>
        <v>405177.95108463761</v>
      </c>
      <c r="AD273" s="250">
        <f t="shared" si="29"/>
        <v>125496.47594310754</v>
      </c>
      <c r="AE273" s="251">
        <f t="shared" si="30"/>
        <v>211853.69332281002</v>
      </c>
      <c r="AF273" s="251">
        <f>+Rejas!N10</f>
        <v>0</v>
      </c>
    </row>
  </sheetData>
  <mergeCells count="36">
    <mergeCell ref="AH222:AH232"/>
    <mergeCell ref="P102:S102"/>
    <mergeCell ref="N103:U103"/>
    <mergeCell ref="N105:U105"/>
    <mergeCell ref="N215:N220"/>
    <mergeCell ref="AA266:AF267"/>
    <mergeCell ref="AA222:AF223"/>
    <mergeCell ref="C89:F89"/>
    <mergeCell ref="P89:S89"/>
    <mergeCell ref="A90:H90"/>
    <mergeCell ref="N90:U90"/>
    <mergeCell ref="A92:H92"/>
    <mergeCell ref="N92:U92"/>
    <mergeCell ref="I151:L151"/>
    <mergeCell ref="G152:M152"/>
    <mergeCell ref="N155:N208"/>
    <mergeCell ref="I211:L211"/>
    <mergeCell ref="G212:M212"/>
    <mergeCell ref="C76:E76"/>
    <mergeCell ref="P76:R76"/>
    <mergeCell ref="A77:H77"/>
    <mergeCell ref="N77:U77"/>
    <mergeCell ref="A79:H79"/>
    <mergeCell ref="N79:U79"/>
    <mergeCell ref="C63:E63"/>
    <mergeCell ref="P63:R63"/>
    <mergeCell ref="A64:H64"/>
    <mergeCell ref="N64:U64"/>
    <mergeCell ref="A66:H66"/>
    <mergeCell ref="N66:U66"/>
    <mergeCell ref="C2:E2"/>
    <mergeCell ref="P2:R2"/>
    <mergeCell ref="A3:H3"/>
    <mergeCell ref="N3:U3"/>
    <mergeCell ref="A5:H5"/>
    <mergeCell ref="N5:U5"/>
  </mergeCells>
  <pageMargins left="0.70866141732283472" right="0.70866141732283472" top="0.74803149606299213" bottom="0.74803149606299213" header="0.31496062992125984" footer="0.31496062992125984"/>
  <pageSetup scale="73" orientation="portrait" r:id="rId1"/>
  <drawing r:id="rId2"/>
  <tableParts count="2">
    <tablePart r:id="rId3"/>
    <tablePart r:id="rId4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04"/>
  <sheetViews>
    <sheetView topLeftCell="V153" zoomScale="90" zoomScaleNormal="90" workbookViewId="0">
      <selection activeCell="AB168" sqref="AB168"/>
    </sheetView>
  </sheetViews>
  <sheetFormatPr baseColWidth="10" defaultRowHeight="15"/>
  <cols>
    <col min="1" max="1" width="7" style="32" hidden="1" customWidth="1"/>
    <col min="2" max="2" width="4.7109375" style="32" hidden="1" customWidth="1"/>
    <col min="3" max="3" width="13.28515625" style="32" hidden="1" customWidth="1"/>
    <col min="4" max="4" width="12.140625" style="32" hidden="1" customWidth="1"/>
    <col min="5" max="5" width="8.140625" style="32" hidden="1" customWidth="1"/>
    <col min="6" max="6" width="14.5703125" style="32" hidden="1" customWidth="1"/>
    <col min="7" max="7" width="13.28515625" style="32" hidden="1" customWidth="1"/>
    <col min="8" max="8" width="13.28515625" style="2" hidden="1" customWidth="1"/>
    <col min="9" max="9" width="0" hidden="1" customWidth="1"/>
    <col min="10" max="10" width="20.42578125" hidden="1" customWidth="1"/>
    <col min="11" max="11" width="15.42578125" hidden="1" customWidth="1"/>
    <col min="12" max="12" width="8.140625" hidden="1" customWidth="1"/>
    <col min="13" max="13" width="7" hidden="1" customWidth="1"/>
    <col min="14" max="14" width="4.7109375" hidden="1" customWidth="1"/>
    <col min="15" max="15" width="13.28515625" hidden="1" customWidth="1"/>
    <col min="16" max="16" width="12.140625" hidden="1" customWidth="1"/>
    <col min="17" max="17" width="8.140625" hidden="1" customWidth="1"/>
    <col min="18" max="18" width="14.5703125" hidden="1" customWidth="1"/>
    <col min="19" max="20" width="13.28515625" hidden="1" customWidth="1"/>
    <col min="21" max="21" width="0" hidden="1" customWidth="1"/>
    <col min="23" max="23" width="16.140625" bestFit="1" customWidth="1"/>
    <col min="24" max="26" width="17.140625" customWidth="1"/>
    <col min="27" max="27" width="17" customWidth="1"/>
    <col min="28" max="28" width="14.85546875" customWidth="1"/>
    <col min="29" max="29" width="14.28515625" customWidth="1"/>
    <col min="30" max="30" width="6" customWidth="1"/>
    <col min="31" max="31" width="9.140625" customWidth="1"/>
  </cols>
  <sheetData>
    <row r="1" spans="1:20" ht="15.75" hidden="1" thickBot="1"/>
    <row r="2" spans="1:20" ht="15.75" hidden="1" thickBot="1">
      <c r="C2" s="807">
        <v>1.35</v>
      </c>
      <c r="D2" s="808"/>
      <c r="E2" s="808"/>
      <c r="F2" s="809"/>
      <c r="H2" s="46" t="s">
        <v>163</v>
      </c>
      <c r="M2" s="32"/>
      <c r="N2" s="32"/>
      <c r="O2" s="807">
        <v>1.35</v>
      </c>
      <c r="P2" s="808"/>
      <c r="Q2" s="808"/>
      <c r="R2" s="809"/>
      <c r="S2" s="32"/>
      <c r="T2" s="46" t="s">
        <v>163</v>
      </c>
    </row>
    <row r="3" spans="1:20" ht="15.75" hidden="1" thickBot="1">
      <c r="A3" s="792" t="s">
        <v>173</v>
      </c>
      <c r="B3" s="793"/>
      <c r="C3" s="793"/>
      <c r="D3" s="793"/>
      <c r="E3" s="793"/>
      <c r="F3" s="793"/>
      <c r="G3" s="793"/>
      <c r="H3" s="794"/>
      <c r="M3" s="792" t="s">
        <v>176</v>
      </c>
      <c r="N3" s="793"/>
      <c r="O3" s="793"/>
      <c r="P3" s="793"/>
      <c r="Q3" s="793"/>
      <c r="R3" s="793"/>
      <c r="S3" s="793"/>
      <c r="T3" s="794"/>
    </row>
    <row r="4" spans="1:20" ht="15.75" hidden="1" thickBot="1">
      <c r="A4" s="36" t="s">
        <v>116</v>
      </c>
      <c r="B4" s="36" t="s">
        <v>117</v>
      </c>
      <c r="C4" s="36" t="s">
        <v>162</v>
      </c>
      <c r="D4" s="36" t="s">
        <v>119</v>
      </c>
      <c r="E4" s="36" t="s">
        <v>120</v>
      </c>
      <c r="F4" s="36" t="s">
        <v>169</v>
      </c>
      <c r="G4" s="36" t="s">
        <v>121</v>
      </c>
      <c r="H4" s="36" t="s">
        <v>122</v>
      </c>
      <c r="M4" s="36" t="s">
        <v>116</v>
      </c>
      <c r="N4" s="36" t="s">
        <v>117</v>
      </c>
      <c r="O4" s="36" t="s">
        <v>162</v>
      </c>
      <c r="P4" s="36" t="s">
        <v>119</v>
      </c>
      <c r="Q4" s="36" t="s">
        <v>120</v>
      </c>
      <c r="R4" s="36" t="s">
        <v>169</v>
      </c>
      <c r="S4" s="36" t="s">
        <v>121</v>
      </c>
      <c r="T4" s="36" t="s">
        <v>122</v>
      </c>
    </row>
    <row r="5" spans="1:20" ht="15.75" hidden="1" thickBot="1">
      <c r="A5" s="795"/>
      <c r="B5" s="796"/>
      <c r="C5" s="796"/>
      <c r="D5" s="796"/>
      <c r="E5" s="796"/>
      <c r="F5" s="796"/>
      <c r="G5" s="796"/>
      <c r="H5" s="797"/>
      <c r="M5" s="795"/>
      <c r="N5" s="796"/>
      <c r="O5" s="796"/>
      <c r="P5" s="796"/>
      <c r="Q5" s="796"/>
      <c r="R5" s="796"/>
      <c r="S5" s="796"/>
      <c r="T5" s="797"/>
    </row>
    <row r="6" spans="1:20" ht="15.75" hidden="1" thickBot="1">
      <c r="A6" s="40">
        <v>0.6</v>
      </c>
      <c r="B6" s="41">
        <v>0.4</v>
      </c>
      <c r="C6" s="47">
        <f>((((A6*2)+(B6*2))*'MATERIALES (2)'!$C$13)+((A6*2)*'MATERIALES (2)'!$C$6)+((B6*4)*'MATERIALES (2)'!$C$15)+(B6*'MATERIALES (2)'!$C$25))*'MATERIALES (2)'!$F$1</f>
        <v>24803.751</v>
      </c>
      <c r="D6" s="58">
        <f>(8*'MATERIALES (2)'!$C$126)+(8*'MATERIALES (2)'!$C$163)+((8*4)*'MATERIALES (2)'!$C$134)+(((B6*2)+(A6*2))*'MATERIALES (2)'!$C$138)+(4*'MATERIALES (2)'!$C$137)+(((A6*5)*2)*'MATERIALES (2)'!$C$136)+(4*'MATERIALES (2)'!$C$135)+(1*'MATERIALES (2)'!$C$140)+(2*'MATERIALES (2)'!$C$139)+(4*'MATERIALES (2)'!$C$150)</f>
        <v>9578</v>
      </c>
      <c r="E6" s="74"/>
      <c r="F6" s="54">
        <f>((A6*'MATERIALES (2)'!$C$22)*(B6/0.06))*'MATERIALES (2)'!$F$1</f>
        <v>12167.19</v>
      </c>
      <c r="G6" s="47">
        <f>SUM(C6:F6)</f>
        <v>46548.941000000006</v>
      </c>
      <c r="H6" s="49">
        <f>((((G6*$C$2)*1.21)*1.05)*1.05)</f>
        <v>83831.558873658752</v>
      </c>
      <c r="M6" s="65">
        <v>0.6</v>
      </c>
      <c r="N6" s="66">
        <v>0.4</v>
      </c>
      <c r="O6" s="58">
        <f>((((M6*2)+(N6*2))*'MATERIALES (2)'!$C$13)+((M6*2)*'MATERIALES (2)'!$C$6)+((N6*6)*'MATERIALES (2)'!$C$15)+((N6*2)*'MATERIALES (2)'!$C$25))*'MATERIALES (2)'!$F$1</f>
        <v>29565.816000000003</v>
      </c>
      <c r="P6" s="58">
        <f>(12*'MATERIALES (2)'!$C$126)+(12*'MATERIALES (2)'!$C$163)+((8*4)*'MATERIALES (2)'!$C$134)+(((N6*2)+(M6*2))*'MATERIALES (2)'!$C$138)+(4*'MATERIALES (2)'!$C$137)+(((M6*5)*2)*'MATERIALES (2)'!$C$136)+(4*'MATERIALES (2)'!$C$135)+(1*'MATERIALES (2)'!$C$140)+(4*'MATERIALES (2)'!$C$139)+(6*'MATERIALES (2)'!$C$150)</f>
        <v>13882</v>
      </c>
      <c r="Q6" s="74"/>
      <c r="R6" s="54">
        <f>((M6*'MATERIALES (2)'!$C$22)*(N6/0.06))*'MATERIALES (2)'!$F$1</f>
        <v>12167.19</v>
      </c>
      <c r="S6" s="58">
        <f>SUM(O6:R6)</f>
        <v>55615.006000000008</v>
      </c>
      <c r="T6" s="67">
        <f>((((S6*$O$2)*1.21)*1.05)*1.05)</f>
        <v>100158.94131185253</v>
      </c>
    </row>
    <row r="7" spans="1:20" ht="15.75" hidden="1" thickBot="1">
      <c r="A7" s="42">
        <v>0.6</v>
      </c>
      <c r="B7" s="37">
        <v>0.6</v>
      </c>
      <c r="C7" s="38">
        <f>((((A7*2)+(B7*2))*'MATERIALES (2)'!$C$13)+((A7*2)*'MATERIALES (2)'!$C$6)+((B7*4)*'MATERIALES (2)'!$C$15)+(B7*'MATERIALES (2)'!$C$25))*'MATERIALES (2)'!$F$1</f>
        <v>31204.057499999999</v>
      </c>
      <c r="D7" s="59">
        <f>(8*'MATERIALES (2)'!$C$126)+(8*'MATERIALES (2)'!$C$163)+((8*4)*'MATERIALES (2)'!$C$134)+(((B7*2)+(A7*2))*'MATERIALES (2)'!$C$138)+(4*'MATERIALES (2)'!$C$137)+(((A7*5)*2)*'MATERIALES (2)'!$C$136)+(4*'MATERIALES (2)'!$C$135)+(1*'MATERIALES (2)'!$C$140)+(2*'MATERIALES (2)'!$C$139)+(4*'MATERIALES (2)'!$C$150)</f>
        <v>9602</v>
      </c>
      <c r="E7" s="75"/>
      <c r="F7" s="55">
        <f>((A7*'MATERIALES (2)'!$C$22)*(B7/0.06))*'MATERIALES (2)'!$F$1</f>
        <v>18250.785</v>
      </c>
      <c r="G7" s="38">
        <f t="shared" ref="G7:G59" si="0">SUM(C7:F7)</f>
        <v>59056.842499999999</v>
      </c>
      <c r="H7" s="49">
        <f t="shared" ref="H7:H59" si="1">((((G7*$C$2)*1.21)*1.05)*1.05)</f>
        <v>106357.46082668439</v>
      </c>
      <c r="M7" s="68">
        <v>0.6</v>
      </c>
      <c r="N7" s="69">
        <v>0.6</v>
      </c>
      <c r="O7" s="59">
        <f>((((M7*2)+(N7*2))*'MATERIALES (2)'!$C$13)+((M7*2)*'MATERIALES (2)'!$C$6)+((N7*6)*'MATERIALES (2)'!$C$15)+((N7*2)*'MATERIALES (2)'!$C$25))*'MATERIALES (2)'!$F$1</f>
        <v>38347.154999999999</v>
      </c>
      <c r="P7" s="59">
        <f>(12*'MATERIALES (2)'!$C$126)+(12*'MATERIALES (2)'!$C$163)+((8*4)*'MATERIALES (2)'!$C$134)+(((N7*2)+(M7*2))*'MATERIALES (2)'!$C$138)+(4*'MATERIALES (2)'!$C$137)+(((M7*5)*2)*'MATERIALES (2)'!$C$136)+(4*'MATERIALES (2)'!$C$135)+(1*'MATERIALES (2)'!$C$140)+(4*'MATERIALES (2)'!$C$139)+(6*'MATERIALES (2)'!$C$150)</f>
        <v>13906</v>
      </c>
      <c r="Q7" s="75"/>
      <c r="R7" s="55">
        <f>((M7*'MATERIALES (2)'!$C$22)*(N7/0.06))*'MATERIALES (2)'!$F$1</f>
        <v>18250.785</v>
      </c>
      <c r="S7" s="59">
        <f t="shared" ref="S7:S59" si="2">SUM(O7:R7)</f>
        <v>70503.94</v>
      </c>
      <c r="T7" s="67">
        <f t="shared" ref="T7:T59" si="3">((((S7*$O$2)*1.21)*1.05)*1.05)</f>
        <v>126972.92505397502</v>
      </c>
    </row>
    <row r="8" spans="1:20" ht="15.75" hidden="1" thickBot="1">
      <c r="A8" s="42">
        <v>0.8</v>
      </c>
      <c r="B8" s="37">
        <v>0.4</v>
      </c>
      <c r="C8" s="38">
        <f>((((A8*2)+(B8*2))*'MATERIALES (2)'!$C$13)+((A8*2)*'MATERIALES (2)'!$C$6)+((B8*4)*'MATERIALES (2)'!$C$15)+(B8*'MATERIALES (2)'!$C$25))*'MATERIALES (2)'!$F$1</f>
        <v>28804.797000000006</v>
      </c>
      <c r="D8" s="59">
        <f>(8*'MATERIALES (2)'!$C$126)+(8*'MATERIALES (2)'!$C$163)+((8*4)*'MATERIALES (2)'!$C$134)+(((B8*2)+(A8*2))*'MATERIALES (2)'!$C$138)+(4*'MATERIALES (2)'!$C$137)+(((A8*5)*2)*'MATERIALES (2)'!$C$136)+(4*'MATERIALES (2)'!$C$135)+(1*'MATERIALES (2)'!$C$140)+(2*'MATERIALES (2)'!$C$139)+(4*'MATERIALES (2)'!$C$150)</f>
        <v>9602</v>
      </c>
      <c r="E8" s="75"/>
      <c r="F8" s="55">
        <f>((A8*'MATERIALES (2)'!$C$22)*(B8/0.06))*'MATERIALES (2)'!$F$1</f>
        <v>16222.920000000002</v>
      </c>
      <c r="G8" s="38">
        <f t="shared" si="0"/>
        <v>54629.717000000004</v>
      </c>
      <c r="H8" s="49">
        <f t="shared" si="1"/>
        <v>98384.501098248773</v>
      </c>
      <c r="M8" s="68">
        <v>0.8</v>
      </c>
      <c r="N8" s="69">
        <v>0.4</v>
      </c>
      <c r="O8" s="59">
        <f>((((M8*2)+(N8*2))*'MATERIALES (2)'!$C$13)+((M8*2)*'MATERIALES (2)'!$C$6)+((N8*6)*'MATERIALES (2)'!$C$15)+((N8*2)*'MATERIALES (2)'!$C$25))*'MATERIALES (2)'!$F$1</f>
        <v>33566.862000000008</v>
      </c>
      <c r="P8" s="59">
        <f>(12*'MATERIALES (2)'!$C$126)+(12*'MATERIALES (2)'!$C$163)+((8*4)*'MATERIALES (2)'!$C$134)+(((N8*2)+(M8*2))*'MATERIALES (2)'!$C$138)+(4*'MATERIALES (2)'!$C$137)+(((M8*5)*2)*'MATERIALES (2)'!$C$136)+(4*'MATERIALES (2)'!$C$135)+(1*'MATERIALES (2)'!$C$140)+(4*'MATERIALES (2)'!$C$139)+(6*'MATERIALES (2)'!$C$150)</f>
        <v>13906</v>
      </c>
      <c r="Q8" s="75"/>
      <c r="R8" s="55">
        <f>((M8*'MATERIALES (2)'!$C$22)*(N8/0.06))*'MATERIALES (2)'!$F$1</f>
        <v>16222.920000000002</v>
      </c>
      <c r="S8" s="59">
        <f t="shared" si="2"/>
        <v>63695.782000000007</v>
      </c>
      <c r="T8" s="67">
        <f t="shared" si="3"/>
        <v>114711.88353644253</v>
      </c>
    </row>
    <row r="9" spans="1:20" ht="15.75" hidden="1" thickBot="1">
      <c r="A9" s="42">
        <v>0.8</v>
      </c>
      <c r="B9" s="37">
        <v>0.6</v>
      </c>
      <c r="C9" s="38">
        <f>((((A9*2)+(B9*2))*'MATERIALES (2)'!$C$13)+((A9*2)*'MATERIALES (2)'!$C$6)+((B9*4)*'MATERIALES (2)'!$C$15)+(B9*'MATERIALES (2)'!$C$25))*'MATERIALES (2)'!$F$1</f>
        <v>35205.103499999997</v>
      </c>
      <c r="D9" s="59">
        <f>(8*'MATERIALES (2)'!$C$126)+(8*'MATERIALES (2)'!$C$163)+((8*4)*'MATERIALES (2)'!$C$134)+(((B9*2)+(A9*2))*'MATERIALES (2)'!$C$138)+(4*'MATERIALES (2)'!$C$137)+(((A9*5)*2)*'MATERIALES (2)'!$C$136)+(4*'MATERIALES (2)'!$C$135)+(1*'MATERIALES (2)'!$C$140)+(2*'MATERIALES (2)'!$C$139)+(4*'MATERIALES (2)'!$C$150)</f>
        <v>9626</v>
      </c>
      <c r="E9" s="75"/>
      <c r="F9" s="55">
        <f>((A9*'MATERIALES (2)'!$C$22)*(B9/0.06))*'MATERIALES (2)'!$F$1</f>
        <v>24334.38</v>
      </c>
      <c r="G9" s="38">
        <f t="shared" si="0"/>
        <v>69165.483500000002</v>
      </c>
      <c r="H9" s="49">
        <f t="shared" si="1"/>
        <v>124562.45357021815</v>
      </c>
      <c r="M9" s="68">
        <v>0.8</v>
      </c>
      <c r="N9" s="69">
        <v>0.6</v>
      </c>
      <c r="O9" s="59">
        <f>((((M9*2)+(N9*2))*'MATERIALES (2)'!$C$13)+((M9*2)*'MATERIALES (2)'!$C$6)+((N9*6)*'MATERIALES (2)'!$C$15)+((N9*2)*'MATERIALES (2)'!$C$25))*'MATERIALES (2)'!$F$1</f>
        <v>42348.201000000001</v>
      </c>
      <c r="P9" s="59">
        <f>(12*'MATERIALES (2)'!$C$126)+(12*'MATERIALES (2)'!$C$163)+((8*4)*'MATERIALES (2)'!$C$134)+(((N9*2)+(M9*2))*'MATERIALES (2)'!$C$138)+(4*'MATERIALES (2)'!$C$137)+(((M9*5)*2)*'MATERIALES (2)'!$C$136)+(4*'MATERIALES (2)'!$C$135)+(1*'MATERIALES (2)'!$C$140)+(4*'MATERIALES (2)'!$C$139)+(6*'MATERIALES (2)'!$C$150)</f>
        <v>13930</v>
      </c>
      <c r="Q9" s="75"/>
      <c r="R9" s="55">
        <f>((M9*'MATERIALES (2)'!$C$22)*(N9/0.06))*'MATERIALES (2)'!$F$1</f>
        <v>24334.38</v>
      </c>
      <c r="S9" s="59">
        <f t="shared" si="2"/>
        <v>80612.581000000006</v>
      </c>
      <c r="T9" s="67">
        <f t="shared" si="3"/>
        <v>145177.91779750877</v>
      </c>
    </row>
    <row r="10" spans="1:20" ht="15.75" hidden="1" thickBot="1">
      <c r="A10" s="42">
        <v>0.8</v>
      </c>
      <c r="B10" s="37">
        <v>0.8</v>
      </c>
      <c r="C10" s="38">
        <f>((((A10*2)+(B10*2))*'MATERIALES (2)'!$C$13)+((A10*2)*'MATERIALES (2)'!$C$6)+((B10*4)*'MATERIALES (2)'!$C$15)+(B10*'MATERIALES (2)'!$C$25))*'MATERIALES (2)'!$F$1</f>
        <v>41605.410000000003</v>
      </c>
      <c r="D10" s="59">
        <f>(8*'MATERIALES (2)'!$C$126)+(8*'MATERIALES (2)'!$C$163)+((8*4)*'MATERIALES (2)'!$C$134)+(((B10*2)+(A10*2))*'MATERIALES (2)'!$C$138)+(4*'MATERIALES (2)'!$C$137)+(((A10*5)*2)*'MATERIALES (2)'!$C$136)+(4*'MATERIALES (2)'!$C$135)+(1*'MATERIALES (2)'!$C$140)+(2*'MATERIALES (2)'!$C$139)+(4*'MATERIALES (2)'!$C$150)</f>
        <v>9650</v>
      </c>
      <c r="E10" s="75"/>
      <c r="F10" s="55">
        <f>((A10*'MATERIALES (2)'!$C$22)*(B10/0.06))*'MATERIALES (2)'!$F$1</f>
        <v>32445.840000000004</v>
      </c>
      <c r="G10" s="38">
        <f t="shared" si="0"/>
        <v>83701.25</v>
      </c>
      <c r="H10" s="49">
        <f t="shared" si="1"/>
        <v>150740.40604218753</v>
      </c>
      <c r="M10" s="68">
        <v>0.8</v>
      </c>
      <c r="N10" s="69">
        <v>0.8</v>
      </c>
      <c r="O10" s="59">
        <f>((((M10*2)+(N10*2))*'MATERIALES (2)'!$C$13)+((M10*2)*'MATERIALES (2)'!$C$6)+((N10*6)*'MATERIALES (2)'!$C$15)+((N10*2)*'MATERIALES (2)'!$C$25))*'MATERIALES (2)'!$F$1</f>
        <v>51129.540000000008</v>
      </c>
      <c r="P10" s="59">
        <f>(12*'MATERIALES (2)'!$C$126)+(12*'MATERIALES (2)'!$C$163)+((8*4)*'MATERIALES (2)'!$C$134)+(((N10*2)+(M10*2))*'MATERIALES (2)'!$C$138)+(4*'MATERIALES (2)'!$C$137)+(((M10*5)*2)*'MATERIALES (2)'!$C$136)+(4*'MATERIALES (2)'!$C$135)+(1*'MATERIALES (2)'!$C$140)+(4*'MATERIALES (2)'!$C$139)+(6*'MATERIALES (2)'!$C$150)</f>
        <v>13954</v>
      </c>
      <c r="Q10" s="75"/>
      <c r="R10" s="55">
        <f>((M10*'MATERIALES (2)'!$C$22)*(N10/0.06))*'MATERIALES (2)'!$F$1</f>
        <v>32445.840000000004</v>
      </c>
      <c r="S10" s="59">
        <f t="shared" si="2"/>
        <v>97529.38</v>
      </c>
      <c r="T10" s="67">
        <f t="shared" si="3"/>
        <v>175643.95205857503</v>
      </c>
    </row>
    <row r="11" spans="1:20" ht="15.75" hidden="1" thickBot="1">
      <c r="A11" s="42">
        <v>1</v>
      </c>
      <c r="B11" s="37">
        <v>0.4</v>
      </c>
      <c r="C11" s="38">
        <f>((((A11*2)+(B11*2))*'MATERIALES (2)'!$C$13)+((A11*2)*'MATERIALES (2)'!$C$6)+((B11*4)*'MATERIALES (2)'!$C$15)+(B11*'MATERIALES (2)'!$C$25))*'MATERIALES (2)'!$F$1</f>
        <v>32805.843000000001</v>
      </c>
      <c r="D11" s="59">
        <f>(8*'MATERIALES (2)'!$C$126)+(8*'MATERIALES (2)'!$C$163)+((8*4)*'MATERIALES (2)'!$C$134)+(((B11*2)+(A11*2))*'MATERIALES (2)'!$C$138)+(4*'MATERIALES (2)'!$C$137)+(((A11*5)*2)*'MATERIALES (2)'!$C$136)+(4*'MATERIALES (2)'!$C$135)+(1*'MATERIALES (2)'!$C$140)+(2*'MATERIALES (2)'!$C$139)+(4*'MATERIALES (2)'!$C$150)</f>
        <v>9626</v>
      </c>
      <c r="E11" s="75"/>
      <c r="F11" s="55">
        <f>((A11*'MATERIALES (2)'!$C$22)*(B11/0.06))*'MATERIALES (2)'!$F$1</f>
        <v>20278.650000000001</v>
      </c>
      <c r="G11" s="38">
        <f t="shared" si="0"/>
        <v>62710.493000000002</v>
      </c>
      <c r="H11" s="49">
        <f t="shared" si="1"/>
        <v>112937.44332283875</v>
      </c>
      <c r="M11" s="68">
        <v>1</v>
      </c>
      <c r="N11" s="69">
        <v>0.4</v>
      </c>
      <c r="O11" s="59">
        <f>((((M11*2)+(N11*2))*'MATERIALES (2)'!$C$13)+((M11*2)*'MATERIALES (2)'!$C$6)+((N11*6)*'MATERIALES (2)'!$C$15)+((N11*2)*'MATERIALES (2)'!$C$25))*'MATERIALES (2)'!$F$1</f>
        <v>37567.908000000003</v>
      </c>
      <c r="P11" s="59">
        <f>(12*'MATERIALES (2)'!$C$126)+(12*'MATERIALES (2)'!$C$163)+((8*4)*'MATERIALES (2)'!$C$134)+(((N11*2)+(M11*2))*'MATERIALES (2)'!$C$138)+(4*'MATERIALES (2)'!$C$137)+(((M11*5)*2)*'MATERIALES (2)'!$C$136)+(4*'MATERIALES (2)'!$C$135)+(1*'MATERIALES (2)'!$C$140)+(4*'MATERIALES (2)'!$C$139)+(6*'MATERIALES (2)'!$C$150)</f>
        <v>13930</v>
      </c>
      <c r="Q11" s="75"/>
      <c r="R11" s="55">
        <f>((M11*'MATERIALES (2)'!$C$22)*(N11/0.06))*'MATERIALES (2)'!$F$1</f>
        <v>20278.650000000001</v>
      </c>
      <c r="S11" s="59">
        <f t="shared" si="2"/>
        <v>71776.558000000005</v>
      </c>
      <c r="T11" s="67">
        <f t="shared" si="3"/>
        <v>129264.82576103252</v>
      </c>
    </row>
    <row r="12" spans="1:20" ht="15.75" hidden="1" thickBot="1">
      <c r="A12" s="42">
        <v>1</v>
      </c>
      <c r="B12" s="37">
        <v>0.6</v>
      </c>
      <c r="C12" s="38">
        <f>((((A12*2)+(B12*2))*'MATERIALES (2)'!$C$13)+((A12*2)*'MATERIALES (2)'!$C$6)+((B12*4)*'MATERIALES (2)'!$C$15)+(B12*'MATERIALES (2)'!$C$25))*'MATERIALES (2)'!$F$1</f>
        <v>39206.1495</v>
      </c>
      <c r="D12" s="59">
        <f>(8*'MATERIALES (2)'!$C$126)+(8*'MATERIALES (2)'!$C$163)+((8*4)*'MATERIALES (2)'!$C$134)+(((B12*2)+(A12*2))*'MATERIALES (2)'!$C$138)+(4*'MATERIALES (2)'!$C$137)+(((A12*5)*2)*'MATERIALES (2)'!$C$136)+(4*'MATERIALES (2)'!$C$135)+(1*'MATERIALES (2)'!$C$140)+(2*'MATERIALES (2)'!$C$139)+(4*'MATERIALES (2)'!$C$150)</f>
        <v>9650</v>
      </c>
      <c r="E12" s="75"/>
      <c r="F12" s="55">
        <f>((A12*'MATERIALES (2)'!$C$22)*(B12/0.06))*'MATERIALES (2)'!$F$1</f>
        <v>30417.974999999999</v>
      </c>
      <c r="G12" s="38">
        <f t="shared" si="0"/>
        <v>79274.124500000005</v>
      </c>
      <c r="H12" s="49">
        <f t="shared" si="1"/>
        <v>142767.44631375192</v>
      </c>
      <c r="M12" s="68">
        <v>1</v>
      </c>
      <c r="N12" s="69">
        <v>0.6</v>
      </c>
      <c r="O12" s="59">
        <f>((((M12*2)+(N12*2))*'MATERIALES (2)'!$C$13)+((M12*2)*'MATERIALES (2)'!$C$6)+((N12*6)*'MATERIALES (2)'!$C$15)+((N12*2)*'MATERIALES (2)'!$C$25))*'MATERIALES (2)'!$F$1</f>
        <v>46349.246999999996</v>
      </c>
      <c r="P12" s="59">
        <f>(12*'MATERIALES (2)'!$C$126)+(12*'MATERIALES (2)'!$C$163)+((8*4)*'MATERIALES (2)'!$C$134)+(((N12*2)+(M12*2))*'MATERIALES (2)'!$C$138)+(4*'MATERIALES (2)'!$C$137)+(((M12*5)*2)*'MATERIALES (2)'!$C$136)+(4*'MATERIALES (2)'!$C$135)+(1*'MATERIALES (2)'!$C$140)+(4*'MATERIALES (2)'!$C$139)+(6*'MATERIALES (2)'!$C$150)</f>
        <v>13954</v>
      </c>
      <c r="Q12" s="75"/>
      <c r="R12" s="55">
        <f>((M12*'MATERIALES (2)'!$C$22)*(N12/0.06))*'MATERIALES (2)'!$F$1</f>
        <v>30417.974999999999</v>
      </c>
      <c r="S12" s="59">
        <f t="shared" si="2"/>
        <v>90721.221999999994</v>
      </c>
      <c r="T12" s="67">
        <f t="shared" si="3"/>
        <v>163382.91054104248</v>
      </c>
    </row>
    <row r="13" spans="1:20" ht="15.75" hidden="1" thickBot="1">
      <c r="A13" s="42">
        <v>1</v>
      </c>
      <c r="B13" s="37">
        <v>0.8</v>
      </c>
      <c r="C13" s="38">
        <f>((((A13*2)+(B13*2))*'MATERIALES (2)'!$C$13)+((A13*2)*'MATERIALES (2)'!$C$6)+((B13*4)*'MATERIALES (2)'!$C$15)+(B13*'MATERIALES (2)'!$C$25))*'MATERIALES (2)'!$F$1</f>
        <v>45606.456000000006</v>
      </c>
      <c r="D13" s="59">
        <f>(8*'MATERIALES (2)'!$C$126)+(8*'MATERIALES (2)'!$C$163)+((8*4)*'MATERIALES (2)'!$C$134)+(((B13*2)+(A13*2))*'MATERIALES (2)'!$C$138)+(4*'MATERIALES (2)'!$C$137)+(((A13*5)*2)*'MATERIALES (2)'!$C$136)+(4*'MATERIALES (2)'!$C$135)+(1*'MATERIALES (2)'!$C$140)+(2*'MATERIALES (2)'!$C$139)+(4*'MATERIALES (2)'!$C$150)</f>
        <v>9674</v>
      </c>
      <c r="E13" s="75"/>
      <c r="F13" s="55">
        <f>((A13*'MATERIALES (2)'!$C$22)*(B13/0.06))*'MATERIALES (2)'!$F$1</f>
        <v>40557.300000000003</v>
      </c>
      <c r="G13" s="38">
        <f t="shared" si="0"/>
        <v>95837.756000000008</v>
      </c>
      <c r="H13" s="49">
        <f t="shared" si="1"/>
        <v>172597.449304665</v>
      </c>
      <c r="M13" s="68">
        <v>1</v>
      </c>
      <c r="N13" s="69">
        <v>0.8</v>
      </c>
      <c r="O13" s="59">
        <f>((((M13*2)+(N13*2))*'MATERIALES (2)'!$C$13)+((M13*2)*'MATERIALES (2)'!$C$6)+((N13*6)*'MATERIALES (2)'!$C$15)+((N13*2)*'MATERIALES (2)'!$C$25))*'MATERIALES (2)'!$F$1</f>
        <v>55130.58600000001</v>
      </c>
      <c r="P13" s="59">
        <f>(12*'MATERIALES (2)'!$C$126)+(12*'MATERIALES (2)'!$C$163)+((8*4)*'MATERIALES (2)'!$C$134)+(((N13*2)+(M13*2))*'MATERIALES (2)'!$C$138)+(4*'MATERIALES (2)'!$C$137)+(((M13*5)*2)*'MATERIALES (2)'!$C$136)+(4*'MATERIALES (2)'!$C$135)+(1*'MATERIALES (2)'!$C$140)+(4*'MATERIALES (2)'!$C$139)+(6*'MATERIALES (2)'!$C$150)</f>
        <v>13978</v>
      </c>
      <c r="Q13" s="75"/>
      <c r="R13" s="55">
        <f>((M13*'MATERIALES (2)'!$C$22)*(N13/0.06))*'MATERIALES (2)'!$F$1</f>
        <v>40557.300000000003</v>
      </c>
      <c r="S13" s="59">
        <f t="shared" si="2"/>
        <v>109665.88600000001</v>
      </c>
      <c r="T13" s="67">
        <f t="shared" si="3"/>
        <v>197500.99532105253</v>
      </c>
    </row>
    <row r="14" spans="1:20" ht="15.75" hidden="1" thickBot="1">
      <c r="A14" s="42">
        <v>1</v>
      </c>
      <c r="B14" s="37">
        <v>1</v>
      </c>
      <c r="C14" s="38">
        <f>((((A14*2)+(B14*2))*'MATERIALES (2)'!$C$13)+((A14*2)*'MATERIALES (2)'!$C$6)+((B14*4)*'MATERIALES (2)'!$C$15)+(B14*'MATERIALES (2)'!$C$25))*'MATERIALES (2)'!$F$1</f>
        <v>52006.762500000004</v>
      </c>
      <c r="D14" s="59">
        <f>(8*'MATERIALES (2)'!$C$126)+(8*'MATERIALES (2)'!$C$163)+((8*4)*'MATERIALES (2)'!$C$134)+(((B14*2)+(A14*2))*'MATERIALES (2)'!$C$138)+(4*'MATERIALES (2)'!$C$137)+(((A14*5)*2)*'MATERIALES (2)'!$C$136)+(4*'MATERIALES (2)'!$C$135)+(1*'MATERIALES (2)'!$C$140)+(2*'MATERIALES (2)'!$C$139)+(4*'MATERIALES (2)'!$C$150)</f>
        <v>9698</v>
      </c>
      <c r="E14" s="75"/>
      <c r="F14" s="55">
        <f>((A14*'MATERIALES (2)'!$C$22)*(B14/0.06))*'MATERIALES (2)'!$F$1</f>
        <v>50696.625</v>
      </c>
      <c r="G14" s="38">
        <f t="shared" si="0"/>
        <v>112401.38750000001</v>
      </c>
      <c r="H14" s="49">
        <f t="shared" si="1"/>
        <v>202427.45229557817</v>
      </c>
      <c r="M14" s="68">
        <v>1</v>
      </c>
      <c r="N14" s="69">
        <v>1</v>
      </c>
      <c r="O14" s="59">
        <f>((((M14*2)+(N14*2))*'MATERIALES (2)'!$C$13)+((M14*2)*'MATERIALES (2)'!$C$6)+((N14*6)*'MATERIALES (2)'!$C$15)+((N14*2)*'MATERIALES (2)'!$C$25))*'MATERIALES (2)'!$F$1</f>
        <v>63911.924999999996</v>
      </c>
      <c r="P14" s="59">
        <f>(12*'MATERIALES (2)'!$C$126)+(12*'MATERIALES (2)'!$C$163)+((8*4)*'MATERIALES (2)'!$C$134)+(((N14*2)+(M14*2))*'MATERIALES (2)'!$C$138)+(4*'MATERIALES (2)'!$C$137)+(((M14*5)*2)*'MATERIALES (2)'!$C$136)+(4*'MATERIALES (2)'!$C$135)+(1*'MATERIALES (2)'!$C$140)+(4*'MATERIALES (2)'!$C$139)+(6*'MATERIALES (2)'!$C$150)</f>
        <v>14002</v>
      </c>
      <c r="Q14" s="75"/>
      <c r="R14" s="55">
        <f>((M14*'MATERIALES (2)'!$C$22)*(N14/0.06))*'MATERIALES (2)'!$F$1</f>
        <v>50696.625</v>
      </c>
      <c r="S14" s="59">
        <f t="shared" si="2"/>
        <v>128610.54999999999</v>
      </c>
      <c r="T14" s="67">
        <f t="shared" si="3"/>
        <v>231619.08010106251</v>
      </c>
    </row>
    <row r="15" spans="1:20" ht="15.75" hidden="1" thickBot="1">
      <c r="A15" s="42">
        <v>1</v>
      </c>
      <c r="B15" s="37">
        <v>1.1000000000000001</v>
      </c>
      <c r="C15" s="38">
        <f>((((A15*2)+(B15*2))*'MATERIALES (2)'!$C$13)+((A15*2)*'MATERIALES (2)'!$C$6)+((B15*4)*'MATERIALES (2)'!$C$15)+(B15*'MATERIALES (2)'!$C$25))*'MATERIALES (2)'!$F$1</f>
        <v>55206.91575</v>
      </c>
      <c r="D15" s="59">
        <f>(8*'MATERIALES (2)'!$C$126)+(8*'MATERIALES (2)'!$C$163)+((8*4)*'MATERIALES (2)'!$C$134)+(((B15*2)+(A15*2))*'MATERIALES (2)'!$C$138)+(4*'MATERIALES (2)'!$C$137)+(((A15*5)*2)*'MATERIALES (2)'!$C$136)+(4*'MATERIALES (2)'!$C$135)+(1*'MATERIALES (2)'!$C$140)+(2*'MATERIALES (2)'!$C$139)+(4*'MATERIALES (2)'!$C$150)</f>
        <v>9710</v>
      </c>
      <c r="E15" s="75"/>
      <c r="F15" s="55">
        <f>((A15*'MATERIALES (2)'!$C$22)*(B15/0.06))*'MATERIALES (2)'!$F$1</f>
        <v>55766.287500000013</v>
      </c>
      <c r="G15" s="38">
        <f t="shared" si="0"/>
        <v>120683.20325000002</v>
      </c>
      <c r="H15" s="49">
        <f t="shared" si="1"/>
        <v>217342.45379103473</v>
      </c>
      <c r="M15" s="68">
        <v>1</v>
      </c>
      <c r="N15" s="69">
        <v>1.1000000000000001</v>
      </c>
      <c r="O15" s="59">
        <f>((((M15*2)+(N15*2))*'MATERIALES (2)'!$C$13)+((M15*2)*'MATERIALES (2)'!$C$6)+((N15*6)*'MATERIALES (2)'!$C$15)+((N15*2)*'MATERIALES (2)'!$C$25))*'MATERIALES (2)'!$F$1</f>
        <v>68302.594500000007</v>
      </c>
      <c r="P15" s="59">
        <f>(12*'MATERIALES (2)'!$C$126)+(12*'MATERIALES (2)'!$C$163)+((8*4)*'MATERIALES (2)'!$C$134)+(((N15*2)+(M15*2))*'MATERIALES (2)'!$C$138)+(4*'MATERIALES (2)'!$C$137)+(((M15*5)*2)*'MATERIALES (2)'!$C$136)+(4*'MATERIALES (2)'!$C$135)+(1*'MATERIALES (2)'!$C$140)+(4*'MATERIALES (2)'!$C$139)+(6*'MATERIALES (2)'!$C$150)</f>
        <v>14014</v>
      </c>
      <c r="Q15" s="75"/>
      <c r="R15" s="55">
        <f>((M15*'MATERIALES (2)'!$C$22)*(N15/0.06))*'MATERIALES (2)'!$F$1</f>
        <v>55766.287500000013</v>
      </c>
      <c r="S15" s="59">
        <f t="shared" si="2"/>
        <v>138082.88200000001</v>
      </c>
      <c r="T15" s="67">
        <f t="shared" si="3"/>
        <v>248678.12249106754</v>
      </c>
    </row>
    <row r="16" spans="1:20" ht="15.75" hidden="1" thickBot="1">
      <c r="A16" s="42">
        <v>1</v>
      </c>
      <c r="B16" s="37">
        <v>1.2</v>
      </c>
      <c r="C16" s="38">
        <f>((((A16*2)+(B16*2))*'MATERIALES (2)'!$C$13)+((A16*2)*'MATERIALES (2)'!$C$6)+((B16*4)*'MATERIALES (2)'!$C$15)+(B16*'MATERIALES (2)'!$C$25))*'MATERIALES (2)'!$F$1</f>
        <v>58407.068999999996</v>
      </c>
      <c r="D16" s="59">
        <f>(8*'MATERIALES (2)'!$C$126)+(8*'MATERIALES (2)'!$C$163)+((8*4)*'MATERIALES (2)'!$C$134)+(((B16*2)+(A16*2))*'MATERIALES (2)'!$C$138)+(4*'MATERIALES (2)'!$C$137)+(((A16*5)*2)*'MATERIALES (2)'!$C$136)+(4*'MATERIALES (2)'!$C$135)+(1*'MATERIALES (2)'!$C$140)+(2*'MATERIALES (2)'!$C$139)+(4*'MATERIALES (2)'!$C$150)</f>
        <v>9722</v>
      </c>
      <c r="E16" s="75"/>
      <c r="F16" s="55">
        <f>((A16*'MATERIALES (2)'!$C$22)*(B16/0.06))*'MATERIALES (2)'!$F$1</f>
        <v>60835.95</v>
      </c>
      <c r="G16" s="38">
        <f t="shared" si="0"/>
        <v>128965.01899999999</v>
      </c>
      <c r="H16" s="49">
        <f t="shared" si="1"/>
        <v>232257.45528649125</v>
      </c>
      <c r="M16" s="68">
        <v>1</v>
      </c>
      <c r="N16" s="69">
        <v>1.2</v>
      </c>
      <c r="O16" s="59">
        <f>((((M16*2)+(N16*2))*'MATERIALES (2)'!$C$13)+((M16*2)*'MATERIALES (2)'!$C$6)+((N16*6)*'MATERIALES (2)'!$C$15)+((N16*2)*'MATERIALES (2)'!$C$25))*'MATERIALES (2)'!$F$1</f>
        <v>72693.263999999996</v>
      </c>
      <c r="P16" s="59">
        <f>(12*'MATERIALES (2)'!$C$126)+(12*'MATERIALES (2)'!$C$163)+((8*4)*'MATERIALES (2)'!$C$134)+(((N16*2)+(M16*2))*'MATERIALES (2)'!$C$138)+(4*'MATERIALES (2)'!$C$137)+(((M16*5)*2)*'MATERIALES (2)'!$C$136)+(4*'MATERIALES (2)'!$C$135)+(1*'MATERIALES (2)'!$C$140)+(4*'MATERIALES (2)'!$C$139)+(6*'MATERIALES (2)'!$C$150)</f>
        <v>14026</v>
      </c>
      <c r="Q16" s="75"/>
      <c r="R16" s="55">
        <f>((M16*'MATERIALES (2)'!$C$22)*(N16/0.06))*'MATERIALES (2)'!$F$1</f>
        <v>60835.95</v>
      </c>
      <c r="S16" s="59">
        <f t="shared" si="2"/>
        <v>147555.21399999998</v>
      </c>
      <c r="T16" s="67">
        <f t="shared" si="3"/>
        <v>265737.16488107253</v>
      </c>
    </row>
    <row r="17" spans="1:20" ht="15.75" hidden="1" thickBot="1">
      <c r="A17" s="42">
        <v>1</v>
      </c>
      <c r="B17" s="37">
        <v>1.5</v>
      </c>
      <c r="C17" s="38">
        <f>((((A17*2)+(B17*2))*'MATERIALES (2)'!$C$13)+((A17*2)*'MATERIALES (2)'!$C$6)+((B17*4)*'MATERIALES (2)'!$C$15)+(B17*'MATERIALES (2)'!$C$25))*'MATERIALES (2)'!$F$1</f>
        <v>68007.528750000012</v>
      </c>
      <c r="D17" s="59">
        <f>(8*'MATERIALES (2)'!$C$126)+(8*'MATERIALES (2)'!$C$163)+((8*4)*'MATERIALES (2)'!$C$134)+(((B17*2)+(A17*2))*'MATERIALES (2)'!$C$138)+(4*'MATERIALES (2)'!$C$137)+(((A17*5)*2)*'MATERIALES (2)'!$C$136)+(4*'MATERIALES (2)'!$C$135)+(1*'MATERIALES (2)'!$C$140)+(2*'MATERIALES (2)'!$C$139)+(4*'MATERIALES (2)'!$C$150)</f>
        <v>9758</v>
      </c>
      <c r="E17" s="75"/>
      <c r="F17" s="55">
        <f>((A17*'MATERIALES (2)'!$C$22)*(B17/0.06))*'MATERIALES (2)'!$F$1</f>
        <v>76044.937500000015</v>
      </c>
      <c r="G17" s="38">
        <f t="shared" si="0"/>
        <v>153810.46625000003</v>
      </c>
      <c r="H17" s="49">
        <f t="shared" si="1"/>
        <v>277002.45977286098</v>
      </c>
      <c r="M17" s="68">
        <v>1</v>
      </c>
      <c r="N17" s="69">
        <v>1.5</v>
      </c>
      <c r="O17" s="59">
        <f>((((M17*2)+(N17*2))*'MATERIALES (2)'!$C$13)+((M17*2)*'MATERIALES (2)'!$C$6)+((N17*6)*'MATERIALES (2)'!$C$15)+((N17*2)*'MATERIALES (2)'!$C$25))*'MATERIALES (2)'!$F$1</f>
        <v>85865.272499999992</v>
      </c>
      <c r="P17" s="59">
        <f>(12*'MATERIALES (2)'!$C$126)+(12*'MATERIALES (2)'!$C$163)+((8*4)*'MATERIALES (2)'!$C$134)+(((N17*2)+(M17*2))*'MATERIALES (2)'!$C$138)+(4*'MATERIALES (2)'!$C$137)+(((M17*5)*2)*'MATERIALES (2)'!$C$136)+(4*'MATERIALES (2)'!$C$135)+(1*'MATERIALES (2)'!$C$140)+(4*'MATERIALES (2)'!$C$139)+(6*'MATERIALES (2)'!$C$150)</f>
        <v>14062</v>
      </c>
      <c r="Q17" s="75"/>
      <c r="R17" s="55">
        <f>((M17*'MATERIALES (2)'!$C$22)*(N17/0.06))*'MATERIALES (2)'!$F$1</f>
        <v>76044.937500000015</v>
      </c>
      <c r="S17" s="59">
        <f t="shared" si="2"/>
        <v>175972.21000000002</v>
      </c>
      <c r="T17" s="67">
        <f t="shared" si="3"/>
        <v>316914.29205108754</v>
      </c>
    </row>
    <row r="18" spans="1:20" ht="15.75" hidden="1" thickBot="1">
      <c r="A18" s="42">
        <v>1.2</v>
      </c>
      <c r="B18" s="37">
        <v>0.4</v>
      </c>
      <c r="C18" s="38">
        <f>((((A18*2)+(B18*2))*'MATERIALES (2)'!$C$13)+((A18*2)*'MATERIALES (2)'!$C$6)+((B18*4)*'MATERIALES (2)'!$C$15)+(B18*'MATERIALES (2)'!$C$25))*'MATERIALES (2)'!$F$1</f>
        <v>36806.889000000003</v>
      </c>
      <c r="D18" s="59">
        <f>(8*'MATERIALES (2)'!$C$126)+(8*'MATERIALES (2)'!$C$163)+((8*4)*'MATERIALES (2)'!$C$134)+(((B18*2)+(A18*2))*'MATERIALES (2)'!$C$138)+(4*'MATERIALES (2)'!$C$137)+(((A18*5)*2)*'MATERIALES (2)'!$C$136)+(4*'MATERIALES (2)'!$C$135)+(1*'MATERIALES (2)'!$C$140)+(2*'MATERIALES (2)'!$C$139)+(4*'MATERIALES (2)'!$C$150)</f>
        <v>9650</v>
      </c>
      <c r="E18" s="75"/>
      <c r="F18" s="55">
        <f>((A18*'MATERIALES (2)'!$C$22)*(B18/0.06))*'MATERIALES (2)'!$F$1</f>
        <v>24334.38</v>
      </c>
      <c r="G18" s="38">
        <f t="shared" si="0"/>
        <v>70791.269</v>
      </c>
      <c r="H18" s="49">
        <f t="shared" si="1"/>
        <v>127490.38554742878</v>
      </c>
      <c r="M18" s="68">
        <v>1.2</v>
      </c>
      <c r="N18" s="69">
        <v>0.4</v>
      </c>
      <c r="O18" s="59">
        <f>((((M18*2)+(N18*2))*'MATERIALES (2)'!$C$13)+((M18*2)*'MATERIALES (2)'!$C$6)+((N18*6)*'MATERIALES (2)'!$C$15)+((N18*2)*'MATERIALES (2)'!$C$25))*'MATERIALES (2)'!$F$1</f>
        <v>41568.954000000005</v>
      </c>
      <c r="P18" s="59">
        <f>(12*'MATERIALES (2)'!$C$126)+(12*'MATERIALES (2)'!$C$163)+((8*4)*'MATERIALES (2)'!$C$134)+(((N18*2)+(M18*2))*'MATERIALES (2)'!$C$138)+(4*'MATERIALES (2)'!$C$137)+(((M18*5)*2)*'MATERIALES (2)'!$C$136)+(4*'MATERIALES (2)'!$C$135)+(1*'MATERIALES (2)'!$C$140)+(4*'MATERIALES (2)'!$C$139)+(6*'MATERIALES (2)'!$C$150)</f>
        <v>13954</v>
      </c>
      <c r="Q18" s="75"/>
      <c r="R18" s="55">
        <f>((M18*'MATERIALES (2)'!$C$22)*(N18/0.06))*'MATERIALES (2)'!$F$1</f>
        <v>24334.38</v>
      </c>
      <c r="S18" s="59">
        <f t="shared" si="2"/>
        <v>79857.334000000003</v>
      </c>
      <c r="T18" s="67">
        <f t="shared" si="3"/>
        <v>143817.76798562251</v>
      </c>
    </row>
    <row r="19" spans="1:20" ht="15.75" hidden="1" thickBot="1">
      <c r="A19" s="42">
        <v>1.2</v>
      </c>
      <c r="B19" s="37">
        <v>0.6</v>
      </c>
      <c r="C19" s="38">
        <f>((((A19*2)+(B19*2))*'MATERIALES (2)'!$C$13)+((A19*2)*'MATERIALES (2)'!$C$6)+((B19*4)*'MATERIALES (2)'!$C$15)+(B19*'MATERIALES (2)'!$C$25))*'MATERIALES (2)'!$F$1</f>
        <v>43207.195499999994</v>
      </c>
      <c r="D19" s="59">
        <f>(8*'MATERIALES (2)'!$C$126)+(8*'MATERIALES (2)'!$C$163)+((8*4)*'MATERIALES (2)'!$C$134)+(((B19*2)+(A19*2))*'MATERIALES (2)'!$C$138)+(4*'MATERIALES (2)'!$C$137)+(((A19*5)*2)*'MATERIALES (2)'!$C$136)+(4*'MATERIALES (2)'!$C$135)+(1*'MATERIALES (2)'!$C$140)+(2*'MATERIALES (2)'!$C$139)+(4*'MATERIALES (2)'!$C$150)</f>
        <v>9674</v>
      </c>
      <c r="E19" s="75"/>
      <c r="F19" s="55">
        <f>((A19*'MATERIALES (2)'!$C$22)*(B19/0.06))*'MATERIALES (2)'!$F$1</f>
        <v>36501.57</v>
      </c>
      <c r="G19" s="38">
        <f t="shared" si="0"/>
        <v>89382.765499999994</v>
      </c>
      <c r="H19" s="49">
        <f t="shared" si="1"/>
        <v>160972.43905728561</v>
      </c>
      <c r="M19" s="68">
        <v>1.2</v>
      </c>
      <c r="N19" s="69">
        <v>0.6</v>
      </c>
      <c r="O19" s="59">
        <f>((((M19*2)+(N19*2))*'MATERIALES (2)'!$C$13)+((M19*2)*'MATERIALES (2)'!$C$6)+((N19*6)*'MATERIALES (2)'!$C$15)+((N19*2)*'MATERIALES (2)'!$C$25))*'MATERIALES (2)'!$F$1</f>
        <v>50350.292999999998</v>
      </c>
      <c r="P19" s="59">
        <f>(12*'MATERIALES (2)'!$C$126)+(12*'MATERIALES (2)'!$C$163)+((8*4)*'MATERIALES (2)'!$C$134)+(((N19*2)+(M19*2))*'MATERIALES (2)'!$C$138)+(4*'MATERIALES (2)'!$C$137)+(((M19*5)*2)*'MATERIALES (2)'!$C$136)+(4*'MATERIALES (2)'!$C$135)+(1*'MATERIALES (2)'!$C$140)+(4*'MATERIALES (2)'!$C$139)+(6*'MATERIALES (2)'!$C$150)</f>
        <v>13978</v>
      </c>
      <c r="Q19" s="75"/>
      <c r="R19" s="55">
        <f>((M19*'MATERIALES (2)'!$C$22)*(N19/0.06))*'MATERIALES (2)'!$F$1</f>
        <v>36501.57</v>
      </c>
      <c r="S19" s="59">
        <f t="shared" si="2"/>
        <v>100829.863</v>
      </c>
      <c r="T19" s="67">
        <f t="shared" si="3"/>
        <v>181587.90328457628</v>
      </c>
    </row>
    <row r="20" spans="1:20" ht="15.75" hidden="1" thickBot="1">
      <c r="A20" s="42">
        <v>1.2</v>
      </c>
      <c r="B20" s="37">
        <v>0.8</v>
      </c>
      <c r="C20" s="38">
        <f>((((A20*2)+(B20*2))*'MATERIALES (2)'!$C$13)+((A20*2)*'MATERIALES (2)'!$C$6)+((B20*4)*'MATERIALES (2)'!$C$15)+(B20*'MATERIALES (2)'!$C$25))*'MATERIALES (2)'!$F$1</f>
        <v>49607.502</v>
      </c>
      <c r="D20" s="59">
        <f>(8*'MATERIALES (2)'!$C$126)+(8*'MATERIALES (2)'!$C$163)+((8*4)*'MATERIALES (2)'!$C$134)+(((B20*2)+(A20*2))*'MATERIALES (2)'!$C$138)+(4*'MATERIALES (2)'!$C$137)+(((A20*5)*2)*'MATERIALES (2)'!$C$136)+(4*'MATERIALES (2)'!$C$135)+(1*'MATERIALES (2)'!$C$140)+(2*'MATERIALES (2)'!$C$139)+(4*'MATERIALES (2)'!$C$150)</f>
        <v>9698</v>
      </c>
      <c r="E20" s="75"/>
      <c r="F20" s="55">
        <f>((A20*'MATERIALES (2)'!$C$22)*(B20/0.06))*'MATERIALES (2)'!$F$1</f>
        <v>48668.76</v>
      </c>
      <c r="G20" s="38">
        <f t="shared" si="0"/>
        <v>107974.262</v>
      </c>
      <c r="H20" s="49">
        <f t="shared" si="1"/>
        <v>194454.4925671425</v>
      </c>
      <c r="M20" s="68">
        <v>1.2</v>
      </c>
      <c r="N20" s="69">
        <v>0.8</v>
      </c>
      <c r="O20" s="59">
        <f>((((M20*2)+(N20*2))*'MATERIALES (2)'!$C$13)+((M20*2)*'MATERIALES (2)'!$C$6)+((N20*6)*'MATERIALES (2)'!$C$15)+((N20*2)*'MATERIALES (2)'!$C$25))*'MATERIALES (2)'!$F$1</f>
        <v>59131.632000000005</v>
      </c>
      <c r="P20" s="59">
        <f>(12*'MATERIALES (2)'!$C$126)+(12*'MATERIALES (2)'!$C$163)+((8*4)*'MATERIALES (2)'!$C$134)+(((N20*2)+(M20*2))*'MATERIALES (2)'!$C$138)+(4*'MATERIALES (2)'!$C$137)+(((M20*5)*2)*'MATERIALES (2)'!$C$136)+(4*'MATERIALES (2)'!$C$135)+(1*'MATERIALES (2)'!$C$140)+(4*'MATERIALES (2)'!$C$139)+(6*'MATERIALES (2)'!$C$150)</f>
        <v>14002</v>
      </c>
      <c r="Q20" s="75"/>
      <c r="R20" s="55">
        <f>((M20*'MATERIALES (2)'!$C$22)*(N20/0.06))*'MATERIALES (2)'!$F$1</f>
        <v>48668.76</v>
      </c>
      <c r="S20" s="59">
        <f t="shared" si="2"/>
        <v>121802.39200000002</v>
      </c>
      <c r="T20" s="67">
        <f t="shared" si="3"/>
        <v>219358.03858353005</v>
      </c>
    </row>
    <row r="21" spans="1:20" ht="15.75" hidden="1" thickBot="1">
      <c r="A21" s="42">
        <v>1.2</v>
      </c>
      <c r="B21" s="37">
        <v>1</v>
      </c>
      <c r="C21" s="38">
        <f>((((A21*2)+(B21*2))*'MATERIALES (2)'!$C$13)+((A21*2)*'MATERIALES (2)'!$C$6)+((B21*4)*'MATERIALES (2)'!$C$15)+(B21*'MATERIALES (2)'!$C$25))*'MATERIALES (2)'!$F$1</f>
        <v>56007.808499999999</v>
      </c>
      <c r="D21" s="59">
        <f>(8*'MATERIALES (2)'!$C$126)+(8*'MATERIALES (2)'!$C$163)+((8*4)*'MATERIALES (2)'!$C$134)+(((B21*2)+(A21*2))*'MATERIALES (2)'!$C$138)+(4*'MATERIALES (2)'!$C$137)+(((A21*5)*2)*'MATERIALES (2)'!$C$136)+(4*'MATERIALES (2)'!$C$135)+(1*'MATERIALES (2)'!$C$140)+(2*'MATERIALES (2)'!$C$139)+(4*'MATERIALES (2)'!$C$150)</f>
        <v>9722</v>
      </c>
      <c r="E21" s="75"/>
      <c r="F21" s="55">
        <f>((A21*'MATERIALES (2)'!$C$22)*(B21/0.06))*'MATERIALES (2)'!$F$1</f>
        <v>60835.950000000012</v>
      </c>
      <c r="G21" s="38">
        <f t="shared" si="0"/>
        <v>126565.75850000001</v>
      </c>
      <c r="H21" s="49">
        <f t="shared" si="1"/>
        <v>227936.54607699942</v>
      </c>
      <c r="M21" s="68">
        <v>1.2</v>
      </c>
      <c r="N21" s="69">
        <v>1</v>
      </c>
      <c r="O21" s="59">
        <f>((((M21*2)+(N21*2))*'MATERIALES (2)'!$C$13)+((M21*2)*'MATERIALES (2)'!$C$6)+((N21*6)*'MATERIALES (2)'!$C$15)+((N21*2)*'MATERIALES (2)'!$C$25))*'MATERIALES (2)'!$F$1</f>
        <v>67912.971000000005</v>
      </c>
      <c r="P21" s="59">
        <f>(12*'MATERIALES (2)'!$C$126)+(12*'MATERIALES (2)'!$C$163)+((8*4)*'MATERIALES (2)'!$C$134)+(((N21*2)+(M21*2))*'MATERIALES (2)'!$C$138)+(4*'MATERIALES (2)'!$C$137)+(((M21*5)*2)*'MATERIALES (2)'!$C$136)+(4*'MATERIALES (2)'!$C$135)+(1*'MATERIALES (2)'!$C$140)+(4*'MATERIALES (2)'!$C$139)+(6*'MATERIALES (2)'!$C$150)</f>
        <v>14026</v>
      </c>
      <c r="Q21" s="75"/>
      <c r="R21" s="55">
        <f>((M21*'MATERIALES (2)'!$C$22)*(N21/0.06))*'MATERIALES (2)'!$F$1</f>
        <v>60835.950000000012</v>
      </c>
      <c r="S21" s="59">
        <f t="shared" si="2"/>
        <v>142774.92100000003</v>
      </c>
      <c r="T21" s="67">
        <f t="shared" si="3"/>
        <v>257128.17388248382</v>
      </c>
    </row>
    <row r="22" spans="1:20" ht="15.75" hidden="1" thickBot="1">
      <c r="A22" s="42">
        <v>1.2</v>
      </c>
      <c r="B22" s="37">
        <v>1.1000000000000001</v>
      </c>
      <c r="C22" s="38">
        <f>((((A22*2)+(B22*2))*'MATERIALES (2)'!$C$13)+((A22*2)*'MATERIALES (2)'!$C$6)+((B22*4)*'MATERIALES (2)'!$C$15)+(B22*'MATERIALES (2)'!$C$25))*'MATERIALES (2)'!$F$1</f>
        <v>59207.961749999995</v>
      </c>
      <c r="D22" s="59">
        <f>(8*'MATERIALES (2)'!$C$126)+(8*'MATERIALES (2)'!$C$163)+((8*4)*'MATERIALES (2)'!$C$134)+(((B22*2)+(A22*2))*'MATERIALES (2)'!$C$138)+(4*'MATERIALES (2)'!$C$137)+(((A22*5)*2)*'MATERIALES (2)'!$C$136)+(4*'MATERIALES (2)'!$C$135)+(1*'MATERIALES (2)'!$C$140)+(2*'MATERIALES (2)'!$C$139)+(4*'MATERIALES (2)'!$C$150)</f>
        <v>9734</v>
      </c>
      <c r="E22" s="75"/>
      <c r="F22" s="55">
        <f>((A22*'MATERIALES (2)'!$C$22)*(B22/0.06))*'MATERIALES (2)'!$F$1</f>
        <v>66919.545000000013</v>
      </c>
      <c r="G22" s="38">
        <f t="shared" si="0"/>
        <v>135861.50675</v>
      </c>
      <c r="H22" s="49">
        <f t="shared" si="1"/>
        <v>244677.57283192786</v>
      </c>
      <c r="M22" s="68">
        <v>1.2</v>
      </c>
      <c r="N22" s="69">
        <v>1.1000000000000001</v>
      </c>
      <c r="O22" s="59">
        <f>((((M22*2)+(N22*2))*'MATERIALES (2)'!$C$13)+((M22*2)*'MATERIALES (2)'!$C$6)+((N22*6)*'MATERIALES (2)'!$C$15)+((N22*2)*'MATERIALES (2)'!$C$25))*'MATERIALES (2)'!$F$1</f>
        <v>72303.640500000009</v>
      </c>
      <c r="P22" s="59">
        <f>(12*'MATERIALES (2)'!$C$126)+(12*'MATERIALES (2)'!$C$163)+((8*4)*'MATERIALES (2)'!$C$134)+(((N22*2)+(M22*2))*'MATERIALES (2)'!$C$138)+(4*'MATERIALES (2)'!$C$137)+(((M22*5)*2)*'MATERIALES (2)'!$C$136)+(4*'MATERIALES (2)'!$C$135)+(1*'MATERIALES (2)'!$C$140)+(4*'MATERIALES (2)'!$C$139)+(6*'MATERIALES (2)'!$C$150)</f>
        <v>14038</v>
      </c>
      <c r="Q22" s="75"/>
      <c r="R22" s="55">
        <f>((M22*'MATERIALES (2)'!$C$22)*(N22/0.06))*'MATERIALES (2)'!$F$1</f>
        <v>66919.545000000013</v>
      </c>
      <c r="S22" s="59">
        <f t="shared" si="2"/>
        <v>153261.18550000002</v>
      </c>
      <c r="T22" s="67">
        <f t="shared" si="3"/>
        <v>276013.24153196072</v>
      </c>
    </row>
    <row r="23" spans="1:20" ht="15.75" hidden="1" thickBot="1">
      <c r="A23" s="42">
        <v>1.2</v>
      </c>
      <c r="B23" s="37">
        <v>1.2</v>
      </c>
      <c r="C23" s="38">
        <f>((((A23*2)+(B23*2))*'MATERIALES (2)'!$C$13)+((A23*2)*'MATERIALES (2)'!$C$6)+((B23*4)*'MATERIALES (2)'!$C$15)+(B23*'MATERIALES (2)'!$C$25))*'MATERIALES (2)'!$F$1</f>
        <v>62408.114999999998</v>
      </c>
      <c r="D23" s="59">
        <f>(8*'MATERIALES (2)'!$C$126)+(8*'MATERIALES (2)'!$C$163)+((8*4)*'MATERIALES (2)'!$C$134)+(((B23*2)+(A23*2))*'MATERIALES (2)'!$C$138)+(4*'MATERIALES (2)'!$C$137)+(((A23*5)*2)*'MATERIALES (2)'!$C$136)+(4*'MATERIALES (2)'!$C$135)+(1*'MATERIALES (2)'!$C$140)+(2*'MATERIALES (2)'!$C$139)+(4*'MATERIALES (2)'!$C$150)</f>
        <v>9746</v>
      </c>
      <c r="E23" s="75"/>
      <c r="F23" s="55">
        <f>((A23*'MATERIALES (2)'!$C$22)*(B23/0.06))*'MATERIALES (2)'!$F$1</f>
        <v>73003.14</v>
      </c>
      <c r="G23" s="38">
        <f t="shared" si="0"/>
        <v>145157.255</v>
      </c>
      <c r="H23" s="49">
        <f t="shared" si="1"/>
        <v>261418.59958685626</v>
      </c>
      <c r="M23" s="68">
        <v>1.2</v>
      </c>
      <c r="N23" s="69">
        <v>1.2</v>
      </c>
      <c r="O23" s="59">
        <f>((((M23*2)+(N23*2))*'MATERIALES (2)'!$C$13)+((M23*2)*'MATERIALES (2)'!$C$6)+((N23*6)*'MATERIALES (2)'!$C$15)+((N23*2)*'MATERIALES (2)'!$C$25))*'MATERIALES (2)'!$F$1</f>
        <v>76694.31</v>
      </c>
      <c r="P23" s="59">
        <f>(12*'MATERIALES (2)'!$C$126)+(12*'MATERIALES (2)'!$C$163)+((8*4)*'MATERIALES (2)'!$C$134)+(((N23*2)+(M23*2))*'MATERIALES (2)'!$C$138)+(4*'MATERIALES (2)'!$C$137)+(((M23*5)*2)*'MATERIALES (2)'!$C$136)+(4*'MATERIALES (2)'!$C$135)+(1*'MATERIALES (2)'!$C$140)+(4*'MATERIALES (2)'!$C$139)+(6*'MATERIALES (2)'!$C$150)</f>
        <v>14050</v>
      </c>
      <c r="Q23" s="75"/>
      <c r="R23" s="55">
        <f>((M23*'MATERIALES (2)'!$C$22)*(N23/0.06))*'MATERIALES (2)'!$F$1</f>
        <v>73003.14</v>
      </c>
      <c r="S23" s="59">
        <f t="shared" si="2"/>
        <v>163747.45000000001</v>
      </c>
      <c r="T23" s="67">
        <f t="shared" si="3"/>
        <v>294898.30918143754</v>
      </c>
    </row>
    <row r="24" spans="1:20" ht="15.75" hidden="1" thickBot="1">
      <c r="A24" s="42">
        <v>1.2</v>
      </c>
      <c r="B24" s="37">
        <v>1.5</v>
      </c>
      <c r="C24" s="38">
        <f>((((A24*2)+(B24*2))*'MATERIALES (2)'!$C$13)+((A24*2)*'MATERIALES (2)'!$C$6)+((B24*4)*'MATERIALES (2)'!$C$15)+(B24*'MATERIALES (2)'!$C$25))*'MATERIALES (2)'!$F$1</f>
        <v>72008.57475</v>
      </c>
      <c r="D24" s="59">
        <f>(8*'MATERIALES (2)'!$C$126)+(8*'MATERIALES (2)'!$C$163)+((8*4)*'MATERIALES (2)'!$C$134)+(((B24*2)+(A24*2))*'MATERIALES (2)'!$C$138)+(4*'MATERIALES (2)'!$C$137)+(((A24*5)*2)*'MATERIALES (2)'!$C$136)+(4*'MATERIALES (2)'!$C$135)+(1*'MATERIALES (2)'!$C$140)+(2*'MATERIALES (2)'!$C$139)+(4*'MATERIALES (2)'!$C$150)</f>
        <v>9782</v>
      </c>
      <c r="E24" s="75"/>
      <c r="F24" s="55">
        <f>((A24*'MATERIALES (2)'!$C$22)*(B24/0.06))*'MATERIALES (2)'!$F$1</f>
        <v>91253.925000000003</v>
      </c>
      <c r="G24" s="38">
        <f t="shared" si="0"/>
        <v>173044.49975000002</v>
      </c>
      <c r="H24" s="49">
        <f t="shared" si="1"/>
        <v>311641.67985164165</v>
      </c>
      <c r="M24" s="68">
        <v>1.2</v>
      </c>
      <c r="N24" s="69">
        <v>1.5</v>
      </c>
      <c r="O24" s="59">
        <f>((((M24*2)+(N24*2))*'MATERIALES (2)'!$C$13)+((M24*2)*'MATERIALES (2)'!$C$6)+((N24*6)*'MATERIALES (2)'!$C$15)+((N24*2)*'MATERIALES (2)'!$C$25))*'MATERIALES (2)'!$F$1</f>
        <v>89866.318500000008</v>
      </c>
      <c r="P24" s="59">
        <f>(12*'MATERIALES (2)'!$C$126)+(12*'MATERIALES (2)'!$C$163)+((8*4)*'MATERIALES (2)'!$C$134)+(((N24*2)+(M24*2))*'MATERIALES (2)'!$C$138)+(4*'MATERIALES (2)'!$C$137)+(((M24*5)*2)*'MATERIALES (2)'!$C$136)+(4*'MATERIALES (2)'!$C$135)+(1*'MATERIALES (2)'!$C$140)+(4*'MATERIALES (2)'!$C$139)+(6*'MATERIALES (2)'!$C$150)</f>
        <v>14086</v>
      </c>
      <c r="Q24" s="75"/>
      <c r="R24" s="55">
        <f>((M24*'MATERIALES (2)'!$C$22)*(N24/0.06))*'MATERIALES (2)'!$F$1</f>
        <v>91253.925000000003</v>
      </c>
      <c r="S24" s="59">
        <f t="shared" si="2"/>
        <v>195206.24350000001</v>
      </c>
      <c r="T24" s="67">
        <f t="shared" si="3"/>
        <v>351553.51212986815</v>
      </c>
    </row>
    <row r="25" spans="1:20" ht="15.75" hidden="1" thickBot="1">
      <c r="A25" s="42">
        <v>1.2</v>
      </c>
      <c r="B25" s="37">
        <v>1.8</v>
      </c>
      <c r="C25" s="38">
        <f>((((A25*2)+(B25*2))*'MATERIALES (2)'!$C$13)+((A25*2)*'MATERIALES (2)'!$C$6)+((B25*4)*'MATERIALES (2)'!$C$15)+(B25*'MATERIALES (2)'!$C$25))*'MATERIALES (2)'!$F$1</f>
        <v>81609.034499999994</v>
      </c>
      <c r="D25" s="59">
        <f>(8*'MATERIALES (2)'!$C$126)+(8*'MATERIALES (2)'!$C$163)+((8*4)*'MATERIALES (2)'!$C$134)+(((B25*2)+(A25*2))*'MATERIALES (2)'!$C$138)+(4*'MATERIALES (2)'!$C$137)+(((A25*5)*2)*'MATERIALES (2)'!$C$136)+(4*'MATERIALES (2)'!$C$135)+(1*'MATERIALES (2)'!$C$140)+(2*'MATERIALES (2)'!$C$139)+(4*'MATERIALES (2)'!$C$150)</f>
        <v>9818</v>
      </c>
      <c r="E25" s="75"/>
      <c r="F25" s="55">
        <f>((A25*'MATERIALES (2)'!$C$22)*(B25/0.06))*'MATERIALES (2)'!$F$1</f>
        <v>109504.71000000002</v>
      </c>
      <c r="G25" s="38">
        <f t="shared" si="0"/>
        <v>200931.74450000003</v>
      </c>
      <c r="H25" s="49">
        <f t="shared" si="1"/>
        <v>361864.76011642709</v>
      </c>
      <c r="M25" s="68">
        <v>1.2</v>
      </c>
      <c r="N25" s="69">
        <v>1.8</v>
      </c>
      <c r="O25" s="59">
        <f>((((M25*2)+(N25*2))*'MATERIALES (2)'!$C$13)+((M25*2)*'MATERIALES (2)'!$C$6)+((N25*6)*'MATERIALES (2)'!$C$15)+((N25*2)*'MATERIALES (2)'!$C$25))*'MATERIALES (2)'!$F$1</f>
        <v>103038.32699999999</v>
      </c>
      <c r="P25" s="59">
        <f>(12*'MATERIALES (2)'!$C$126)+(12*'MATERIALES (2)'!$C$163)+((8*4)*'MATERIALES (2)'!$C$134)+(((N25*2)+(M25*2))*'MATERIALES (2)'!$C$138)+(4*'MATERIALES (2)'!$C$137)+(((M25*5)*2)*'MATERIALES (2)'!$C$136)+(4*'MATERIALES (2)'!$C$135)+(1*'MATERIALES (2)'!$C$140)+(4*'MATERIALES (2)'!$C$139)+(6*'MATERIALES (2)'!$C$150)</f>
        <v>14122</v>
      </c>
      <c r="Q25" s="75"/>
      <c r="R25" s="55">
        <f>((M25*'MATERIALES (2)'!$C$22)*(N25/0.06))*'MATERIALES (2)'!$F$1</f>
        <v>109504.71000000002</v>
      </c>
      <c r="S25" s="59">
        <f t="shared" si="2"/>
        <v>226665.03700000001</v>
      </c>
      <c r="T25" s="67">
        <f t="shared" si="3"/>
        <v>408208.71507829882</v>
      </c>
    </row>
    <row r="26" spans="1:20" ht="15.75" hidden="1" thickBot="1">
      <c r="A26" s="42">
        <v>1.5</v>
      </c>
      <c r="B26" s="37">
        <v>0.4</v>
      </c>
      <c r="C26" s="38">
        <f>((((A26*2)+(B26*2))*'MATERIALES (2)'!$C$13)+((A26*2)*'MATERIALES (2)'!$C$6)+((B26*4)*'MATERIALES (2)'!$C$15)+(B26*'MATERIALES (2)'!$C$25))*'MATERIALES (2)'!$F$1</f>
        <v>42808.458000000006</v>
      </c>
      <c r="D26" s="59">
        <f>(8*'MATERIALES (2)'!$C$126)+(8*'MATERIALES (2)'!$C$163)+((8*4)*'MATERIALES (2)'!$C$134)+(((B26*2)+(A26*2))*'MATERIALES (2)'!$C$138)+(4*'MATERIALES (2)'!$C$137)+(((A26*5)*2)*'MATERIALES (2)'!$C$136)+(4*'MATERIALES (2)'!$C$135)+(1*'MATERIALES (2)'!$C$140)+(2*'MATERIALES (2)'!$C$139)+(4*'MATERIALES (2)'!$C$150)</f>
        <v>9686</v>
      </c>
      <c r="E26" s="75"/>
      <c r="F26" s="55">
        <f>((A26*'MATERIALES (2)'!$C$22)*(B26/0.06))*'MATERIALES (2)'!$F$1</f>
        <v>30417.975000000006</v>
      </c>
      <c r="G26" s="38">
        <f t="shared" si="0"/>
        <v>82912.433000000019</v>
      </c>
      <c r="H26" s="49">
        <f t="shared" si="1"/>
        <v>149319.79888431384</v>
      </c>
      <c r="M26" s="68">
        <v>1.5</v>
      </c>
      <c r="N26" s="69">
        <v>0.4</v>
      </c>
      <c r="O26" s="59">
        <f>((((M26*2)+(N26*2))*'MATERIALES (2)'!$C$13)+((M26*2)*'MATERIALES (2)'!$C$6)+((N26*6)*'MATERIALES (2)'!$C$15)+((N26*2)*'MATERIALES (2)'!$C$25))*'MATERIALES (2)'!$F$1</f>
        <v>47570.523000000001</v>
      </c>
      <c r="P26" s="59">
        <f>(12*'MATERIALES (2)'!$C$126)+(12*'MATERIALES (2)'!$C$163)+((8*4)*'MATERIALES (2)'!$C$134)+(((N26*2)+(M26*2))*'MATERIALES (2)'!$C$138)+(4*'MATERIALES (2)'!$C$137)+(((M26*5)*2)*'MATERIALES (2)'!$C$136)+(4*'MATERIALES (2)'!$C$135)+(1*'MATERIALES (2)'!$C$140)+(4*'MATERIALES (2)'!$C$139)+(6*'MATERIALES (2)'!$C$150)</f>
        <v>13990</v>
      </c>
      <c r="Q26" s="75"/>
      <c r="R26" s="55">
        <f>((M26*'MATERIALES (2)'!$C$22)*(N26/0.06))*'MATERIALES (2)'!$F$1</f>
        <v>30417.975000000006</v>
      </c>
      <c r="S26" s="59">
        <f t="shared" si="2"/>
        <v>91978.498000000007</v>
      </c>
      <c r="T26" s="67">
        <f t="shared" si="3"/>
        <v>165647.18132250756</v>
      </c>
    </row>
    <row r="27" spans="1:20" ht="15.75" hidden="1" thickBot="1">
      <c r="A27" s="42">
        <v>1.5</v>
      </c>
      <c r="B27" s="37">
        <v>0.6</v>
      </c>
      <c r="C27" s="38">
        <f>((((A27*2)+(B27*2))*'MATERIALES (2)'!$C$13)+((A27*2)*'MATERIALES (2)'!$C$6)+((B27*4)*'MATERIALES (2)'!$C$15)+(B27*'MATERIALES (2)'!$C$25))*'MATERIALES (2)'!$F$1</f>
        <v>49208.764500000012</v>
      </c>
      <c r="D27" s="59">
        <f>(8*'MATERIALES (2)'!$C$126)+(8*'MATERIALES (2)'!$C$163)+((8*4)*'MATERIALES (2)'!$C$134)+(((B27*2)+(A27*2))*'MATERIALES (2)'!$C$138)+(4*'MATERIALES (2)'!$C$137)+(((A27*5)*2)*'MATERIALES (2)'!$C$136)+(4*'MATERIALES (2)'!$C$135)+(1*'MATERIALES (2)'!$C$140)+(2*'MATERIALES (2)'!$C$139)+(4*'MATERIALES (2)'!$C$150)</f>
        <v>9710</v>
      </c>
      <c r="E27" s="75"/>
      <c r="F27" s="55">
        <f>((A27*'MATERIALES (2)'!$C$22)*(B27/0.06))*'MATERIALES (2)'!$F$1</f>
        <v>45626.962500000001</v>
      </c>
      <c r="G27" s="38">
        <f t="shared" si="0"/>
        <v>104545.72700000001</v>
      </c>
      <c r="H27" s="49">
        <f t="shared" si="1"/>
        <v>188279.92817258628</v>
      </c>
      <c r="M27" s="68">
        <v>1.5</v>
      </c>
      <c r="N27" s="69">
        <v>0.6</v>
      </c>
      <c r="O27" s="59">
        <f>((((M27*2)+(N27*2))*'MATERIALES (2)'!$C$13)+((M27*2)*'MATERIALES (2)'!$C$6)+((N27*6)*'MATERIALES (2)'!$C$15)+((N27*2)*'MATERIALES (2)'!$C$25))*'MATERIALES (2)'!$F$1</f>
        <v>56351.861999999994</v>
      </c>
      <c r="P27" s="59">
        <f>(12*'MATERIALES (2)'!$C$126)+(12*'MATERIALES (2)'!$C$163)+((8*4)*'MATERIALES (2)'!$C$134)+(((N27*2)+(M27*2))*'MATERIALES (2)'!$C$138)+(4*'MATERIALES (2)'!$C$137)+(((M27*5)*2)*'MATERIALES (2)'!$C$136)+(4*'MATERIALES (2)'!$C$135)+(1*'MATERIALES (2)'!$C$140)+(4*'MATERIALES (2)'!$C$139)+(6*'MATERIALES (2)'!$C$150)</f>
        <v>14014</v>
      </c>
      <c r="Q27" s="75"/>
      <c r="R27" s="55">
        <f>((M27*'MATERIALES (2)'!$C$22)*(N27/0.06))*'MATERIALES (2)'!$F$1</f>
        <v>45626.962500000001</v>
      </c>
      <c r="S27" s="59">
        <f t="shared" si="2"/>
        <v>115992.82449999999</v>
      </c>
      <c r="T27" s="67">
        <f t="shared" si="3"/>
        <v>208895.39239987687</v>
      </c>
    </row>
    <row r="28" spans="1:20" ht="15.75" hidden="1" thickBot="1">
      <c r="A28" s="42">
        <v>1.5</v>
      </c>
      <c r="B28" s="37">
        <v>0.8</v>
      </c>
      <c r="C28" s="38">
        <f>((((A28*2)+(B28*2))*'MATERIALES (2)'!$C$13)+((A28*2)*'MATERIALES (2)'!$C$6)+((B28*4)*'MATERIALES (2)'!$C$15)+(B28*'MATERIALES (2)'!$C$25))*'MATERIALES (2)'!$F$1</f>
        <v>55609.070999999996</v>
      </c>
      <c r="D28" s="59">
        <f>(8*'MATERIALES (2)'!$C$126)+(8*'MATERIALES (2)'!$C$163)+((8*4)*'MATERIALES (2)'!$C$134)+(((B28*2)+(A28*2))*'MATERIALES (2)'!$C$138)+(4*'MATERIALES (2)'!$C$137)+(((A28*5)*2)*'MATERIALES (2)'!$C$136)+(4*'MATERIALES (2)'!$C$135)+(1*'MATERIALES (2)'!$C$140)+(2*'MATERIALES (2)'!$C$139)+(4*'MATERIALES (2)'!$C$150)</f>
        <v>9734</v>
      </c>
      <c r="E28" s="75"/>
      <c r="F28" s="55">
        <f>((A28*'MATERIALES (2)'!$C$22)*(B28/0.06))*'MATERIALES (2)'!$F$1</f>
        <v>60835.950000000012</v>
      </c>
      <c r="G28" s="38">
        <f t="shared" si="0"/>
        <v>126179.02100000001</v>
      </c>
      <c r="H28" s="49">
        <f t="shared" si="1"/>
        <v>227240.05746085881</v>
      </c>
      <c r="M28" s="68">
        <v>1.5</v>
      </c>
      <c r="N28" s="69">
        <v>0.8</v>
      </c>
      <c r="O28" s="59">
        <f>((((M28*2)+(N28*2))*'MATERIALES (2)'!$C$13)+((M28*2)*'MATERIALES (2)'!$C$6)+((N28*6)*'MATERIALES (2)'!$C$15)+((N28*2)*'MATERIALES (2)'!$C$25))*'MATERIALES (2)'!$F$1</f>
        <v>65133.201000000001</v>
      </c>
      <c r="P28" s="59">
        <f>(12*'MATERIALES (2)'!$C$126)+(12*'MATERIALES (2)'!$C$163)+((8*4)*'MATERIALES (2)'!$C$134)+(((N28*2)+(M28*2))*'MATERIALES (2)'!$C$138)+(4*'MATERIALES (2)'!$C$137)+(((M28*5)*2)*'MATERIALES (2)'!$C$136)+(4*'MATERIALES (2)'!$C$135)+(1*'MATERIALES (2)'!$C$140)+(4*'MATERIALES (2)'!$C$139)+(6*'MATERIALES (2)'!$C$150)</f>
        <v>14038</v>
      </c>
      <c r="Q28" s="75"/>
      <c r="R28" s="55">
        <f>((M28*'MATERIALES (2)'!$C$22)*(N28/0.06))*'MATERIALES (2)'!$F$1</f>
        <v>60835.950000000012</v>
      </c>
      <c r="S28" s="59">
        <f t="shared" si="2"/>
        <v>140007.15100000001</v>
      </c>
      <c r="T28" s="67">
        <f t="shared" si="3"/>
        <v>252143.6034772463</v>
      </c>
    </row>
    <row r="29" spans="1:20" ht="15.75" hidden="1" thickBot="1">
      <c r="A29" s="42">
        <v>1.5</v>
      </c>
      <c r="B29" s="37">
        <v>1</v>
      </c>
      <c r="C29" s="38">
        <f>((((A29*2)+(B29*2))*'MATERIALES (2)'!$C$13)+((A29*2)*'MATERIALES (2)'!$C$6)+((B29*4)*'MATERIALES (2)'!$C$15)+(B29*'MATERIALES (2)'!$C$25))*'MATERIALES (2)'!$F$1</f>
        <v>62009.377500000002</v>
      </c>
      <c r="D29" s="59">
        <f>(8*'MATERIALES (2)'!$C$126)+(8*'MATERIALES (2)'!$C$163)+((8*4)*'MATERIALES (2)'!$C$134)+(((B29*2)+(A29*2))*'MATERIALES (2)'!$C$138)+(4*'MATERIALES (2)'!$C$137)+(((A29*5)*2)*'MATERIALES (2)'!$C$136)+(4*'MATERIALES (2)'!$C$135)+(1*'MATERIALES (2)'!$C$140)+(2*'MATERIALES (2)'!$C$139)+(4*'MATERIALES (2)'!$C$150)</f>
        <v>9758</v>
      </c>
      <c r="E29" s="75"/>
      <c r="F29" s="55">
        <f>((A29*'MATERIALES (2)'!$C$22)*(B29/0.06))*'MATERIALES (2)'!$F$1</f>
        <v>76044.937500000015</v>
      </c>
      <c r="G29" s="38">
        <f t="shared" si="0"/>
        <v>147812.315</v>
      </c>
      <c r="H29" s="49">
        <f t="shared" si="1"/>
        <v>266200.1867491313</v>
      </c>
      <c r="M29" s="68">
        <v>1.5</v>
      </c>
      <c r="N29" s="69">
        <v>1</v>
      </c>
      <c r="O29" s="59">
        <f>((((M29*2)+(N29*2))*'MATERIALES (2)'!$C$13)+((M29*2)*'MATERIALES (2)'!$C$6)+((N29*6)*'MATERIALES (2)'!$C$15)+((N29*2)*'MATERIALES (2)'!$C$25))*'MATERIALES (2)'!$F$1</f>
        <v>73914.539999999994</v>
      </c>
      <c r="P29" s="59">
        <f>(12*'MATERIALES (2)'!$C$126)+(12*'MATERIALES (2)'!$C$163)+((8*4)*'MATERIALES (2)'!$C$134)+(((N29*2)+(M29*2))*'MATERIALES (2)'!$C$138)+(4*'MATERIALES (2)'!$C$137)+(((M29*5)*2)*'MATERIALES (2)'!$C$136)+(4*'MATERIALES (2)'!$C$135)+(1*'MATERIALES (2)'!$C$140)+(4*'MATERIALES (2)'!$C$139)+(6*'MATERIALES (2)'!$C$150)</f>
        <v>14062</v>
      </c>
      <c r="Q29" s="75"/>
      <c r="R29" s="55">
        <f>((M29*'MATERIALES (2)'!$C$22)*(N29/0.06))*'MATERIALES (2)'!$F$1</f>
        <v>76044.937500000015</v>
      </c>
      <c r="S29" s="59">
        <f t="shared" si="2"/>
        <v>164021.47750000001</v>
      </c>
      <c r="T29" s="67">
        <f t="shared" si="3"/>
        <v>295391.8145546157</v>
      </c>
    </row>
    <row r="30" spans="1:20" ht="15.75" hidden="1" thickBot="1">
      <c r="A30" s="42">
        <v>1.5</v>
      </c>
      <c r="B30" s="37">
        <v>1.1000000000000001</v>
      </c>
      <c r="C30" s="38">
        <f>((((A30*2)+(B30*2))*'MATERIALES (2)'!$C$13)+((A30*2)*'MATERIALES (2)'!$C$6)+((B30*4)*'MATERIALES (2)'!$C$15)+(B30*'MATERIALES (2)'!$C$25))*'MATERIALES (2)'!$F$1</f>
        <v>65209.530749999998</v>
      </c>
      <c r="D30" s="59">
        <f>(8*'MATERIALES (2)'!$C$126)+(8*'MATERIALES (2)'!$C$163)+((8*4)*'MATERIALES (2)'!$C$134)+(((B30*2)+(A30*2))*'MATERIALES (2)'!$C$138)+(4*'MATERIALES (2)'!$C$137)+(((A30*5)*2)*'MATERIALES (2)'!$C$136)+(4*'MATERIALES (2)'!$C$135)+(1*'MATERIALES (2)'!$C$140)+(2*'MATERIALES (2)'!$C$139)+(4*'MATERIALES (2)'!$C$150)</f>
        <v>9770</v>
      </c>
      <c r="E30" s="75"/>
      <c r="F30" s="55">
        <f>((A30*'MATERIALES (2)'!$C$22)*(B30/0.06))*'MATERIALES (2)'!$F$1</f>
        <v>83649.431250000009</v>
      </c>
      <c r="G30" s="38">
        <f t="shared" si="0"/>
        <v>158628.962</v>
      </c>
      <c r="H30" s="49">
        <f t="shared" si="1"/>
        <v>285680.25139326754</v>
      </c>
      <c r="M30" s="68">
        <v>1.5</v>
      </c>
      <c r="N30" s="69">
        <v>1.1000000000000001</v>
      </c>
      <c r="O30" s="59">
        <f>((((M30*2)+(N30*2))*'MATERIALES (2)'!$C$13)+((M30*2)*'MATERIALES (2)'!$C$6)+((N30*6)*'MATERIALES (2)'!$C$15)+((N30*2)*'MATERIALES (2)'!$C$25))*'MATERIALES (2)'!$F$1</f>
        <v>78305.209499999997</v>
      </c>
      <c r="P30" s="59">
        <f>(12*'MATERIALES (2)'!$C$126)+(12*'MATERIALES (2)'!$C$163)+((8*4)*'MATERIALES (2)'!$C$134)+(((N30*2)+(M30*2))*'MATERIALES (2)'!$C$138)+(4*'MATERIALES (2)'!$C$137)+(((M30*5)*2)*'MATERIALES (2)'!$C$136)+(4*'MATERIALES (2)'!$C$135)+(1*'MATERIALES (2)'!$C$140)+(4*'MATERIALES (2)'!$C$139)+(6*'MATERIALES (2)'!$C$150)</f>
        <v>14074</v>
      </c>
      <c r="Q30" s="75"/>
      <c r="R30" s="55">
        <f>((M30*'MATERIALES (2)'!$C$22)*(N30/0.06))*'MATERIALES (2)'!$F$1</f>
        <v>83649.431250000009</v>
      </c>
      <c r="S30" s="59">
        <f t="shared" si="2"/>
        <v>176028.64075000002</v>
      </c>
      <c r="T30" s="67">
        <f t="shared" si="3"/>
        <v>317015.92009330046</v>
      </c>
    </row>
    <row r="31" spans="1:20" ht="15.75" hidden="1" thickBot="1">
      <c r="A31" s="42">
        <v>1.5</v>
      </c>
      <c r="B31" s="37">
        <v>1.2</v>
      </c>
      <c r="C31" s="38">
        <f>((((A31*2)+(B31*2))*'MATERIALES (2)'!$C$13)+((A31*2)*'MATERIALES (2)'!$C$6)+((B31*4)*'MATERIALES (2)'!$C$15)+(B31*'MATERIALES (2)'!$C$25))*'MATERIALES (2)'!$F$1</f>
        <v>68409.683999999994</v>
      </c>
      <c r="D31" s="59">
        <f>(8*'MATERIALES (2)'!$C$126)+(8*'MATERIALES (2)'!$C$163)+((8*4)*'MATERIALES (2)'!$C$134)+(((B31*2)+(A31*2))*'MATERIALES (2)'!$C$138)+(4*'MATERIALES (2)'!$C$137)+(((A31*5)*2)*'MATERIALES (2)'!$C$136)+(4*'MATERIALES (2)'!$C$135)+(1*'MATERIALES (2)'!$C$140)+(2*'MATERIALES (2)'!$C$139)+(4*'MATERIALES (2)'!$C$150)</f>
        <v>9782</v>
      </c>
      <c r="E31" s="75"/>
      <c r="F31" s="55">
        <f>((A31*'MATERIALES (2)'!$C$22)*(B31/0.06))*'MATERIALES (2)'!$F$1</f>
        <v>91253.925000000003</v>
      </c>
      <c r="G31" s="38">
        <f t="shared" si="0"/>
        <v>169445.609</v>
      </c>
      <c r="H31" s="49">
        <f t="shared" si="1"/>
        <v>305160.31603740377</v>
      </c>
      <c r="M31" s="68">
        <v>1.5</v>
      </c>
      <c r="N31" s="69">
        <v>1.2</v>
      </c>
      <c r="O31" s="59">
        <f>((((M31*2)+(N31*2))*'MATERIALES (2)'!$C$13)+((M31*2)*'MATERIALES (2)'!$C$6)+((N31*6)*'MATERIALES (2)'!$C$15)+((N31*2)*'MATERIALES (2)'!$C$25))*'MATERIALES (2)'!$F$1</f>
        <v>82695.879000000001</v>
      </c>
      <c r="P31" s="59">
        <f>(12*'MATERIALES (2)'!$C$126)+(12*'MATERIALES (2)'!$C$163)+((8*4)*'MATERIALES (2)'!$C$134)+(((N31*2)+(M31*2))*'MATERIALES (2)'!$C$138)+(4*'MATERIALES (2)'!$C$137)+(((M31*5)*2)*'MATERIALES (2)'!$C$136)+(4*'MATERIALES (2)'!$C$135)+(1*'MATERIALES (2)'!$C$140)+(4*'MATERIALES (2)'!$C$139)+(6*'MATERIALES (2)'!$C$150)</f>
        <v>14086</v>
      </c>
      <c r="Q31" s="75"/>
      <c r="R31" s="55">
        <f>((M31*'MATERIALES (2)'!$C$22)*(N31/0.06))*'MATERIALES (2)'!$F$1</f>
        <v>91253.925000000003</v>
      </c>
      <c r="S31" s="59">
        <f t="shared" si="2"/>
        <v>188035.804</v>
      </c>
      <c r="T31" s="67">
        <f t="shared" si="3"/>
        <v>338640.02563198505</v>
      </c>
    </row>
    <row r="32" spans="1:20" ht="15.75" hidden="1" thickBot="1">
      <c r="A32" s="42">
        <v>1.5</v>
      </c>
      <c r="B32" s="37">
        <v>1.5</v>
      </c>
      <c r="C32" s="38">
        <f>((((A32*2)+(B32*2))*'MATERIALES (2)'!$C$13)+((A32*2)*'MATERIALES (2)'!$C$6)+((B32*4)*'MATERIALES (2)'!$C$15)+(B32*'MATERIALES (2)'!$C$25))*'MATERIALES (2)'!$F$1</f>
        <v>78010.143750000003</v>
      </c>
      <c r="D32" s="59">
        <f>(8*'MATERIALES (2)'!$C$126)+(8*'MATERIALES (2)'!$C$163)+((8*4)*'MATERIALES (2)'!$C$134)+(((B32*2)+(A32*2))*'MATERIALES (2)'!$C$138)+(4*'MATERIALES (2)'!$C$137)+(((A32*5)*2)*'MATERIALES (2)'!$C$136)+(4*'MATERIALES (2)'!$C$135)+(1*'MATERIALES (2)'!$C$140)+(2*'MATERIALES (2)'!$C$139)+(4*'MATERIALES (2)'!$C$150)</f>
        <v>9818</v>
      </c>
      <c r="E32" s="75"/>
      <c r="F32" s="55">
        <f>((A32*'MATERIALES (2)'!$C$22)*(B32/0.06))*'MATERIALES (2)'!$F$1</f>
        <v>114067.40625000001</v>
      </c>
      <c r="G32" s="38">
        <f t="shared" si="0"/>
        <v>201895.55000000002</v>
      </c>
      <c r="H32" s="49">
        <f t="shared" si="1"/>
        <v>363600.50996981259</v>
      </c>
      <c r="I32" s="57"/>
      <c r="M32" s="68">
        <v>1.5</v>
      </c>
      <c r="N32" s="69">
        <v>1.5</v>
      </c>
      <c r="O32" s="59">
        <f>((((M32*2)+(N32*2))*'MATERIALES (2)'!$C$13)+((M32*2)*'MATERIALES (2)'!$C$6)+((N32*6)*'MATERIALES (2)'!$C$15)+((N32*2)*'MATERIALES (2)'!$C$25))*'MATERIALES (2)'!$F$1</f>
        <v>95867.887500000012</v>
      </c>
      <c r="P32" s="59">
        <f>(12*'MATERIALES (2)'!$C$126)+(12*'MATERIALES (2)'!$C$163)+((8*4)*'MATERIALES (2)'!$C$134)+(((N32*2)+(M32*2))*'MATERIALES (2)'!$C$138)+(4*'MATERIALES (2)'!$C$137)+(((M32*5)*2)*'MATERIALES (2)'!$C$136)+(4*'MATERIALES (2)'!$C$135)+(1*'MATERIALES (2)'!$C$140)+(4*'MATERIALES (2)'!$C$139)+(6*'MATERIALES (2)'!$C$150)</f>
        <v>14122</v>
      </c>
      <c r="Q32" s="75"/>
      <c r="R32" s="55">
        <f>((M32*'MATERIALES (2)'!$C$22)*(N32/0.06))*'MATERIALES (2)'!$F$1</f>
        <v>114067.40625000001</v>
      </c>
      <c r="S32" s="59">
        <f t="shared" si="2"/>
        <v>224057.29375000001</v>
      </c>
      <c r="T32" s="67">
        <f t="shared" si="3"/>
        <v>403512.34224803915</v>
      </c>
    </row>
    <row r="33" spans="1:20" ht="15.75" hidden="1" thickBot="1">
      <c r="A33" s="42">
        <v>1.5</v>
      </c>
      <c r="B33" s="37">
        <v>1.8</v>
      </c>
      <c r="C33" s="38">
        <f>((((A33*2)+(B33*2))*'MATERIALES (2)'!$C$13)+((A33*2)*'MATERIALES (2)'!$C$6)+((B33*4)*'MATERIALES (2)'!$C$15)+(B33*'MATERIALES (2)'!$C$25))*'MATERIALES (2)'!$F$1</f>
        <v>87610.603500000012</v>
      </c>
      <c r="D33" s="59">
        <f>(8*'MATERIALES (2)'!$C$126)+(8*'MATERIALES (2)'!$C$163)+((8*4)*'MATERIALES (2)'!$C$134)+(((B33*2)+(A33*2))*'MATERIALES (2)'!$C$138)+(4*'MATERIALES (2)'!$C$137)+(((A33*5)*2)*'MATERIALES (2)'!$C$136)+(4*'MATERIALES (2)'!$C$135)+(1*'MATERIALES (2)'!$C$140)+(2*'MATERIALES (2)'!$C$139)+(4*'MATERIALES (2)'!$C$150)</f>
        <v>9854</v>
      </c>
      <c r="E33" s="75"/>
      <c r="F33" s="55">
        <f>((A33*'MATERIALES (2)'!$C$22)*(B33/0.06))*'MATERIALES (2)'!$F$1</f>
        <v>136880.88750000004</v>
      </c>
      <c r="G33" s="38">
        <f t="shared" si="0"/>
        <v>234345.49100000004</v>
      </c>
      <c r="H33" s="49">
        <f t="shared" si="1"/>
        <v>422040.7039022214</v>
      </c>
      <c r="I33" s="57"/>
      <c r="M33" s="68">
        <v>1.5</v>
      </c>
      <c r="N33" s="69">
        <v>1.8</v>
      </c>
      <c r="O33" s="59">
        <f>((((M33*2)+(N33*2))*'MATERIALES (2)'!$C$13)+((M33*2)*'MATERIALES (2)'!$C$6)+((N33*6)*'MATERIALES (2)'!$C$15)+((N33*2)*'MATERIALES (2)'!$C$25))*'MATERIALES (2)'!$F$1</f>
        <v>109039.89600000001</v>
      </c>
      <c r="P33" s="59">
        <f>(12*'MATERIALES (2)'!$C$126)+(12*'MATERIALES (2)'!$C$163)+((8*4)*'MATERIALES (2)'!$C$134)+(((N33*2)+(M33*2))*'MATERIALES (2)'!$C$138)+(4*'MATERIALES (2)'!$C$137)+(((M33*5)*2)*'MATERIALES (2)'!$C$136)+(4*'MATERIALES (2)'!$C$135)+(1*'MATERIALES (2)'!$C$140)+(4*'MATERIALES (2)'!$C$139)+(6*'MATERIALES (2)'!$C$150)</f>
        <v>14158</v>
      </c>
      <c r="Q33" s="75"/>
      <c r="R33" s="55">
        <f>((M33*'MATERIALES (2)'!$C$22)*(N33/0.06))*'MATERIALES (2)'!$F$1</f>
        <v>136880.88750000004</v>
      </c>
      <c r="S33" s="59">
        <f t="shared" si="2"/>
        <v>260078.78350000005</v>
      </c>
      <c r="T33" s="67">
        <f t="shared" si="3"/>
        <v>468384.65886409325</v>
      </c>
    </row>
    <row r="34" spans="1:20" ht="15.75" hidden="1" thickBot="1">
      <c r="A34" s="42">
        <v>1.8</v>
      </c>
      <c r="B34" s="37">
        <v>0.8</v>
      </c>
      <c r="C34" s="38">
        <f>((((A34*2)+(B34*2))*'MATERIALES (2)'!$C$13)+((A34*2)*'MATERIALES (2)'!$C$6)+((B34*4)*'MATERIALES (2)'!$C$15)+(B34*'MATERIALES (2)'!$C$25))*'MATERIALES (2)'!$F$1</f>
        <v>61610.640000000007</v>
      </c>
      <c r="D34" s="59">
        <f>(8*'MATERIALES (2)'!$C$126)+(8*'MATERIALES (2)'!$C$163)+((8*4)*'MATERIALES (2)'!$C$134)+(((B34*2)+(A34*2))*'MATERIALES (2)'!$C$138)+(4*'MATERIALES (2)'!$C$137)+(((A34*5)*2)*'MATERIALES (2)'!$C$136)+(4*'MATERIALES (2)'!$C$135)+(1*'MATERIALES (2)'!$C$140)+(2*'MATERIALES (2)'!$C$139)+(4*'MATERIALES (2)'!$C$150)</f>
        <v>9770</v>
      </c>
      <c r="E34" s="75"/>
      <c r="F34" s="55">
        <f>((A34*'MATERIALES (2)'!$C$22)*(B34/0.06))*'MATERIALES (2)'!$F$1</f>
        <v>73003.14</v>
      </c>
      <c r="G34" s="38">
        <f t="shared" si="0"/>
        <v>144383.78000000003</v>
      </c>
      <c r="H34" s="49">
        <f t="shared" si="1"/>
        <v>260025.62235457508</v>
      </c>
      <c r="I34" s="57"/>
      <c r="M34" s="68">
        <v>1.8</v>
      </c>
      <c r="N34" s="69">
        <v>0.8</v>
      </c>
      <c r="O34" s="59">
        <f>((((M34*2)+(N34*2))*'MATERIALES (2)'!$C$13)+((M34*2)*'MATERIALES (2)'!$C$6)+((N34*6)*'MATERIALES (2)'!$C$15)+((N34*2)*'MATERIALES (2)'!$C$25))*'MATERIALES (2)'!$F$1</f>
        <v>71134.77</v>
      </c>
      <c r="P34" s="59">
        <f>(12*'MATERIALES (2)'!$C$126)+(12*'MATERIALES (2)'!$C$163)+((8*4)*'MATERIALES (2)'!$C$134)+(((N34*2)+(M34*2))*'MATERIALES (2)'!$C$138)+(4*'MATERIALES (2)'!$C$137)+(((M34*5)*2)*'MATERIALES (2)'!$C$136)+(4*'MATERIALES (2)'!$C$135)+(1*'MATERIALES (2)'!$C$140)+(4*'MATERIALES (2)'!$C$139)+(6*'MATERIALES (2)'!$C$150)</f>
        <v>14074</v>
      </c>
      <c r="Q34" s="75"/>
      <c r="R34" s="55">
        <f>((M34*'MATERIALES (2)'!$C$22)*(N34/0.06))*'MATERIALES (2)'!$F$1</f>
        <v>73003.14</v>
      </c>
      <c r="S34" s="59">
        <f t="shared" si="2"/>
        <v>158211.91</v>
      </c>
      <c r="T34" s="67">
        <f t="shared" si="3"/>
        <v>284929.16837096255</v>
      </c>
    </row>
    <row r="35" spans="1:20" ht="15.75" hidden="1" thickBot="1">
      <c r="A35" s="42">
        <v>1.8</v>
      </c>
      <c r="B35" s="37">
        <v>1</v>
      </c>
      <c r="C35" s="38">
        <f>((((A35*2)+(B35*2))*'MATERIALES (2)'!$C$13)+((A35*2)*'MATERIALES (2)'!$C$6)+((B35*4)*'MATERIALES (2)'!$C$15)+(B35*'MATERIALES (2)'!$C$25))*'MATERIALES (2)'!$F$1</f>
        <v>68010.946500000005</v>
      </c>
      <c r="D35" s="59">
        <f>(8*'MATERIALES (2)'!$C$126)+(8*'MATERIALES (2)'!$C$163)+((8*4)*'MATERIALES (2)'!$C$134)+(((B35*2)+(A35*2))*'MATERIALES (2)'!$C$138)+(4*'MATERIALES (2)'!$C$137)+(((A35*5)*2)*'MATERIALES (2)'!$C$136)+(4*'MATERIALES (2)'!$C$135)+(1*'MATERIALES (2)'!$C$140)+(2*'MATERIALES (2)'!$C$139)+(4*'MATERIALES (2)'!$C$150)</f>
        <v>9794</v>
      </c>
      <c r="E35" s="75"/>
      <c r="F35" s="55">
        <f>((A35*'MATERIALES (2)'!$C$22)*(B35/0.06))*'MATERIALES (2)'!$F$1</f>
        <v>91253.925000000017</v>
      </c>
      <c r="G35" s="38">
        <f t="shared" si="0"/>
        <v>169058.87150000001</v>
      </c>
      <c r="H35" s="49">
        <f t="shared" si="1"/>
        <v>304463.82742126315</v>
      </c>
      <c r="I35" s="57"/>
      <c r="M35" s="68">
        <v>1.8</v>
      </c>
      <c r="N35" s="69">
        <v>1</v>
      </c>
      <c r="O35" s="59">
        <f>((((M35*2)+(N35*2))*'MATERIALES (2)'!$C$13)+((M35*2)*'MATERIALES (2)'!$C$6)+((N35*6)*'MATERIALES (2)'!$C$15)+((N35*2)*'MATERIALES (2)'!$C$25))*'MATERIALES (2)'!$F$1</f>
        <v>79916.108999999997</v>
      </c>
      <c r="P35" s="59">
        <f>(12*'MATERIALES (2)'!$C$126)+(12*'MATERIALES (2)'!$C$163)+((8*4)*'MATERIALES (2)'!$C$134)+(((N35*2)+(M35*2))*'MATERIALES (2)'!$C$138)+(4*'MATERIALES (2)'!$C$137)+(((M35*5)*2)*'MATERIALES (2)'!$C$136)+(4*'MATERIALES (2)'!$C$135)+(1*'MATERIALES (2)'!$C$140)+(4*'MATERIALES (2)'!$C$139)+(6*'MATERIALES (2)'!$C$150)</f>
        <v>14098</v>
      </c>
      <c r="Q35" s="75"/>
      <c r="R35" s="55">
        <f>((M35*'MATERIALES (2)'!$C$22)*(N35/0.06))*'MATERIALES (2)'!$F$1</f>
        <v>91253.925000000017</v>
      </c>
      <c r="S35" s="59">
        <f t="shared" si="2"/>
        <v>185268.03400000001</v>
      </c>
      <c r="T35" s="67">
        <f t="shared" si="3"/>
        <v>333655.45522674761</v>
      </c>
    </row>
    <row r="36" spans="1:20" ht="15.75" hidden="1" thickBot="1">
      <c r="A36" s="42">
        <v>1.8</v>
      </c>
      <c r="B36" s="37">
        <v>1.1000000000000001</v>
      </c>
      <c r="C36" s="38">
        <f>((((A36*2)+(B36*2))*'MATERIALES (2)'!$C$13)+((A36*2)*'MATERIALES (2)'!$C$6)+((B36*4)*'MATERIALES (2)'!$C$15)+(B36*'MATERIALES (2)'!$C$25))*'MATERIALES (2)'!$F$1</f>
        <v>71211.099750000008</v>
      </c>
      <c r="D36" s="59">
        <f>(8*'MATERIALES (2)'!$C$126)+(8*'MATERIALES (2)'!$C$163)+((8*4)*'MATERIALES (2)'!$C$134)+(((B36*2)+(A36*2))*'MATERIALES (2)'!$C$138)+(4*'MATERIALES (2)'!$C$137)+(((A36*5)*2)*'MATERIALES (2)'!$C$136)+(4*'MATERIALES (2)'!$C$135)+(1*'MATERIALES (2)'!$C$140)+(2*'MATERIALES (2)'!$C$139)+(4*'MATERIALES (2)'!$C$150)</f>
        <v>9806</v>
      </c>
      <c r="E36" s="75"/>
      <c r="F36" s="55">
        <f>((A36*'MATERIALES (2)'!$C$22)*(B36/0.06))*'MATERIALES (2)'!$F$1</f>
        <v>100379.31750000002</v>
      </c>
      <c r="G36" s="38">
        <f t="shared" si="0"/>
        <v>181396.41725000003</v>
      </c>
      <c r="H36" s="49">
        <f t="shared" si="1"/>
        <v>326682.92995460733</v>
      </c>
      <c r="I36" s="57"/>
      <c r="M36" s="68">
        <v>1.8</v>
      </c>
      <c r="N36" s="69">
        <v>1.1000000000000001</v>
      </c>
      <c r="O36" s="59">
        <f>((((M36*2)+(N36*2))*'MATERIALES (2)'!$C$13)+((M36*2)*'MATERIALES (2)'!$C$6)+((N36*6)*'MATERIALES (2)'!$C$15)+((N36*2)*'MATERIALES (2)'!$C$25))*'MATERIALES (2)'!$F$1</f>
        <v>84306.7785</v>
      </c>
      <c r="P36" s="59">
        <f>(12*'MATERIALES (2)'!$C$126)+(12*'MATERIALES (2)'!$C$163)+((8*4)*'MATERIALES (2)'!$C$134)+(((N36*2)+(M36*2))*'MATERIALES (2)'!$C$138)+(4*'MATERIALES (2)'!$C$137)+(((M36*5)*2)*'MATERIALES (2)'!$C$136)+(4*'MATERIALES (2)'!$C$135)+(1*'MATERIALES (2)'!$C$140)+(4*'MATERIALES (2)'!$C$139)+(6*'MATERIALES (2)'!$C$150)</f>
        <v>14110</v>
      </c>
      <c r="Q36" s="75"/>
      <c r="R36" s="55">
        <f>((M36*'MATERIALES (2)'!$C$22)*(N36/0.06))*'MATERIALES (2)'!$F$1</f>
        <v>100379.31750000002</v>
      </c>
      <c r="S36" s="59">
        <f t="shared" si="2"/>
        <v>198796.09600000002</v>
      </c>
      <c r="T36" s="67">
        <f t="shared" si="3"/>
        <v>358018.59865464002</v>
      </c>
    </row>
    <row r="37" spans="1:20" ht="15.75" hidden="1" thickBot="1">
      <c r="A37" s="42">
        <v>1.8</v>
      </c>
      <c r="B37" s="37">
        <v>1.2</v>
      </c>
      <c r="C37" s="38">
        <f>((((A37*2)+(B37*2))*'MATERIALES (2)'!$C$13)+((A37*2)*'MATERIALES (2)'!$C$6)+((B37*4)*'MATERIALES (2)'!$C$15)+(B37*'MATERIALES (2)'!$C$25))*'MATERIALES (2)'!$F$1</f>
        <v>74411.252999999997</v>
      </c>
      <c r="D37" s="59">
        <f>(8*'MATERIALES (2)'!$C$126)+(8*'MATERIALES (2)'!$C$163)+((8*4)*'MATERIALES (2)'!$C$134)+(((B37*2)+(A37*2))*'MATERIALES (2)'!$C$138)+(4*'MATERIALES (2)'!$C$137)+(((A37*5)*2)*'MATERIALES (2)'!$C$136)+(4*'MATERIALES (2)'!$C$135)+(1*'MATERIALES (2)'!$C$140)+(2*'MATERIALES (2)'!$C$139)+(4*'MATERIALES (2)'!$C$150)</f>
        <v>9818</v>
      </c>
      <c r="E37" s="75"/>
      <c r="F37" s="55">
        <f>((A37*'MATERIALES (2)'!$C$22)*(B37/0.06))*'MATERIALES (2)'!$F$1</f>
        <v>109504.71</v>
      </c>
      <c r="G37" s="38">
        <f t="shared" si="0"/>
        <v>193733.96299999999</v>
      </c>
      <c r="H37" s="49">
        <f t="shared" si="1"/>
        <v>348902.03248795122</v>
      </c>
      <c r="I37" s="57"/>
      <c r="M37" s="68">
        <v>1.8</v>
      </c>
      <c r="N37" s="69">
        <v>1.2</v>
      </c>
      <c r="O37" s="59">
        <f>((((M37*2)+(N37*2))*'MATERIALES (2)'!$C$13)+((M37*2)*'MATERIALES (2)'!$C$6)+((N37*6)*'MATERIALES (2)'!$C$15)+((N37*2)*'MATERIALES (2)'!$C$25))*'MATERIALES (2)'!$F$1</f>
        <v>88697.447999999989</v>
      </c>
      <c r="P37" s="59">
        <f>(12*'MATERIALES (2)'!$C$126)+(12*'MATERIALES (2)'!$C$163)+((8*4)*'MATERIALES (2)'!$C$134)+(((N37*2)+(M37*2))*'MATERIALES (2)'!$C$138)+(4*'MATERIALES (2)'!$C$137)+(((M37*5)*2)*'MATERIALES (2)'!$C$136)+(4*'MATERIALES (2)'!$C$135)+(1*'MATERIALES (2)'!$C$140)+(4*'MATERIALES (2)'!$C$139)+(6*'MATERIALES (2)'!$C$150)</f>
        <v>14122</v>
      </c>
      <c r="Q37" s="75"/>
      <c r="R37" s="55">
        <f>((M37*'MATERIALES (2)'!$C$22)*(N37/0.06))*'MATERIALES (2)'!$F$1</f>
        <v>109504.71</v>
      </c>
      <c r="S37" s="59">
        <f t="shared" si="2"/>
        <v>212324.158</v>
      </c>
      <c r="T37" s="67">
        <f t="shared" si="3"/>
        <v>382381.74208253255</v>
      </c>
    </row>
    <row r="38" spans="1:20" ht="15.75" hidden="1" thickBot="1">
      <c r="A38" s="42">
        <v>1.8</v>
      </c>
      <c r="B38" s="37">
        <v>1.5</v>
      </c>
      <c r="C38" s="38">
        <f>((((A38*2)+(B38*2))*'MATERIALES (2)'!$C$13)+((A38*2)*'MATERIALES (2)'!$C$6)+((B38*4)*'MATERIALES (2)'!$C$15)+(B38*'MATERIALES (2)'!$C$25))*'MATERIALES (2)'!$F$1</f>
        <v>84011.712749999992</v>
      </c>
      <c r="D38" s="59">
        <f>(8*'MATERIALES (2)'!$C$126)+(8*'MATERIALES (2)'!$C$163)+((8*4)*'MATERIALES (2)'!$C$134)+(((B38*2)+(A38*2))*'MATERIALES (2)'!$C$138)+(4*'MATERIALES (2)'!$C$137)+(((A38*5)*2)*'MATERIALES (2)'!$C$136)+(4*'MATERIALES (2)'!$C$135)+(1*'MATERIALES (2)'!$C$140)+(2*'MATERIALES (2)'!$C$139)+(4*'MATERIALES (2)'!$C$150)</f>
        <v>9854</v>
      </c>
      <c r="E38" s="75"/>
      <c r="F38" s="55">
        <f>((A38*'MATERIALES (2)'!$C$22)*(B38/0.06))*'MATERIALES (2)'!$F$1</f>
        <v>136880.88750000001</v>
      </c>
      <c r="G38" s="38">
        <f t="shared" si="0"/>
        <v>230746.60025000002</v>
      </c>
      <c r="H38" s="49">
        <f t="shared" si="1"/>
        <v>415559.34008798352</v>
      </c>
      <c r="I38" s="57"/>
      <c r="M38" s="68">
        <v>1.8</v>
      </c>
      <c r="N38" s="69">
        <v>1.5</v>
      </c>
      <c r="O38" s="59">
        <f>((((M38*2)+(N38*2))*'MATERIALES (2)'!$C$13)+((M38*2)*'MATERIALES (2)'!$C$6)+((N38*6)*'MATERIALES (2)'!$C$15)+((N38*2)*'MATERIALES (2)'!$C$25))*'MATERIALES (2)'!$F$1</f>
        <v>101869.4565</v>
      </c>
      <c r="P38" s="59">
        <f>(12*'MATERIALES (2)'!$C$126)+(12*'MATERIALES (2)'!$C$163)+((8*4)*'MATERIALES (2)'!$C$134)+(((N38*2)+(M38*2))*'MATERIALES (2)'!$C$138)+(4*'MATERIALES (2)'!$C$137)+(((M38*5)*2)*'MATERIALES (2)'!$C$136)+(4*'MATERIALES (2)'!$C$135)+(1*'MATERIALES (2)'!$C$140)+(4*'MATERIALES (2)'!$C$139)+(6*'MATERIALES (2)'!$C$150)</f>
        <v>14158</v>
      </c>
      <c r="Q38" s="75"/>
      <c r="R38" s="55">
        <f>((M38*'MATERIALES (2)'!$C$22)*(N38/0.06))*'MATERIALES (2)'!$F$1</f>
        <v>136880.88750000001</v>
      </c>
      <c r="S38" s="59">
        <f t="shared" si="2"/>
        <v>252908.34400000001</v>
      </c>
      <c r="T38" s="67">
        <f t="shared" si="3"/>
        <v>455471.17236621008</v>
      </c>
    </row>
    <row r="39" spans="1:20" ht="15.75" hidden="1" thickBot="1">
      <c r="A39" s="42">
        <v>1.8</v>
      </c>
      <c r="B39" s="37">
        <v>1.8</v>
      </c>
      <c r="C39" s="38">
        <f>((((A39*2)+(B39*2))*'MATERIALES (2)'!$C$13)+((A39*2)*'MATERIALES (2)'!$C$6)+((B39*4)*'MATERIALES (2)'!$C$15)+(B39*'MATERIALES (2)'!$C$25))*'MATERIALES (2)'!$F$1</f>
        <v>93612.172500000001</v>
      </c>
      <c r="D39" s="59">
        <f>(8*'MATERIALES (2)'!$C$126)+(8*'MATERIALES (2)'!$C$163)+((8*4)*'MATERIALES (2)'!$C$134)+(((B39*2)+(A39*2))*'MATERIALES (2)'!$C$138)+(4*'MATERIALES (2)'!$C$137)+(((A39*5)*2)*'MATERIALES (2)'!$C$136)+(4*'MATERIALES (2)'!$C$135)+(1*'MATERIALES (2)'!$C$140)+(2*'MATERIALES (2)'!$C$139)+(4*'MATERIALES (2)'!$C$150)</f>
        <v>9890</v>
      </c>
      <c r="E39" s="75"/>
      <c r="F39" s="55">
        <f>((A39*'MATERIALES (2)'!$C$22)*(B39/0.06))*'MATERIALES (2)'!$F$1</f>
        <v>164257.06500000003</v>
      </c>
      <c r="G39" s="38">
        <f t="shared" si="0"/>
        <v>267759.23750000005</v>
      </c>
      <c r="H39" s="49">
        <f t="shared" si="1"/>
        <v>482216.64768801577</v>
      </c>
      <c r="I39" s="57"/>
      <c r="M39" s="68">
        <v>1.8</v>
      </c>
      <c r="N39" s="69">
        <v>1.8</v>
      </c>
      <c r="O39" s="59">
        <f>((((M39*2)+(N39*2))*'MATERIALES (2)'!$C$13)+((M39*2)*'MATERIALES (2)'!$C$6)+((N39*6)*'MATERIALES (2)'!$C$15)+((N39*2)*'MATERIALES (2)'!$C$25))*'MATERIALES (2)'!$F$1</f>
        <v>115041.46500000001</v>
      </c>
      <c r="P39" s="59">
        <f>(12*'MATERIALES (2)'!$C$126)+(12*'MATERIALES (2)'!$C$163)+((8*4)*'MATERIALES (2)'!$C$134)+(((N39*2)+(M39*2))*'MATERIALES (2)'!$C$138)+(4*'MATERIALES (2)'!$C$137)+(((M39*5)*2)*'MATERIALES (2)'!$C$136)+(4*'MATERIALES (2)'!$C$135)+(1*'MATERIALES (2)'!$C$140)+(4*'MATERIALES (2)'!$C$139)+(6*'MATERIALES (2)'!$C$150)</f>
        <v>14194</v>
      </c>
      <c r="Q39" s="75"/>
      <c r="R39" s="55">
        <f>((M39*'MATERIALES (2)'!$C$22)*(N39/0.06))*'MATERIALES (2)'!$F$1</f>
        <v>164257.06500000003</v>
      </c>
      <c r="S39" s="59">
        <f t="shared" si="2"/>
        <v>293492.53000000003</v>
      </c>
      <c r="T39" s="67">
        <f t="shared" si="3"/>
        <v>528560.60264988756</v>
      </c>
    </row>
    <row r="40" spans="1:20" ht="15.75" hidden="1" thickBot="1">
      <c r="A40" s="42">
        <v>2</v>
      </c>
      <c r="B40" s="37">
        <v>0.8</v>
      </c>
      <c r="C40" s="38">
        <f>((((A40*2)+(B40*2))*'MATERIALES (2)'!$C$13)+((A40*2)*'MATERIALES (2)'!$C$6)+((B40*4)*'MATERIALES (2)'!$C$15)+(B40*'MATERIALES (2)'!$C$25))*'MATERIALES (2)'!$F$1</f>
        <v>65611.686000000002</v>
      </c>
      <c r="D40" s="59">
        <f>(8*'MATERIALES (2)'!$C$126)+(8*'MATERIALES (2)'!$C$163)+((8*4)*'MATERIALES (2)'!$C$134)+(((B40*2)+(A40*2))*'MATERIALES (2)'!$C$138)+(4*'MATERIALES (2)'!$C$137)+(((A40*5)*2)*'MATERIALES (2)'!$C$136)+(4*'MATERIALES (2)'!$C$135)+(1*'MATERIALES (2)'!$C$140)+(2*'MATERIALES (2)'!$C$139)+(4*'MATERIALES (2)'!$C$150)</f>
        <v>9794</v>
      </c>
      <c r="E40" s="75"/>
      <c r="F40" s="55">
        <f>((A40*'MATERIALES (2)'!$C$22)*(B40/0.06))*'MATERIALES (2)'!$F$1</f>
        <v>81114.600000000006</v>
      </c>
      <c r="G40" s="38">
        <f t="shared" si="0"/>
        <v>156520.28600000002</v>
      </c>
      <c r="H40" s="49">
        <f t="shared" si="1"/>
        <v>281882.66561705252</v>
      </c>
      <c r="I40" s="57"/>
      <c r="M40" s="68">
        <v>2</v>
      </c>
      <c r="N40" s="69">
        <v>0.8</v>
      </c>
      <c r="O40" s="59">
        <f>((((M40*2)+(N40*2))*'MATERIALES (2)'!$C$13)+((M40*2)*'MATERIALES (2)'!$C$6)+((N40*6)*'MATERIALES (2)'!$C$15)+((N40*2)*'MATERIALES (2)'!$C$25))*'MATERIALES (2)'!$F$1</f>
        <v>75135.816000000006</v>
      </c>
      <c r="P40" s="59">
        <f>(12*'MATERIALES (2)'!$C$126)+(12*'MATERIALES (2)'!$C$163)+((8*4)*'MATERIALES (2)'!$C$134)+(((N40*2)+(M40*2))*'MATERIALES (2)'!$C$138)+(4*'MATERIALES (2)'!$C$137)+(((M40*5)*2)*'MATERIALES (2)'!$C$136)+(4*'MATERIALES (2)'!$C$135)+(1*'MATERIALES (2)'!$C$140)+(4*'MATERIALES (2)'!$C$139)+(6*'MATERIALES (2)'!$C$150)</f>
        <v>14098</v>
      </c>
      <c r="Q40" s="75"/>
      <c r="R40" s="55">
        <f>((M40*'MATERIALES (2)'!$C$22)*(N40/0.06))*'MATERIALES (2)'!$F$1</f>
        <v>81114.600000000006</v>
      </c>
      <c r="S40" s="59">
        <f t="shared" si="2"/>
        <v>170348.41600000003</v>
      </c>
      <c r="T40" s="67">
        <f t="shared" si="3"/>
        <v>306786.21163344005</v>
      </c>
    </row>
    <row r="41" spans="1:20" ht="15.75" hidden="1" thickBot="1">
      <c r="A41" s="42">
        <v>2</v>
      </c>
      <c r="B41" s="37">
        <v>1</v>
      </c>
      <c r="C41" s="38">
        <f>((((A41*2)+(B41*2))*'MATERIALES (2)'!$C$13)+((A41*2)*'MATERIALES (2)'!$C$6)+((B41*4)*'MATERIALES (2)'!$C$15)+(B41*'MATERIALES (2)'!$C$25))*'MATERIALES (2)'!$F$1</f>
        <v>72011.992499999993</v>
      </c>
      <c r="D41" s="59">
        <f>(8*'MATERIALES (2)'!$C$126)+(8*'MATERIALES (2)'!$C$163)+((8*4)*'MATERIALES (2)'!$C$134)+(((B41*2)+(A41*2))*'MATERIALES (2)'!$C$138)+(4*'MATERIALES (2)'!$C$137)+(((A41*5)*2)*'MATERIALES (2)'!$C$136)+(4*'MATERIALES (2)'!$C$135)+(1*'MATERIALES (2)'!$C$140)+(2*'MATERIALES (2)'!$C$139)+(4*'MATERIALES (2)'!$C$150)</f>
        <v>9818</v>
      </c>
      <c r="E41" s="75"/>
      <c r="F41" s="55">
        <f>((A41*'MATERIALES (2)'!$C$22)*(B41/0.06))*'MATERIALES (2)'!$F$1</f>
        <v>101393.25</v>
      </c>
      <c r="G41" s="38">
        <f t="shared" si="0"/>
        <v>183223.24249999999</v>
      </c>
      <c r="H41" s="49">
        <f t="shared" si="1"/>
        <v>329972.9212026844</v>
      </c>
      <c r="I41" s="57"/>
      <c r="M41" s="68">
        <v>2</v>
      </c>
      <c r="N41" s="69">
        <v>1</v>
      </c>
      <c r="O41" s="59">
        <f>((((M41*2)+(N41*2))*'MATERIALES (2)'!$C$13)+((M41*2)*'MATERIALES (2)'!$C$6)+((N41*6)*'MATERIALES (2)'!$C$15)+((N41*2)*'MATERIALES (2)'!$C$25))*'MATERIALES (2)'!$F$1</f>
        <v>83917.154999999999</v>
      </c>
      <c r="P41" s="59">
        <f>(12*'MATERIALES (2)'!$C$126)+(12*'MATERIALES (2)'!$C$163)+((8*4)*'MATERIALES (2)'!$C$134)+(((N41*2)+(M41*2))*'MATERIALES (2)'!$C$138)+(4*'MATERIALES (2)'!$C$137)+(((M41*5)*2)*'MATERIALES (2)'!$C$136)+(4*'MATERIALES (2)'!$C$135)+(1*'MATERIALES (2)'!$C$140)+(4*'MATERIALES (2)'!$C$139)+(6*'MATERIALES (2)'!$C$150)</f>
        <v>14122</v>
      </c>
      <c r="Q41" s="75"/>
      <c r="R41" s="55">
        <f>((M41*'MATERIALES (2)'!$C$22)*(N41/0.06))*'MATERIALES (2)'!$F$1</f>
        <v>101393.25</v>
      </c>
      <c r="S41" s="59">
        <f t="shared" si="2"/>
        <v>199432.405</v>
      </c>
      <c r="T41" s="67">
        <f t="shared" si="3"/>
        <v>359164.5490081688</v>
      </c>
    </row>
    <row r="42" spans="1:20" ht="15.75" hidden="1" thickBot="1">
      <c r="A42" s="42">
        <v>2</v>
      </c>
      <c r="B42" s="37">
        <v>1.1000000000000001</v>
      </c>
      <c r="C42" s="38">
        <f>((((A42*2)+(B42*2))*'MATERIALES (2)'!$C$13)+((A42*2)*'MATERIALES (2)'!$C$6)+((B42*4)*'MATERIALES (2)'!$C$15)+(B42*'MATERIALES (2)'!$C$25))*'MATERIALES (2)'!$F$1</f>
        <v>75212.145749999996</v>
      </c>
      <c r="D42" s="59">
        <f>(8*'MATERIALES (2)'!$C$126)+(8*'MATERIALES (2)'!$C$163)+((8*4)*'MATERIALES (2)'!$C$134)+(((B42*2)+(A42*2))*'MATERIALES (2)'!$C$138)+(4*'MATERIALES (2)'!$C$137)+(((A42*5)*2)*'MATERIALES (2)'!$C$136)+(4*'MATERIALES (2)'!$C$135)+(1*'MATERIALES (2)'!$C$140)+(2*'MATERIALES (2)'!$C$139)+(4*'MATERIALES (2)'!$C$150)</f>
        <v>9830</v>
      </c>
      <c r="E42" s="75"/>
      <c r="F42" s="55">
        <f>((A42*'MATERIALES (2)'!$C$22)*(B42/0.06))*'MATERIALES (2)'!$F$1</f>
        <v>111532.57500000003</v>
      </c>
      <c r="G42" s="38">
        <f t="shared" si="0"/>
        <v>196574.72075000004</v>
      </c>
      <c r="H42" s="49">
        <f t="shared" si="1"/>
        <v>354018.04899550043</v>
      </c>
      <c r="I42" s="57"/>
      <c r="M42" s="68">
        <v>2</v>
      </c>
      <c r="N42" s="69">
        <v>1.1000000000000001</v>
      </c>
      <c r="O42" s="59">
        <f>((((M42*2)+(N42*2))*'MATERIALES (2)'!$C$13)+((M42*2)*'MATERIALES (2)'!$C$6)+((N42*6)*'MATERIALES (2)'!$C$15)+((N42*2)*'MATERIALES (2)'!$C$25))*'MATERIALES (2)'!$F$1</f>
        <v>88307.824500000002</v>
      </c>
      <c r="P42" s="59">
        <f>(12*'MATERIALES (2)'!$C$126)+(12*'MATERIALES (2)'!$C$163)+((8*4)*'MATERIALES (2)'!$C$134)+(((N42*2)+(M42*2))*'MATERIALES (2)'!$C$138)+(4*'MATERIALES (2)'!$C$137)+(((M42*5)*2)*'MATERIALES (2)'!$C$136)+(4*'MATERIALES (2)'!$C$135)+(1*'MATERIALES (2)'!$C$140)+(4*'MATERIALES (2)'!$C$139)+(6*'MATERIALES (2)'!$C$150)</f>
        <v>14134</v>
      </c>
      <c r="Q42" s="75"/>
      <c r="R42" s="55">
        <f>((M42*'MATERIALES (2)'!$C$22)*(N42/0.06))*'MATERIALES (2)'!$F$1</f>
        <v>111532.57500000003</v>
      </c>
      <c r="S42" s="59">
        <f t="shared" si="2"/>
        <v>213974.39950000003</v>
      </c>
      <c r="T42" s="67">
        <f t="shared" si="3"/>
        <v>385353.71769553324</v>
      </c>
    </row>
    <row r="43" spans="1:20" ht="15.75" hidden="1" thickBot="1">
      <c r="A43" s="42">
        <v>2</v>
      </c>
      <c r="B43" s="37">
        <v>1.2</v>
      </c>
      <c r="C43" s="38">
        <f>((((A43*2)+(B43*2))*'MATERIALES (2)'!$C$13)+((A43*2)*'MATERIALES (2)'!$C$6)+((B43*4)*'MATERIALES (2)'!$C$15)+(B43*'MATERIALES (2)'!$C$25))*'MATERIALES (2)'!$F$1</f>
        <v>78412.298999999999</v>
      </c>
      <c r="D43" s="59">
        <f>(8*'MATERIALES (2)'!$C$126)+(8*'MATERIALES (2)'!$C$163)+((8*4)*'MATERIALES (2)'!$C$134)+(((B43*2)+(A43*2))*'MATERIALES (2)'!$C$138)+(4*'MATERIALES (2)'!$C$137)+(((A43*5)*2)*'MATERIALES (2)'!$C$136)+(4*'MATERIALES (2)'!$C$135)+(1*'MATERIALES (2)'!$C$140)+(2*'MATERIALES (2)'!$C$139)+(4*'MATERIALES (2)'!$C$150)</f>
        <v>9842</v>
      </c>
      <c r="E43" s="75"/>
      <c r="F43" s="55">
        <f>((A43*'MATERIALES (2)'!$C$22)*(B43/0.06))*'MATERIALES (2)'!$F$1</f>
        <v>121671.9</v>
      </c>
      <c r="G43" s="38">
        <f t="shared" si="0"/>
        <v>209926.19899999999</v>
      </c>
      <c r="H43" s="49">
        <f t="shared" si="1"/>
        <v>378063.17678831634</v>
      </c>
      <c r="I43" s="57"/>
      <c r="M43" s="68">
        <v>2</v>
      </c>
      <c r="N43" s="69">
        <v>1.2</v>
      </c>
      <c r="O43" s="59">
        <f>((((M43*2)+(N43*2))*'MATERIALES (2)'!$C$13)+((M43*2)*'MATERIALES (2)'!$C$6)+((N43*6)*'MATERIALES (2)'!$C$15)+((N43*2)*'MATERIALES (2)'!$C$25))*'MATERIALES (2)'!$F$1</f>
        <v>92698.493999999992</v>
      </c>
      <c r="P43" s="59">
        <f>(12*'MATERIALES (2)'!$C$126)+(12*'MATERIALES (2)'!$C$163)+((8*4)*'MATERIALES (2)'!$C$134)+(((N43*2)+(M43*2))*'MATERIALES (2)'!$C$138)+(4*'MATERIALES (2)'!$C$137)+(((M43*5)*2)*'MATERIALES (2)'!$C$136)+(4*'MATERIALES (2)'!$C$135)+(1*'MATERIALES (2)'!$C$140)+(4*'MATERIALES (2)'!$C$139)+(6*'MATERIALES (2)'!$C$150)</f>
        <v>14146</v>
      </c>
      <c r="Q43" s="75"/>
      <c r="R43" s="55">
        <f>((M43*'MATERIALES (2)'!$C$22)*(N43/0.06))*'MATERIALES (2)'!$F$1</f>
        <v>121671.9</v>
      </c>
      <c r="S43" s="59">
        <f t="shared" si="2"/>
        <v>228516.39399999997</v>
      </c>
      <c r="T43" s="67">
        <f t="shared" si="3"/>
        <v>411542.88638289744</v>
      </c>
    </row>
    <row r="44" spans="1:20" ht="15.75" hidden="1" thickBot="1">
      <c r="A44" s="42">
        <v>2</v>
      </c>
      <c r="B44" s="37">
        <v>1.5</v>
      </c>
      <c r="C44" s="38">
        <f>((((A44*2)+(B44*2))*'MATERIALES (2)'!$C$13)+((A44*2)*'MATERIALES (2)'!$C$6)+((B44*4)*'MATERIALES (2)'!$C$15)+(B44*'MATERIALES (2)'!$C$25))*'MATERIALES (2)'!$F$1</f>
        <v>88012.758750000008</v>
      </c>
      <c r="D44" s="59">
        <f>(8*'MATERIALES (2)'!$C$126)+(8*'MATERIALES (2)'!$C$163)+((8*4)*'MATERIALES (2)'!$C$134)+(((B44*2)+(A44*2))*'MATERIALES (2)'!$C$138)+(4*'MATERIALES (2)'!$C$137)+(((A44*5)*2)*'MATERIALES (2)'!$C$136)+(4*'MATERIALES (2)'!$C$135)+(1*'MATERIALES (2)'!$C$140)+(2*'MATERIALES (2)'!$C$139)+(4*'MATERIALES (2)'!$C$150)</f>
        <v>9878</v>
      </c>
      <c r="E44" s="75"/>
      <c r="F44" s="55">
        <f>((A44*'MATERIALES (2)'!$C$22)*(B44/0.06))*'MATERIALES (2)'!$F$1</f>
        <v>152089.87500000003</v>
      </c>
      <c r="G44" s="38">
        <f t="shared" si="0"/>
        <v>249980.63375000004</v>
      </c>
      <c r="H44" s="49">
        <f t="shared" si="1"/>
        <v>450198.56016676419</v>
      </c>
      <c r="I44" s="57"/>
      <c r="M44" s="68">
        <v>2</v>
      </c>
      <c r="N44" s="69">
        <v>1.5</v>
      </c>
      <c r="O44" s="59">
        <f>((((M44*2)+(N44*2))*'MATERIALES (2)'!$C$13)+((M44*2)*'MATERIALES (2)'!$C$6)+((N44*6)*'MATERIALES (2)'!$C$15)+((N44*2)*'MATERIALES (2)'!$C$25))*'MATERIALES (2)'!$F$1</f>
        <v>105870.50250000002</v>
      </c>
      <c r="P44" s="59">
        <f>(12*'MATERIALES (2)'!$C$126)+(12*'MATERIALES (2)'!$C$163)+((8*4)*'MATERIALES (2)'!$C$134)+(((N44*2)+(M44*2))*'MATERIALES (2)'!$C$138)+(4*'MATERIALES (2)'!$C$137)+(((M44*5)*2)*'MATERIALES (2)'!$C$136)+(4*'MATERIALES (2)'!$C$135)+(1*'MATERIALES (2)'!$C$140)+(4*'MATERIALES (2)'!$C$139)+(6*'MATERIALES (2)'!$C$150)</f>
        <v>14182</v>
      </c>
      <c r="Q44" s="75"/>
      <c r="R44" s="55">
        <f>((M44*'MATERIALES (2)'!$C$22)*(N44/0.06))*'MATERIALES (2)'!$F$1</f>
        <v>152089.87500000003</v>
      </c>
      <c r="S44" s="59">
        <f t="shared" si="2"/>
        <v>272142.37750000006</v>
      </c>
      <c r="T44" s="67">
        <f t="shared" si="3"/>
        <v>490110.39244499081</v>
      </c>
    </row>
    <row r="45" spans="1:20" ht="15.75" hidden="1" thickBot="1">
      <c r="A45" s="42">
        <v>2</v>
      </c>
      <c r="B45" s="37">
        <v>1.8</v>
      </c>
      <c r="C45" s="38">
        <f>((((A45*2)+(B45*2))*'MATERIALES (2)'!$C$13)+((A45*2)*'MATERIALES (2)'!$C$6)+((B45*4)*'MATERIALES (2)'!$C$15)+(B45*'MATERIALES (2)'!$C$25))*'MATERIALES (2)'!$F$1</f>
        <v>97613.218500000017</v>
      </c>
      <c r="D45" s="59">
        <f>(8*'MATERIALES (2)'!$C$126)+(8*'MATERIALES (2)'!$C$163)+((8*4)*'MATERIALES (2)'!$C$134)+(((B45*2)+(A45*2))*'MATERIALES (2)'!$C$138)+(4*'MATERIALES (2)'!$C$137)+(((A45*5)*2)*'MATERIALES (2)'!$C$136)+(4*'MATERIALES (2)'!$C$135)+(1*'MATERIALES (2)'!$C$140)+(2*'MATERIALES (2)'!$C$139)+(4*'MATERIALES (2)'!$C$150)</f>
        <v>9914</v>
      </c>
      <c r="E45" s="75"/>
      <c r="F45" s="55">
        <f>((A45*'MATERIALES (2)'!$C$22)*(B45/0.06))*'MATERIALES (2)'!$F$1</f>
        <v>182507.85000000003</v>
      </c>
      <c r="G45" s="38">
        <f t="shared" si="0"/>
        <v>290035.06850000005</v>
      </c>
      <c r="H45" s="49">
        <f t="shared" si="1"/>
        <v>522333.94354521204</v>
      </c>
      <c r="I45" s="57"/>
      <c r="M45" s="68">
        <v>2</v>
      </c>
      <c r="N45" s="69">
        <v>1.8</v>
      </c>
      <c r="O45" s="59">
        <f>((((M45*2)+(N45*2))*'MATERIALES (2)'!$C$13)+((M45*2)*'MATERIALES (2)'!$C$6)+((N45*6)*'MATERIALES (2)'!$C$15)+((N45*2)*'MATERIALES (2)'!$C$25))*'MATERIALES (2)'!$F$1</f>
        <v>119042.51100000001</v>
      </c>
      <c r="P45" s="59">
        <f>(12*'MATERIALES (2)'!$C$126)+(12*'MATERIALES (2)'!$C$163)+((8*4)*'MATERIALES (2)'!$C$134)+(((N45*2)+(M45*2))*'MATERIALES (2)'!$C$138)+(4*'MATERIALES (2)'!$C$137)+(((M45*5)*2)*'MATERIALES (2)'!$C$136)+(4*'MATERIALES (2)'!$C$135)+(1*'MATERIALES (2)'!$C$140)+(4*'MATERIALES (2)'!$C$139)+(6*'MATERIALES (2)'!$C$150)</f>
        <v>14218</v>
      </c>
      <c r="Q45" s="75"/>
      <c r="R45" s="55">
        <f>((M45*'MATERIALES (2)'!$C$22)*(N45/0.06))*'MATERIALES (2)'!$F$1</f>
        <v>182507.85000000003</v>
      </c>
      <c r="S45" s="59">
        <f t="shared" si="2"/>
        <v>315768.36100000003</v>
      </c>
      <c r="T45" s="67">
        <f t="shared" si="3"/>
        <v>568677.89850708388</v>
      </c>
    </row>
    <row r="46" spans="1:20" ht="15.75" hidden="1" thickBot="1">
      <c r="A46" s="42"/>
      <c r="B46" s="37"/>
      <c r="C46" s="38">
        <f>((((A46*2)+(B46*2))*'MATERIALES (2)'!$C$13)+((A46*2)*'MATERIALES (2)'!$C$6)+((B46*4)*'MATERIALES (2)'!$C$15)+(B46*'MATERIALES (2)'!$C$25))*'MATERIALES (2)'!$F$1</f>
        <v>0</v>
      </c>
      <c r="D46" s="59">
        <f>(8*'MATERIALES (2)'!$C$126)+(8*'MATERIALES (2)'!$C$163)+((8*4)*'MATERIALES (2)'!$C$134)+(((B46*2)+(A46*2))*'MATERIALES (2)'!$C$138)+(4*'MATERIALES (2)'!$C$137)+(((A46*5)*2)*'MATERIALES (2)'!$C$136)+(4*'MATERIALES (2)'!$C$135)+(1*'MATERIALES (2)'!$C$140)+(2*'MATERIALES (2)'!$C$139)+(4*'MATERIALES (2)'!$C$150)</f>
        <v>9458</v>
      </c>
      <c r="E46" s="75"/>
      <c r="F46" s="55">
        <f>((A46*'MATERIALES (2)'!$C$22)*(B46/0.06))*'MATERIALES (2)'!$F$1</f>
        <v>0</v>
      </c>
      <c r="G46" s="38">
        <f t="shared" si="0"/>
        <v>9458</v>
      </c>
      <c r="H46" s="49">
        <f t="shared" si="1"/>
        <v>17033.231407499999</v>
      </c>
      <c r="I46" s="57"/>
      <c r="M46" s="68"/>
      <c r="N46" s="69"/>
      <c r="O46" s="59">
        <f>((((M46*2)+(N46*2))*'MATERIALES (2)'!$C$13)+((M46*2)*'MATERIALES (2)'!$C$6)+((N46*6)*'MATERIALES (2)'!$C$15)+((N46*2)*'MATERIALES (2)'!$C$25))*'MATERIALES (2)'!$F$1</f>
        <v>0</v>
      </c>
      <c r="P46" s="59">
        <f>(12*'MATERIALES (2)'!$C$126)+(12*'MATERIALES (2)'!$C$163)+((8*4)*'MATERIALES (2)'!$C$134)+(((N46*2)+(M46*2))*'MATERIALES (2)'!$C$138)+(4*'MATERIALES (2)'!$C$137)+(((M46*5)*2)*'MATERIALES (2)'!$C$136)+(4*'MATERIALES (2)'!$C$135)+(1*'MATERIALES (2)'!$C$140)+(4*'MATERIALES (2)'!$C$139)+(6*'MATERIALES (2)'!$C$150)</f>
        <v>13762</v>
      </c>
      <c r="Q46" s="75"/>
      <c r="R46" s="55">
        <f>((M46*'MATERIALES (2)'!$C$22)*(N46/0.06))*'MATERIALES (2)'!$F$1</f>
        <v>0</v>
      </c>
      <c r="S46" s="59">
        <f t="shared" si="2"/>
        <v>13762</v>
      </c>
      <c r="T46" s="67">
        <f t="shared" si="3"/>
        <v>24784.4502675</v>
      </c>
    </row>
    <row r="47" spans="1:20" ht="15.75" hidden="1" thickBot="1">
      <c r="A47" s="42"/>
      <c r="B47" s="37"/>
      <c r="C47" s="38">
        <f>((((A47*2)+(B47*2))*'MATERIALES (2)'!$C$13)+((A47*2)*'MATERIALES (2)'!$C$6)+((B47*4)*'MATERIALES (2)'!$C$15)+(B47*'MATERIALES (2)'!$C$25))*'MATERIALES (2)'!$F$1</f>
        <v>0</v>
      </c>
      <c r="D47" s="59">
        <f>(8*'MATERIALES (2)'!$C$126)+(8*'MATERIALES (2)'!$C$163)+((8*4)*'MATERIALES (2)'!$C$134)+(((B47*2)+(A47*2))*'MATERIALES (2)'!$C$138)+(4*'MATERIALES (2)'!$C$137)+(((A47*5)*2)*'MATERIALES (2)'!$C$136)+(4*'MATERIALES (2)'!$C$135)+(1*'MATERIALES (2)'!$C$140)+(2*'MATERIALES (2)'!$C$139)+(4*'MATERIALES (2)'!$C$150)</f>
        <v>9458</v>
      </c>
      <c r="E47" s="75"/>
      <c r="F47" s="55">
        <f>((A47*'MATERIALES (2)'!$C$22)*(B47/0.06))*'MATERIALES (2)'!$F$1</f>
        <v>0</v>
      </c>
      <c r="G47" s="38">
        <f t="shared" si="0"/>
        <v>9458</v>
      </c>
      <c r="H47" s="49">
        <f t="shared" si="1"/>
        <v>17033.231407499999</v>
      </c>
      <c r="I47" s="57"/>
      <c r="M47" s="68"/>
      <c r="N47" s="69"/>
      <c r="O47" s="59">
        <f>((((M47*2)+(N47*2))*'MATERIALES (2)'!$C$13)+((M47*2)*'MATERIALES (2)'!$C$6)+((N47*6)*'MATERIALES (2)'!$C$15)+((N47*2)*'MATERIALES (2)'!$C$25))*'MATERIALES (2)'!$F$1</f>
        <v>0</v>
      </c>
      <c r="P47" s="59">
        <f>(12*'MATERIALES (2)'!$C$126)+(12*'MATERIALES (2)'!$C$163)+((8*4)*'MATERIALES (2)'!$C$134)+(((N47*2)+(M47*2))*'MATERIALES (2)'!$C$138)+(4*'MATERIALES (2)'!$C$137)+(((M47*5)*2)*'MATERIALES (2)'!$C$136)+(4*'MATERIALES (2)'!$C$135)+(1*'MATERIALES (2)'!$C$140)+(4*'MATERIALES (2)'!$C$139)+(6*'MATERIALES (2)'!$C$150)</f>
        <v>13762</v>
      </c>
      <c r="Q47" s="75"/>
      <c r="R47" s="55">
        <f>((M47*'MATERIALES (2)'!$C$22)*(N47/0.06))*'MATERIALES (2)'!$F$1</f>
        <v>0</v>
      </c>
      <c r="S47" s="59">
        <f t="shared" si="2"/>
        <v>13762</v>
      </c>
      <c r="T47" s="67">
        <f t="shared" si="3"/>
        <v>24784.4502675</v>
      </c>
    </row>
    <row r="48" spans="1:20" ht="15.75" hidden="1" thickBot="1">
      <c r="A48" s="42"/>
      <c r="B48" s="37"/>
      <c r="C48" s="38">
        <f>((((A48*2)+(B48*2))*'MATERIALES (2)'!$C$13)+((A48*2)*'MATERIALES (2)'!$C$6)+((B48*4)*'MATERIALES (2)'!$C$15)+(B48*'MATERIALES (2)'!$C$25))*'MATERIALES (2)'!$F$1</f>
        <v>0</v>
      </c>
      <c r="D48" s="59">
        <f>(8*'MATERIALES (2)'!$C$126)+(8*'MATERIALES (2)'!$C$163)+((8*4)*'MATERIALES (2)'!$C$134)+(((B48*2)+(A48*2))*'MATERIALES (2)'!$C$138)+(4*'MATERIALES (2)'!$C$137)+(((A48*5)*2)*'MATERIALES (2)'!$C$136)+(4*'MATERIALES (2)'!$C$135)+(1*'MATERIALES (2)'!$C$140)+(2*'MATERIALES (2)'!$C$139)+(4*'MATERIALES (2)'!$C$150)</f>
        <v>9458</v>
      </c>
      <c r="E48" s="75"/>
      <c r="F48" s="55">
        <f>((A48*'MATERIALES (2)'!$C$22)*(B48/0.06))*'MATERIALES (2)'!$F$1</f>
        <v>0</v>
      </c>
      <c r="G48" s="38">
        <f t="shared" si="0"/>
        <v>9458</v>
      </c>
      <c r="H48" s="49">
        <f t="shared" si="1"/>
        <v>17033.231407499999</v>
      </c>
      <c r="I48" s="57"/>
      <c r="M48" s="68"/>
      <c r="N48" s="69"/>
      <c r="O48" s="59">
        <f>((((M48*2)+(N48*2))*'MATERIALES (2)'!$C$13)+((M48*2)*'MATERIALES (2)'!$C$6)+((N48*6)*'MATERIALES (2)'!$C$15)+((N48*2)*'MATERIALES (2)'!$C$25))*'MATERIALES (2)'!$F$1</f>
        <v>0</v>
      </c>
      <c r="P48" s="59">
        <f>(12*'MATERIALES (2)'!$C$126)+(12*'MATERIALES (2)'!$C$163)+((8*4)*'MATERIALES (2)'!$C$134)+(((N48*2)+(M48*2))*'MATERIALES (2)'!$C$138)+(4*'MATERIALES (2)'!$C$137)+(((M48*5)*2)*'MATERIALES (2)'!$C$136)+(4*'MATERIALES (2)'!$C$135)+(1*'MATERIALES (2)'!$C$140)+(4*'MATERIALES (2)'!$C$139)+(6*'MATERIALES (2)'!$C$150)</f>
        <v>13762</v>
      </c>
      <c r="Q48" s="75"/>
      <c r="R48" s="55">
        <f>((M48*'MATERIALES (2)'!$C$22)*(N48/0.06))*'MATERIALES (2)'!$F$1</f>
        <v>0</v>
      </c>
      <c r="S48" s="59">
        <f t="shared" si="2"/>
        <v>13762</v>
      </c>
      <c r="T48" s="67">
        <f t="shared" si="3"/>
        <v>24784.4502675</v>
      </c>
    </row>
    <row r="49" spans="1:20" ht="15.75" hidden="1" thickBot="1">
      <c r="A49" s="42">
        <v>2.2000000000000002</v>
      </c>
      <c r="B49" s="37">
        <v>1</v>
      </c>
      <c r="C49" s="38">
        <f>((((A49*2)+(B49*2))*'MATERIALES (2)'!$C$13)+((A49*2)*'MATERIALES (2)'!$C$6)+((B49*4)*'MATERIALES (2)'!$C$15)+(B49*'MATERIALES (2)'!$C$25))*'MATERIALES (2)'!$F$1</f>
        <v>76013.038499999995</v>
      </c>
      <c r="D49" s="59">
        <f>(8*'MATERIALES (2)'!$C$126)+(8*'MATERIALES (2)'!$C$163)+((8*4)*'MATERIALES (2)'!$C$134)+(((B49*2)+(A49*2))*'MATERIALES (2)'!$C$138)+(4*'MATERIALES (2)'!$C$137)+(((A49*5)*2)*'MATERIALES (2)'!$C$136)+(4*'MATERIALES (2)'!$C$135)+(1*'MATERIALES (2)'!$C$140)+(2*'MATERIALES (2)'!$C$139)+(4*'MATERIALES (2)'!$C$150)</f>
        <v>9842</v>
      </c>
      <c r="E49" s="75"/>
      <c r="F49" s="55">
        <f>((A49*'MATERIALES (2)'!$C$22)*(B49/0.06))*'MATERIALES (2)'!$F$1</f>
        <v>111532.57500000001</v>
      </c>
      <c r="G49" s="38">
        <f t="shared" si="0"/>
        <v>197387.61350000001</v>
      </c>
      <c r="H49" s="49">
        <f t="shared" si="1"/>
        <v>355482.01498410566</v>
      </c>
      <c r="I49" s="57"/>
      <c r="M49" s="68">
        <v>2.2000000000000002</v>
      </c>
      <c r="N49" s="69">
        <v>1</v>
      </c>
      <c r="O49" s="59">
        <f>((((M49*2)+(N49*2))*'MATERIALES (2)'!$C$13)+((M49*2)*'MATERIALES (2)'!$C$6)+((N49*6)*'MATERIALES (2)'!$C$15)+((N49*2)*'MATERIALES (2)'!$C$25))*'MATERIALES (2)'!$F$1</f>
        <v>87918.201000000001</v>
      </c>
      <c r="P49" s="59">
        <f>(12*'MATERIALES (2)'!$C$126)+(12*'MATERIALES (2)'!$C$163)+((8*4)*'MATERIALES (2)'!$C$134)+(((N49*2)+(M49*2))*'MATERIALES (2)'!$C$138)+(4*'MATERIALES (2)'!$C$137)+(((M49*5)*2)*'MATERIALES (2)'!$C$136)+(4*'MATERIALES (2)'!$C$135)+(1*'MATERIALES (2)'!$C$140)+(4*'MATERIALES (2)'!$C$139)+(6*'MATERIALES (2)'!$C$150)</f>
        <v>14146</v>
      </c>
      <c r="Q49" s="75"/>
      <c r="R49" s="55">
        <f>((M49*'MATERIALES (2)'!$C$22)*(N49/0.06))*'MATERIALES (2)'!$F$1</f>
        <v>111532.57500000001</v>
      </c>
      <c r="S49" s="59">
        <f t="shared" si="2"/>
        <v>213596.77600000001</v>
      </c>
      <c r="T49" s="67">
        <f t="shared" si="3"/>
        <v>384673.64278959006</v>
      </c>
    </row>
    <row r="50" spans="1:20" ht="15.75" hidden="1" thickBot="1">
      <c r="A50" s="42">
        <v>2.2000000000000002</v>
      </c>
      <c r="B50" s="37">
        <v>1.2</v>
      </c>
      <c r="C50" s="38">
        <f>((((A50*2)+(B50*2))*'MATERIALES (2)'!$C$13)+((A50*2)*'MATERIALES (2)'!$C$6)+((B50*4)*'MATERIALES (2)'!$C$15)+(B50*'MATERIALES (2)'!$C$25))*'MATERIALES (2)'!$F$1</f>
        <v>82413.345000000001</v>
      </c>
      <c r="D50" s="59">
        <f>(8*'MATERIALES (2)'!$C$126)+(8*'MATERIALES (2)'!$C$163)+((8*4)*'MATERIALES (2)'!$C$134)+(((B50*2)+(A50*2))*'MATERIALES (2)'!$C$138)+(4*'MATERIALES (2)'!$C$137)+(((A50*5)*2)*'MATERIALES (2)'!$C$136)+(4*'MATERIALES (2)'!$C$135)+(1*'MATERIALES (2)'!$C$140)+(2*'MATERIALES (2)'!$C$139)+(4*'MATERIALES (2)'!$C$150)</f>
        <v>9866</v>
      </c>
      <c r="E50" s="75"/>
      <c r="F50" s="55">
        <f>((A50*'MATERIALES (2)'!$C$22)*(B50/0.06))*'MATERIALES (2)'!$F$1</f>
        <v>133839.09000000003</v>
      </c>
      <c r="G50" s="38">
        <f t="shared" si="0"/>
        <v>226118.43500000003</v>
      </c>
      <c r="H50" s="49">
        <f t="shared" si="1"/>
        <v>407224.32108868129</v>
      </c>
      <c r="I50" s="57"/>
      <c r="M50" s="68">
        <v>2.2000000000000002</v>
      </c>
      <c r="N50" s="69">
        <v>1.2</v>
      </c>
      <c r="O50" s="59">
        <f>((((M50*2)+(N50*2))*'MATERIALES (2)'!$C$13)+((M50*2)*'MATERIALES (2)'!$C$6)+((N50*6)*'MATERIALES (2)'!$C$15)+((N50*2)*'MATERIALES (2)'!$C$25))*'MATERIALES (2)'!$F$1</f>
        <v>96699.54</v>
      </c>
      <c r="P50" s="59">
        <f>(12*'MATERIALES (2)'!$C$126)+(12*'MATERIALES (2)'!$C$163)+((8*4)*'MATERIALES (2)'!$C$134)+(((N50*2)+(M50*2))*'MATERIALES (2)'!$C$138)+(4*'MATERIALES (2)'!$C$137)+(((M50*5)*2)*'MATERIALES (2)'!$C$136)+(4*'MATERIALES (2)'!$C$135)+(1*'MATERIALES (2)'!$C$140)+(4*'MATERIALES (2)'!$C$139)+(6*'MATERIALES (2)'!$C$150)</f>
        <v>14170</v>
      </c>
      <c r="Q50" s="75"/>
      <c r="R50" s="55">
        <f>((M50*'MATERIALES (2)'!$C$22)*(N50/0.06))*'MATERIALES (2)'!$F$1</f>
        <v>133839.09000000003</v>
      </c>
      <c r="S50" s="59">
        <f t="shared" si="2"/>
        <v>244708.63</v>
      </c>
      <c r="T50" s="67">
        <f t="shared" si="3"/>
        <v>440704.03068326262</v>
      </c>
    </row>
    <row r="51" spans="1:20" ht="15.75" hidden="1" thickBot="1">
      <c r="A51" s="42">
        <v>2.2000000000000002</v>
      </c>
      <c r="B51" s="37">
        <v>1.5</v>
      </c>
      <c r="C51" s="38">
        <f>((((A51*2)+(B51*2))*'MATERIALES (2)'!$C$13)+((A51*2)*'MATERIALES (2)'!$C$6)+((B51*4)*'MATERIALES (2)'!$C$15)+(B51*'MATERIALES (2)'!$C$25))*'MATERIALES (2)'!$F$1</f>
        <v>92013.80475000001</v>
      </c>
      <c r="D51" s="59">
        <f>(8*'MATERIALES (2)'!$C$126)+(8*'MATERIALES (2)'!$C$163)+((8*4)*'MATERIALES (2)'!$C$134)+(((B51*2)+(A51*2))*'MATERIALES (2)'!$C$138)+(4*'MATERIALES (2)'!$C$137)+(((A51*5)*2)*'MATERIALES (2)'!$C$136)+(4*'MATERIALES (2)'!$C$135)+(1*'MATERIALES (2)'!$C$140)+(2*'MATERIALES (2)'!$C$139)+(4*'MATERIALES (2)'!$C$150)</f>
        <v>9902</v>
      </c>
      <c r="E51" s="75"/>
      <c r="F51" s="55">
        <f>((A51*'MATERIALES (2)'!$C$22)*(B51/0.06))*'MATERIALES (2)'!$F$1</f>
        <v>167298.86250000002</v>
      </c>
      <c r="G51" s="38">
        <f t="shared" si="0"/>
        <v>269214.66725000006</v>
      </c>
      <c r="H51" s="49">
        <f t="shared" si="1"/>
        <v>484837.78024554485</v>
      </c>
      <c r="I51" s="57"/>
      <c r="M51" s="68">
        <v>2.2000000000000002</v>
      </c>
      <c r="N51" s="69">
        <v>1.5</v>
      </c>
      <c r="O51" s="59">
        <f>((((M51*2)+(N51*2))*'MATERIALES (2)'!$C$13)+((M51*2)*'MATERIALES (2)'!$C$6)+((N51*6)*'MATERIALES (2)'!$C$15)+((N51*2)*'MATERIALES (2)'!$C$25))*'MATERIALES (2)'!$F$1</f>
        <v>109871.54850000002</v>
      </c>
      <c r="P51" s="59">
        <f>(12*'MATERIALES (2)'!$C$126)+(12*'MATERIALES (2)'!$C$163)+((8*4)*'MATERIALES (2)'!$C$134)+(((N51*2)+(M51*2))*'MATERIALES (2)'!$C$138)+(4*'MATERIALES (2)'!$C$137)+(((M51*5)*2)*'MATERIALES (2)'!$C$136)+(4*'MATERIALES (2)'!$C$135)+(1*'MATERIALES (2)'!$C$140)+(4*'MATERIALES (2)'!$C$139)+(6*'MATERIALES (2)'!$C$150)</f>
        <v>14206</v>
      </c>
      <c r="Q51" s="75"/>
      <c r="R51" s="55">
        <f>((M51*'MATERIALES (2)'!$C$22)*(N51/0.06))*'MATERIALES (2)'!$F$1</f>
        <v>167298.86250000002</v>
      </c>
      <c r="S51" s="59">
        <f t="shared" si="2"/>
        <v>291376.41100000002</v>
      </c>
      <c r="T51" s="67">
        <f t="shared" si="3"/>
        <v>524749.61252377136</v>
      </c>
    </row>
    <row r="52" spans="1:20" ht="15.75" hidden="1" thickBot="1">
      <c r="A52" s="42">
        <v>2.2000000000000002</v>
      </c>
      <c r="B52" s="37">
        <v>1.8</v>
      </c>
      <c r="C52" s="38">
        <f>((((A52*2)+(B52*2))*'MATERIALES (2)'!$C$13)+((A52*2)*'MATERIALES (2)'!$C$6)+((B52*4)*'MATERIALES (2)'!$C$15)+(B52*'MATERIALES (2)'!$C$25))*'MATERIALES (2)'!$F$1</f>
        <v>101614.26449999999</v>
      </c>
      <c r="D52" s="59">
        <f>(8*'MATERIALES (2)'!$C$126)+(8*'MATERIALES (2)'!$C$163)+((8*4)*'MATERIALES (2)'!$C$134)+(((B52*2)+(A52*2))*'MATERIALES (2)'!$C$138)+(4*'MATERIALES (2)'!$C$137)+(((A52*5)*2)*'MATERIALES (2)'!$C$136)+(4*'MATERIALES (2)'!$C$135)+(1*'MATERIALES (2)'!$C$140)+(2*'MATERIALES (2)'!$C$139)+(4*'MATERIALES (2)'!$C$150)</f>
        <v>9938</v>
      </c>
      <c r="E52" s="75"/>
      <c r="F52" s="55">
        <f>((A52*'MATERIALES (2)'!$C$22)*(B52/0.06))*'MATERIALES (2)'!$F$1</f>
        <v>200758.63500000004</v>
      </c>
      <c r="G52" s="38">
        <f t="shared" si="0"/>
        <v>312310.89950000006</v>
      </c>
      <c r="H52" s="49">
        <f t="shared" si="1"/>
        <v>562451.23940240836</v>
      </c>
      <c r="I52" s="57"/>
      <c r="M52" s="68">
        <v>2.2000000000000002</v>
      </c>
      <c r="N52" s="69">
        <v>1.8</v>
      </c>
      <c r="O52" s="59">
        <f>((((M52*2)+(N52*2))*'MATERIALES (2)'!$C$13)+((M52*2)*'MATERIALES (2)'!$C$6)+((N52*6)*'MATERIALES (2)'!$C$15)+((N52*2)*'MATERIALES (2)'!$C$25))*'MATERIALES (2)'!$F$1</f>
        <v>123043.557</v>
      </c>
      <c r="P52" s="59">
        <f>(12*'MATERIALES (2)'!$C$126)+(12*'MATERIALES (2)'!$C$163)+((8*4)*'MATERIALES (2)'!$C$134)+(((N52*2)+(M52*2))*'MATERIALES (2)'!$C$138)+(4*'MATERIALES (2)'!$C$137)+(((M52*5)*2)*'MATERIALES (2)'!$C$136)+(4*'MATERIALES (2)'!$C$135)+(1*'MATERIALES (2)'!$C$140)+(4*'MATERIALES (2)'!$C$139)+(6*'MATERIALES (2)'!$C$150)</f>
        <v>14242</v>
      </c>
      <c r="Q52" s="75"/>
      <c r="R52" s="55">
        <f>((M52*'MATERIALES (2)'!$C$22)*(N52/0.06))*'MATERIALES (2)'!$F$1</f>
        <v>200758.63500000004</v>
      </c>
      <c r="S52" s="59">
        <f t="shared" si="2"/>
        <v>338044.19200000004</v>
      </c>
      <c r="T52" s="67">
        <f t="shared" si="3"/>
        <v>608795.19436428021</v>
      </c>
    </row>
    <row r="53" spans="1:20" ht="15.75" hidden="1" thickBot="1">
      <c r="A53" s="42">
        <v>2.4</v>
      </c>
      <c r="B53" s="37">
        <v>0.4</v>
      </c>
      <c r="C53" s="38">
        <f>((((A53*2)+(B53*2))*'MATERIALES (2)'!$C$13)+((A53*2)*'MATERIALES (2)'!$C$6)+((B53*4)*'MATERIALES (2)'!$C$15)+(B53*'MATERIALES (2)'!$C$25))*'MATERIALES (2)'!$F$1</f>
        <v>60813.165000000001</v>
      </c>
      <c r="D53" s="59">
        <f>(8*'MATERIALES (2)'!$C$126)+(8*'MATERIALES (2)'!$C$163)+((8*4)*'MATERIALES (2)'!$C$134)+(((B53*2)+(A53*2))*'MATERIALES (2)'!$C$138)+(4*'MATERIALES (2)'!$C$137)+(((A53*5)*2)*'MATERIALES (2)'!$C$136)+(4*'MATERIALES (2)'!$C$135)+(1*'MATERIALES (2)'!$C$140)+(2*'MATERIALES (2)'!$C$139)+(4*'MATERIALES (2)'!$C$150)</f>
        <v>9794</v>
      </c>
      <c r="E53" s="75"/>
      <c r="F53" s="55">
        <f>((A53*'MATERIALES (2)'!$C$22)*(B53/0.06))*'MATERIALES (2)'!$F$1</f>
        <v>48668.76</v>
      </c>
      <c r="G53" s="38">
        <f t="shared" si="0"/>
        <v>119275.92500000002</v>
      </c>
      <c r="H53" s="49">
        <f t="shared" si="1"/>
        <v>214808.03889496881</v>
      </c>
      <c r="I53" s="57"/>
      <c r="M53" s="68">
        <v>2.4</v>
      </c>
      <c r="N53" s="69">
        <v>0.4</v>
      </c>
      <c r="O53" s="59">
        <f>((((M53*2)+(N53*2))*'MATERIALES (2)'!$C$13)+((M53*2)*'MATERIALES (2)'!$C$6)+((N53*6)*'MATERIALES (2)'!$C$15)+((N53*2)*'MATERIALES (2)'!$C$25))*'MATERIALES (2)'!$F$1</f>
        <v>65575.23</v>
      </c>
      <c r="P53" s="59">
        <f>(12*'MATERIALES (2)'!$C$126)+(12*'MATERIALES (2)'!$C$163)+((8*4)*'MATERIALES (2)'!$C$134)+(((N53*2)+(M53*2))*'MATERIALES (2)'!$C$138)+(4*'MATERIALES (2)'!$C$137)+(((M53*5)*2)*'MATERIALES (2)'!$C$136)+(4*'MATERIALES (2)'!$C$135)+(1*'MATERIALES (2)'!$C$140)+(4*'MATERIALES (2)'!$C$139)+(6*'MATERIALES (2)'!$C$150)</f>
        <v>14098</v>
      </c>
      <c r="Q53" s="75"/>
      <c r="R53" s="55">
        <f>((M53*'MATERIALES (2)'!$C$22)*(N53/0.06))*'MATERIALES (2)'!$F$1</f>
        <v>48668.76</v>
      </c>
      <c r="S53" s="59">
        <f t="shared" si="2"/>
        <v>128341.98999999999</v>
      </c>
      <c r="T53" s="67">
        <f t="shared" si="3"/>
        <v>231135.42133316255</v>
      </c>
    </row>
    <row r="54" spans="1:20" ht="15.75" hidden="1" thickBot="1">
      <c r="A54" s="42">
        <v>2.4</v>
      </c>
      <c r="B54" s="37">
        <v>0.6</v>
      </c>
      <c r="C54" s="38">
        <f>((((A54*2)+(B54*2))*'MATERIALES (2)'!$C$13)+((A54*2)*'MATERIALES (2)'!$C$6)+((B54*4)*'MATERIALES (2)'!$C$15)+(B54*'MATERIALES (2)'!$C$25))*'MATERIALES (2)'!$F$1</f>
        <v>67213.4715</v>
      </c>
      <c r="D54" s="59">
        <f>(8*'MATERIALES (2)'!$C$126)+(8*'MATERIALES (2)'!$C$163)+((8*4)*'MATERIALES (2)'!$C$134)+(((B54*2)+(A54*2))*'MATERIALES (2)'!$C$138)+(4*'MATERIALES (2)'!$C$137)+(((A54*5)*2)*'MATERIALES (2)'!$C$136)+(4*'MATERIALES (2)'!$C$135)+(1*'MATERIALES (2)'!$C$140)+(2*'MATERIALES (2)'!$C$139)+(4*'MATERIALES (2)'!$C$150)</f>
        <v>9818</v>
      </c>
      <c r="E54" s="75"/>
      <c r="F54" s="55">
        <f>((A54*'MATERIALES (2)'!$C$22)*(B54/0.06))*'MATERIALES (2)'!$F$1</f>
        <v>73003.14</v>
      </c>
      <c r="G54" s="38">
        <f t="shared" si="0"/>
        <v>150034.6115</v>
      </c>
      <c r="H54" s="49">
        <f t="shared" si="1"/>
        <v>270202.39551848813</v>
      </c>
      <c r="I54" s="57"/>
      <c r="M54" s="68">
        <v>2.4</v>
      </c>
      <c r="N54" s="69">
        <v>0.6</v>
      </c>
      <c r="O54" s="59">
        <f>((((M54*2)+(N54*2))*'MATERIALES (2)'!$C$13)+((M54*2)*'MATERIALES (2)'!$C$6)+((N54*6)*'MATERIALES (2)'!$C$15)+((N54*2)*'MATERIALES (2)'!$C$25))*'MATERIALES (2)'!$F$1</f>
        <v>74356.569000000003</v>
      </c>
      <c r="P54" s="59">
        <f>(12*'MATERIALES (2)'!$C$126)+(12*'MATERIALES (2)'!$C$163)+((8*4)*'MATERIALES (2)'!$C$134)+(((N54*2)+(M54*2))*'MATERIALES (2)'!$C$138)+(4*'MATERIALES (2)'!$C$137)+(((M54*5)*2)*'MATERIALES (2)'!$C$136)+(4*'MATERIALES (2)'!$C$135)+(1*'MATERIALES (2)'!$C$140)+(4*'MATERIALES (2)'!$C$139)+(6*'MATERIALES (2)'!$C$150)</f>
        <v>14122</v>
      </c>
      <c r="Q54" s="75"/>
      <c r="R54" s="55">
        <f>((M54*'MATERIALES (2)'!$C$22)*(N54/0.06))*'MATERIALES (2)'!$F$1</f>
        <v>73003.14</v>
      </c>
      <c r="S54" s="59">
        <f t="shared" si="2"/>
        <v>161481.709</v>
      </c>
      <c r="T54" s="67">
        <f t="shared" si="3"/>
        <v>290817.85974577878</v>
      </c>
    </row>
    <row r="55" spans="1:20" ht="15.75" hidden="1" thickBot="1">
      <c r="A55" s="42">
        <v>2.4</v>
      </c>
      <c r="B55" s="37">
        <v>0.8</v>
      </c>
      <c r="C55" s="38">
        <f>((((A55*2)+(B55*2))*'MATERIALES (2)'!$C$13)+((A55*2)*'MATERIALES (2)'!$C$6)+((B55*4)*'MATERIALES (2)'!$C$15)+(B55*'MATERIALES (2)'!$C$25))*'MATERIALES (2)'!$F$1</f>
        <v>73613.778000000006</v>
      </c>
      <c r="D55" s="59">
        <f>(8*'MATERIALES (2)'!$C$126)+(8*'MATERIALES (2)'!$C$163)+((8*4)*'MATERIALES (2)'!$C$134)+(((B55*2)+(A55*2))*'MATERIALES (2)'!$C$138)+(4*'MATERIALES (2)'!$C$137)+(((A55*5)*2)*'MATERIALES (2)'!$C$136)+(4*'MATERIALES (2)'!$C$135)+(1*'MATERIALES (2)'!$C$140)+(2*'MATERIALES (2)'!$C$139)+(4*'MATERIALES (2)'!$C$150)</f>
        <v>9842</v>
      </c>
      <c r="E55" s="75"/>
      <c r="F55" s="55">
        <f>((A55*'MATERIALES (2)'!$C$22)*(B55/0.06))*'MATERIALES (2)'!$F$1</f>
        <v>97337.52</v>
      </c>
      <c r="G55" s="38">
        <f t="shared" si="0"/>
        <v>180793.29800000001</v>
      </c>
      <c r="H55" s="49">
        <f t="shared" si="1"/>
        <v>325596.75214200758</v>
      </c>
      <c r="I55" s="57"/>
      <c r="M55" s="68">
        <v>2.4</v>
      </c>
      <c r="N55" s="69">
        <v>0.8</v>
      </c>
      <c r="O55" s="59">
        <f>((((M55*2)+(N55*2))*'MATERIALES (2)'!$C$13)+((M55*2)*'MATERIALES (2)'!$C$6)+((N55*6)*'MATERIALES (2)'!$C$15)+((N55*2)*'MATERIALES (2)'!$C$25))*'MATERIALES (2)'!$F$1</f>
        <v>83137.90800000001</v>
      </c>
      <c r="P55" s="59">
        <f>(12*'MATERIALES (2)'!$C$126)+(12*'MATERIALES (2)'!$C$163)+((8*4)*'MATERIALES (2)'!$C$134)+(((N55*2)+(M55*2))*'MATERIALES (2)'!$C$138)+(4*'MATERIALES (2)'!$C$137)+(((M55*5)*2)*'MATERIALES (2)'!$C$136)+(4*'MATERIALES (2)'!$C$135)+(1*'MATERIALES (2)'!$C$140)+(4*'MATERIALES (2)'!$C$139)+(6*'MATERIALES (2)'!$C$150)</f>
        <v>14146</v>
      </c>
      <c r="Q55" s="75"/>
      <c r="R55" s="55">
        <f>((M55*'MATERIALES (2)'!$C$22)*(N55/0.06))*'MATERIALES (2)'!$F$1</f>
        <v>97337.52</v>
      </c>
      <c r="S55" s="59">
        <f t="shared" si="2"/>
        <v>194621.42800000001</v>
      </c>
      <c r="T55" s="67">
        <f t="shared" si="3"/>
        <v>350500.2981583951</v>
      </c>
    </row>
    <row r="56" spans="1:20" ht="15.75" hidden="1" thickBot="1">
      <c r="A56" s="42">
        <v>2.4</v>
      </c>
      <c r="B56" s="37">
        <v>1</v>
      </c>
      <c r="C56" s="38">
        <f>((((A56*2)+(B56*2))*'MATERIALES (2)'!$C$13)+((A56*2)*'MATERIALES (2)'!$C$6)+((B56*4)*'MATERIALES (2)'!$C$15)+(B56*'MATERIALES (2)'!$C$25))*'MATERIALES (2)'!$F$1</f>
        <v>80014.084499999997</v>
      </c>
      <c r="D56" s="59">
        <f>(8*'MATERIALES (2)'!$C$126)+(8*'MATERIALES (2)'!$C$163)+((8*4)*'MATERIALES (2)'!$C$134)+(((B56*2)+(A56*2))*'MATERIALES (2)'!$C$138)+(4*'MATERIALES (2)'!$C$137)+(((A56*5)*2)*'MATERIALES (2)'!$C$136)+(4*'MATERIALES (2)'!$C$135)+(1*'MATERIALES (2)'!$C$140)+(2*'MATERIALES (2)'!$C$139)+(4*'MATERIALES (2)'!$C$150)</f>
        <v>9866</v>
      </c>
      <c r="E56" s="75"/>
      <c r="F56" s="55">
        <f>((A56*'MATERIALES (2)'!$C$22)*(B56/0.06))*'MATERIALES (2)'!$F$1</f>
        <v>121671.90000000002</v>
      </c>
      <c r="G56" s="38">
        <f t="shared" si="0"/>
        <v>211551.98450000002</v>
      </c>
      <c r="H56" s="49">
        <f t="shared" si="1"/>
        <v>380991.10876552691</v>
      </c>
      <c r="I56" s="57"/>
      <c r="M56" s="68">
        <v>2.4</v>
      </c>
      <c r="N56" s="69">
        <v>1</v>
      </c>
      <c r="O56" s="59">
        <f>((((M56*2)+(N56*2))*'MATERIALES (2)'!$C$13)+((M56*2)*'MATERIALES (2)'!$C$6)+((N56*6)*'MATERIALES (2)'!$C$15)+((N56*2)*'MATERIALES (2)'!$C$25))*'MATERIALES (2)'!$F$1</f>
        <v>91919.247000000003</v>
      </c>
      <c r="P56" s="59">
        <f>(12*'MATERIALES (2)'!$C$126)+(12*'MATERIALES (2)'!$C$163)+((8*4)*'MATERIALES (2)'!$C$134)+(((N56*2)+(M56*2))*'MATERIALES (2)'!$C$138)+(4*'MATERIALES (2)'!$C$137)+(((M56*5)*2)*'MATERIALES (2)'!$C$136)+(4*'MATERIALES (2)'!$C$135)+(1*'MATERIALES (2)'!$C$140)+(4*'MATERIALES (2)'!$C$139)+(6*'MATERIALES (2)'!$C$150)</f>
        <v>14170</v>
      </c>
      <c r="Q56" s="75"/>
      <c r="R56" s="55">
        <f>((M56*'MATERIALES (2)'!$C$22)*(N56/0.06))*'MATERIALES (2)'!$F$1</f>
        <v>121671.90000000002</v>
      </c>
      <c r="S56" s="59">
        <f t="shared" si="2"/>
        <v>227761.14700000003</v>
      </c>
      <c r="T56" s="67">
        <f t="shared" si="3"/>
        <v>410182.73657101137</v>
      </c>
    </row>
    <row r="57" spans="1:20" ht="15.75" hidden="1" thickBot="1">
      <c r="A57" s="42">
        <v>2.4</v>
      </c>
      <c r="B57" s="37">
        <v>1.2</v>
      </c>
      <c r="C57" s="38">
        <f>((((A57*2)+(B57*2))*'MATERIALES (2)'!$C$13)+((A57*2)*'MATERIALES (2)'!$C$6)+((B57*4)*'MATERIALES (2)'!$C$15)+(B57*'MATERIALES (2)'!$C$25))*'MATERIALES (2)'!$F$1</f>
        <v>86414.390999999989</v>
      </c>
      <c r="D57" s="59">
        <f>(8*'MATERIALES (2)'!$C$126)+(8*'MATERIALES (2)'!$C$163)+((8*4)*'MATERIALES (2)'!$C$134)+(((B57*2)+(A57*2))*'MATERIALES (2)'!$C$138)+(4*'MATERIALES (2)'!$C$137)+(((A57*5)*2)*'MATERIALES (2)'!$C$136)+(4*'MATERIALES (2)'!$C$135)+(1*'MATERIALES (2)'!$C$140)+(2*'MATERIALES (2)'!$C$139)+(4*'MATERIALES (2)'!$C$150)</f>
        <v>9890</v>
      </c>
      <c r="E57" s="75"/>
      <c r="F57" s="55">
        <f>((A57*'MATERIALES (2)'!$C$22)*(B57/0.06))*'MATERIALES (2)'!$F$1</f>
        <v>146006.28</v>
      </c>
      <c r="G57" s="38">
        <f t="shared" si="0"/>
        <v>242310.67099999997</v>
      </c>
      <c r="H57" s="49">
        <f t="shared" si="1"/>
        <v>436385.46538904629</v>
      </c>
      <c r="I57" s="57"/>
      <c r="M57" s="68">
        <v>2.4</v>
      </c>
      <c r="N57" s="69">
        <v>1.2</v>
      </c>
      <c r="O57" s="59">
        <f>((((M57*2)+(N57*2))*'MATERIALES (2)'!$C$13)+((M57*2)*'MATERIALES (2)'!$C$6)+((N57*6)*'MATERIALES (2)'!$C$15)+((N57*2)*'MATERIALES (2)'!$C$25))*'MATERIALES (2)'!$F$1</f>
        <v>100700.586</v>
      </c>
      <c r="P57" s="59">
        <f>(12*'MATERIALES (2)'!$C$126)+(12*'MATERIALES (2)'!$C$163)+((8*4)*'MATERIALES (2)'!$C$134)+(((N57*2)+(M57*2))*'MATERIALES (2)'!$C$138)+(4*'MATERIALES (2)'!$C$137)+(((M57*5)*2)*'MATERIALES (2)'!$C$136)+(4*'MATERIALES (2)'!$C$135)+(1*'MATERIALES (2)'!$C$140)+(4*'MATERIALES (2)'!$C$139)+(6*'MATERIALES (2)'!$C$150)</f>
        <v>14194</v>
      </c>
      <c r="Q57" s="75"/>
      <c r="R57" s="55">
        <f>((M57*'MATERIALES (2)'!$C$22)*(N57/0.06))*'MATERIALES (2)'!$F$1</f>
        <v>146006.28</v>
      </c>
      <c r="S57" s="59">
        <f>SUM(O57:R57)</f>
        <v>260900.86599999998</v>
      </c>
      <c r="T57" s="67">
        <f t="shared" si="3"/>
        <v>469865.17498362757</v>
      </c>
    </row>
    <row r="58" spans="1:20" ht="15.75" hidden="1" thickBot="1">
      <c r="A58" s="42">
        <v>2.4</v>
      </c>
      <c r="B58" s="37">
        <v>1.5</v>
      </c>
      <c r="C58" s="38">
        <f>((((A58*2)+(B58*2))*'MATERIALES (2)'!$C$13)+((A58*2)*'MATERIALES (2)'!$C$6)+((B58*4)*'MATERIALES (2)'!$C$15)+(B58*'MATERIALES (2)'!$C$25))*'MATERIALES (2)'!$F$1</f>
        <v>96014.850749999998</v>
      </c>
      <c r="D58" s="59">
        <f>(8*'MATERIALES (2)'!$C$126)+(8*'MATERIALES (2)'!$C$163)+((8*4)*'MATERIALES (2)'!$C$134)+(((B58*2)+(A58*2))*'MATERIALES (2)'!$C$138)+(4*'MATERIALES (2)'!$C$137)+(((A58*5)*2)*'MATERIALES (2)'!$C$136)+(4*'MATERIALES (2)'!$C$135)+(1*'MATERIALES (2)'!$C$140)+(2*'MATERIALES (2)'!$C$139)+(4*'MATERIALES (2)'!$C$150)</f>
        <v>9926</v>
      </c>
      <c r="E58" s="75"/>
      <c r="F58" s="55">
        <f>((A58*'MATERIALES (2)'!$C$22)*(B58/0.06))*'MATERIALES (2)'!$F$1</f>
        <v>182507.85</v>
      </c>
      <c r="G58" s="38">
        <f>SUM(C58:F58)</f>
        <v>288448.70075000002</v>
      </c>
      <c r="H58" s="49">
        <f t="shared" si="1"/>
        <v>519477.0003243254</v>
      </c>
      <c r="I58" s="57"/>
      <c r="M58" s="68">
        <v>2.4</v>
      </c>
      <c r="N58" s="69">
        <v>1.5</v>
      </c>
      <c r="O58" s="59">
        <f>((((M58*2)+(N58*2))*'MATERIALES (2)'!$C$13)+((M58*2)*'MATERIALES (2)'!$C$6)+((N58*6)*'MATERIALES (2)'!$C$15)+((N58*2)*'MATERIALES (2)'!$C$25))*'MATERIALES (2)'!$F$1</f>
        <v>113872.59450000001</v>
      </c>
      <c r="P58" s="59">
        <f>(12*'MATERIALES (2)'!$C$126)+(12*'MATERIALES (2)'!$C$163)+((8*4)*'MATERIALES (2)'!$C$134)+(((N58*2)+(M58*2))*'MATERIALES (2)'!$C$138)+(4*'MATERIALES (2)'!$C$137)+(((M58*5)*2)*'MATERIALES (2)'!$C$136)+(4*'MATERIALES (2)'!$C$135)+(1*'MATERIALES (2)'!$C$140)+(4*'MATERIALES (2)'!$C$139)+(6*'MATERIALES (2)'!$C$150)</f>
        <v>14230</v>
      </c>
      <c r="Q58" s="75"/>
      <c r="R58" s="55">
        <f>((M58*'MATERIALES (2)'!$C$22)*(N58/0.06))*'MATERIALES (2)'!$F$1</f>
        <v>182507.85</v>
      </c>
      <c r="S58" s="59">
        <f t="shared" si="2"/>
        <v>310610.44449999998</v>
      </c>
      <c r="T58" s="67">
        <f t="shared" si="3"/>
        <v>559388.83260255202</v>
      </c>
    </row>
    <row r="59" spans="1:20" ht="15.75" hidden="1" thickBot="1">
      <c r="A59" s="44">
        <v>2.4</v>
      </c>
      <c r="B59" s="45">
        <v>1.8</v>
      </c>
      <c r="C59" s="50">
        <f>((((A59*2)+(B59*2))*'MATERIALES (2)'!$C$13)+((A59*2)*'MATERIALES (2)'!$C$6)+((B59*4)*'MATERIALES (2)'!$C$15)+(B59*'MATERIALES (2)'!$C$25))*'MATERIALES (2)'!$F$1</f>
        <v>105615.31049999999</v>
      </c>
      <c r="D59" s="60">
        <f>(8*'MATERIALES (2)'!$C$126)+(8*'MATERIALES (2)'!$C$163)+((8*4)*'MATERIALES (2)'!$C$134)+(((B59*2)+(A59*2))*'MATERIALES (2)'!$C$138)+(4*'MATERIALES (2)'!$C$137)+(((A59*5)*2)*'MATERIALES (2)'!$C$136)+(4*'MATERIALES (2)'!$C$135)+(1*'MATERIALES (2)'!$C$140)+(2*'MATERIALES (2)'!$C$139)+(4*'MATERIALES (2)'!$C$150)</f>
        <v>9962</v>
      </c>
      <c r="E59" s="76"/>
      <c r="F59" s="56">
        <f>((A59*'MATERIALES (2)'!$C$22)*(B59/0.06))*'MATERIALES (2)'!$F$1</f>
        <v>219009.42000000004</v>
      </c>
      <c r="G59" s="50">
        <f t="shared" si="0"/>
        <v>334586.73050000006</v>
      </c>
      <c r="H59" s="49">
        <f t="shared" si="1"/>
        <v>602568.53525960469</v>
      </c>
      <c r="I59" s="57"/>
      <c r="M59" s="71">
        <v>2.4</v>
      </c>
      <c r="N59" s="72">
        <v>1.8</v>
      </c>
      <c r="O59" s="60">
        <f>((((M59*2)+(N59*2))*'MATERIALES (2)'!$C$13)+((M59*2)*'MATERIALES (2)'!$C$6)+((N59*6)*'MATERIALES (2)'!$C$15)+((N59*2)*'MATERIALES (2)'!$C$25))*'MATERIALES (2)'!$F$1</f>
        <v>127044.60300000002</v>
      </c>
      <c r="P59" s="60">
        <f>(12*'MATERIALES (2)'!$C$126)+(12*'MATERIALES (2)'!$C$163)+((8*4)*'MATERIALES (2)'!$C$134)+(((N59*2)+(M59*2))*'MATERIALES (2)'!$C$138)+(4*'MATERIALES (2)'!$C$137)+(((M59*5)*2)*'MATERIALES (2)'!$C$136)+(4*'MATERIALES (2)'!$C$135)+(1*'MATERIALES (2)'!$C$140)+(4*'MATERIALES (2)'!$C$139)+(6*'MATERIALES (2)'!$C$150)</f>
        <v>14266</v>
      </c>
      <c r="Q59" s="76"/>
      <c r="R59" s="56">
        <f>((M59*'MATERIALES (2)'!$C$22)*(N59/0.06))*'MATERIALES (2)'!$F$1</f>
        <v>219009.42000000004</v>
      </c>
      <c r="S59" s="60">
        <f t="shared" si="2"/>
        <v>360320.02300000004</v>
      </c>
      <c r="T59" s="67">
        <f t="shared" si="3"/>
        <v>648912.49022147653</v>
      </c>
    </row>
    <row r="60" spans="1:20" hidden="1"/>
    <row r="61" spans="1:20" hidden="1"/>
    <row r="62" spans="1:20" ht="15.75" hidden="1" thickBot="1">
      <c r="C62" s="53"/>
      <c r="O62" s="53"/>
    </row>
    <row r="63" spans="1:20" ht="15.75" hidden="1" thickBot="1">
      <c r="C63" s="807">
        <v>1.35</v>
      </c>
      <c r="D63" s="808"/>
      <c r="E63" s="808"/>
      <c r="F63" s="809"/>
      <c r="H63" s="46" t="s">
        <v>163</v>
      </c>
      <c r="M63" s="32"/>
      <c r="N63" s="32"/>
      <c r="O63" s="807">
        <v>1.35</v>
      </c>
      <c r="P63" s="808"/>
      <c r="Q63" s="808"/>
      <c r="R63" s="809"/>
      <c r="S63" s="32"/>
      <c r="T63" s="46" t="s">
        <v>163</v>
      </c>
    </row>
    <row r="64" spans="1:20" ht="15.75" hidden="1" thickBot="1">
      <c r="A64" s="792" t="s">
        <v>175</v>
      </c>
      <c r="B64" s="793"/>
      <c r="C64" s="793"/>
      <c r="D64" s="793"/>
      <c r="E64" s="793"/>
      <c r="F64" s="793"/>
      <c r="G64" s="793"/>
      <c r="H64" s="794"/>
      <c r="M64" s="792" t="s">
        <v>180</v>
      </c>
      <c r="N64" s="793"/>
      <c r="O64" s="793"/>
      <c r="P64" s="793"/>
      <c r="Q64" s="793"/>
      <c r="R64" s="793"/>
      <c r="S64" s="793"/>
      <c r="T64" s="794"/>
    </row>
    <row r="65" spans="1:20" ht="15.75" hidden="1" thickBot="1">
      <c r="A65" s="36" t="s">
        <v>116</v>
      </c>
      <c r="B65" s="36" t="s">
        <v>117</v>
      </c>
      <c r="C65" s="36" t="s">
        <v>162</v>
      </c>
      <c r="D65" s="36" t="s">
        <v>119</v>
      </c>
      <c r="E65" s="36" t="s">
        <v>120</v>
      </c>
      <c r="F65" s="36" t="s">
        <v>169</v>
      </c>
      <c r="G65" s="36" t="s">
        <v>121</v>
      </c>
      <c r="H65" s="36" t="s">
        <v>122</v>
      </c>
      <c r="M65" s="36" t="s">
        <v>116</v>
      </c>
      <c r="N65" s="36" t="s">
        <v>117</v>
      </c>
      <c r="O65" s="36" t="s">
        <v>162</v>
      </c>
      <c r="P65" s="36" t="s">
        <v>119</v>
      </c>
      <c r="Q65" s="36" t="s">
        <v>120</v>
      </c>
      <c r="R65" s="36" t="s">
        <v>169</v>
      </c>
      <c r="S65" s="36" t="s">
        <v>121</v>
      </c>
      <c r="T65" s="36" t="s">
        <v>122</v>
      </c>
    </row>
    <row r="66" spans="1:20" ht="15.75" hidden="1" thickBot="1">
      <c r="A66" s="795"/>
      <c r="B66" s="796"/>
      <c r="C66" s="796"/>
      <c r="D66" s="796"/>
      <c r="E66" s="796"/>
      <c r="F66" s="796"/>
      <c r="G66" s="796"/>
      <c r="H66" s="797"/>
      <c r="M66" s="795"/>
      <c r="N66" s="796"/>
      <c r="O66" s="796"/>
      <c r="P66" s="796"/>
      <c r="Q66" s="796"/>
      <c r="R66" s="796"/>
      <c r="S66" s="796"/>
      <c r="T66" s="797"/>
    </row>
    <row r="67" spans="1:20" ht="15.75" hidden="1" thickBot="1">
      <c r="A67" s="40">
        <v>1.2</v>
      </c>
      <c r="B67" s="41">
        <v>2</v>
      </c>
      <c r="C67" s="47">
        <f>((((A67*2)+(B67*2))*'MATERIALES (2)'!$C$13)+((A67*2)*'MATERIALES (2)'!$C$6)+(A67*'MATERIALES (2)'!$C$9)+((B67*4)*'MATERIALES (2)'!$C$15)+(B67*'MATERIALES (2)'!$C$25))*'MATERIALES (2)'!$F$1</f>
        <v>99082.85100000001</v>
      </c>
      <c r="D67" s="47">
        <f>(12*'MATERIALES (2)'!$C$126)+(12*'MATERIALES (2)'!$C$163)+((8*4)*'MATERIALES (2)'!$C$134)+(((B67*2)+(A67*2))*'MATERIALES (2)'!$C$138)+(4*'MATERIALES (2)'!$C$137)+(((A67*5)*2)*'MATERIALES (2)'!$C$136)+(4*'MATERIALES (2)'!$C$135)+(1*'MATERIALES (2)'!$C$140)+(2*'MATERIALES (2)'!$C$139)+(6*'MATERIALES (2)'!$C$150)</f>
        <v>12546</v>
      </c>
      <c r="E67" s="74"/>
      <c r="F67" s="54">
        <f>((A67*'MATERIALES (2)'!$C$22)*(B67/0.06))*'MATERIALES (2)'!$F$1</f>
        <v>121671.90000000002</v>
      </c>
      <c r="G67" s="47">
        <f>SUM(C67:F67)</f>
        <v>233300.75100000005</v>
      </c>
      <c r="H67" s="49">
        <f>((((SUM(C67:F67)*$C$63))*1.21)*1.05)*1.05</f>
        <v>420159.1963762464</v>
      </c>
      <c r="M67" s="40">
        <v>1.2</v>
      </c>
      <c r="N67" s="41">
        <v>2</v>
      </c>
      <c r="O67" s="47">
        <f>((((M67*2)+(N67*2))*'MATERIALES (2)'!$C$13)+((M67*2)*'MATERIALES (2)'!$C$6)+(M67*'MATERIALES (2)'!$C$9)+((N67*6)*'MATERIALES (2)'!$C$15)+((N67*2)*'MATERIALES (2)'!$C$25))*'MATERIALES (2)'!$F$1</f>
        <v>122893.17600000001</v>
      </c>
      <c r="P67" s="47">
        <f>(18*'MATERIALES (2)'!$C$126)+(18*'MATERIALES (2)'!$C$163)+((8*4)*'MATERIALES (2)'!$C$134)+(((N67*2)+(M67*2))*'MATERIALES (2)'!$C$138)+(4*'MATERIALES (2)'!$C$137)+(((M67*5)*2)*'MATERIALES (2)'!$C$136)+(4*'MATERIALES (2)'!$C$135)+(1*'MATERIALES (2)'!$C$140)+(4*'MATERIALES (2)'!$C$139)+(9*'MATERIALES (2)'!$C$150)</f>
        <v>18202</v>
      </c>
      <c r="Q67" s="74"/>
      <c r="R67" s="54">
        <f>((M67*'MATERIALES (2)'!$C$22)*(N67/0.06))*'MATERIALES (2)'!$F$1</f>
        <v>121671.90000000002</v>
      </c>
      <c r="S67" s="47">
        <f>SUM(O67:R67)</f>
        <v>262767.076</v>
      </c>
      <c r="T67" s="49">
        <f>((((SUM(O67:R67)*$O$63))*1.21)*1.05)*1.05</f>
        <v>473226.0955572151</v>
      </c>
    </row>
    <row r="68" spans="1:20" ht="15.75" hidden="1" thickBot="1">
      <c r="A68" s="42">
        <v>1.5</v>
      </c>
      <c r="B68" s="37">
        <v>2</v>
      </c>
      <c r="C68" s="38">
        <f>((((A68*2)+(B68*2))*'MATERIALES (2)'!$C$13)+((A68*2)*'MATERIALES (2)'!$C$6)+(A68*'MATERIALES (2)'!$C$9)+((B68*4)*'MATERIALES (2)'!$C$15)+(B68*'MATERIALES (2)'!$C$25))*'MATERIALES (2)'!$F$1</f>
        <v>107852.7975</v>
      </c>
      <c r="D68" s="38">
        <f>(12*'MATERIALES (2)'!$C$126)+(12*'MATERIALES (2)'!$C$163)+((8*4)*'MATERIALES (2)'!$C$134)+(((B68*2)+(A68*2))*'MATERIALES (2)'!$C$138)+(4*'MATERIALES (2)'!$C$137)+(((A68*5)*2)*'MATERIALES (2)'!$C$136)+(4*'MATERIALES (2)'!$C$135)+(1*'MATERIALES (2)'!$C$140)+(2*'MATERIALES (2)'!$C$139)+(6*'MATERIALES (2)'!$C$150)</f>
        <v>12582</v>
      </c>
      <c r="E68" s="75"/>
      <c r="F68" s="39">
        <f>((A68*'MATERIALES (2)'!$C$22)*(B68/0.06))*'MATERIALES (2)'!$F$1</f>
        <v>152089.87500000003</v>
      </c>
      <c r="G68" s="38">
        <f>SUM(C68:F68)</f>
        <v>272524.67250000004</v>
      </c>
      <c r="H68" s="49">
        <f t="shared" ref="H68:H72" si="4">((((SUM(C68:F68)*$C$63))*1.21)*1.05)*1.05</f>
        <v>490798.88041294698</v>
      </c>
      <c r="M68" s="42">
        <v>1.5</v>
      </c>
      <c r="N68" s="37">
        <v>2</v>
      </c>
      <c r="O68" s="38">
        <f>((((M68*2)+(N68*2))*'MATERIALES (2)'!$C$13)+((M68*2)*'MATERIALES (2)'!$C$6)+(M68*'MATERIALES (2)'!$C$9)+((N68*6)*'MATERIALES (2)'!$C$15)+((N68*2)*'MATERIALES (2)'!$C$25))*'MATERIALES (2)'!$F$1</f>
        <v>131663.1225</v>
      </c>
      <c r="P68" s="38">
        <f>(18*'MATERIALES (2)'!$C$126)+(18*'MATERIALES (2)'!$C$163)+((8*4)*'MATERIALES (2)'!$C$134)+(((N68*2)+(M68*2))*'MATERIALES (2)'!$C$138)+(4*'MATERIALES (2)'!$C$137)+(((M68*5)*2)*'MATERIALES (2)'!$C$136)+(4*'MATERIALES (2)'!$C$135)+(1*'MATERIALES (2)'!$C$140)+(4*'MATERIALES (2)'!$C$139)+(9*'MATERIALES (2)'!$C$150)</f>
        <v>18238</v>
      </c>
      <c r="Q68" s="75"/>
      <c r="R68" s="39">
        <f>((M68*'MATERIALES (2)'!$C$22)*(N68/0.06))*'MATERIALES (2)'!$F$1</f>
        <v>152089.87500000003</v>
      </c>
      <c r="S68" s="38">
        <f>SUM(O68:R68)</f>
        <v>301990.99750000006</v>
      </c>
      <c r="T68" s="49">
        <f t="shared" ref="T68:T72" si="5">((((SUM(O68:R68)*$O$63))*1.21)*1.05)*1.05</f>
        <v>543865.77959391579</v>
      </c>
    </row>
    <row r="69" spans="1:20" ht="15.75" hidden="1" thickBot="1">
      <c r="A69" s="42">
        <v>1.8</v>
      </c>
      <c r="B69" s="37">
        <v>2</v>
      </c>
      <c r="C69" s="38">
        <f>((((A69*2)+(B69*2))*'MATERIALES (2)'!$C$13)+((A69*2)*'MATERIALES (2)'!$C$6)+(A69*'MATERIALES (2)'!$C$9)+((B69*4)*'MATERIALES (2)'!$C$15)+(B69*'MATERIALES (2)'!$C$25))*'MATERIALES (2)'!$F$1</f>
        <v>116622.74400000001</v>
      </c>
      <c r="D69" s="38">
        <f>(12*'MATERIALES (2)'!$C$126)+(12*'MATERIALES (2)'!$C$163)+((8*4)*'MATERIALES (2)'!$C$134)+(((B69*2)+(A69*2))*'MATERIALES (2)'!$C$138)+(4*'MATERIALES (2)'!$C$137)+(((A69*5)*2)*'MATERIALES (2)'!$C$136)+(4*'MATERIALES (2)'!$C$135)+(1*'MATERIALES (2)'!$C$140)+(2*'MATERIALES (2)'!$C$139)+(6*'MATERIALES (2)'!$C$150)</f>
        <v>12618</v>
      </c>
      <c r="E69" s="75"/>
      <c r="F69" s="39">
        <f>((A69*'MATERIALES (2)'!$C$22)*(B69/0.06))*'MATERIALES (2)'!$F$1</f>
        <v>182507.85000000003</v>
      </c>
      <c r="G69" s="38">
        <f t="shared" ref="G69:G72" si="6">SUM(C69:F69)</f>
        <v>311748.59400000004</v>
      </c>
      <c r="H69" s="49">
        <f t="shared" si="4"/>
        <v>561438.56444964767</v>
      </c>
      <c r="M69" s="42">
        <v>1.8</v>
      </c>
      <c r="N69" s="37">
        <v>2</v>
      </c>
      <c r="O69" s="38">
        <f>((((M69*2)+(N69*2))*'MATERIALES (2)'!$C$13)+((M69*2)*'MATERIALES (2)'!$C$6)+(M69*'MATERIALES (2)'!$C$9)+((N69*6)*'MATERIALES (2)'!$C$15)+((N69*2)*'MATERIALES (2)'!$C$25))*'MATERIALES (2)'!$F$1</f>
        <v>140433.06900000002</v>
      </c>
      <c r="P69" s="38">
        <f>(18*'MATERIALES (2)'!$C$126)+(18*'MATERIALES (2)'!$C$163)+((8*4)*'MATERIALES (2)'!$C$134)+(((N69*2)+(M69*2))*'MATERIALES (2)'!$C$138)+(4*'MATERIALES (2)'!$C$137)+(((M69*5)*2)*'MATERIALES (2)'!$C$136)+(4*'MATERIALES (2)'!$C$135)+(1*'MATERIALES (2)'!$C$140)+(4*'MATERIALES (2)'!$C$139)+(9*'MATERIALES (2)'!$C$150)</f>
        <v>18274</v>
      </c>
      <c r="Q69" s="75"/>
      <c r="R69" s="39">
        <f>((M69*'MATERIALES (2)'!$C$22)*(N69/0.06))*'MATERIALES (2)'!$F$1</f>
        <v>182507.85000000003</v>
      </c>
      <c r="S69" s="38">
        <f t="shared" ref="S69:S72" si="7">SUM(O69:R69)</f>
        <v>341214.91900000005</v>
      </c>
      <c r="T69" s="49">
        <f t="shared" si="5"/>
        <v>614505.46363061643</v>
      </c>
    </row>
    <row r="70" spans="1:20" ht="15.75" hidden="1" thickBot="1">
      <c r="A70" s="42">
        <v>2</v>
      </c>
      <c r="B70" s="37">
        <v>2</v>
      </c>
      <c r="C70" s="38">
        <f>((((A70*2)+(B70*2))*'MATERIALES (2)'!$C$13)+((A70*2)*'MATERIALES (2)'!$C$6)+(A70*'MATERIALES (2)'!$C$9)+((B70*4)*'MATERIALES (2)'!$C$15)+(B70*'MATERIALES (2)'!$C$25))*'MATERIALES (2)'!$F$1</f>
        <v>122469.375</v>
      </c>
      <c r="D70" s="38">
        <f>(12*'MATERIALES (2)'!$C$126)+(12*'MATERIALES (2)'!$C$163)+((8*4)*'MATERIALES (2)'!$C$134)+(((B70*2)+(A70*2))*'MATERIALES (2)'!$C$138)+(4*'MATERIALES (2)'!$C$137)+(((A70*5)*2)*'MATERIALES (2)'!$C$136)+(4*'MATERIALES (2)'!$C$135)+(1*'MATERIALES (2)'!$C$140)+(2*'MATERIALES (2)'!$C$139)+(6*'MATERIALES (2)'!$C$150)</f>
        <v>12642</v>
      </c>
      <c r="E70" s="75"/>
      <c r="F70" s="39">
        <f>((A70*'MATERIALES (2)'!$C$22)*(B70/0.06))*'MATERIALES (2)'!$F$1</f>
        <v>202786.5</v>
      </c>
      <c r="G70" s="38">
        <f t="shared" si="6"/>
        <v>337897.875</v>
      </c>
      <c r="H70" s="49">
        <f t="shared" si="4"/>
        <v>608531.68714078132</v>
      </c>
      <c r="M70" s="42">
        <v>2</v>
      </c>
      <c r="N70" s="37">
        <v>2</v>
      </c>
      <c r="O70" s="38">
        <f>((((M70*2)+(N70*2))*'MATERIALES (2)'!$C$13)+((M70*2)*'MATERIALES (2)'!$C$6)+(M70*'MATERIALES (2)'!$C$9)+((N70*6)*'MATERIALES (2)'!$C$15)+((N70*2)*'MATERIALES (2)'!$C$25))*'MATERIALES (2)'!$F$1</f>
        <v>146279.70000000001</v>
      </c>
      <c r="P70" s="38">
        <f>(18*'MATERIALES (2)'!$C$126)+(18*'MATERIALES (2)'!$C$163)+((8*4)*'MATERIALES (2)'!$C$134)+(((N70*2)+(M70*2))*'MATERIALES (2)'!$C$138)+(4*'MATERIALES (2)'!$C$137)+(((M70*5)*2)*'MATERIALES (2)'!$C$136)+(4*'MATERIALES (2)'!$C$135)+(1*'MATERIALES (2)'!$C$140)+(4*'MATERIALES (2)'!$C$139)+(9*'MATERIALES (2)'!$C$150)</f>
        <v>18298</v>
      </c>
      <c r="Q70" s="75"/>
      <c r="R70" s="39">
        <f>((M70*'MATERIALES (2)'!$C$22)*(N70/0.06))*'MATERIALES (2)'!$F$1</f>
        <v>202786.5</v>
      </c>
      <c r="S70" s="38">
        <f t="shared" si="7"/>
        <v>367364.2</v>
      </c>
      <c r="T70" s="49">
        <f t="shared" si="5"/>
        <v>661598.58632175007</v>
      </c>
    </row>
    <row r="71" spans="1:20" ht="15.75" hidden="1" thickBot="1">
      <c r="A71" s="42">
        <v>2.4</v>
      </c>
      <c r="B71" s="37">
        <v>2</v>
      </c>
      <c r="C71" s="38">
        <f>((((A71*2)+(B71*2))*'MATERIALES (2)'!$C$13)+((A71*2)*'MATERIALES (2)'!$C$6)+(A71*'MATERIALES (2)'!$C$9)+((B71*4)*'MATERIALES (2)'!$C$15)+(B71*'MATERIALES (2)'!$C$25))*'MATERIALES (2)'!$F$1</f>
        <v>134162.63700000002</v>
      </c>
      <c r="D71" s="38">
        <f>(12*'MATERIALES (2)'!$C$126)+(12*'MATERIALES (2)'!$C$163)+((8*4)*'MATERIALES (2)'!$C$134)+(((B71*2)+(A71*2))*'MATERIALES (2)'!$C$138)+(4*'MATERIALES (2)'!$C$137)+(((A71*5)*2)*'MATERIALES (2)'!$C$136)+(4*'MATERIALES (2)'!$C$135)+(1*'MATERIALES (2)'!$C$140)+(2*'MATERIALES (2)'!$C$139)+(6*'MATERIALES (2)'!$C$150)</f>
        <v>12690</v>
      </c>
      <c r="E71" s="75"/>
      <c r="F71" s="39">
        <f>((A71*'MATERIALES (2)'!$C$22)*(B71/0.06))*'MATERIALES (2)'!$F$1</f>
        <v>243343.80000000005</v>
      </c>
      <c r="G71" s="38">
        <f t="shared" si="6"/>
        <v>390196.43700000003</v>
      </c>
      <c r="H71" s="49">
        <f t="shared" si="4"/>
        <v>702717.93252304883</v>
      </c>
      <c r="M71" s="42">
        <v>2.4</v>
      </c>
      <c r="N71" s="37">
        <v>2</v>
      </c>
      <c r="O71" s="38">
        <f>((((M71*2)+(N71*2))*'MATERIALES (2)'!$C$13)+((M71*2)*'MATERIALES (2)'!$C$6)+(M71*'MATERIALES (2)'!$C$9)+((N71*6)*'MATERIALES (2)'!$C$15)+((N71*2)*'MATERIALES (2)'!$C$25))*'MATERIALES (2)'!$F$1</f>
        <v>157972.962</v>
      </c>
      <c r="P71" s="38">
        <f>(18*'MATERIALES (2)'!$C$126)+(18*'MATERIALES (2)'!$C$163)+((8*4)*'MATERIALES (2)'!$C$134)+(((N71*2)+(M71*2))*'MATERIALES (2)'!$C$138)+(4*'MATERIALES (2)'!$C$137)+(((M71*5)*2)*'MATERIALES (2)'!$C$136)+(4*'MATERIALES (2)'!$C$135)+(1*'MATERIALES (2)'!$C$140)+(4*'MATERIALES (2)'!$C$139)+(9*'MATERIALES (2)'!$C$150)</f>
        <v>18346</v>
      </c>
      <c r="Q71" s="75"/>
      <c r="R71" s="39">
        <f>((M71*'MATERIALES (2)'!$C$22)*(N71/0.06))*'MATERIALES (2)'!$F$1</f>
        <v>243343.80000000005</v>
      </c>
      <c r="S71" s="38">
        <f t="shared" si="7"/>
        <v>419662.76200000005</v>
      </c>
      <c r="T71" s="49">
        <f t="shared" si="5"/>
        <v>755784.83170401771</v>
      </c>
    </row>
    <row r="72" spans="1:20" ht="15.75" hidden="1" thickBot="1">
      <c r="A72" s="44">
        <v>2.4</v>
      </c>
      <c r="B72" s="45">
        <v>2</v>
      </c>
      <c r="C72" s="50">
        <f>((((A72*2)+(B72*2))*'MATERIALES (2)'!$C$13)+((A72*2)*'MATERIALES (2)'!$C$6)+(A72*'MATERIALES (2)'!$C$9)+((B72*4)*'MATERIALES (2)'!$C$15)+(B72*'MATERIALES (2)'!$C$25))*'MATERIALES (2)'!$F$1</f>
        <v>134162.63700000002</v>
      </c>
      <c r="D72" s="50">
        <f>(12*'MATERIALES (2)'!$C$126)+(12*'MATERIALES (2)'!$C$163)+((8*4)*'MATERIALES (2)'!$C$134)+(((B72*2)+(A72*2))*'MATERIALES (2)'!$C$138)+(4*'MATERIALES (2)'!$C$137)+(((A72*5)*2)*'MATERIALES (2)'!$C$136)+(4*'MATERIALES (2)'!$C$135)+(1*'MATERIALES (2)'!$C$140)+(2*'MATERIALES (2)'!$C$139)+(6*'MATERIALES (2)'!$C$150)</f>
        <v>12690</v>
      </c>
      <c r="E72" s="76"/>
      <c r="F72" s="51">
        <f>((A72*'MATERIALES (2)'!$C$22)*(B72/0.06))*'MATERIALES (2)'!$F$1</f>
        <v>243343.80000000005</v>
      </c>
      <c r="G72" s="50">
        <f t="shared" si="6"/>
        <v>390196.43700000003</v>
      </c>
      <c r="H72" s="49">
        <f t="shared" si="4"/>
        <v>702717.93252304883</v>
      </c>
      <c r="M72" s="44">
        <v>2.4</v>
      </c>
      <c r="N72" s="45">
        <v>2</v>
      </c>
      <c r="O72" s="50">
        <f>((((M72*2)+(N72*2))*'MATERIALES (2)'!$C$13)+((M72*2)*'MATERIALES (2)'!$C$6)+(M72*'MATERIALES (2)'!$C$9)+((N72*6)*'MATERIALES (2)'!$C$15)+((N72*2)*'MATERIALES (2)'!$C$25))*'MATERIALES (2)'!$F$1</f>
        <v>157972.962</v>
      </c>
      <c r="P72" s="50">
        <f>(18*'MATERIALES (2)'!$C$126)+(18*'MATERIALES (2)'!$C$163)+((8*4)*'MATERIALES (2)'!$C$134)+(((N72*2)+(M72*2))*'MATERIALES (2)'!$C$138)+(4*'MATERIALES (2)'!$C$137)+(((M72*5)*2)*'MATERIALES (2)'!$C$136)+(4*'MATERIALES (2)'!$C$135)+(1*'MATERIALES (2)'!$C$140)+(4*'MATERIALES (2)'!$C$139)+(9*'MATERIALES (2)'!$C$150)</f>
        <v>18346</v>
      </c>
      <c r="Q72" s="76"/>
      <c r="R72" s="51">
        <f>((M72*'MATERIALES (2)'!$C$22)*(N72/0.06))*'MATERIALES (2)'!$F$1</f>
        <v>243343.80000000005</v>
      </c>
      <c r="S72" s="50">
        <f t="shared" si="7"/>
        <v>419662.76200000005</v>
      </c>
      <c r="T72" s="49">
        <f t="shared" si="5"/>
        <v>755784.83170401771</v>
      </c>
    </row>
    <row r="73" spans="1:20" hidden="1"/>
    <row r="74" spans="1:20" ht="15.75" hidden="1" thickBot="1"/>
    <row r="75" spans="1:20" s="77" customFormat="1" hidden="1">
      <c r="A75" s="855" t="s">
        <v>182</v>
      </c>
      <c r="B75" s="856"/>
      <c r="C75" s="856"/>
      <c r="D75" s="856"/>
      <c r="E75" s="856"/>
      <c r="F75" s="856"/>
      <c r="G75" s="856"/>
      <c r="H75" s="856"/>
      <c r="I75" s="856"/>
      <c r="J75" s="856"/>
      <c r="K75" s="856"/>
      <c r="L75" s="856"/>
      <c r="M75" s="856"/>
      <c r="N75" s="856"/>
      <c r="O75" s="856"/>
      <c r="P75" s="856"/>
      <c r="Q75" s="856"/>
      <c r="R75" s="856"/>
      <c r="S75" s="856"/>
      <c r="T75" s="857"/>
    </row>
    <row r="76" spans="1:20" s="77" customFormat="1" ht="15.75" hidden="1" thickBot="1">
      <c r="A76" s="858"/>
      <c r="B76" s="859"/>
      <c r="C76" s="859"/>
      <c r="D76" s="859"/>
      <c r="E76" s="859"/>
      <c r="F76" s="859"/>
      <c r="G76" s="859"/>
      <c r="H76" s="859"/>
      <c r="I76" s="859"/>
      <c r="J76" s="859"/>
      <c r="K76" s="859"/>
      <c r="L76" s="859"/>
      <c r="M76" s="859"/>
      <c r="N76" s="859"/>
      <c r="O76" s="859"/>
      <c r="P76" s="859"/>
      <c r="Q76" s="859"/>
      <c r="R76" s="859"/>
      <c r="S76" s="859"/>
      <c r="T76" s="860"/>
    </row>
    <row r="77" spans="1:20" hidden="1"/>
    <row r="78" spans="1:20" ht="15.75" hidden="1" thickBot="1"/>
    <row r="79" spans="1:20" ht="15.75" hidden="1" thickBot="1">
      <c r="C79" s="807">
        <v>1.4</v>
      </c>
      <c r="D79" s="808"/>
      <c r="E79" s="808"/>
      <c r="F79" s="809"/>
      <c r="H79" s="46" t="s">
        <v>163</v>
      </c>
      <c r="M79" s="32"/>
      <c r="N79" s="32"/>
      <c r="O79" s="807">
        <v>1.4</v>
      </c>
      <c r="P79" s="808"/>
      <c r="Q79" s="808"/>
      <c r="R79" s="809"/>
      <c r="S79" s="32"/>
      <c r="T79" s="46" t="s">
        <v>163</v>
      </c>
    </row>
    <row r="80" spans="1:20" ht="15.75" hidden="1" thickBot="1">
      <c r="A80" s="792" t="s">
        <v>173</v>
      </c>
      <c r="B80" s="793"/>
      <c r="C80" s="793"/>
      <c r="D80" s="793"/>
      <c r="E80" s="793"/>
      <c r="F80" s="793"/>
      <c r="G80" s="793"/>
      <c r="H80" s="794"/>
      <c r="M80" s="792" t="s">
        <v>176</v>
      </c>
      <c r="N80" s="793"/>
      <c r="O80" s="793"/>
      <c r="P80" s="793"/>
      <c r="Q80" s="793"/>
      <c r="R80" s="793"/>
      <c r="S80" s="793"/>
      <c r="T80" s="794"/>
    </row>
    <row r="81" spans="1:20" ht="15.75" hidden="1" thickBot="1">
      <c r="A81" s="36" t="s">
        <v>116</v>
      </c>
      <c r="B81" s="36" t="s">
        <v>117</v>
      </c>
      <c r="C81" s="36" t="s">
        <v>162</v>
      </c>
      <c r="D81" s="36" t="s">
        <v>119</v>
      </c>
      <c r="E81" s="36" t="s">
        <v>120</v>
      </c>
      <c r="F81" s="36" t="s">
        <v>181</v>
      </c>
      <c r="G81" s="36" t="s">
        <v>121</v>
      </c>
      <c r="H81" s="36" t="s">
        <v>122</v>
      </c>
      <c r="M81" s="36" t="s">
        <v>116</v>
      </c>
      <c r="N81" s="36" t="s">
        <v>117</v>
      </c>
      <c r="O81" s="36" t="s">
        <v>162</v>
      </c>
      <c r="P81" s="36" t="s">
        <v>119</v>
      </c>
      <c r="Q81" s="36" t="s">
        <v>120</v>
      </c>
      <c r="R81" s="36" t="s">
        <v>181</v>
      </c>
      <c r="S81" s="36" t="s">
        <v>121</v>
      </c>
      <c r="T81" s="36" t="s">
        <v>122</v>
      </c>
    </row>
    <row r="82" spans="1:20" ht="15.75" hidden="1" thickBot="1">
      <c r="A82" s="795"/>
      <c r="B82" s="796"/>
      <c r="C82" s="796"/>
      <c r="D82" s="796"/>
      <c r="E82" s="796"/>
      <c r="F82" s="796"/>
      <c r="G82" s="796"/>
      <c r="H82" s="797"/>
      <c r="M82" s="795"/>
      <c r="N82" s="796"/>
      <c r="O82" s="796"/>
      <c r="P82" s="796"/>
      <c r="Q82" s="796"/>
      <c r="R82" s="796"/>
      <c r="S82" s="796"/>
      <c r="T82" s="797"/>
    </row>
    <row r="83" spans="1:20" ht="15.75" hidden="1" thickBot="1">
      <c r="A83" s="40">
        <v>0.6</v>
      </c>
      <c r="B83" s="41">
        <v>0.4</v>
      </c>
      <c r="C83" s="47">
        <f>((((A83*2)+(B83*2))*'MATERIALES (2)'!$C$13)+((A83*2)*'MATERIALES (2)'!$C$6)+((B83*4)*'MATERIALES (2)'!$C$15)+(B83*'MATERIALES (2)'!$C$25))*'MATERIALES (2)'!$F$1</f>
        <v>24803.751</v>
      </c>
      <c r="D83" s="58">
        <f>(8*'MATERIALES (2)'!$C$126)+(8*'MATERIALES (2)'!$C$163)+((8*4)*'MATERIALES (2)'!$C$134)+(((B83*2)+(A83*2))*'MATERIALES (2)'!$C$138)+(4*'MATERIALES (2)'!$C$137)+(((A83*5)*2)*'MATERIALES (2)'!$C$136)+(4*'MATERIALES (2)'!$C$135)+(1*'MATERIALES (2)'!$C$140)+(2*'MATERIALES (2)'!$C$139)+(4*'MATERIALES (2)'!$C$150)</f>
        <v>9578</v>
      </c>
      <c r="E83" s="74"/>
      <c r="F83" s="54">
        <f>(((A83*'MATERIALES (2)'!$C$22)*(B83/0.06))*'MATERIALES (2)'!$F$1)+((A83*'MATERIALES (2)'!$C$29)*(B83/0.06))</f>
        <v>12366.194975124379</v>
      </c>
      <c r="G83" s="47">
        <f>SUM(C83:F83)</f>
        <v>46747.945975124385</v>
      </c>
      <c r="H83" s="49">
        <f>((((G83*$C$79))*1.21)*1.05)*1.05</f>
        <v>87308.100081251439</v>
      </c>
      <c r="M83" s="40">
        <v>0.6</v>
      </c>
      <c r="N83" s="41">
        <v>0.4</v>
      </c>
      <c r="O83" s="58">
        <f>((((M83*2)+(N83*2))*'MATERIALES (2)'!$C$13)+((M83*2)*'MATERIALES (2)'!$C$6)+((N83*6)*'MATERIALES (2)'!$C$15)+(N83*'MATERIALES (2)'!$C$25))*'MATERIALES (2)'!$F$2</f>
        <v>28330.869000000002</v>
      </c>
      <c r="P83" s="58">
        <f>(12*'MATERIALES (2)'!$C$126)+(12*'MATERIALES (2)'!$C$163)+((8*4)*'MATERIALES (2)'!$C$134)+(((N83*2)+(M83*2))*'MATERIALES (2)'!$C$138)+(4*'MATERIALES (2)'!$C$137)+(((M83*5)*2)*'MATERIALES (2)'!$C$136)+(4*'MATERIALES (2)'!$C$135)+(1*'MATERIALES (2)'!$C$140)+(4*'MATERIALES (2)'!$C$139)+(6*'MATERIALES (2)'!$C$150)</f>
        <v>13882</v>
      </c>
      <c r="Q83" s="74"/>
      <c r="R83" s="54">
        <f>(((M83*'MATERIALES (2)'!$C$22)*(N83/0.06))*'MATERIALES (2)'!$F$1)+((M83*'MATERIALES (2)'!$C$29)*(N83/0.06))</f>
        <v>12366.194975124379</v>
      </c>
      <c r="S83" s="58">
        <f>SUM(O83:R83)</f>
        <v>54579.063975124387</v>
      </c>
      <c r="T83" s="67">
        <f>((((S83*$O$79))*1.21)*1.05)*1.05</f>
        <v>101933.77014718142</v>
      </c>
    </row>
    <row r="84" spans="1:20" ht="15.75" hidden="1" thickBot="1">
      <c r="A84" s="42">
        <v>0.6</v>
      </c>
      <c r="B84" s="37">
        <v>0.6</v>
      </c>
      <c r="C84" s="38">
        <f>((((A84*2)+(B84*2))*'MATERIALES (2)'!$C$13)+((A84*2)*'MATERIALES (2)'!$C$6)+((B84*4)*'MATERIALES (2)'!$C$15)+(B84*'MATERIALES (2)'!$C$25))*'MATERIALES (2)'!$F$1</f>
        <v>31204.057499999999</v>
      </c>
      <c r="D84" s="59">
        <f>(8*'MATERIALES (2)'!$C$126)+(8*'MATERIALES (2)'!$C$163)+((8*4)*'MATERIALES (2)'!$C$134)+(((B84*2)+(A84*2))*'MATERIALES (2)'!$C$138)+(4*'MATERIALES (2)'!$C$137)+(((A84*5)*2)*'MATERIALES (2)'!$C$136)+(4*'MATERIALES (2)'!$C$135)+(1*'MATERIALES (2)'!$C$140)+(2*'MATERIALES (2)'!$C$139)+(4*'MATERIALES (2)'!$C$150)</f>
        <v>9602</v>
      </c>
      <c r="E84" s="75"/>
      <c r="F84" s="55">
        <f>(((A84*'MATERIALES (2)'!$C$22)*(B84/0.06))*'MATERIALES (2)'!$F$1)+((A84*'MATERIALES (2)'!$C$29)*(B84/0.06))</f>
        <v>18549.292462686568</v>
      </c>
      <c r="G84" s="38">
        <f t="shared" ref="G84:G134" si="8">SUM(C84:F84)</f>
        <v>59355.349962686567</v>
      </c>
      <c r="H84" s="49">
        <f t="shared" ref="H84:H136" si="9">((((G84*$C$79))*1.21)*1.05)*1.05</f>
        <v>110854.12902756213</v>
      </c>
      <c r="M84" s="42">
        <v>0.6</v>
      </c>
      <c r="N84" s="37">
        <v>0.6</v>
      </c>
      <c r="O84" s="59">
        <f>((((M84*2)+(N84*2))*'MATERIALES (2)'!$C$13)+((M84*2)*'MATERIALES (2)'!$C$6)+((N84*6)*'MATERIALES (2)'!$C$15)+(N84*'MATERIALES (2)'!$C$25))*'MATERIALES (2)'!$F$2</f>
        <v>36494.734499999999</v>
      </c>
      <c r="P84" s="59">
        <f>(12*'MATERIALES (2)'!$C$126)+(12*'MATERIALES (2)'!$C$163)+((8*4)*'MATERIALES (2)'!$C$134)+(((N84*2)+(M84*2))*'MATERIALES (2)'!$C$138)+(4*'MATERIALES (2)'!$C$137)+(((M84*5)*2)*'MATERIALES (2)'!$C$136)+(4*'MATERIALES (2)'!$C$135)+(1*'MATERIALES (2)'!$C$140)+(4*'MATERIALES (2)'!$C$139)+(6*'MATERIALES (2)'!$C$150)</f>
        <v>13906</v>
      </c>
      <c r="Q84" s="75"/>
      <c r="R84" s="55">
        <f>(((M84*'MATERIALES (2)'!$C$22)*(N84/0.06))*'MATERIALES (2)'!$F$1)+((M84*'MATERIALES (2)'!$C$29)*(N84/0.06))</f>
        <v>18549.292462686568</v>
      </c>
      <c r="S84" s="59">
        <f t="shared" ref="S84:S133" si="10">SUM(O84:R84)</f>
        <v>68950.026962686563</v>
      </c>
      <c r="T84" s="67">
        <f t="shared" ref="T84:T136" si="11">((((S84*$O$79))*1.21)*1.05)*1.05</f>
        <v>128773.48360645711</v>
      </c>
    </row>
    <row r="85" spans="1:20" ht="15.75" hidden="1" thickBot="1">
      <c r="A85" s="42">
        <v>0.8</v>
      </c>
      <c r="B85" s="37">
        <v>0.4</v>
      </c>
      <c r="C85" s="38">
        <f>((((A85*2)+(B85*2))*'MATERIALES (2)'!$C$13)+((A85*2)*'MATERIALES (2)'!$C$6)+((B85*4)*'MATERIALES (2)'!$C$15)+(B85*'MATERIALES (2)'!$C$25))*'MATERIALES (2)'!$F$1</f>
        <v>28804.797000000006</v>
      </c>
      <c r="D85" s="59">
        <f>(8*'MATERIALES (2)'!$C$126)+(8*'MATERIALES (2)'!$C$163)+((8*4)*'MATERIALES (2)'!$C$134)+(((B85*2)+(A85*2))*'MATERIALES (2)'!$C$138)+(4*'MATERIALES (2)'!$C$137)+(((A85*5)*2)*'MATERIALES (2)'!$C$136)+(4*'MATERIALES (2)'!$C$135)+(1*'MATERIALES (2)'!$C$140)+(2*'MATERIALES (2)'!$C$139)+(4*'MATERIALES (2)'!$C$150)</f>
        <v>9602</v>
      </c>
      <c r="E85" s="75"/>
      <c r="F85" s="55">
        <f>(((A85*'MATERIALES (2)'!$C$22)*(B85/0.06))*'MATERIALES (2)'!$F$1)+((A85*'MATERIALES (2)'!$C$29)*(B85/0.06))</f>
        <v>16488.259966832506</v>
      </c>
      <c r="G85" s="38">
        <f t="shared" si="8"/>
        <v>54895.056966832512</v>
      </c>
      <c r="H85" s="49">
        <f t="shared" si="9"/>
        <v>102523.92971825023</v>
      </c>
      <c r="M85" s="42">
        <v>0.8</v>
      </c>
      <c r="N85" s="37">
        <v>0.4</v>
      </c>
      <c r="O85" s="59">
        <f>((((M85*2)+(N85*2))*'MATERIALES (2)'!$C$13)+((M85*2)*'MATERIALES (2)'!$C$6)+((N85*6)*'MATERIALES (2)'!$C$15)+(N85*'MATERIALES (2)'!$C$25))*'MATERIALES (2)'!$F$2</f>
        <v>32331.915000000005</v>
      </c>
      <c r="P85" s="59">
        <f>(12*'MATERIALES (2)'!$C$126)+(12*'MATERIALES (2)'!$C$163)+((8*4)*'MATERIALES (2)'!$C$134)+(((N85*2)+(M85*2))*'MATERIALES (2)'!$C$138)+(4*'MATERIALES (2)'!$C$137)+(((M85*5)*2)*'MATERIALES (2)'!$C$136)+(4*'MATERIALES (2)'!$C$135)+(1*'MATERIALES (2)'!$C$140)+(4*'MATERIALES (2)'!$C$139)+(6*'MATERIALES (2)'!$C$150)</f>
        <v>13906</v>
      </c>
      <c r="Q85" s="75"/>
      <c r="R85" s="55">
        <f>(((M85*'MATERIALES (2)'!$C$22)*(N85/0.06))*'MATERIALES (2)'!$F$1)+((M85*'MATERIALES (2)'!$C$29)*(N85/0.06))</f>
        <v>16488.259966832506</v>
      </c>
      <c r="S85" s="59">
        <f t="shared" si="10"/>
        <v>62726.174966832514</v>
      </c>
      <c r="T85" s="67">
        <f t="shared" si="11"/>
        <v>117149.59978418023</v>
      </c>
    </row>
    <row r="86" spans="1:20" ht="15.75" hidden="1" thickBot="1">
      <c r="A86" s="42">
        <v>0.8</v>
      </c>
      <c r="B86" s="37">
        <v>0.6</v>
      </c>
      <c r="C86" s="38">
        <f>((((A86*2)+(B86*2))*'MATERIALES (2)'!$C$13)+((A86*2)*'MATERIALES (2)'!$C$6)+((B86*4)*'MATERIALES (2)'!$C$15)+(B86*'MATERIALES (2)'!$C$25))*'MATERIALES (2)'!$F$1</f>
        <v>35205.103499999997</v>
      </c>
      <c r="D86" s="59">
        <f>(8*'MATERIALES (2)'!$C$126)+(8*'MATERIALES (2)'!$C$163)+((8*4)*'MATERIALES (2)'!$C$134)+(((B86*2)+(A86*2))*'MATERIALES (2)'!$C$138)+(4*'MATERIALES (2)'!$C$137)+(((A86*5)*2)*'MATERIALES (2)'!$C$136)+(4*'MATERIALES (2)'!$C$135)+(1*'MATERIALES (2)'!$C$140)+(2*'MATERIALES (2)'!$C$139)+(4*'MATERIALES (2)'!$C$150)</f>
        <v>9626</v>
      </c>
      <c r="E86" s="75"/>
      <c r="F86" s="55">
        <f>(((A86*'MATERIALES (2)'!$C$22)*(B86/0.06))*'MATERIALES (2)'!$F$1)+((A86*'MATERIALES (2)'!$C$29)*(B86/0.06))</f>
        <v>24732.389950248758</v>
      </c>
      <c r="G86" s="38">
        <f t="shared" si="8"/>
        <v>69563.493450248759</v>
      </c>
      <c r="H86" s="49">
        <f t="shared" si="9"/>
        <v>129919.21508995535</v>
      </c>
      <c r="M86" s="42">
        <v>0.8</v>
      </c>
      <c r="N86" s="37">
        <v>0.6</v>
      </c>
      <c r="O86" s="59">
        <f>((((M86*2)+(N86*2))*'MATERIALES (2)'!$C$13)+((M86*2)*'MATERIALES (2)'!$C$6)+((N86*6)*'MATERIALES (2)'!$C$15)+(N86*'MATERIALES (2)'!$C$25))*'MATERIALES (2)'!$F$2</f>
        <v>40495.780500000001</v>
      </c>
      <c r="P86" s="59">
        <f>(12*'MATERIALES (2)'!$C$126)+(12*'MATERIALES (2)'!$C$163)+((8*4)*'MATERIALES (2)'!$C$134)+(((N86*2)+(M86*2))*'MATERIALES (2)'!$C$138)+(4*'MATERIALES (2)'!$C$137)+(((M86*5)*2)*'MATERIALES (2)'!$C$136)+(4*'MATERIALES (2)'!$C$135)+(1*'MATERIALES (2)'!$C$140)+(4*'MATERIALES (2)'!$C$139)+(6*'MATERIALES (2)'!$C$150)</f>
        <v>13930</v>
      </c>
      <c r="Q86" s="75"/>
      <c r="R86" s="55">
        <f>(((M86*'MATERIALES (2)'!$C$22)*(N86/0.06))*'MATERIALES (2)'!$F$1)+((M86*'MATERIALES (2)'!$C$29)*(N86/0.06))</f>
        <v>24732.389950248758</v>
      </c>
      <c r="S86" s="59">
        <f t="shared" si="10"/>
        <v>79158.170450248756</v>
      </c>
      <c r="T86" s="67">
        <f t="shared" si="11"/>
        <v>147838.56966885031</v>
      </c>
    </row>
    <row r="87" spans="1:20" ht="15.75" hidden="1" thickBot="1">
      <c r="A87" s="42">
        <v>0.8</v>
      </c>
      <c r="B87" s="37">
        <v>0.8</v>
      </c>
      <c r="C87" s="38">
        <f>((((A87*2)+(B87*2))*'MATERIALES (2)'!$C$13)+((A87*2)*'MATERIALES (2)'!$C$6)+((B87*4)*'MATERIALES (2)'!$C$15)+(B87*'MATERIALES (2)'!$C$25))*'MATERIALES (2)'!$F$1</f>
        <v>41605.410000000003</v>
      </c>
      <c r="D87" s="59">
        <f>(8*'MATERIALES (2)'!$C$126)+(8*'MATERIALES (2)'!$C$163)+((8*4)*'MATERIALES (2)'!$C$134)+(((B87*2)+(A87*2))*'MATERIALES (2)'!$C$138)+(4*'MATERIALES (2)'!$C$137)+(((A87*5)*2)*'MATERIALES (2)'!$C$136)+(4*'MATERIALES (2)'!$C$135)+(1*'MATERIALES (2)'!$C$140)+(2*'MATERIALES (2)'!$C$139)+(4*'MATERIALES (2)'!$C$150)</f>
        <v>9650</v>
      </c>
      <c r="E87" s="75"/>
      <c r="F87" s="55">
        <f>(((A87*'MATERIALES (2)'!$C$22)*(B87/0.06))*'MATERIALES (2)'!$F$1)+((A87*'MATERIALES (2)'!$C$29)*(B87/0.06))</f>
        <v>32976.519933665011</v>
      </c>
      <c r="G87" s="38">
        <f t="shared" si="8"/>
        <v>84231.929933665015</v>
      </c>
      <c r="H87" s="49">
        <f t="shared" si="9"/>
        <v>157314.50046166044</v>
      </c>
      <c r="M87" s="42">
        <v>0.8</v>
      </c>
      <c r="N87" s="37">
        <v>0.8</v>
      </c>
      <c r="O87" s="59">
        <f>((((M87*2)+(N87*2))*'MATERIALES (2)'!$C$13)+((M87*2)*'MATERIALES (2)'!$C$6)+((N87*6)*'MATERIALES (2)'!$C$15)+(N87*'MATERIALES (2)'!$C$25))*'MATERIALES (2)'!$F$2</f>
        <v>48659.646000000001</v>
      </c>
      <c r="P87" s="59">
        <f>(12*'MATERIALES (2)'!$C$126)+(12*'MATERIALES (2)'!$C$163)+((8*4)*'MATERIALES (2)'!$C$134)+(((N87*2)+(M87*2))*'MATERIALES (2)'!$C$138)+(4*'MATERIALES (2)'!$C$137)+(((M87*5)*2)*'MATERIALES (2)'!$C$136)+(4*'MATERIALES (2)'!$C$135)+(1*'MATERIALES (2)'!$C$140)+(4*'MATERIALES (2)'!$C$139)+(6*'MATERIALES (2)'!$C$150)</f>
        <v>13954</v>
      </c>
      <c r="Q87" s="75"/>
      <c r="R87" s="55">
        <f>(((M87*'MATERIALES (2)'!$C$22)*(N87/0.06))*'MATERIALES (2)'!$F$1)+((M87*'MATERIALES (2)'!$C$29)*(N87/0.06))</f>
        <v>32976.519933665011</v>
      </c>
      <c r="S87" s="59">
        <f t="shared" si="10"/>
        <v>95590.165933665005</v>
      </c>
      <c r="T87" s="67">
        <f t="shared" si="11"/>
        <v>178527.53955352044</v>
      </c>
    </row>
    <row r="88" spans="1:20" ht="15.75" hidden="1" thickBot="1">
      <c r="A88" s="42">
        <v>1</v>
      </c>
      <c r="B88" s="37">
        <v>0.4</v>
      </c>
      <c r="C88" s="38">
        <f>((((A88*2)+(B88*2))*'MATERIALES (2)'!$C$13)+((A88*2)*'MATERIALES (2)'!$C$6)+((B88*4)*'MATERIALES (2)'!$C$15)+(B88*'MATERIALES (2)'!$C$25))*'MATERIALES (2)'!$F$1</f>
        <v>32805.843000000001</v>
      </c>
      <c r="D88" s="59">
        <f>(8*'MATERIALES (2)'!$C$126)+(8*'MATERIALES (2)'!$C$163)+((8*4)*'MATERIALES (2)'!$C$134)+(((B88*2)+(A88*2))*'MATERIALES (2)'!$C$138)+(4*'MATERIALES (2)'!$C$137)+(((A88*5)*2)*'MATERIALES (2)'!$C$136)+(4*'MATERIALES (2)'!$C$135)+(1*'MATERIALES (2)'!$C$140)+(2*'MATERIALES (2)'!$C$139)+(4*'MATERIALES (2)'!$C$150)</f>
        <v>9626</v>
      </c>
      <c r="E88" s="75"/>
      <c r="F88" s="55">
        <f>(((A88*'MATERIALES (2)'!$C$22)*(B88/0.06))*'MATERIALES (2)'!$F$1)+((A88*'MATERIALES (2)'!$C$29)*(B88/0.06))</f>
        <v>20610.32495854063</v>
      </c>
      <c r="G88" s="38">
        <f t="shared" si="8"/>
        <v>63042.167958540631</v>
      </c>
      <c r="H88" s="49">
        <f t="shared" si="9"/>
        <v>117739.75935524903</v>
      </c>
      <c r="M88" s="42">
        <v>1</v>
      </c>
      <c r="N88" s="37">
        <v>0.4</v>
      </c>
      <c r="O88" s="59">
        <f>((((M88*2)+(N88*2))*'MATERIALES (2)'!$C$13)+((M88*2)*'MATERIALES (2)'!$C$6)+((N88*6)*'MATERIALES (2)'!$C$15)+(N88*'MATERIALES (2)'!$C$25))*'MATERIALES (2)'!$F$2</f>
        <v>36332.961000000003</v>
      </c>
      <c r="P88" s="59">
        <f>(12*'MATERIALES (2)'!$C$126)+(12*'MATERIALES (2)'!$C$163)+((8*4)*'MATERIALES (2)'!$C$134)+(((N88*2)+(M88*2))*'MATERIALES (2)'!$C$138)+(4*'MATERIALES (2)'!$C$137)+(((M88*5)*2)*'MATERIALES (2)'!$C$136)+(4*'MATERIALES (2)'!$C$135)+(1*'MATERIALES (2)'!$C$140)+(4*'MATERIALES (2)'!$C$139)+(6*'MATERIALES (2)'!$C$150)</f>
        <v>13930</v>
      </c>
      <c r="Q88" s="75"/>
      <c r="R88" s="55">
        <f>(((M88*'MATERIALES (2)'!$C$22)*(N88/0.06))*'MATERIALES (2)'!$F$1)+((M88*'MATERIALES (2)'!$C$29)*(N88/0.06))</f>
        <v>20610.32495854063</v>
      </c>
      <c r="S88" s="59">
        <f t="shared" si="10"/>
        <v>70873.285958540626</v>
      </c>
      <c r="T88" s="67">
        <f t="shared" si="11"/>
        <v>132365.42942117903</v>
      </c>
    </row>
    <row r="89" spans="1:20" ht="15.75" hidden="1" thickBot="1">
      <c r="A89" s="42">
        <v>1</v>
      </c>
      <c r="B89" s="37">
        <v>0.6</v>
      </c>
      <c r="C89" s="38">
        <f>((((A89*2)+(B89*2))*'MATERIALES (2)'!$C$13)+((A89*2)*'MATERIALES (2)'!$C$6)+((B89*4)*'MATERIALES (2)'!$C$15)+(B89*'MATERIALES (2)'!$C$25))*'MATERIALES (2)'!$F$1</f>
        <v>39206.1495</v>
      </c>
      <c r="D89" s="59">
        <f>(8*'MATERIALES (2)'!$C$126)+(8*'MATERIALES (2)'!$C$163)+((8*4)*'MATERIALES (2)'!$C$134)+(((B89*2)+(A89*2))*'MATERIALES (2)'!$C$138)+(4*'MATERIALES (2)'!$C$137)+(((A89*5)*2)*'MATERIALES (2)'!$C$136)+(4*'MATERIALES (2)'!$C$135)+(1*'MATERIALES (2)'!$C$140)+(2*'MATERIALES (2)'!$C$139)+(4*'MATERIALES (2)'!$C$150)</f>
        <v>9650</v>
      </c>
      <c r="E89" s="75"/>
      <c r="F89" s="55">
        <f>(((A89*'MATERIALES (2)'!$C$22)*(B89/0.06))*'MATERIALES (2)'!$F$1)+((A89*'MATERIALES (2)'!$C$29)*(B89/0.06))</f>
        <v>30915.487437810945</v>
      </c>
      <c r="G89" s="38">
        <f t="shared" si="8"/>
        <v>79771.636937810952</v>
      </c>
      <c r="H89" s="49">
        <f t="shared" si="9"/>
        <v>148984.30115234855</v>
      </c>
      <c r="M89" s="42">
        <v>1</v>
      </c>
      <c r="N89" s="37">
        <v>0.6</v>
      </c>
      <c r="O89" s="59">
        <f>((((M89*2)+(N89*2))*'MATERIALES (2)'!$C$13)+((M89*2)*'MATERIALES (2)'!$C$6)+((N89*6)*'MATERIALES (2)'!$C$15)+(N89*'MATERIALES (2)'!$C$25))*'MATERIALES (2)'!$F$2</f>
        <v>44496.826499999996</v>
      </c>
      <c r="P89" s="59">
        <f>(12*'MATERIALES (2)'!$C$126)+(12*'MATERIALES (2)'!$C$163)+((8*4)*'MATERIALES (2)'!$C$134)+(((N89*2)+(M89*2))*'MATERIALES (2)'!$C$138)+(4*'MATERIALES (2)'!$C$137)+(((M89*5)*2)*'MATERIALES (2)'!$C$136)+(4*'MATERIALES (2)'!$C$135)+(1*'MATERIALES (2)'!$C$140)+(4*'MATERIALES (2)'!$C$139)+(6*'MATERIALES (2)'!$C$150)</f>
        <v>13954</v>
      </c>
      <c r="Q89" s="75"/>
      <c r="R89" s="55">
        <f>(((M89*'MATERIALES (2)'!$C$22)*(N89/0.06))*'MATERIALES (2)'!$F$1)+((M89*'MATERIALES (2)'!$C$29)*(N89/0.06))</f>
        <v>30915.487437810945</v>
      </c>
      <c r="S89" s="59">
        <f t="shared" si="10"/>
        <v>89366.313937810948</v>
      </c>
      <c r="T89" s="67">
        <f t="shared" si="11"/>
        <v>166903.65573124355</v>
      </c>
    </row>
    <row r="90" spans="1:20" ht="15.75" hidden="1" thickBot="1">
      <c r="A90" s="42">
        <v>1</v>
      </c>
      <c r="B90" s="37">
        <v>0.8</v>
      </c>
      <c r="C90" s="38">
        <f>((((A90*2)+(B90*2))*'MATERIALES (2)'!$C$13)+((A90*2)*'MATERIALES (2)'!$C$6)+((B90*4)*'MATERIALES (2)'!$C$15)+(B90*'MATERIALES (2)'!$C$25))*'MATERIALES (2)'!$F$1</f>
        <v>45606.456000000006</v>
      </c>
      <c r="D90" s="59">
        <f>(8*'MATERIALES (2)'!$C$126)+(8*'MATERIALES (2)'!$C$163)+((8*4)*'MATERIALES (2)'!$C$134)+(((B90*2)+(A90*2))*'MATERIALES (2)'!$C$138)+(4*'MATERIALES (2)'!$C$137)+(((A90*5)*2)*'MATERIALES (2)'!$C$136)+(4*'MATERIALES (2)'!$C$135)+(1*'MATERIALES (2)'!$C$140)+(2*'MATERIALES (2)'!$C$139)+(4*'MATERIALES (2)'!$C$150)</f>
        <v>9674</v>
      </c>
      <c r="E90" s="75"/>
      <c r="F90" s="55">
        <f>(((A90*'MATERIALES (2)'!$C$22)*(B90/0.06))*'MATERIALES (2)'!$F$1)+((A90*'MATERIALES (2)'!$C$29)*(B90/0.06))</f>
        <v>41220.64991708126</v>
      </c>
      <c r="G90" s="38">
        <f t="shared" si="8"/>
        <v>96501.105917081266</v>
      </c>
      <c r="H90" s="49">
        <f t="shared" si="9"/>
        <v>180228.84294944804</v>
      </c>
      <c r="M90" s="42">
        <v>1</v>
      </c>
      <c r="N90" s="37">
        <v>0.8</v>
      </c>
      <c r="O90" s="59">
        <f>((((M90*2)+(N90*2))*'MATERIALES (2)'!$C$13)+((M90*2)*'MATERIALES (2)'!$C$6)+((N90*6)*'MATERIALES (2)'!$C$15)+(N90*'MATERIALES (2)'!$C$25))*'MATERIALES (2)'!$F$2</f>
        <v>52660.69200000001</v>
      </c>
      <c r="P90" s="59">
        <f>(12*'MATERIALES (2)'!$C$126)+(12*'MATERIALES (2)'!$C$163)+((8*4)*'MATERIALES (2)'!$C$134)+(((N90*2)+(M90*2))*'MATERIALES (2)'!$C$138)+(4*'MATERIALES (2)'!$C$137)+(((M90*5)*2)*'MATERIALES (2)'!$C$136)+(4*'MATERIALES (2)'!$C$135)+(1*'MATERIALES (2)'!$C$140)+(4*'MATERIALES (2)'!$C$139)+(6*'MATERIALES (2)'!$C$150)</f>
        <v>13978</v>
      </c>
      <c r="Q90" s="75"/>
      <c r="R90" s="55">
        <f>(((M90*'MATERIALES (2)'!$C$22)*(N90/0.06))*'MATERIALES (2)'!$F$1)+((M90*'MATERIALES (2)'!$C$29)*(N90/0.06))</f>
        <v>41220.64991708126</v>
      </c>
      <c r="S90" s="59">
        <f t="shared" si="10"/>
        <v>107859.34191708127</v>
      </c>
      <c r="T90" s="67">
        <f t="shared" si="11"/>
        <v>201441.8820413081</v>
      </c>
    </row>
    <row r="91" spans="1:20" ht="15.75" hidden="1" thickBot="1">
      <c r="A91" s="42">
        <v>1</v>
      </c>
      <c r="B91" s="37">
        <v>1</v>
      </c>
      <c r="C91" s="38">
        <f>((((A91*2)+(B91*2))*'MATERIALES (2)'!$C$13)+((A91*2)*'MATERIALES (2)'!$C$6)+((B91*4)*'MATERIALES (2)'!$C$15)+(B91*'MATERIALES (2)'!$C$25))*'MATERIALES (2)'!$F$1</f>
        <v>52006.762500000004</v>
      </c>
      <c r="D91" s="59">
        <f>(8*'MATERIALES (2)'!$C$126)+(8*'MATERIALES (2)'!$C$163)+((8*4)*'MATERIALES (2)'!$C$134)+(((B91*2)+(A91*2))*'MATERIALES (2)'!$C$138)+(4*'MATERIALES (2)'!$C$137)+(((A91*5)*2)*'MATERIALES (2)'!$C$136)+(4*'MATERIALES (2)'!$C$135)+(1*'MATERIALES (2)'!$C$140)+(2*'MATERIALES (2)'!$C$139)+(4*'MATERIALES (2)'!$C$150)</f>
        <v>9698</v>
      </c>
      <c r="E91" s="75"/>
      <c r="F91" s="55">
        <f>(((A91*'MATERIALES (2)'!$C$22)*(B91/0.06))*'MATERIALES (2)'!$F$1)+((A91*'MATERIALES (2)'!$C$29)*(B91/0.06))</f>
        <v>51525.812396351575</v>
      </c>
      <c r="G91" s="38">
        <f t="shared" si="8"/>
        <v>113230.57489635158</v>
      </c>
      <c r="H91" s="49">
        <f t="shared" si="9"/>
        <v>211473.38474654756</v>
      </c>
      <c r="M91" s="42">
        <v>1</v>
      </c>
      <c r="N91" s="37">
        <v>1</v>
      </c>
      <c r="O91" s="59">
        <f>((((M91*2)+(N91*2))*'MATERIALES (2)'!$C$13)+((M91*2)*'MATERIALES (2)'!$C$6)+((N91*6)*'MATERIALES (2)'!$C$15)+(N91*'MATERIALES (2)'!$C$25))*'MATERIALES (2)'!$F$2</f>
        <v>60824.557499999995</v>
      </c>
      <c r="P91" s="59">
        <f>(12*'MATERIALES (2)'!$C$126)+(12*'MATERIALES (2)'!$C$163)+((8*4)*'MATERIALES (2)'!$C$134)+(((N91*2)+(M91*2))*'MATERIALES (2)'!$C$138)+(4*'MATERIALES (2)'!$C$137)+(((M91*5)*2)*'MATERIALES (2)'!$C$136)+(4*'MATERIALES (2)'!$C$135)+(1*'MATERIALES (2)'!$C$140)+(4*'MATERIALES (2)'!$C$139)+(6*'MATERIALES (2)'!$C$150)</f>
        <v>14002</v>
      </c>
      <c r="Q91" s="75"/>
      <c r="R91" s="55">
        <f>(((M91*'MATERIALES (2)'!$C$22)*(N91/0.06))*'MATERIALES (2)'!$F$1)+((M91*'MATERIALES (2)'!$C$29)*(N91/0.06))</f>
        <v>51525.812396351575</v>
      </c>
      <c r="S91" s="59">
        <f t="shared" si="10"/>
        <v>126352.36989635156</v>
      </c>
      <c r="T91" s="67">
        <f t="shared" si="11"/>
        <v>235980.10835137256</v>
      </c>
    </row>
    <row r="92" spans="1:20" ht="15.75" hidden="1" thickBot="1">
      <c r="A92" s="42">
        <v>1</v>
      </c>
      <c r="B92" s="37">
        <v>1.1000000000000001</v>
      </c>
      <c r="C92" s="38">
        <f>((((A92*2)+(B92*2))*'MATERIALES (2)'!$C$13)+((A92*2)*'MATERIALES (2)'!$C$6)+((B92*4)*'MATERIALES (2)'!$C$15)+(B92*'MATERIALES (2)'!$C$25))*'MATERIALES (2)'!$F$1</f>
        <v>55206.91575</v>
      </c>
      <c r="D92" s="59">
        <f>(8*'MATERIALES (2)'!$C$126)+(8*'MATERIALES (2)'!$C$163)+((8*4)*'MATERIALES (2)'!$C$134)+(((B92*2)+(A92*2))*'MATERIALES (2)'!$C$138)+(4*'MATERIALES (2)'!$C$137)+(((A92*5)*2)*'MATERIALES (2)'!$C$136)+(4*'MATERIALES (2)'!$C$135)+(1*'MATERIALES (2)'!$C$140)+(2*'MATERIALES (2)'!$C$139)+(4*'MATERIALES (2)'!$C$150)</f>
        <v>9710</v>
      </c>
      <c r="E92" s="75"/>
      <c r="F92" s="55">
        <f>(((A92*'MATERIALES (2)'!$C$22)*(B92/0.06))*'MATERIALES (2)'!$F$1)+((A92*'MATERIALES (2)'!$C$29)*(B92/0.06))</f>
        <v>56678.393635986744</v>
      </c>
      <c r="G92" s="38">
        <f t="shared" si="8"/>
        <v>121595.30938598674</v>
      </c>
      <c r="H92" s="49">
        <f t="shared" si="9"/>
        <v>227095.65564509731</v>
      </c>
      <c r="M92" s="42">
        <v>1</v>
      </c>
      <c r="N92" s="37">
        <v>1.1000000000000001</v>
      </c>
      <c r="O92" s="59">
        <f>((((M92*2)+(N92*2))*'MATERIALES (2)'!$C$13)+((M92*2)*'MATERIALES (2)'!$C$6)+((N92*6)*'MATERIALES (2)'!$C$15)+(N92*'MATERIALES (2)'!$C$25))*'MATERIALES (2)'!$F$2</f>
        <v>64906.490250000003</v>
      </c>
      <c r="P92" s="59">
        <f>(12*'MATERIALES (2)'!$C$126)+(12*'MATERIALES (2)'!$C$163)+((8*4)*'MATERIALES (2)'!$C$134)+(((N92*2)+(M92*2))*'MATERIALES (2)'!$C$138)+(4*'MATERIALES (2)'!$C$137)+(((M92*5)*2)*'MATERIALES (2)'!$C$136)+(4*'MATERIALES (2)'!$C$135)+(1*'MATERIALES (2)'!$C$140)+(4*'MATERIALES (2)'!$C$139)+(6*'MATERIALES (2)'!$C$150)</f>
        <v>14014</v>
      </c>
      <c r="Q92" s="75"/>
      <c r="R92" s="55">
        <f>(((M92*'MATERIALES (2)'!$C$22)*(N92/0.06))*'MATERIALES (2)'!$F$1)+((M92*'MATERIALES (2)'!$C$29)*(N92/0.06))</f>
        <v>56678.393635986744</v>
      </c>
      <c r="S92" s="59">
        <f t="shared" si="10"/>
        <v>135598.88388598675</v>
      </c>
      <c r="T92" s="67">
        <f t="shared" si="11"/>
        <v>253249.22150640489</v>
      </c>
    </row>
    <row r="93" spans="1:20" ht="15.75" hidden="1" thickBot="1">
      <c r="A93" s="42">
        <v>1</v>
      </c>
      <c r="B93" s="37">
        <v>1.2</v>
      </c>
      <c r="C93" s="38">
        <f>((((A93*2)+(B93*2))*'MATERIALES (2)'!$C$13)+((A93*2)*'MATERIALES (2)'!$C$6)+((B93*4)*'MATERIALES (2)'!$C$15)+(B93*'MATERIALES (2)'!$C$25))*'MATERIALES (2)'!$F$1</f>
        <v>58407.068999999996</v>
      </c>
      <c r="D93" s="59">
        <f>(8*'MATERIALES (2)'!$C$126)+(8*'MATERIALES (2)'!$C$163)+((8*4)*'MATERIALES (2)'!$C$134)+(((B93*2)+(A93*2))*'MATERIALES (2)'!$C$138)+(4*'MATERIALES (2)'!$C$137)+(((A93*5)*2)*'MATERIALES (2)'!$C$136)+(4*'MATERIALES (2)'!$C$135)+(1*'MATERIALES (2)'!$C$140)+(2*'MATERIALES (2)'!$C$139)+(4*'MATERIALES (2)'!$C$150)</f>
        <v>9722</v>
      </c>
      <c r="E93" s="75"/>
      <c r="F93" s="55">
        <f>(((A93*'MATERIALES (2)'!$C$22)*(B93/0.06))*'MATERIALES (2)'!$F$1)+((A93*'MATERIALES (2)'!$C$29)*(B93/0.06))</f>
        <v>61830.974875621891</v>
      </c>
      <c r="G93" s="38">
        <f t="shared" si="8"/>
        <v>129960.04387562188</v>
      </c>
      <c r="H93" s="49">
        <f t="shared" si="9"/>
        <v>242717.92654364707</v>
      </c>
      <c r="M93" s="42">
        <v>1</v>
      </c>
      <c r="N93" s="37">
        <v>1.2</v>
      </c>
      <c r="O93" s="59">
        <f>((((M93*2)+(N93*2))*'MATERIALES (2)'!$C$13)+((M93*2)*'MATERIALES (2)'!$C$6)+((N93*6)*'MATERIALES (2)'!$C$15)+(N93*'MATERIALES (2)'!$C$25))*'MATERIALES (2)'!$F$2</f>
        <v>68988.422999999995</v>
      </c>
      <c r="P93" s="59">
        <f>(12*'MATERIALES (2)'!$C$126)+(12*'MATERIALES (2)'!$C$163)+((8*4)*'MATERIALES (2)'!$C$134)+(((N93*2)+(M93*2))*'MATERIALES (2)'!$C$138)+(4*'MATERIALES (2)'!$C$137)+(((M93*5)*2)*'MATERIALES (2)'!$C$136)+(4*'MATERIALES (2)'!$C$135)+(1*'MATERIALES (2)'!$C$140)+(4*'MATERIALES (2)'!$C$139)+(6*'MATERIALES (2)'!$C$150)</f>
        <v>14026</v>
      </c>
      <c r="Q93" s="75"/>
      <c r="R93" s="55">
        <f>(((M93*'MATERIALES (2)'!$C$22)*(N93/0.06))*'MATERIALES (2)'!$F$1)+((M93*'MATERIALES (2)'!$C$29)*(N93/0.06))</f>
        <v>61830.974875621891</v>
      </c>
      <c r="S93" s="59">
        <f t="shared" si="10"/>
        <v>144845.39787562189</v>
      </c>
      <c r="T93" s="67">
        <f t="shared" si="11"/>
        <v>270518.33466143708</v>
      </c>
    </row>
    <row r="94" spans="1:20" ht="15.75" hidden="1" thickBot="1">
      <c r="A94" s="42">
        <v>1</v>
      </c>
      <c r="B94" s="37">
        <v>1.5</v>
      </c>
      <c r="C94" s="38">
        <f>((((A94*2)+(B94*2))*'MATERIALES (2)'!$C$13)+((A94*2)*'MATERIALES (2)'!$C$6)+((B94*4)*'MATERIALES (2)'!$C$15)+(B94*'MATERIALES (2)'!$C$25))*'MATERIALES (2)'!$F$1</f>
        <v>68007.528750000012</v>
      </c>
      <c r="D94" s="59">
        <f>(8*'MATERIALES (2)'!$C$126)+(8*'MATERIALES (2)'!$C$163)+((8*4)*'MATERIALES (2)'!$C$134)+(((B94*2)+(A94*2))*'MATERIALES (2)'!$C$138)+(4*'MATERIALES (2)'!$C$137)+(((A94*5)*2)*'MATERIALES (2)'!$C$136)+(4*'MATERIALES (2)'!$C$135)+(1*'MATERIALES (2)'!$C$140)+(2*'MATERIALES (2)'!$C$139)+(4*'MATERIALES (2)'!$C$150)</f>
        <v>9758</v>
      </c>
      <c r="E94" s="75"/>
      <c r="F94" s="55">
        <f>(((A94*'MATERIALES (2)'!$C$22)*(B94/0.06))*'MATERIALES (2)'!$F$1)+((A94*'MATERIALES (2)'!$C$29)*(B94/0.06))</f>
        <v>77288.718594527381</v>
      </c>
      <c r="G94" s="38">
        <f t="shared" si="8"/>
        <v>155054.24734452739</v>
      </c>
      <c r="H94" s="49">
        <f t="shared" si="9"/>
        <v>289584.73923929647</v>
      </c>
      <c r="M94" s="42">
        <v>1</v>
      </c>
      <c r="N94" s="37">
        <v>1.5</v>
      </c>
      <c r="O94" s="59">
        <f>((((M94*2)+(N94*2))*'MATERIALES (2)'!$C$13)+((M94*2)*'MATERIALES (2)'!$C$6)+((N94*6)*'MATERIALES (2)'!$C$15)+(N94*'MATERIALES (2)'!$C$25))*'MATERIALES (2)'!$F$2</f>
        <v>81234.221250000002</v>
      </c>
      <c r="P94" s="59">
        <f>(12*'MATERIALES (2)'!$C$126)+(12*'MATERIALES (2)'!$C$163)+((8*4)*'MATERIALES (2)'!$C$134)+(((N94*2)+(M94*2))*'MATERIALES (2)'!$C$138)+(4*'MATERIALES (2)'!$C$137)+(((M94*5)*2)*'MATERIALES (2)'!$C$136)+(4*'MATERIALES (2)'!$C$135)+(1*'MATERIALES (2)'!$C$140)+(4*'MATERIALES (2)'!$C$139)+(6*'MATERIALES (2)'!$C$150)</f>
        <v>14062</v>
      </c>
      <c r="Q94" s="75"/>
      <c r="R94" s="55">
        <f>(((M94*'MATERIALES (2)'!$C$22)*(N94/0.06))*'MATERIALES (2)'!$F$1)+((M94*'MATERIALES (2)'!$C$29)*(N94/0.06))</f>
        <v>77288.718594527381</v>
      </c>
      <c r="S94" s="59">
        <f t="shared" si="10"/>
        <v>172584.9398445274</v>
      </c>
      <c r="T94" s="67">
        <f t="shared" si="11"/>
        <v>322325.67412653391</v>
      </c>
    </row>
    <row r="95" spans="1:20" ht="15.75" hidden="1" thickBot="1">
      <c r="A95" s="42">
        <v>1.2</v>
      </c>
      <c r="B95" s="37">
        <v>0.4</v>
      </c>
      <c r="C95" s="38">
        <f>((((A95*2)+(B95*2))*'MATERIALES (2)'!$C$13)+((A95*2)*'MATERIALES (2)'!$C$6)+((B95*4)*'MATERIALES (2)'!$C$15)+(B95*'MATERIALES (2)'!$C$25))*'MATERIALES (2)'!$F$1</f>
        <v>36806.889000000003</v>
      </c>
      <c r="D95" s="59">
        <f>(8*'MATERIALES (2)'!$C$126)+(8*'MATERIALES (2)'!$C$163)+((8*4)*'MATERIALES (2)'!$C$134)+(((B95*2)+(A95*2))*'MATERIALES (2)'!$C$138)+(4*'MATERIALES (2)'!$C$137)+(((A95*5)*2)*'MATERIALES (2)'!$C$136)+(4*'MATERIALES (2)'!$C$135)+(1*'MATERIALES (2)'!$C$140)+(2*'MATERIALES (2)'!$C$139)+(4*'MATERIALES (2)'!$C$150)</f>
        <v>9650</v>
      </c>
      <c r="E95" s="75"/>
      <c r="F95" s="55">
        <f>(((A95*'MATERIALES (2)'!$C$22)*(B95/0.06))*'MATERIALES (2)'!$F$1)+((A95*'MATERIALES (2)'!$C$29)*(B95/0.06))</f>
        <v>24732.389950248758</v>
      </c>
      <c r="G95" s="38">
        <f t="shared" si="8"/>
        <v>71189.278950248758</v>
      </c>
      <c r="H95" s="49">
        <f t="shared" si="9"/>
        <v>132955.58899224782</v>
      </c>
      <c r="M95" s="42">
        <v>1.2</v>
      </c>
      <c r="N95" s="37">
        <v>0.4</v>
      </c>
      <c r="O95" s="59">
        <f>((((M95*2)+(N95*2))*'MATERIALES (2)'!$C$13)+((M95*2)*'MATERIALES (2)'!$C$6)+((N95*6)*'MATERIALES (2)'!$C$15)+(N95*'MATERIALES (2)'!$C$25))*'MATERIALES (2)'!$F$2</f>
        <v>40334.007000000005</v>
      </c>
      <c r="P95" s="59">
        <f>(12*'MATERIALES (2)'!$C$126)+(12*'MATERIALES (2)'!$C$163)+((8*4)*'MATERIALES (2)'!$C$134)+(((N95*2)+(M95*2))*'MATERIALES (2)'!$C$138)+(4*'MATERIALES (2)'!$C$137)+(((M95*5)*2)*'MATERIALES (2)'!$C$136)+(4*'MATERIALES (2)'!$C$135)+(1*'MATERIALES (2)'!$C$140)+(4*'MATERIALES (2)'!$C$139)+(6*'MATERIALES (2)'!$C$150)</f>
        <v>13954</v>
      </c>
      <c r="Q95" s="75"/>
      <c r="R95" s="55">
        <f>(((M95*'MATERIALES (2)'!$C$22)*(N95/0.06))*'MATERIALES (2)'!$F$1)+((M95*'MATERIALES (2)'!$C$29)*(N95/0.06))</f>
        <v>24732.389950248758</v>
      </c>
      <c r="S95" s="59">
        <f t="shared" si="10"/>
        <v>79020.39695024876</v>
      </c>
      <c r="T95" s="67">
        <f t="shared" si="11"/>
        <v>147581.25905817785</v>
      </c>
    </row>
    <row r="96" spans="1:20" ht="15.75" hidden="1" thickBot="1">
      <c r="A96" s="42">
        <v>1.2</v>
      </c>
      <c r="B96" s="37">
        <v>0.6</v>
      </c>
      <c r="C96" s="38">
        <f>((((A96*2)+(B96*2))*'MATERIALES (2)'!$C$13)+((A96*2)*'MATERIALES (2)'!$C$6)+((B96*4)*'MATERIALES (2)'!$C$15)+(B96*'MATERIALES (2)'!$C$25))*'MATERIALES (2)'!$F$1</f>
        <v>43207.195499999994</v>
      </c>
      <c r="D96" s="59">
        <f>(8*'MATERIALES (2)'!$C$126)+(8*'MATERIALES (2)'!$C$163)+((8*4)*'MATERIALES (2)'!$C$134)+(((B96*2)+(A96*2))*'MATERIALES (2)'!$C$138)+(4*'MATERIALES (2)'!$C$137)+(((A96*5)*2)*'MATERIALES (2)'!$C$136)+(4*'MATERIALES (2)'!$C$135)+(1*'MATERIALES (2)'!$C$140)+(2*'MATERIALES (2)'!$C$139)+(4*'MATERIALES (2)'!$C$150)</f>
        <v>9674</v>
      </c>
      <c r="E96" s="75"/>
      <c r="F96" s="55">
        <f>(((A96*'MATERIALES (2)'!$C$22)*(B96/0.06))*'MATERIALES (2)'!$F$1)+((A96*'MATERIALES (2)'!$C$29)*(B96/0.06))</f>
        <v>37098.584925373136</v>
      </c>
      <c r="G96" s="38">
        <f t="shared" si="8"/>
        <v>89979.78042537313</v>
      </c>
      <c r="H96" s="49">
        <f t="shared" si="9"/>
        <v>168049.38721474173</v>
      </c>
      <c r="M96" s="42">
        <v>1.2</v>
      </c>
      <c r="N96" s="37">
        <v>0.6</v>
      </c>
      <c r="O96" s="59">
        <f>((((M96*2)+(N96*2))*'MATERIALES (2)'!$C$13)+((M96*2)*'MATERIALES (2)'!$C$6)+((N96*6)*'MATERIALES (2)'!$C$15)+(N96*'MATERIALES (2)'!$C$25))*'MATERIALES (2)'!$F$2</f>
        <v>48497.872500000005</v>
      </c>
      <c r="P96" s="59">
        <f>(12*'MATERIALES (2)'!$C$126)+(12*'MATERIALES (2)'!$C$163)+((8*4)*'MATERIALES (2)'!$C$134)+(((N96*2)+(M96*2))*'MATERIALES (2)'!$C$138)+(4*'MATERIALES (2)'!$C$137)+(((M96*5)*2)*'MATERIALES (2)'!$C$136)+(4*'MATERIALES (2)'!$C$135)+(1*'MATERIALES (2)'!$C$140)+(4*'MATERIALES (2)'!$C$139)+(6*'MATERIALES (2)'!$C$150)</f>
        <v>13978</v>
      </c>
      <c r="Q96" s="75"/>
      <c r="R96" s="55">
        <f>(((M96*'MATERIALES (2)'!$C$22)*(N96/0.06))*'MATERIALES (2)'!$F$1)+((M96*'MATERIALES (2)'!$C$29)*(N96/0.06))</f>
        <v>37098.584925373136</v>
      </c>
      <c r="S96" s="59">
        <f t="shared" si="10"/>
        <v>99574.457425373141</v>
      </c>
      <c r="T96" s="67">
        <f t="shared" si="11"/>
        <v>185968.74179363676</v>
      </c>
    </row>
    <row r="97" spans="1:20" ht="15.75" hidden="1" thickBot="1">
      <c r="A97" s="42">
        <v>1.2</v>
      </c>
      <c r="B97" s="37">
        <v>0.8</v>
      </c>
      <c r="C97" s="38">
        <f>((((A97*2)+(B97*2))*'MATERIALES (2)'!$C$13)+((A97*2)*'MATERIALES (2)'!$C$6)+((B97*4)*'MATERIALES (2)'!$C$15)+(B97*'MATERIALES (2)'!$C$25))*'MATERIALES (2)'!$F$1</f>
        <v>49607.502</v>
      </c>
      <c r="D97" s="59">
        <f>(8*'MATERIALES (2)'!$C$126)+(8*'MATERIALES (2)'!$C$163)+((8*4)*'MATERIALES (2)'!$C$134)+(((B97*2)+(A97*2))*'MATERIALES (2)'!$C$138)+(4*'MATERIALES (2)'!$C$137)+(((A97*5)*2)*'MATERIALES (2)'!$C$136)+(4*'MATERIALES (2)'!$C$135)+(1*'MATERIALES (2)'!$C$140)+(2*'MATERIALES (2)'!$C$139)+(4*'MATERIALES (2)'!$C$150)</f>
        <v>9698</v>
      </c>
      <c r="E97" s="75"/>
      <c r="F97" s="55">
        <f>(((A97*'MATERIALES (2)'!$C$22)*(B97/0.06))*'MATERIALES (2)'!$F$1)+((A97*'MATERIALES (2)'!$C$29)*(B97/0.06))</f>
        <v>49464.779900497517</v>
      </c>
      <c r="G97" s="38">
        <f t="shared" si="8"/>
        <v>108770.28190049752</v>
      </c>
      <c r="H97" s="49">
        <f t="shared" si="9"/>
        <v>203143.18543723566</v>
      </c>
      <c r="M97" s="42">
        <v>1.2</v>
      </c>
      <c r="N97" s="37">
        <v>0.8</v>
      </c>
      <c r="O97" s="59">
        <f>((((M97*2)+(N97*2))*'MATERIALES (2)'!$C$13)+((M97*2)*'MATERIALES (2)'!$C$6)+((N97*6)*'MATERIALES (2)'!$C$15)+(N97*'MATERIALES (2)'!$C$25))*'MATERIALES (2)'!$F$2</f>
        <v>56661.738000000005</v>
      </c>
      <c r="P97" s="59">
        <f>(12*'MATERIALES (2)'!$C$126)+(12*'MATERIALES (2)'!$C$163)+((8*4)*'MATERIALES (2)'!$C$134)+(((N97*2)+(M97*2))*'MATERIALES (2)'!$C$138)+(4*'MATERIALES (2)'!$C$137)+(((M97*5)*2)*'MATERIALES (2)'!$C$136)+(4*'MATERIALES (2)'!$C$135)+(1*'MATERIALES (2)'!$C$140)+(4*'MATERIALES (2)'!$C$139)+(6*'MATERIALES (2)'!$C$150)</f>
        <v>14002</v>
      </c>
      <c r="Q97" s="75"/>
      <c r="R97" s="55">
        <f>(((M97*'MATERIALES (2)'!$C$22)*(N97/0.06))*'MATERIALES (2)'!$F$1)+((M97*'MATERIALES (2)'!$C$29)*(N97/0.06))</f>
        <v>49464.779900497517</v>
      </c>
      <c r="S97" s="59">
        <f t="shared" si="10"/>
        <v>120128.51790049754</v>
      </c>
      <c r="T97" s="67">
        <f t="shared" si="11"/>
        <v>224356.22452909575</v>
      </c>
    </row>
    <row r="98" spans="1:20" ht="15.75" hidden="1" thickBot="1">
      <c r="A98" s="42">
        <v>1.2</v>
      </c>
      <c r="B98" s="37">
        <v>1</v>
      </c>
      <c r="C98" s="38">
        <f>((((A98*2)+(B98*2))*'MATERIALES (2)'!$C$13)+((A98*2)*'MATERIALES (2)'!$C$6)+((B98*4)*'MATERIALES (2)'!$C$15)+(B98*'MATERIALES (2)'!$C$25))*'MATERIALES (2)'!$F$1</f>
        <v>56007.808499999999</v>
      </c>
      <c r="D98" s="59">
        <f>(8*'MATERIALES (2)'!$C$126)+(8*'MATERIALES (2)'!$C$163)+((8*4)*'MATERIALES (2)'!$C$134)+(((B98*2)+(A98*2))*'MATERIALES (2)'!$C$138)+(4*'MATERIALES (2)'!$C$137)+(((A98*5)*2)*'MATERIALES (2)'!$C$136)+(4*'MATERIALES (2)'!$C$135)+(1*'MATERIALES (2)'!$C$140)+(2*'MATERIALES (2)'!$C$139)+(4*'MATERIALES (2)'!$C$150)</f>
        <v>9722</v>
      </c>
      <c r="E98" s="75"/>
      <c r="F98" s="55">
        <f>(((A98*'MATERIALES (2)'!$C$22)*(B98/0.06))*'MATERIALES (2)'!$F$1)+((A98*'MATERIALES (2)'!$C$29)*(B98/0.06))</f>
        <v>61830.974875621905</v>
      </c>
      <c r="G98" s="38">
        <f t="shared" si="8"/>
        <v>127560.7833756219</v>
      </c>
      <c r="H98" s="49">
        <f t="shared" si="9"/>
        <v>238236.98365972959</v>
      </c>
      <c r="M98" s="42">
        <v>1.2</v>
      </c>
      <c r="N98" s="37">
        <v>1</v>
      </c>
      <c r="O98" s="59">
        <f>((((M98*2)+(N98*2))*'MATERIALES (2)'!$C$13)+((M98*2)*'MATERIALES (2)'!$C$6)+((N98*6)*'MATERIALES (2)'!$C$15)+(N98*'MATERIALES (2)'!$C$25))*'MATERIALES (2)'!$F$2</f>
        <v>64825.603499999997</v>
      </c>
      <c r="P98" s="59">
        <f>(12*'MATERIALES (2)'!$C$126)+(12*'MATERIALES (2)'!$C$163)+((8*4)*'MATERIALES (2)'!$C$134)+(((N98*2)+(M98*2))*'MATERIALES (2)'!$C$138)+(4*'MATERIALES (2)'!$C$137)+(((M98*5)*2)*'MATERIALES (2)'!$C$136)+(4*'MATERIALES (2)'!$C$135)+(1*'MATERIALES (2)'!$C$140)+(4*'MATERIALES (2)'!$C$139)+(6*'MATERIALES (2)'!$C$150)</f>
        <v>14026</v>
      </c>
      <c r="Q98" s="75"/>
      <c r="R98" s="55">
        <f>(((M98*'MATERIALES (2)'!$C$22)*(N98/0.06))*'MATERIALES (2)'!$F$1)+((M98*'MATERIALES (2)'!$C$29)*(N98/0.06))</f>
        <v>61830.974875621905</v>
      </c>
      <c r="S98" s="59">
        <f t="shared" si="10"/>
        <v>140682.5783756219</v>
      </c>
      <c r="T98" s="67">
        <f t="shared" si="11"/>
        <v>262743.70726455463</v>
      </c>
    </row>
    <row r="99" spans="1:20" ht="15.75" hidden="1" thickBot="1">
      <c r="A99" s="42">
        <v>1.2</v>
      </c>
      <c r="B99" s="37">
        <v>1.1000000000000001</v>
      </c>
      <c r="C99" s="38">
        <f>((((A99*2)+(B99*2))*'MATERIALES (2)'!$C$13)+((A99*2)*'MATERIALES (2)'!$C$6)+((B99*4)*'MATERIALES (2)'!$C$15)+(B99*'MATERIALES (2)'!$C$25))*'MATERIALES (2)'!$F$1</f>
        <v>59207.961749999995</v>
      </c>
      <c r="D99" s="59">
        <f>(8*'MATERIALES (2)'!$C$126)+(8*'MATERIALES (2)'!$C$163)+((8*4)*'MATERIALES (2)'!$C$134)+(((B99*2)+(A99*2))*'MATERIALES (2)'!$C$138)+(4*'MATERIALES (2)'!$C$137)+(((A99*5)*2)*'MATERIALES (2)'!$C$136)+(4*'MATERIALES (2)'!$C$135)+(1*'MATERIALES (2)'!$C$140)+(2*'MATERIALES (2)'!$C$139)+(4*'MATERIALES (2)'!$C$150)</f>
        <v>9734</v>
      </c>
      <c r="E99" s="75"/>
      <c r="F99" s="55">
        <f>(((A99*'MATERIALES (2)'!$C$22)*(B99/0.06))*'MATERIALES (2)'!$F$1)+((A99*'MATERIALES (2)'!$C$29)*(B99/0.06))</f>
        <v>68014.072363184096</v>
      </c>
      <c r="G99" s="38">
        <f t="shared" si="8"/>
        <v>136956.03411318408</v>
      </c>
      <c r="H99" s="49">
        <f t="shared" si="9"/>
        <v>255783.88277097655</v>
      </c>
      <c r="M99" s="42">
        <v>1.2</v>
      </c>
      <c r="N99" s="37">
        <v>1.1000000000000001</v>
      </c>
      <c r="O99" s="59">
        <f>((((M99*2)+(N99*2))*'MATERIALES (2)'!$C$13)+((M99*2)*'MATERIALES (2)'!$C$6)+((N99*6)*'MATERIALES (2)'!$C$15)+(N99*'MATERIALES (2)'!$C$25))*'MATERIALES (2)'!$F$2</f>
        <v>68907.53624999999</v>
      </c>
      <c r="P99" s="59">
        <f>(12*'MATERIALES (2)'!$C$126)+(12*'MATERIALES (2)'!$C$163)+((8*4)*'MATERIALES (2)'!$C$134)+(((N99*2)+(M99*2))*'MATERIALES (2)'!$C$138)+(4*'MATERIALES (2)'!$C$137)+(((M99*5)*2)*'MATERIALES (2)'!$C$136)+(4*'MATERIALES (2)'!$C$135)+(1*'MATERIALES (2)'!$C$140)+(4*'MATERIALES (2)'!$C$139)+(6*'MATERIALES (2)'!$C$150)</f>
        <v>14038</v>
      </c>
      <c r="Q99" s="75"/>
      <c r="R99" s="55">
        <f>(((M99*'MATERIALES (2)'!$C$22)*(N99/0.06))*'MATERIALES (2)'!$F$1)+((M99*'MATERIALES (2)'!$C$29)*(N99/0.06))</f>
        <v>68014.072363184096</v>
      </c>
      <c r="S99" s="59">
        <f t="shared" si="10"/>
        <v>150959.60861318407</v>
      </c>
      <c r="T99" s="67">
        <f t="shared" si="11"/>
        <v>281937.44863228407</v>
      </c>
    </row>
    <row r="100" spans="1:20" ht="15.75" hidden="1" thickBot="1">
      <c r="A100" s="42">
        <v>1.2</v>
      </c>
      <c r="B100" s="37">
        <v>1.2</v>
      </c>
      <c r="C100" s="38">
        <f>((((A100*2)+(B100*2))*'MATERIALES (2)'!$C$13)+((A100*2)*'MATERIALES (2)'!$C$6)+((B100*4)*'MATERIALES (2)'!$C$15)+(B100*'MATERIALES (2)'!$C$25))*'MATERIALES (2)'!$F$1</f>
        <v>62408.114999999998</v>
      </c>
      <c r="D100" s="59">
        <f>(8*'MATERIALES (2)'!$C$126)+(8*'MATERIALES (2)'!$C$163)+((8*4)*'MATERIALES (2)'!$C$134)+(((B100*2)+(A100*2))*'MATERIALES (2)'!$C$138)+(4*'MATERIALES (2)'!$C$137)+(((A100*5)*2)*'MATERIALES (2)'!$C$136)+(4*'MATERIALES (2)'!$C$135)+(1*'MATERIALES (2)'!$C$140)+(2*'MATERIALES (2)'!$C$139)+(4*'MATERIALES (2)'!$C$150)</f>
        <v>9746</v>
      </c>
      <c r="E100" s="75"/>
      <c r="F100" s="55">
        <f>(((A100*'MATERIALES (2)'!$C$22)*(B100/0.06))*'MATERIALES (2)'!$F$1)+((A100*'MATERIALES (2)'!$C$29)*(B100/0.06))</f>
        <v>74197.169850746272</v>
      </c>
      <c r="G100" s="38">
        <f t="shared" si="8"/>
        <v>146351.28485074628</v>
      </c>
      <c r="H100" s="49">
        <f t="shared" si="9"/>
        <v>273330.7818822235</v>
      </c>
      <c r="M100" s="42">
        <v>1.2</v>
      </c>
      <c r="N100" s="37">
        <v>1.2</v>
      </c>
      <c r="O100" s="59">
        <f>((((M100*2)+(N100*2))*'MATERIALES (2)'!$C$13)+((M100*2)*'MATERIALES (2)'!$C$6)+((N100*6)*'MATERIALES (2)'!$C$15)+(N100*'MATERIALES (2)'!$C$25))*'MATERIALES (2)'!$F$2</f>
        <v>72989.468999999997</v>
      </c>
      <c r="P100" s="59">
        <f>(12*'MATERIALES (2)'!$C$126)+(12*'MATERIALES (2)'!$C$163)+((8*4)*'MATERIALES (2)'!$C$134)+(((N100*2)+(M100*2))*'MATERIALES (2)'!$C$138)+(4*'MATERIALES (2)'!$C$137)+(((M100*5)*2)*'MATERIALES (2)'!$C$136)+(4*'MATERIALES (2)'!$C$135)+(1*'MATERIALES (2)'!$C$140)+(4*'MATERIALES (2)'!$C$139)+(6*'MATERIALES (2)'!$C$150)</f>
        <v>14050</v>
      </c>
      <c r="Q100" s="75"/>
      <c r="R100" s="55">
        <f>(((M100*'MATERIALES (2)'!$C$22)*(N100/0.06))*'MATERIALES (2)'!$F$1)+((M100*'MATERIALES (2)'!$C$29)*(N100/0.06))</f>
        <v>74197.169850746272</v>
      </c>
      <c r="S100" s="59">
        <f t="shared" si="10"/>
        <v>161236.63885074627</v>
      </c>
      <c r="T100" s="67">
        <f t="shared" si="11"/>
        <v>301131.19000001351</v>
      </c>
    </row>
    <row r="101" spans="1:20" ht="15.75" hidden="1" thickBot="1">
      <c r="A101" s="42">
        <v>1.2</v>
      </c>
      <c r="B101" s="37">
        <v>1.5</v>
      </c>
      <c r="C101" s="38">
        <f>((((A101*2)+(B101*2))*'MATERIALES (2)'!$C$13)+((A101*2)*'MATERIALES (2)'!$C$6)+((B101*4)*'MATERIALES (2)'!$C$15)+(B101*'MATERIALES (2)'!$C$25))*'MATERIALES (2)'!$F$1</f>
        <v>72008.57475</v>
      </c>
      <c r="D101" s="59">
        <f>(8*'MATERIALES (2)'!$C$126)+(8*'MATERIALES (2)'!$C$163)+((8*4)*'MATERIALES (2)'!$C$134)+(((B101*2)+(A101*2))*'MATERIALES (2)'!$C$138)+(4*'MATERIALES (2)'!$C$137)+(((A101*5)*2)*'MATERIALES (2)'!$C$136)+(4*'MATERIALES (2)'!$C$135)+(1*'MATERIALES (2)'!$C$140)+(2*'MATERIALES (2)'!$C$139)+(4*'MATERIALES (2)'!$C$150)</f>
        <v>9782</v>
      </c>
      <c r="E101" s="75"/>
      <c r="F101" s="55">
        <f>(((A101*'MATERIALES (2)'!$C$22)*(B101/0.06))*'MATERIALES (2)'!$F$1)+((A101*'MATERIALES (2)'!$C$29)*(B101/0.06))</f>
        <v>92746.462313432843</v>
      </c>
      <c r="G101" s="38">
        <f t="shared" si="8"/>
        <v>174537.03706343286</v>
      </c>
      <c r="H101" s="49">
        <f t="shared" si="9"/>
        <v>325971.47921596438</v>
      </c>
      <c r="M101" s="42">
        <v>1.2</v>
      </c>
      <c r="N101" s="37">
        <v>1.5</v>
      </c>
      <c r="O101" s="59">
        <f>((((M101*2)+(N101*2))*'MATERIALES (2)'!$C$13)+((M101*2)*'MATERIALES (2)'!$C$6)+((N101*6)*'MATERIALES (2)'!$C$15)+(N101*'MATERIALES (2)'!$C$25))*'MATERIALES (2)'!$F$2</f>
        <v>85235.267250000004</v>
      </c>
      <c r="P101" s="59">
        <f>(12*'MATERIALES (2)'!$C$126)+(12*'MATERIALES (2)'!$C$163)+((8*4)*'MATERIALES (2)'!$C$134)+(((N101*2)+(M101*2))*'MATERIALES (2)'!$C$138)+(4*'MATERIALES (2)'!$C$137)+(((M101*5)*2)*'MATERIALES (2)'!$C$136)+(4*'MATERIALES (2)'!$C$135)+(1*'MATERIALES (2)'!$C$140)+(4*'MATERIALES (2)'!$C$139)+(6*'MATERIALES (2)'!$C$150)</f>
        <v>14086</v>
      </c>
      <c r="Q101" s="75"/>
      <c r="R101" s="55">
        <f>(((M101*'MATERIALES (2)'!$C$22)*(N101/0.06))*'MATERIALES (2)'!$F$1)+((M101*'MATERIALES (2)'!$C$29)*(N101/0.06))</f>
        <v>92746.462313432843</v>
      </c>
      <c r="S101" s="59">
        <f t="shared" si="10"/>
        <v>192067.72956343286</v>
      </c>
      <c r="T101" s="67">
        <f t="shared" si="11"/>
        <v>358712.414103202</v>
      </c>
    </row>
    <row r="102" spans="1:20" ht="15.75" hidden="1" thickBot="1">
      <c r="A102" s="42">
        <v>1.2</v>
      </c>
      <c r="B102" s="37">
        <v>1.8</v>
      </c>
      <c r="C102" s="38">
        <f>((((A102*2)+(B102*2))*'MATERIALES (2)'!$C$13)+((A102*2)*'MATERIALES (2)'!$C$6)+((B102*4)*'MATERIALES (2)'!$C$15)+(B102*'MATERIALES (2)'!$C$25))*'MATERIALES (2)'!$F$1</f>
        <v>81609.034499999994</v>
      </c>
      <c r="D102" s="59">
        <f>(8*'MATERIALES (2)'!$C$126)+(8*'MATERIALES (2)'!$C$163)+((8*4)*'MATERIALES (2)'!$C$134)+(((B102*2)+(A102*2))*'MATERIALES (2)'!$C$138)+(4*'MATERIALES (2)'!$C$137)+(((A102*5)*2)*'MATERIALES (2)'!$C$136)+(4*'MATERIALES (2)'!$C$135)+(1*'MATERIALES (2)'!$C$140)+(2*'MATERIALES (2)'!$C$139)+(4*'MATERIALES (2)'!$C$150)</f>
        <v>9818</v>
      </c>
      <c r="E102" s="75"/>
      <c r="F102" s="55">
        <f>(((A102*'MATERIALES (2)'!$C$22)*(B102/0.06))*'MATERIALES (2)'!$F$1)+((A102*'MATERIALES (2)'!$C$29)*(B102/0.06))</f>
        <v>111295.75477611943</v>
      </c>
      <c r="G102" s="38">
        <f t="shared" si="8"/>
        <v>202722.78927611944</v>
      </c>
      <c r="H102" s="49">
        <f t="shared" si="9"/>
        <v>378612.17654970539</v>
      </c>
      <c r="M102" s="42">
        <v>1.2</v>
      </c>
      <c r="N102" s="37">
        <v>1.8</v>
      </c>
      <c r="O102" s="59">
        <f>((((M102*2)+(N102*2))*'MATERIALES (2)'!$C$13)+((M102*2)*'MATERIALES (2)'!$C$6)+((N102*6)*'MATERIALES (2)'!$C$15)+(N102*'MATERIALES (2)'!$C$25))*'MATERIALES (2)'!$F$2</f>
        <v>97481.065499999997</v>
      </c>
      <c r="P102" s="59">
        <f>(12*'MATERIALES (2)'!$C$126)+(12*'MATERIALES (2)'!$C$163)+((8*4)*'MATERIALES (2)'!$C$134)+(((N102*2)+(M102*2))*'MATERIALES (2)'!$C$138)+(4*'MATERIALES (2)'!$C$137)+(((M102*5)*2)*'MATERIALES (2)'!$C$136)+(4*'MATERIALES (2)'!$C$135)+(1*'MATERIALES (2)'!$C$140)+(4*'MATERIALES (2)'!$C$139)+(6*'MATERIALES (2)'!$C$150)</f>
        <v>14122</v>
      </c>
      <c r="Q102" s="75"/>
      <c r="R102" s="55">
        <f>(((M102*'MATERIALES (2)'!$C$22)*(N102/0.06))*'MATERIALES (2)'!$F$1)+((M102*'MATERIALES (2)'!$C$29)*(N102/0.06))</f>
        <v>111295.75477611943</v>
      </c>
      <c r="S102" s="59">
        <f t="shared" si="10"/>
        <v>222898.82027611943</v>
      </c>
      <c r="T102" s="67">
        <f t="shared" si="11"/>
        <v>416293.63820639031</v>
      </c>
    </row>
    <row r="103" spans="1:20" ht="15.75" hidden="1" thickBot="1">
      <c r="A103" s="42">
        <v>1.5</v>
      </c>
      <c r="B103" s="37">
        <v>0.4</v>
      </c>
      <c r="C103" s="38">
        <f>((((A103*2)+(B103*2))*'MATERIALES (2)'!$C$13)+((A103*2)*'MATERIALES (2)'!$C$6)+((B103*4)*'MATERIALES (2)'!$C$15)+(B103*'MATERIALES (2)'!$C$25))*'MATERIALES (2)'!$F$1</f>
        <v>42808.458000000006</v>
      </c>
      <c r="D103" s="59">
        <f>(8*'MATERIALES (2)'!$C$126)+(8*'MATERIALES (2)'!$C$163)+((8*4)*'MATERIALES (2)'!$C$134)+(((B103*2)+(A103*2))*'MATERIALES (2)'!$C$138)+(4*'MATERIALES (2)'!$C$137)+(((A103*5)*2)*'MATERIALES (2)'!$C$136)+(4*'MATERIALES (2)'!$C$135)+(1*'MATERIALES (2)'!$C$140)+(2*'MATERIALES (2)'!$C$139)+(4*'MATERIALES (2)'!$C$150)</f>
        <v>9686</v>
      </c>
      <c r="E103" s="75"/>
      <c r="F103" s="55">
        <f>(((A103*'MATERIALES (2)'!$C$22)*(B103/0.06))*'MATERIALES (2)'!$F$1)+((A103*'MATERIALES (2)'!$C$29)*(B103/0.06))</f>
        <v>30915.487437810953</v>
      </c>
      <c r="G103" s="38">
        <f t="shared" si="8"/>
        <v>83409.945437810966</v>
      </c>
      <c r="H103" s="49">
        <f t="shared" si="9"/>
        <v>155779.33344774606</v>
      </c>
      <c r="M103" s="42">
        <v>1.5</v>
      </c>
      <c r="N103" s="37">
        <v>0.4</v>
      </c>
      <c r="O103" s="59">
        <f>((((M103*2)+(N103*2))*'MATERIALES (2)'!$C$13)+((M103*2)*'MATERIALES (2)'!$C$6)+((N103*6)*'MATERIALES (2)'!$C$15)+(N103*'MATERIALES (2)'!$C$25))*'MATERIALES (2)'!$F$2</f>
        <v>46335.576000000008</v>
      </c>
      <c r="P103" s="59">
        <f>(12*'MATERIALES (2)'!$C$126)+(12*'MATERIALES (2)'!$C$163)+((8*4)*'MATERIALES (2)'!$C$134)+(((N103*2)+(M103*2))*'MATERIALES (2)'!$C$138)+(4*'MATERIALES (2)'!$C$137)+(((M103*5)*2)*'MATERIALES (2)'!$C$136)+(4*'MATERIALES (2)'!$C$135)+(1*'MATERIALES (2)'!$C$140)+(4*'MATERIALES (2)'!$C$139)+(6*'MATERIALES (2)'!$C$150)</f>
        <v>13990</v>
      </c>
      <c r="Q103" s="75"/>
      <c r="R103" s="55">
        <f>(((M103*'MATERIALES (2)'!$C$22)*(N103/0.06))*'MATERIALES (2)'!$F$1)+((M103*'MATERIALES (2)'!$C$29)*(N103/0.06))</f>
        <v>30915.487437810953</v>
      </c>
      <c r="S103" s="59">
        <f t="shared" si="10"/>
        <v>91241.063437810953</v>
      </c>
      <c r="T103" s="67">
        <f t="shared" si="11"/>
        <v>170405.00351367603</v>
      </c>
    </row>
    <row r="104" spans="1:20" ht="15.75" hidden="1" thickBot="1">
      <c r="A104" s="42">
        <v>1.5</v>
      </c>
      <c r="B104" s="37">
        <v>0.6</v>
      </c>
      <c r="C104" s="38">
        <f>((((A104*2)+(B104*2))*'MATERIALES (2)'!$C$13)+((A104*2)*'MATERIALES (2)'!$C$6)+((B104*4)*'MATERIALES (2)'!$C$15)+(B104*'MATERIALES (2)'!$C$25))*'MATERIALES (2)'!$F$1</f>
        <v>49208.764500000012</v>
      </c>
      <c r="D104" s="59">
        <f>(8*'MATERIALES (2)'!$C$126)+(8*'MATERIALES (2)'!$C$163)+((8*4)*'MATERIALES (2)'!$C$134)+(((B104*2)+(A104*2))*'MATERIALES (2)'!$C$138)+(4*'MATERIALES (2)'!$C$137)+(((A104*5)*2)*'MATERIALES (2)'!$C$136)+(4*'MATERIALES (2)'!$C$135)+(1*'MATERIALES (2)'!$C$140)+(2*'MATERIALES (2)'!$C$139)+(4*'MATERIALES (2)'!$C$150)</f>
        <v>9710</v>
      </c>
      <c r="E104" s="75"/>
      <c r="F104" s="55">
        <f>(((A104*'MATERIALES (2)'!$C$22)*(B104/0.06))*'MATERIALES (2)'!$F$1)+((A104*'MATERIALES (2)'!$C$29)*(B104/0.06))</f>
        <v>46373.231156716422</v>
      </c>
      <c r="G104" s="38">
        <f t="shared" si="8"/>
        <v>105291.99565671643</v>
      </c>
      <c r="H104" s="49">
        <f t="shared" si="9"/>
        <v>196647.01630833157</v>
      </c>
      <c r="M104" s="42">
        <v>1.5</v>
      </c>
      <c r="N104" s="37">
        <v>0.6</v>
      </c>
      <c r="O104" s="59">
        <f>((((M104*2)+(N104*2))*'MATERIALES (2)'!$C$13)+((M104*2)*'MATERIALES (2)'!$C$6)+((N104*6)*'MATERIALES (2)'!$C$15)+(N104*'MATERIALES (2)'!$C$25))*'MATERIALES (2)'!$F$2</f>
        <v>54499.441500000001</v>
      </c>
      <c r="P104" s="59">
        <f>(12*'MATERIALES (2)'!$C$126)+(12*'MATERIALES (2)'!$C$163)+((8*4)*'MATERIALES (2)'!$C$134)+(((N104*2)+(M104*2))*'MATERIALES (2)'!$C$138)+(4*'MATERIALES (2)'!$C$137)+(((M104*5)*2)*'MATERIALES (2)'!$C$136)+(4*'MATERIALES (2)'!$C$135)+(1*'MATERIALES (2)'!$C$140)+(4*'MATERIALES (2)'!$C$139)+(6*'MATERIALES (2)'!$C$150)</f>
        <v>14014</v>
      </c>
      <c r="Q104" s="75"/>
      <c r="R104" s="55">
        <f>(((M104*'MATERIALES (2)'!$C$22)*(N104/0.06))*'MATERIALES (2)'!$F$1)+((M104*'MATERIALES (2)'!$C$29)*(N104/0.06))</f>
        <v>46373.231156716422</v>
      </c>
      <c r="S104" s="59">
        <f t="shared" si="10"/>
        <v>114886.67265671643</v>
      </c>
      <c r="T104" s="67">
        <f t="shared" si="11"/>
        <v>214566.3708872266</v>
      </c>
    </row>
    <row r="105" spans="1:20" ht="15.75" hidden="1" thickBot="1">
      <c r="A105" s="42">
        <v>1.5</v>
      </c>
      <c r="B105" s="37">
        <v>0.8</v>
      </c>
      <c r="C105" s="38">
        <f>((((A105*2)+(B105*2))*'MATERIALES (2)'!$C$13)+((A105*2)*'MATERIALES (2)'!$C$6)+((B105*4)*'MATERIALES (2)'!$C$15)+(B105*'MATERIALES (2)'!$C$25))*'MATERIALES (2)'!$F$1</f>
        <v>55609.070999999996</v>
      </c>
      <c r="D105" s="59">
        <f>(8*'MATERIALES (2)'!$C$126)+(8*'MATERIALES (2)'!$C$163)+((8*4)*'MATERIALES (2)'!$C$134)+(((B105*2)+(A105*2))*'MATERIALES (2)'!$C$138)+(4*'MATERIALES (2)'!$C$137)+(((A105*5)*2)*'MATERIALES (2)'!$C$136)+(4*'MATERIALES (2)'!$C$135)+(1*'MATERIALES (2)'!$C$140)+(2*'MATERIALES (2)'!$C$139)+(4*'MATERIALES (2)'!$C$150)</f>
        <v>9734</v>
      </c>
      <c r="E105" s="75"/>
      <c r="F105" s="55">
        <f>(((A105*'MATERIALES (2)'!$C$22)*(B105/0.06))*'MATERIALES (2)'!$F$1)+((A105*'MATERIALES (2)'!$C$29)*(B105/0.06))</f>
        <v>61830.974875621905</v>
      </c>
      <c r="G105" s="38">
        <f t="shared" si="8"/>
        <v>127174.0458756219</v>
      </c>
      <c r="H105" s="49">
        <f t="shared" si="9"/>
        <v>237514.69916891711</v>
      </c>
      <c r="M105" s="42">
        <v>1.5</v>
      </c>
      <c r="N105" s="37">
        <v>0.8</v>
      </c>
      <c r="O105" s="59">
        <f>((((M105*2)+(N105*2))*'MATERIALES (2)'!$C$13)+((M105*2)*'MATERIALES (2)'!$C$6)+((N105*6)*'MATERIALES (2)'!$C$15)+(N105*'MATERIALES (2)'!$C$25))*'MATERIALES (2)'!$F$2</f>
        <v>62663.307000000001</v>
      </c>
      <c r="P105" s="59">
        <f>(12*'MATERIALES (2)'!$C$126)+(12*'MATERIALES (2)'!$C$163)+((8*4)*'MATERIALES (2)'!$C$134)+(((N105*2)+(M105*2))*'MATERIALES (2)'!$C$138)+(4*'MATERIALES (2)'!$C$137)+(((M105*5)*2)*'MATERIALES (2)'!$C$136)+(4*'MATERIALES (2)'!$C$135)+(1*'MATERIALES (2)'!$C$140)+(4*'MATERIALES (2)'!$C$139)+(6*'MATERIALES (2)'!$C$150)</f>
        <v>14038</v>
      </c>
      <c r="Q105" s="75"/>
      <c r="R105" s="55">
        <f>(((M105*'MATERIALES (2)'!$C$22)*(N105/0.06))*'MATERIALES (2)'!$F$1)+((M105*'MATERIALES (2)'!$C$29)*(N105/0.06))</f>
        <v>61830.974875621905</v>
      </c>
      <c r="S105" s="59">
        <f t="shared" si="10"/>
        <v>138532.28187562191</v>
      </c>
      <c r="T105" s="67">
        <f t="shared" si="11"/>
        <v>258727.73826077711</v>
      </c>
    </row>
    <row r="106" spans="1:20" ht="15.75" hidden="1" thickBot="1">
      <c r="A106" s="42">
        <v>1.5</v>
      </c>
      <c r="B106" s="37">
        <v>1</v>
      </c>
      <c r="C106" s="38">
        <f>((((A106*2)+(B106*2))*'MATERIALES (2)'!$C$13)+((A106*2)*'MATERIALES (2)'!$C$6)+((B106*4)*'MATERIALES (2)'!$C$15)+(B106*'MATERIALES (2)'!$C$25))*'MATERIALES (2)'!$F$1</f>
        <v>62009.377500000002</v>
      </c>
      <c r="D106" s="59">
        <f>(8*'MATERIALES (2)'!$C$126)+(8*'MATERIALES (2)'!$C$163)+((8*4)*'MATERIALES (2)'!$C$134)+(((B106*2)+(A106*2))*'MATERIALES (2)'!$C$138)+(4*'MATERIALES (2)'!$C$137)+(((A106*5)*2)*'MATERIALES (2)'!$C$136)+(4*'MATERIALES (2)'!$C$135)+(1*'MATERIALES (2)'!$C$140)+(2*'MATERIALES (2)'!$C$139)+(4*'MATERIALES (2)'!$C$150)</f>
        <v>9758</v>
      </c>
      <c r="E106" s="75"/>
      <c r="F106" s="55">
        <f>(((A106*'MATERIALES (2)'!$C$22)*(B106/0.06))*'MATERIALES (2)'!$F$1)+((A106*'MATERIALES (2)'!$C$29)*(B106/0.06))</f>
        <v>77288.718594527381</v>
      </c>
      <c r="G106" s="38">
        <f t="shared" si="8"/>
        <v>149056.0960945274</v>
      </c>
      <c r="H106" s="49">
        <f t="shared" si="9"/>
        <v>278382.38202950271</v>
      </c>
      <c r="M106" s="42">
        <v>1.5</v>
      </c>
      <c r="N106" s="37">
        <v>1</v>
      </c>
      <c r="O106" s="59">
        <f>((((M106*2)+(N106*2))*'MATERIALES (2)'!$C$13)+((M106*2)*'MATERIALES (2)'!$C$6)+((N106*6)*'MATERIALES (2)'!$C$15)+(N106*'MATERIALES (2)'!$C$25))*'MATERIALES (2)'!$F$2</f>
        <v>70827.172500000001</v>
      </c>
      <c r="P106" s="59">
        <f>(12*'MATERIALES (2)'!$C$126)+(12*'MATERIALES (2)'!$C$163)+((8*4)*'MATERIALES (2)'!$C$134)+(((N106*2)+(M106*2))*'MATERIALES (2)'!$C$138)+(4*'MATERIALES (2)'!$C$137)+(((M106*5)*2)*'MATERIALES (2)'!$C$136)+(4*'MATERIALES (2)'!$C$135)+(1*'MATERIALES (2)'!$C$140)+(4*'MATERIALES (2)'!$C$139)+(6*'MATERIALES (2)'!$C$150)</f>
        <v>14062</v>
      </c>
      <c r="Q106" s="75"/>
      <c r="R106" s="55">
        <f>(((M106*'MATERIALES (2)'!$C$22)*(N106/0.06))*'MATERIALES (2)'!$F$1)+((M106*'MATERIALES (2)'!$C$29)*(N106/0.06))</f>
        <v>77288.718594527381</v>
      </c>
      <c r="S106" s="59">
        <f t="shared" si="10"/>
        <v>162177.89109452738</v>
      </c>
      <c r="T106" s="67">
        <f t="shared" si="11"/>
        <v>302889.10563432763</v>
      </c>
    </row>
    <row r="107" spans="1:20" ht="15.75" hidden="1" thickBot="1">
      <c r="A107" s="42">
        <v>1.5</v>
      </c>
      <c r="B107" s="37">
        <v>1.1000000000000001</v>
      </c>
      <c r="C107" s="38">
        <f>((((A107*2)+(B107*2))*'MATERIALES (2)'!$C$13)+((A107*2)*'MATERIALES (2)'!$C$6)+((B107*4)*'MATERIALES (2)'!$C$15)+(B107*'MATERIALES (2)'!$C$25))*'MATERIALES (2)'!$F$1</f>
        <v>65209.530749999998</v>
      </c>
      <c r="D107" s="59">
        <f>(8*'MATERIALES (2)'!$C$126)+(8*'MATERIALES (2)'!$C$163)+((8*4)*'MATERIALES (2)'!$C$134)+(((B107*2)+(A107*2))*'MATERIALES (2)'!$C$138)+(4*'MATERIALES (2)'!$C$137)+(((A107*5)*2)*'MATERIALES (2)'!$C$136)+(4*'MATERIALES (2)'!$C$135)+(1*'MATERIALES (2)'!$C$140)+(2*'MATERIALES (2)'!$C$139)+(4*'MATERIALES (2)'!$C$150)</f>
        <v>9770</v>
      </c>
      <c r="E107" s="75"/>
      <c r="F107" s="55">
        <f>(((A107*'MATERIALES (2)'!$C$22)*(B107/0.06))*'MATERIALES (2)'!$F$1)+((A107*'MATERIALES (2)'!$C$29)*(B107/0.06))</f>
        <v>85017.590453980112</v>
      </c>
      <c r="G107" s="38">
        <f t="shared" si="8"/>
        <v>159997.12120398012</v>
      </c>
      <c r="H107" s="49">
        <f t="shared" si="9"/>
        <v>298816.22345979535</v>
      </c>
      <c r="M107" s="42">
        <v>1.5</v>
      </c>
      <c r="N107" s="37">
        <v>1.1000000000000001</v>
      </c>
      <c r="O107" s="59">
        <f>((((M107*2)+(N107*2))*'MATERIALES (2)'!$C$13)+((M107*2)*'MATERIALES (2)'!$C$6)+((N107*6)*'MATERIALES (2)'!$C$15)+(N107*'MATERIALES (2)'!$C$25))*'MATERIALES (2)'!$F$2</f>
        <v>74909.105250000008</v>
      </c>
      <c r="P107" s="59">
        <f>(12*'MATERIALES (2)'!$C$126)+(12*'MATERIALES (2)'!$C$163)+((8*4)*'MATERIALES (2)'!$C$134)+(((N107*2)+(M107*2))*'MATERIALES (2)'!$C$138)+(4*'MATERIALES (2)'!$C$137)+(((M107*5)*2)*'MATERIALES (2)'!$C$136)+(4*'MATERIALES (2)'!$C$135)+(1*'MATERIALES (2)'!$C$140)+(4*'MATERIALES (2)'!$C$139)+(6*'MATERIALES (2)'!$C$150)</f>
        <v>14074</v>
      </c>
      <c r="Q107" s="75"/>
      <c r="R107" s="55">
        <f>(((M107*'MATERIALES (2)'!$C$22)*(N107/0.06))*'MATERIALES (2)'!$F$1)+((M107*'MATERIALES (2)'!$C$29)*(N107/0.06))</f>
        <v>85017.590453980112</v>
      </c>
      <c r="S107" s="59">
        <f t="shared" si="10"/>
        <v>174000.69570398011</v>
      </c>
      <c r="T107" s="67">
        <f t="shared" si="11"/>
        <v>324969.7893211029</v>
      </c>
    </row>
    <row r="108" spans="1:20" ht="15.75" hidden="1" thickBot="1">
      <c r="A108" s="42">
        <v>1.5</v>
      </c>
      <c r="B108" s="37">
        <v>1.2</v>
      </c>
      <c r="C108" s="38">
        <f>((((A108*2)+(B108*2))*'MATERIALES (2)'!$C$13)+((A108*2)*'MATERIALES (2)'!$C$6)+((B108*4)*'MATERIALES (2)'!$C$15)+(B108*'MATERIALES (2)'!$C$25))*'MATERIALES (2)'!$F$1</f>
        <v>68409.683999999994</v>
      </c>
      <c r="D108" s="59">
        <f>(8*'MATERIALES (2)'!$C$126)+(8*'MATERIALES (2)'!$C$163)+((8*4)*'MATERIALES (2)'!$C$134)+(((B108*2)+(A108*2))*'MATERIALES (2)'!$C$138)+(4*'MATERIALES (2)'!$C$137)+(((A108*5)*2)*'MATERIALES (2)'!$C$136)+(4*'MATERIALES (2)'!$C$135)+(1*'MATERIALES (2)'!$C$140)+(2*'MATERIALES (2)'!$C$139)+(4*'MATERIALES (2)'!$C$150)</f>
        <v>9782</v>
      </c>
      <c r="E108" s="75"/>
      <c r="F108" s="55">
        <f>(((A108*'MATERIALES (2)'!$C$22)*(B108/0.06))*'MATERIALES (2)'!$F$1)+((A108*'MATERIALES (2)'!$C$29)*(B108/0.06))</f>
        <v>92746.462313432843</v>
      </c>
      <c r="G108" s="38">
        <f t="shared" si="8"/>
        <v>170938.14631343284</v>
      </c>
      <c r="H108" s="49">
        <f t="shared" si="9"/>
        <v>319250.06489008816</v>
      </c>
      <c r="M108" s="42">
        <v>1.5</v>
      </c>
      <c r="N108" s="37">
        <v>1.2</v>
      </c>
      <c r="O108" s="59">
        <f>((((M108*2)+(N108*2))*'MATERIALES (2)'!$C$13)+((M108*2)*'MATERIALES (2)'!$C$6)+((N108*6)*'MATERIALES (2)'!$C$15)+(N108*'MATERIALES (2)'!$C$25))*'MATERIALES (2)'!$F$2</f>
        <v>78991.037999999986</v>
      </c>
      <c r="P108" s="59">
        <f>(12*'MATERIALES (2)'!$C$126)+(12*'MATERIALES (2)'!$C$163)+((8*4)*'MATERIALES (2)'!$C$134)+(((N108*2)+(M108*2))*'MATERIALES (2)'!$C$138)+(4*'MATERIALES (2)'!$C$137)+(((M108*5)*2)*'MATERIALES (2)'!$C$136)+(4*'MATERIALES (2)'!$C$135)+(1*'MATERIALES (2)'!$C$140)+(4*'MATERIALES (2)'!$C$139)+(6*'MATERIALES (2)'!$C$150)</f>
        <v>14086</v>
      </c>
      <c r="Q108" s="75"/>
      <c r="R108" s="55">
        <f>(((M108*'MATERIALES (2)'!$C$22)*(N108/0.06))*'MATERIALES (2)'!$F$1)+((M108*'MATERIALES (2)'!$C$29)*(N108/0.06))</f>
        <v>92746.462313432843</v>
      </c>
      <c r="S108" s="59">
        <f t="shared" si="10"/>
        <v>185823.50031343283</v>
      </c>
      <c r="T108" s="67">
        <f t="shared" si="11"/>
        <v>347050.47300787806</v>
      </c>
    </row>
    <row r="109" spans="1:20" ht="15.75" hidden="1" thickBot="1">
      <c r="A109" s="42">
        <v>1.5</v>
      </c>
      <c r="B109" s="37">
        <v>1.5</v>
      </c>
      <c r="C109" s="38">
        <f>((((A109*2)+(B109*2))*'MATERIALES (2)'!$C$13)+((A109*2)*'MATERIALES (2)'!$C$6)+((B109*4)*'MATERIALES (2)'!$C$15)+(B109*'MATERIALES (2)'!$C$25))*'MATERIALES (2)'!$F$1</f>
        <v>78010.143750000003</v>
      </c>
      <c r="D109" s="59">
        <f>(8*'MATERIALES (2)'!$C$126)+(8*'MATERIALES (2)'!$C$163)+((8*4)*'MATERIALES (2)'!$C$134)+(((B109*2)+(A109*2))*'MATERIALES (2)'!$C$138)+(4*'MATERIALES (2)'!$C$137)+(((A109*5)*2)*'MATERIALES (2)'!$C$136)+(4*'MATERIALES (2)'!$C$135)+(1*'MATERIALES (2)'!$C$140)+(2*'MATERIALES (2)'!$C$139)+(4*'MATERIALES (2)'!$C$150)</f>
        <v>9818</v>
      </c>
      <c r="E109" s="75"/>
      <c r="F109" s="55">
        <f>(((A109*'MATERIALES (2)'!$C$22)*(B109/0.06))*'MATERIALES (2)'!$F$1)+((A109*'MATERIALES (2)'!$C$29)*(B109/0.06))</f>
        <v>115933.07789179106</v>
      </c>
      <c r="G109" s="38">
        <f t="shared" si="8"/>
        <v>203761.22164179105</v>
      </c>
      <c r="H109" s="49">
        <f t="shared" si="9"/>
        <v>380551.58918096649</v>
      </c>
      <c r="I109" s="57"/>
      <c r="M109" s="42">
        <v>1.5</v>
      </c>
      <c r="N109" s="37">
        <v>1.5</v>
      </c>
      <c r="O109" s="59">
        <f>((((M109*2)+(N109*2))*'MATERIALES (2)'!$C$13)+((M109*2)*'MATERIALES (2)'!$C$6)+((N109*6)*'MATERIALES (2)'!$C$15)+(N109*'MATERIALES (2)'!$C$25))*'MATERIALES (2)'!$F$2</f>
        <v>91236.836249999993</v>
      </c>
      <c r="P109" s="59">
        <f>(12*'MATERIALES (2)'!$C$126)+(12*'MATERIALES (2)'!$C$163)+((8*4)*'MATERIALES (2)'!$C$134)+(((N109*2)+(M109*2))*'MATERIALES (2)'!$C$138)+(4*'MATERIALES (2)'!$C$137)+(((M109*5)*2)*'MATERIALES (2)'!$C$136)+(4*'MATERIALES (2)'!$C$135)+(1*'MATERIALES (2)'!$C$140)+(4*'MATERIALES (2)'!$C$139)+(6*'MATERIALES (2)'!$C$150)</f>
        <v>14122</v>
      </c>
      <c r="Q109" s="75"/>
      <c r="R109" s="55">
        <f>(((M109*'MATERIALES (2)'!$C$22)*(N109/0.06))*'MATERIALES (2)'!$F$1)+((M109*'MATERIALES (2)'!$C$29)*(N109/0.06))</f>
        <v>115933.07789179106</v>
      </c>
      <c r="S109" s="59">
        <f t="shared" si="10"/>
        <v>221291.91414179106</v>
      </c>
      <c r="T109" s="67">
        <f t="shared" si="11"/>
        <v>413292.52406820393</v>
      </c>
    </row>
    <row r="110" spans="1:20" ht="15.75" hidden="1" thickBot="1">
      <c r="A110" s="42">
        <v>1.5</v>
      </c>
      <c r="B110" s="37">
        <v>1.8</v>
      </c>
      <c r="C110" s="38">
        <f>((((A110*2)+(B110*2))*'MATERIALES (2)'!$C$13)+((A110*2)*'MATERIALES (2)'!$C$6)+((B110*4)*'MATERIALES (2)'!$C$15)+(B110*'MATERIALES (2)'!$C$25))*'MATERIALES (2)'!$F$1</f>
        <v>87610.603500000012</v>
      </c>
      <c r="D110" s="59">
        <f>(8*'MATERIALES (2)'!$C$126)+(8*'MATERIALES (2)'!$C$163)+((8*4)*'MATERIALES (2)'!$C$134)+(((B110*2)+(A110*2))*'MATERIALES (2)'!$C$138)+(4*'MATERIALES (2)'!$C$137)+(((A110*5)*2)*'MATERIALES (2)'!$C$136)+(4*'MATERIALES (2)'!$C$135)+(1*'MATERIALES (2)'!$C$140)+(2*'MATERIALES (2)'!$C$139)+(4*'MATERIALES (2)'!$C$150)</f>
        <v>9854</v>
      </c>
      <c r="E110" s="75"/>
      <c r="F110" s="55">
        <f>(((A110*'MATERIALES (2)'!$C$22)*(B110/0.06))*'MATERIALES (2)'!$F$1)+((A110*'MATERIALES (2)'!$C$29)*(B110/0.06))</f>
        <v>139119.6934701493</v>
      </c>
      <c r="G110" s="38">
        <f t="shared" si="8"/>
        <v>236584.29697014933</v>
      </c>
      <c r="H110" s="49">
        <f t="shared" si="9"/>
        <v>441853.11347184482</v>
      </c>
      <c r="I110" s="57"/>
      <c r="M110" s="42">
        <v>1.5</v>
      </c>
      <c r="N110" s="37">
        <v>1.8</v>
      </c>
      <c r="O110" s="59">
        <f>((((M110*2)+(N110*2))*'MATERIALES (2)'!$C$13)+((M110*2)*'MATERIALES (2)'!$C$6)+((N110*6)*'MATERIALES (2)'!$C$15)+(N110*'MATERIALES (2)'!$C$25))*'MATERIALES (2)'!$F$2</f>
        <v>103482.63450000001</v>
      </c>
      <c r="P110" s="59">
        <f>(12*'MATERIALES (2)'!$C$126)+(12*'MATERIALES (2)'!$C$163)+((8*4)*'MATERIALES (2)'!$C$134)+(((N110*2)+(M110*2))*'MATERIALES (2)'!$C$138)+(4*'MATERIALES (2)'!$C$137)+(((M110*5)*2)*'MATERIALES (2)'!$C$136)+(4*'MATERIALES (2)'!$C$135)+(1*'MATERIALES (2)'!$C$140)+(4*'MATERIALES (2)'!$C$139)+(6*'MATERIALES (2)'!$C$150)</f>
        <v>14158</v>
      </c>
      <c r="Q110" s="75"/>
      <c r="R110" s="55">
        <f>(((M110*'MATERIALES (2)'!$C$22)*(N110/0.06))*'MATERIALES (2)'!$F$1)+((M110*'MATERIALES (2)'!$C$29)*(N110/0.06))</f>
        <v>139119.6934701493</v>
      </c>
      <c r="S110" s="59">
        <f t="shared" si="10"/>
        <v>256760.32797014932</v>
      </c>
      <c r="T110" s="67">
        <f t="shared" si="11"/>
        <v>479534.57512852986</v>
      </c>
    </row>
    <row r="111" spans="1:20" ht="15.75" hidden="1" thickBot="1">
      <c r="A111" s="42">
        <v>1.8</v>
      </c>
      <c r="B111" s="37">
        <v>0.8</v>
      </c>
      <c r="C111" s="38">
        <f>((((A111*2)+(B111*2))*'MATERIALES (2)'!$C$13)+((A111*2)*'MATERIALES (2)'!$C$6)+((B111*4)*'MATERIALES (2)'!$C$15)+(B111*'MATERIALES (2)'!$C$25))*'MATERIALES (2)'!$F$1</f>
        <v>61610.640000000007</v>
      </c>
      <c r="D111" s="59">
        <f>(8*'MATERIALES (2)'!$C$126)+(8*'MATERIALES (2)'!$C$163)+((8*4)*'MATERIALES (2)'!$C$134)+(((B111*2)+(A111*2))*'MATERIALES (2)'!$C$138)+(4*'MATERIALES (2)'!$C$137)+(((A111*5)*2)*'MATERIALES (2)'!$C$136)+(4*'MATERIALES (2)'!$C$135)+(1*'MATERIALES (2)'!$C$140)+(2*'MATERIALES (2)'!$C$139)+(4*'MATERIALES (2)'!$C$150)</f>
        <v>9770</v>
      </c>
      <c r="E111" s="75"/>
      <c r="F111" s="55">
        <f>(((A111*'MATERIALES (2)'!$C$22)*(B111/0.06))*'MATERIALES (2)'!$F$1)+((A111*'MATERIALES (2)'!$C$29)*(B111/0.06))</f>
        <v>74197.169850746272</v>
      </c>
      <c r="G111" s="38">
        <f t="shared" si="8"/>
        <v>145577.8098507463</v>
      </c>
      <c r="H111" s="49">
        <f t="shared" si="9"/>
        <v>271886.21290059859</v>
      </c>
      <c r="I111" s="57"/>
      <c r="M111" s="42">
        <v>1.8</v>
      </c>
      <c r="N111" s="37">
        <v>0.8</v>
      </c>
      <c r="O111" s="59">
        <f>((((M111*2)+(N111*2))*'MATERIALES (2)'!$C$13)+((M111*2)*'MATERIALES (2)'!$C$6)+((N111*6)*'MATERIALES (2)'!$C$15)+(N111*'MATERIALES (2)'!$C$25))*'MATERIALES (2)'!$F$2</f>
        <v>68664.876000000004</v>
      </c>
      <c r="P111" s="59">
        <f>(12*'MATERIALES (2)'!$C$126)+(12*'MATERIALES (2)'!$C$163)+((8*4)*'MATERIALES (2)'!$C$134)+(((N111*2)+(M111*2))*'MATERIALES (2)'!$C$138)+(4*'MATERIALES (2)'!$C$137)+(((M111*5)*2)*'MATERIALES (2)'!$C$136)+(4*'MATERIALES (2)'!$C$135)+(1*'MATERIALES (2)'!$C$140)+(4*'MATERIALES (2)'!$C$139)+(6*'MATERIALES (2)'!$C$150)</f>
        <v>14074</v>
      </c>
      <c r="Q111" s="75"/>
      <c r="R111" s="55">
        <f>(((M111*'MATERIALES (2)'!$C$22)*(N111/0.06))*'MATERIALES (2)'!$F$1)+((M111*'MATERIALES (2)'!$C$29)*(N111/0.06))</f>
        <v>74197.169850746272</v>
      </c>
      <c r="S111" s="59">
        <f t="shared" si="10"/>
        <v>156936.04585074628</v>
      </c>
      <c r="T111" s="67">
        <f t="shared" si="11"/>
        <v>293099.25199245848</v>
      </c>
    </row>
    <row r="112" spans="1:20" ht="15.75" hidden="1" thickBot="1">
      <c r="A112" s="42">
        <v>1.8</v>
      </c>
      <c r="B112" s="37">
        <v>1</v>
      </c>
      <c r="C112" s="38">
        <f>((((A112*2)+(B112*2))*'MATERIALES (2)'!$C$13)+((A112*2)*'MATERIALES (2)'!$C$6)+((B112*4)*'MATERIALES (2)'!$C$15)+(B112*'MATERIALES (2)'!$C$25))*'MATERIALES (2)'!$F$1</f>
        <v>68010.946500000005</v>
      </c>
      <c r="D112" s="59">
        <f>(8*'MATERIALES (2)'!$C$126)+(8*'MATERIALES (2)'!$C$163)+((8*4)*'MATERIALES (2)'!$C$134)+(((B112*2)+(A112*2))*'MATERIALES (2)'!$C$138)+(4*'MATERIALES (2)'!$C$137)+(((A112*5)*2)*'MATERIALES (2)'!$C$136)+(4*'MATERIALES (2)'!$C$135)+(1*'MATERIALES (2)'!$C$140)+(2*'MATERIALES (2)'!$C$139)+(4*'MATERIALES (2)'!$C$150)</f>
        <v>9794</v>
      </c>
      <c r="E112" s="75"/>
      <c r="F112" s="55">
        <f>(((A112*'MATERIALES (2)'!$C$22)*(B112/0.06))*'MATERIALES (2)'!$F$1)+((A112*'MATERIALES (2)'!$C$29)*(B112/0.06))</f>
        <v>92746.462313432858</v>
      </c>
      <c r="G112" s="38">
        <f t="shared" si="8"/>
        <v>170551.40881343285</v>
      </c>
      <c r="H112" s="49">
        <f t="shared" si="9"/>
        <v>318527.78039927565</v>
      </c>
      <c r="I112" s="57"/>
      <c r="M112" s="42">
        <v>1.8</v>
      </c>
      <c r="N112" s="37">
        <v>1</v>
      </c>
      <c r="O112" s="59">
        <f>((((M112*2)+(N112*2))*'MATERIALES (2)'!$C$13)+((M112*2)*'MATERIALES (2)'!$C$6)+((N112*6)*'MATERIALES (2)'!$C$15)+(N112*'MATERIALES (2)'!$C$25))*'MATERIALES (2)'!$F$2</f>
        <v>76828.741500000004</v>
      </c>
      <c r="P112" s="59">
        <f>(12*'MATERIALES (2)'!$C$126)+(12*'MATERIALES (2)'!$C$163)+((8*4)*'MATERIALES (2)'!$C$134)+(((N112*2)+(M112*2))*'MATERIALES (2)'!$C$138)+(4*'MATERIALES (2)'!$C$137)+(((M112*5)*2)*'MATERIALES (2)'!$C$136)+(4*'MATERIALES (2)'!$C$135)+(1*'MATERIALES (2)'!$C$140)+(4*'MATERIALES (2)'!$C$139)+(6*'MATERIALES (2)'!$C$150)</f>
        <v>14098</v>
      </c>
      <c r="Q112" s="75"/>
      <c r="R112" s="55">
        <f>(((M112*'MATERIALES (2)'!$C$22)*(N112/0.06))*'MATERIALES (2)'!$F$1)+((M112*'MATERIALES (2)'!$C$29)*(N112/0.06))</f>
        <v>92746.462313432858</v>
      </c>
      <c r="S112" s="59">
        <f t="shared" si="10"/>
        <v>183673.20381343286</v>
      </c>
      <c r="T112" s="67">
        <f t="shared" si="11"/>
        <v>343034.50400410069</v>
      </c>
    </row>
    <row r="113" spans="1:20" ht="15.75" hidden="1" thickBot="1">
      <c r="A113" s="42">
        <v>1.8</v>
      </c>
      <c r="B113" s="37">
        <v>1.1000000000000001</v>
      </c>
      <c r="C113" s="38">
        <f>((((A113*2)+(B113*2))*'MATERIALES (2)'!$C$13)+((A113*2)*'MATERIALES (2)'!$C$6)+((B113*4)*'MATERIALES (2)'!$C$15)+(B113*'MATERIALES (2)'!$C$25))*'MATERIALES (2)'!$F$1</f>
        <v>71211.099750000008</v>
      </c>
      <c r="D113" s="59">
        <f>(8*'MATERIALES (2)'!$C$126)+(8*'MATERIALES (2)'!$C$163)+((8*4)*'MATERIALES (2)'!$C$134)+(((B113*2)+(A113*2))*'MATERIALES (2)'!$C$138)+(4*'MATERIALES (2)'!$C$137)+(((A113*5)*2)*'MATERIALES (2)'!$C$136)+(4*'MATERIALES (2)'!$C$135)+(1*'MATERIALES (2)'!$C$140)+(2*'MATERIALES (2)'!$C$139)+(4*'MATERIALES (2)'!$C$150)</f>
        <v>9806</v>
      </c>
      <c r="E113" s="75"/>
      <c r="F113" s="55">
        <f>(((A113*'MATERIALES (2)'!$C$22)*(B113/0.06))*'MATERIALES (2)'!$F$1)+((A113*'MATERIALES (2)'!$C$29)*(B113/0.06))</f>
        <v>102021.10854477614</v>
      </c>
      <c r="G113" s="38">
        <f t="shared" si="8"/>
        <v>183038.20829477615</v>
      </c>
      <c r="H113" s="49">
        <f t="shared" si="9"/>
        <v>341848.56414861424</v>
      </c>
      <c r="I113" s="57"/>
      <c r="M113" s="42">
        <v>1.8</v>
      </c>
      <c r="N113" s="37">
        <v>1.1000000000000001</v>
      </c>
      <c r="O113" s="59">
        <f>((((M113*2)+(N113*2))*'MATERIALES (2)'!$C$13)+((M113*2)*'MATERIALES (2)'!$C$6)+((N113*6)*'MATERIALES (2)'!$C$15)+(N113*'MATERIALES (2)'!$C$25))*'MATERIALES (2)'!$F$2</f>
        <v>80910.674249999996</v>
      </c>
      <c r="P113" s="59">
        <f>(12*'MATERIALES (2)'!$C$126)+(12*'MATERIALES (2)'!$C$163)+((8*4)*'MATERIALES (2)'!$C$134)+(((N113*2)+(M113*2))*'MATERIALES (2)'!$C$138)+(4*'MATERIALES (2)'!$C$137)+(((M113*5)*2)*'MATERIALES (2)'!$C$136)+(4*'MATERIALES (2)'!$C$135)+(1*'MATERIALES (2)'!$C$140)+(4*'MATERIALES (2)'!$C$139)+(6*'MATERIALES (2)'!$C$150)</f>
        <v>14110</v>
      </c>
      <c r="Q113" s="75"/>
      <c r="R113" s="55">
        <f>(((M113*'MATERIALES (2)'!$C$22)*(N113/0.06))*'MATERIALES (2)'!$F$1)+((M113*'MATERIALES (2)'!$C$29)*(N113/0.06))</f>
        <v>102021.10854477614</v>
      </c>
      <c r="S113" s="59">
        <f t="shared" si="10"/>
        <v>197041.78279477614</v>
      </c>
      <c r="T113" s="67">
        <f t="shared" si="11"/>
        <v>368002.13000992173</v>
      </c>
    </row>
    <row r="114" spans="1:20" ht="15.75" hidden="1" thickBot="1">
      <c r="A114" s="42">
        <v>1.8</v>
      </c>
      <c r="B114" s="37">
        <v>1.2</v>
      </c>
      <c r="C114" s="38">
        <f>((((A114*2)+(B114*2))*'MATERIALES (2)'!$C$13)+((A114*2)*'MATERIALES (2)'!$C$6)+((B114*4)*'MATERIALES (2)'!$C$15)+(B114*'MATERIALES (2)'!$C$25))*'MATERIALES (2)'!$F$1</f>
        <v>74411.252999999997</v>
      </c>
      <c r="D114" s="59">
        <f>(8*'MATERIALES (2)'!$C$126)+(8*'MATERIALES (2)'!$C$163)+((8*4)*'MATERIALES (2)'!$C$134)+(((B114*2)+(A114*2))*'MATERIALES (2)'!$C$138)+(4*'MATERIALES (2)'!$C$137)+(((A114*5)*2)*'MATERIALES (2)'!$C$136)+(4*'MATERIALES (2)'!$C$135)+(1*'MATERIALES (2)'!$C$140)+(2*'MATERIALES (2)'!$C$139)+(4*'MATERIALES (2)'!$C$150)</f>
        <v>9818</v>
      </c>
      <c r="E114" s="75"/>
      <c r="F114" s="55">
        <f>(((A114*'MATERIALES (2)'!$C$22)*(B114/0.06))*'MATERIALES (2)'!$F$1)+((A114*'MATERIALES (2)'!$C$29)*(B114/0.06))</f>
        <v>111295.75477611941</v>
      </c>
      <c r="G114" s="38">
        <f t="shared" si="8"/>
        <v>195525.0077761194</v>
      </c>
      <c r="H114" s="49">
        <f t="shared" si="9"/>
        <v>365169.34789795277</v>
      </c>
      <c r="I114" s="57"/>
      <c r="M114" s="42">
        <v>1.8</v>
      </c>
      <c r="N114" s="37">
        <v>1.2</v>
      </c>
      <c r="O114" s="59">
        <f>((((M114*2)+(N114*2))*'MATERIALES (2)'!$C$13)+((M114*2)*'MATERIALES (2)'!$C$6)+((N114*6)*'MATERIALES (2)'!$C$15)+(N114*'MATERIALES (2)'!$C$25))*'MATERIALES (2)'!$F$2</f>
        <v>84992.606999999989</v>
      </c>
      <c r="P114" s="59">
        <f>(12*'MATERIALES (2)'!$C$126)+(12*'MATERIALES (2)'!$C$163)+((8*4)*'MATERIALES (2)'!$C$134)+(((N114*2)+(M114*2))*'MATERIALES (2)'!$C$138)+(4*'MATERIALES (2)'!$C$137)+(((M114*5)*2)*'MATERIALES (2)'!$C$136)+(4*'MATERIALES (2)'!$C$135)+(1*'MATERIALES (2)'!$C$140)+(4*'MATERIALES (2)'!$C$139)+(6*'MATERIALES (2)'!$C$150)</f>
        <v>14122</v>
      </c>
      <c r="Q114" s="75"/>
      <c r="R114" s="55">
        <f>(((M114*'MATERIALES (2)'!$C$22)*(N114/0.06))*'MATERIALES (2)'!$F$1)+((M114*'MATERIALES (2)'!$C$29)*(N114/0.06))</f>
        <v>111295.75477611941</v>
      </c>
      <c r="S114" s="59">
        <f t="shared" si="10"/>
        <v>210410.36177611939</v>
      </c>
      <c r="T114" s="67">
        <f t="shared" si="11"/>
        <v>392969.75601574278</v>
      </c>
    </row>
    <row r="115" spans="1:20" ht="15.75" hidden="1" thickBot="1">
      <c r="A115" s="42">
        <v>1.8</v>
      </c>
      <c r="B115" s="37">
        <v>1.5</v>
      </c>
      <c r="C115" s="38">
        <f>((((A115*2)+(B115*2))*'MATERIALES (2)'!$C$13)+((A115*2)*'MATERIALES (2)'!$C$6)+((B115*4)*'MATERIALES (2)'!$C$15)+(B115*'MATERIALES (2)'!$C$25))*'MATERIALES (2)'!$F$1</f>
        <v>84011.712749999992</v>
      </c>
      <c r="D115" s="59">
        <f>(8*'MATERIALES (2)'!$C$126)+(8*'MATERIALES (2)'!$C$163)+((8*4)*'MATERIALES (2)'!$C$134)+(((B115*2)+(A115*2))*'MATERIALES (2)'!$C$138)+(4*'MATERIALES (2)'!$C$137)+(((A115*5)*2)*'MATERIALES (2)'!$C$136)+(4*'MATERIALES (2)'!$C$135)+(1*'MATERIALES (2)'!$C$140)+(2*'MATERIALES (2)'!$C$139)+(4*'MATERIALES (2)'!$C$150)</f>
        <v>9854</v>
      </c>
      <c r="E115" s="75"/>
      <c r="F115" s="55">
        <f>(((A115*'MATERIALES (2)'!$C$22)*(B115/0.06))*'MATERIALES (2)'!$F$1)+((A115*'MATERIALES (2)'!$C$29)*(B115/0.06))</f>
        <v>139119.69347014927</v>
      </c>
      <c r="G115" s="38">
        <f t="shared" si="8"/>
        <v>232985.40622014925</v>
      </c>
      <c r="H115" s="49">
        <f t="shared" si="9"/>
        <v>435131.69914596842</v>
      </c>
      <c r="I115" s="57"/>
      <c r="M115" s="42">
        <v>1.8</v>
      </c>
      <c r="N115" s="37">
        <v>1.5</v>
      </c>
      <c r="O115" s="59">
        <f>((((M115*2)+(N115*2))*'MATERIALES (2)'!$C$13)+((M115*2)*'MATERIALES (2)'!$C$6)+((N115*6)*'MATERIALES (2)'!$C$15)+(N115*'MATERIALES (2)'!$C$25))*'MATERIALES (2)'!$F$2</f>
        <v>97238.405249999996</v>
      </c>
      <c r="P115" s="59">
        <f>(12*'MATERIALES (2)'!$C$126)+(12*'MATERIALES (2)'!$C$163)+((8*4)*'MATERIALES (2)'!$C$134)+(((N115*2)+(M115*2))*'MATERIALES (2)'!$C$138)+(4*'MATERIALES (2)'!$C$137)+(((M115*5)*2)*'MATERIALES (2)'!$C$136)+(4*'MATERIALES (2)'!$C$135)+(1*'MATERIALES (2)'!$C$140)+(4*'MATERIALES (2)'!$C$139)+(6*'MATERIALES (2)'!$C$150)</f>
        <v>14158</v>
      </c>
      <c r="Q115" s="75"/>
      <c r="R115" s="55">
        <f>(((M115*'MATERIALES (2)'!$C$22)*(N115/0.06))*'MATERIALES (2)'!$F$1)+((M115*'MATERIALES (2)'!$C$29)*(N115/0.06))</f>
        <v>139119.69347014927</v>
      </c>
      <c r="S115" s="59">
        <f t="shared" si="10"/>
        <v>250516.09872014925</v>
      </c>
      <c r="T115" s="67">
        <f t="shared" si="11"/>
        <v>467872.63403320592</v>
      </c>
    </row>
    <row r="116" spans="1:20" ht="15.75" hidden="1" thickBot="1">
      <c r="A116" s="42">
        <v>1.8</v>
      </c>
      <c r="B116" s="37">
        <v>1.8</v>
      </c>
      <c r="C116" s="38">
        <f>((((A116*2)+(B116*2))*'MATERIALES (2)'!$C$13)+((A116*2)*'MATERIALES (2)'!$C$6)+((B116*4)*'MATERIALES (2)'!$C$15)+(B116*'MATERIALES (2)'!$C$25))*'MATERIALES (2)'!$F$1</f>
        <v>93612.172500000001</v>
      </c>
      <c r="D116" s="59">
        <f>(8*'MATERIALES (2)'!$C$126)+(8*'MATERIALES (2)'!$C$163)+((8*4)*'MATERIALES (2)'!$C$134)+(((B116*2)+(A116*2))*'MATERIALES (2)'!$C$138)+(4*'MATERIALES (2)'!$C$137)+(((A116*5)*2)*'MATERIALES (2)'!$C$136)+(4*'MATERIALES (2)'!$C$135)+(1*'MATERIALES (2)'!$C$140)+(2*'MATERIALES (2)'!$C$139)+(4*'MATERIALES (2)'!$C$150)</f>
        <v>9890</v>
      </c>
      <c r="E116" s="75"/>
      <c r="F116" s="55">
        <f>(((A116*'MATERIALES (2)'!$C$22)*(B116/0.06))*'MATERIALES (2)'!$F$1)+((A116*'MATERIALES (2)'!$C$29)*(B116/0.06))</f>
        <v>166943.63216417914</v>
      </c>
      <c r="G116" s="38">
        <f t="shared" si="8"/>
        <v>270445.80466417916</v>
      </c>
      <c r="H116" s="49">
        <f t="shared" si="9"/>
        <v>505094.0503939843</v>
      </c>
      <c r="I116" s="57"/>
      <c r="M116" s="42">
        <v>1.8</v>
      </c>
      <c r="N116" s="37">
        <v>1.8</v>
      </c>
      <c r="O116" s="59">
        <f>((((M116*2)+(N116*2))*'MATERIALES (2)'!$C$13)+((M116*2)*'MATERIALES (2)'!$C$6)+((N116*6)*'MATERIALES (2)'!$C$15)+(N116*'MATERIALES (2)'!$C$25))*'MATERIALES (2)'!$F$2</f>
        <v>109484.2035</v>
      </c>
      <c r="P116" s="59">
        <f>(12*'MATERIALES (2)'!$C$126)+(12*'MATERIALES (2)'!$C$163)+((8*4)*'MATERIALES (2)'!$C$134)+(((N116*2)+(M116*2))*'MATERIALES (2)'!$C$138)+(4*'MATERIALES (2)'!$C$137)+(((M116*5)*2)*'MATERIALES (2)'!$C$136)+(4*'MATERIALES (2)'!$C$135)+(1*'MATERIALES (2)'!$C$140)+(4*'MATERIALES (2)'!$C$139)+(6*'MATERIALES (2)'!$C$150)</f>
        <v>14194</v>
      </c>
      <c r="Q116" s="75"/>
      <c r="R116" s="55">
        <f>(((M116*'MATERIALES (2)'!$C$22)*(N116/0.06))*'MATERIALES (2)'!$F$1)+((M116*'MATERIALES (2)'!$C$29)*(N116/0.06))</f>
        <v>166943.63216417914</v>
      </c>
      <c r="S116" s="59">
        <f t="shared" si="10"/>
        <v>290621.83566417918</v>
      </c>
      <c r="T116" s="67">
        <f t="shared" si="11"/>
        <v>542775.51205066929</v>
      </c>
    </row>
    <row r="117" spans="1:20" ht="15.75" hidden="1" thickBot="1">
      <c r="A117" s="42">
        <v>2</v>
      </c>
      <c r="B117" s="37">
        <v>0.8</v>
      </c>
      <c r="C117" s="38">
        <f>((((A117*2)+(B117*2))*'MATERIALES (2)'!$C$13)+((A117*2)*'MATERIALES (2)'!$C$6)+((B117*4)*'MATERIALES (2)'!$C$15)+(B117*'MATERIALES (2)'!$C$25))*'MATERIALES (2)'!$F$1</f>
        <v>65611.686000000002</v>
      </c>
      <c r="D117" s="59">
        <f>(8*'MATERIALES (2)'!$C$126)+(8*'MATERIALES (2)'!$C$163)+((8*4)*'MATERIALES (2)'!$C$134)+(((B117*2)+(A117*2))*'MATERIALES (2)'!$C$138)+(4*'MATERIALES (2)'!$C$137)+(((A117*5)*2)*'MATERIALES (2)'!$C$136)+(4*'MATERIALES (2)'!$C$135)+(1*'MATERIALES (2)'!$C$140)+(2*'MATERIALES (2)'!$C$139)+(4*'MATERIALES (2)'!$C$150)</f>
        <v>9794</v>
      </c>
      <c r="E117" s="75"/>
      <c r="F117" s="55">
        <f>(((A117*'MATERIALES (2)'!$C$22)*(B117/0.06))*'MATERIALES (2)'!$F$1)+((A117*'MATERIALES (2)'!$C$29)*(B117/0.06))</f>
        <v>82441.299834162521</v>
      </c>
      <c r="G117" s="38">
        <f t="shared" si="8"/>
        <v>157846.98583416251</v>
      </c>
      <c r="H117" s="49">
        <f t="shared" si="9"/>
        <v>294800.55538838607</v>
      </c>
      <c r="I117" s="57"/>
      <c r="M117" s="42">
        <v>2</v>
      </c>
      <c r="N117" s="37">
        <v>0.8</v>
      </c>
      <c r="O117" s="59">
        <f>((((M117*2)+(N117*2))*'MATERIALES (2)'!$C$13)+((M117*2)*'MATERIALES (2)'!$C$6)+((N117*6)*'MATERIALES (2)'!$C$15)+(N117*'MATERIALES (2)'!$C$25))*'MATERIALES (2)'!$F$2</f>
        <v>72665.922000000006</v>
      </c>
      <c r="P117" s="59">
        <f>(12*'MATERIALES (2)'!$C$126)+(12*'MATERIALES (2)'!$C$163)+((8*4)*'MATERIALES (2)'!$C$134)+(((N117*2)+(M117*2))*'MATERIALES (2)'!$C$138)+(4*'MATERIALES (2)'!$C$137)+(((M117*5)*2)*'MATERIALES (2)'!$C$136)+(4*'MATERIALES (2)'!$C$135)+(1*'MATERIALES (2)'!$C$140)+(4*'MATERIALES (2)'!$C$139)+(6*'MATERIALES (2)'!$C$150)</f>
        <v>14098</v>
      </c>
      <c r="Q117" s="75"/>
      <c r="R117" s="55">
        <f>(((M117*'MATERIALES (2)'!$C$22)*(N117/0.06))*'MATERIALES (2)'!$F$1)+((M117*'MATERIALES (2)'!$C$29)*(N117/0.06))</f>
        <v>82441.299834162521</v>
      </c>
      <c r="S117" s="59">
        <f t="shared" si="10"/>
        <v>169205.22183416254</v>
      </c>
      <c r="T117" s="67">
        <f t="shared" si="11"/>
        <v>316013.59448024613</v>
      </c>
    </row>
    <row r="118" spans="1:20" ht="15.75" hidden="1" thickBot="1">
      <c r="A118" s="42">
        <v>2</v>
      </c>
      <c r="B118" s="37">
        <v>1</v>
      </c>
      <c r="C118" s="38">
        <f>((((A118*2)+(B118*2))*'MATERIALES (2)'!$C$13)+((A118*2)*'MATERIALES (2)'!$C$6)+((B118*4)*'MATERIALES (2)'!$C$15)+(B118*'MATERIALES (2)'!$C$25))*'MATERIALES (2)'!$F$1</f>
        <v>72011.992499999993</v>
      </c>
      <c r="D118" s="59">
        <f>(8*'MATERIALES (2)'!$C$126)+(8*'MATERIALES (2)'!$C$163)+((8*4)*'MATERIALES (2)'!$C$134)+(((B118*2)+(A118*2))*'MATERIALES (2)'!$C$138)+(4*'MATERIALES (2)'!$C$137)+(((A118*5)*2)*'MATERIALES (2)'!$C$136)+(4*'MATERIALES (2)'!$C$135)+(1*'MATERIALES (2)'!$C$140)+(2*'MATERIALES (2)'!$C$139)+(4*'MATERIALES (2)'!$C$150)</f>
        <v>9818</v>
      </c>
      <c r="E118" s="75"/>
      <c r="F118" s="55">
        <f>(((A118*'MATERIALES (2)'!$C$22)*(B118/0.06))*'MATERIALES (2)'!$F$1)+((A118*'MATERIALES (2)'!$C$29)*(B118/0.06))</f>
        <v>103051.62479270315</v>
      </c>
      <c r="G118" s="38">
        <f t="shared" si="8"/>
        <v>184881.61729270313</v>
      </c>
      <c r="H118" s="49">
        <f t="shared" si="9"/>
        <v>345291.37931245763</v>
      </c>
      <c r="I118" s="57"/>
      <c r="M118" s="42">
        <v>2</v>
      </c>
      <c r="N118" s="37">
        <v>1</v>
      </c>
      <c r="O118" s="59">
        <f>((((M118*2)+(N118*2))*'MATERIALES (2)'!$C$13)+((M118*2)*'MATERIALES (2)'!$C$6)+((N118*6)*'MATERIALES (2)'!$C$15)+(N118*'MATERIALES (2)'!$C$25))*'MATERIALES (2)'!$F$2</f>
        <v>80829.787499999991</v>
      </c>
      <c r="P118" s="59">
        <f>(12*'MATERIALES (2)'!$C$126)+(12*'MATERIALES (2)'!$C$163)+((8*4)*'MATERIALES (2)'!$C$134)+(((N118*2)+(M118*2))*'MATERIALES (2)'!$C$138)+(4*'MATERIALES (2)'!$C$137)+(((M118*5)*2)*'MATERIALES (2)'!$C$136)+(4*'MATERIALES (2)'!$C$135)+(1*'MATERIALES (2)'!$C$140)+(4*'MATERIALES (2)'!$C$139)+(6*'MATERIALES (2)'!$C$150)</f>
        <v>14122</v>
      </c>
      <c r="Q118" s="75"/>
      <c r="R118" s="55">
        <f>(((M118*'MATERIALES (2)'!$C$22)*(N118/0.06))*'MATERIALES (2)'!$F$1)+((M118*'MATERIALES (2)'!$C$29)*(N118/0.06))</f>
        <v>103051.62479270315</v>
      </c>
      <c r="S118" s="59">
        <f t="shared" si="10"/>
        <v>198003.41229270314</v>
      </c>
      <c r="T118" s="67">
        <f t="shared" si="11"/>
        <v>369798.10291728261</v>
      </c>
    </row>
    <row r="119" spans="1:20" ht="15.75" hidden="1" thickBot="1">
      <c r="A119" s="42">
        <v>2</v>
      </c>
      <c r="B119" s="37">
        <v>1.1000000000000001</v>
      </c>
      <c r="C119" s="38">
        <f>((((A119*2)+(B119*2))*'MATERIALES (2)'!$C$13)+((A119*2)*'MATERIALES (2)'!$C$6)+((B119*4)*'MATERIALES (2)'!$C$15)+(B119*'MATERIALES (2)'!$C$25))*'MATERIALES (2)'!$F$1</f>
        <v>75212.145749999996</v>
      </c>
      <c r="D119" s="59">
        <f>(8*'MATERIALES (2)'!$C$126)+(8*'MATERIALES (2)'!$C$163)+((8*4)*'MATERIALES (2)'!$C$134)+(((B119*2)+(A119*2))*'MATERIALES (2)'!$C$138)+(4*'MATERIALES (2)'!$C$137)+(((A119*5)*2)*'MATERIALES (2)'!$C$136)+(4*'MATERIALES (2)'!$C$135)+(1*'MATERIALES (2)'!$C$140)+(2*'MATERIALES (2)'!$C$139)+(4*'MATERIALES (2)'!$C$150)</f>
        <v>9830</v>
      </c>
      <c r="E119" s="75"/>
      <c r="F119" s="55">
        <f>(((A119*'MATERIALES (2)'!$C$22)*(B119/0.06))*'MATERIALES (2)'!$F$1)+((A119*'MATERIALES (2)'!$C$29)*(B119/0.06))</f>
        <v>113356.78727197349</v>
      </c>
      <c r="G119" s="38">
        <f t="shared" si="8"/>
        <v>198398.93302197347</v>
      </c>
      <c r="H119" s="49">
        <f t="shared" si="9"/>
        <v>370536.79127449333</v>
      </c>
      <c r="I119" s="57"/>
      <c r="M119" s="42">
        <v>2</v>
      </c>
      <c r="N119" s="37">
        <v>1.1000000000000001</v>
      </c>
      <c r="O119" s="59">
        <f>((((M119*2)+(N119*2))*'MATERIALES (2)'!$C$13)+((M119*2)*'MATERIALES (2)'!$C$6)+((N119*6)*'MATERIALES (2)'!$C$15)+(N119*'MATERIALES (2)'!$C$25))*'MATERIALES (2)'!$F$2</f>
        <v>84911.720249999998</v>
      </c>
      <c r="P119" s="59">
        <f>(12*'MATERIALES (2)'!$C$126)+(12*'MATERIALES (2)'!$C$163)+((8*4)*'MATERIALES (2)'!$C$134)+(((N119*2)+(M119*2))*'MATERIALES (2)'!$C$138)+(4*'MATERIALES (2)'!$C$137)+(((M119*5)*2)*'MATERIALES (2)'!$C$136)+(4*'MATERIALES (2)'!$C$135)+(1*'MATERIALES (2)'!$C$140)+(4*'MATERIALES (2)'!$C$139)+(6*'MATERIALES (2)'!$C$150)</f>
        <v>14134</v>
      </c>
      <c r="Q119" s="75"/>
      <c r="R119" s="55">
        <f>(((M119*'MATERIALES (2)'!$C$22)*(N119/0.06))*'MATERIALES (2)'!$F$1)+((M119*'MATERIALES (2)'!$C$29)*(N119/0.06))</f>
        <v>113356.78727197349</v>
      </c>
      <c r="S119" s="59">
        <f t="shared" si="10"/>
        <v>212402.50752197349</v>
      </c>
      <c r="T119" s="67">
        <f t="shared" si="11"/>
        <v>396690.35713580094</v>
      </c>
    </row>
    <row r="120" spans="1:20" ht="15.75" hidden="1" thickBot="1">
      <c r="A120" s="42">
        <v>2</v>
      </c>
      <c r="B120" s="37">
        <v>1.2</v>
      </c>
      <c r="C120" s="38">
        <f>((((A120*2)+(B120*2))*'MATERIALES (2)'!$C$13)+((A120*2)*'MATERIALES (2)'!$C$6)+((B120*4)*'MATERIALES (2)'!$C$15)+(B120*'MATERIALES (2)'!$C$25))*'MATERIALES (2)'!$F$1</f>
        <v>78412.298999999999</v>
      </c>
      <c r="D120" s="59">
        <f>(8*'MATERIALES (2)'!$C$126)+(8*'MATERIALES (2)'!$C$163)+((8*4)*'MATERIALES (2)'!$C$134)+(((B120*2)+(A120*2))*'MATERIALES (2)'!$C$138)+(4*'MATERIALES (2)'!$C$137)+(((A120*5)*2)*'MATERIALES (2)'!$C$136)+(4*'MATERIALES (2)'!$C$135)+(1*'MATERIALES (2)'!$C$140)+(2*'MATERIALES (2)'!$C$139)+(4*'MATERIALES (2)'!$C$150)</f>
        <v>9842</v>
      </c>
      <c r="E120" s="75"/>
      <c r="F120" s="55">
        <f>(((A120*'MATERIALES (2)'!$C$22)*(B120/0.06))*'MATERIALES (2)'!$F$1)+((A120*'MATERIALES (2)'!$C$29)*(B120/0.06))</f>
        <v>123661.94975124378</v>
      </c>
      <c r="G120" s="38">
        <f t="shared" si="8"/>
        <v>211916.24875124378</v>
      </c>
      <c r="H120" s="49">
        <f t="shared" si="9"/>
        <v>395782.2032365292</v>
      </c>
      <c r="I120" s="57"/>
      <c r="M120" s="42">
        <v>2</v>
      </c>
      <c r="N120" s="37">
        <v>1.2</v>
      </c>
      <c r="O120" s="59">
        <f>((((M120*2)+(N120*2))*'MATERIALES (2)'!$C$13)+((M120*2)*'MATERIALES (2)'!$C$6)+((N120*6)*'MATERIALES (2)'!$C$15)+(N120*'MATERIALES (2)'!$C$25))*'MATERIALES (2)'!$F$2</f>
        <v>88993.652999999991</v>
      </c>
      <c r="P120" s="59">
        <f>(12*'MATERIALES (2)'!$C$126)+(12*'MATERIALES (2)'!$C$163)+((8*4)*'MATERIALES (2)'!$C$134)+(((N120*2)+(M120*2))*'MATERIALES (2)'!$C$138)+(4*'MATERIALES (2)'!$C$137)+(((M120*5)*2)*'MATERIALES (2)'!$C$136)+(4*'MATERIALES (2)'!$C$135)+(1*'MATERIALES (2)'!$C$140)+(4*'MATERIALES (2)'!$C$139)+(6*'MATERIALES (2)'!$C$150)</f>
        <v>14146</v>
      </c>
      <c r="Q120" s="75"/>
      <c r="R120" s="55">
        <f>(((M120*'MATERIALES (2)'!$C$22)*(N120/0.06))*'MATERIALES (2)'!$F$1)+((M120*'MATERIALES (2)'!$C$29)*(N120/0.06))</f>
        <v>123661.94975124378</v>
      </c>
      <c r="S120" s="59">
        <f t="shared" si="10"/>
        <v>226801.60275124377</v>
      </c>
      <c r="T120" s="67">
        <f t="shared" si="11"/>
        <v>423582.61135431915</v>
      </c>
    </row>
    <row r="121" spans="1:20" ht="15.75" hidden="1" thickBot="1">
      <c r="A121" s="42">
        <v>2</v>
      </c>
      <c r="B121" s="37">
        <v>1.5</v>
      </c>
      <c r="C121" s="38">
        <f>((((A121*2)+(B121*2))*'MATERIALES (2)'!$C$13)+((A121*2)*'MATERIALES (2)'!$C$6)+((B121*4)*'MATERIALES (2)'!$C$15)+(B121*'MATERIALES (2)'!$C$25))*'MATERIALES (2)'!$F$1</f>
        <v>88012.758750000008</v>
      </c>
      <c r="D121" s="59">
        <f>(8*'MATERIALES (2)'!$C$126)+(8*'MATERIALES (2)'!$C$163)+((8*4)*'MATERIALES (2)'!$C$134)+(((B121*2)+(A121*2))*'MATERIALES (2)'!$C$138)+(4*'MATERIALES (2)'!$C$137)+(((A121*5)*2)*'MATERIALES (2)'!$C$136)+(4*'MATERIALES (2)'!$C$135)+(1*'MATERIALES (2)'!$C$140)+(2*'MATERIALES (2)'!$C$139)+(4*'MATERIALES (2)'!$C$150)</f>
        <v>9878</v>
      </c>
      <c r="E121" s="75"/>
      <c r="F121" s="55">
        <f>(((A121*'MATERIALES (2)'!$C$22)*(B121/0.06))*'MATERIALES (2)'!$F$1)+((A121*'MATERIALES (2)'!$C$29)*(B121/0.06))</f>
        <v>154577.43718905476</v>
      </c>
      <c r="G121" s="38">
        <f t="shared" si="8"/>
        <v>252468.19593905477</v>
      </c>
      <c r="H121" s="49">
        <f t="shared" si="9"/>
        <v>471518.43912263657</v>
      </c>
      <c r="I121" s="57"/>
      <c r="M121" s="42">
        <v>2</v>
      </c>
      <c r="N121" s="37">
        <v>1.5</v>
      </c>
      <c r="O121" s="59">
        <f>((((M121*2)+(N121*2))*'MATERIALES (2)'!$C$13)+((M121*2)*'MATERIALES (2)'!$C$6)+((N121*6)*'MATERIALES (2)'!$C$15)+(N121*'MATERIALES (2)'!$C$25))*'MATERIALES (2)'!$F$2</f>
        <v>101239.45125</v>
      </c>
      <c r="P121" s="59">
        <f>(12*'MATERIALES (2)'!$C$126)+(12*'MATERIALES (2)'!$C$163)+((8*4)*'MATERIALES (2)'!$C$134)+(((N121*2)+(M121*2))*'MATERIALES (2)'!$C$138)+(4*'MATERIALES (2)'!$C$137)+(((M121*5)*2)*'MATERIALES (2)'!$C$136)+(4*'MATERIALES (2)'!$C$135)+(1*'MATERIALES (2)'!$C$140)+(4*'MATERIALES (2)'!$C$139)+(6*'MATERIALES (2)'!$C$150)</f>
        <v>14182</v>
      </c>
      <c r="Q121" s="75"/>
      <c r="R121" s="55">
        <f>(((M121*'MATERIALES (2)'!$C$22)*(N121/0.06))*'MATERIALES (2)'!$F$1)+((M121*'MATERIALES (2)'!$C$29)*(N121/0.06))</f>
        <v>154577.43718905476</v>
      </c>
      <c r="S121" s="59">
        <f t="shared" si="10"/>
        <v>269998.88843905478</v>
      </c>
      <c r="T121" s="67">
        <f t="shared" si="11"/>
        <v>504259.37400987407</v>
      </c>
    </row>
    <row r="122" spans="1:20" ht="15.75" hidden="1" thickBot="1">
      <c r="A122" s="42">
        <v>2</v>
      </c>
      <c r="B122" s="37">
        <v>1.8</v>
      </c>
      <c r="C122" s="38">
        <f>((((A122*2)+(B122*2))*'MATERIALES (2)'!$C$13)+((A122*2)*'MATERIALES (2)'!$C$6)+((B122*4)*'MATERIALES (2)'!$C$15)+(B122*'MATERIALES (2)'!$C$25))*'MATERIALES (2)'!$F$1</f>
        <v>97613.218500000017</v>
      </c>
      <c r="D122" s="59">
        <f>(8*'MATERIALES (2)'!$C$126)+(8*'MATERIALES (2)'!$C$163)+((8*4)*'MATERIALES (2)'!$C$134)+(((B122*2)+(A122*2))*'MATERIALES (2)'!$C$138)+(4*'MATERIALES (2)'!$C$137)+(((A122*5)*2)*'MATERIALES (2)'!$C$136)+(4*'MATERIALES (2)'!$C$135)+(1*'MATERIALES (2)'!$C$140)+(2*'MATERIALES (2)'!$C$139)+(4*'MATERIALES (2)'!$C$150)</f>
        <v>9914</v>
      </c>
      <c r="E122" s="75"/>
      <c r="F122" s="55">
        <f>(((A122*'MATERIALES (2)'!$C$22)*(B122/0.06))*'MATERIALES (2)'!$F$1)+((A122*'MATERIALES (2)'!$C$29)*(B122/0.06))</f>
        <v>185492.92462686572</v>
      </c>
      <c r="G122" s="38">
        <f t="shared" si="8"/>
        <v>293020.14312686573</v>
      </c>
      <c r="H122" s="49">
        <f t="shared" si="9"/>
        <v>547254.675008744</v>
      </c>
      <c r="I122" s="57"/>
      <c r="M122" s="42">
        <v>2</v>
      </c>
      <c r="N122" s="37">
        <v>1.8</v>
      </c>
      <c r="O122" s="59">
        <f>((((M122*2)+(N122*2))*'MATERIALES (2)'!$C$13)+((M122*2)*'MATERIALES (2)'!$C$6)+((N122*6)*'MATERIALES (2)'!$C$15)+(N122*'MATERIALES (2)'!$C$25))*'MATERIALES (2)'!$F$2</f>
        <v>113485.24950000002</v>
      </c>
      <c r="P122" s="59">
        <f>(12*'MATERIALES (2)'!$C$126)+(12*'MATERIALES (2)'!$C$163)+((8*4)*'MATERIALES (2)'!$C$134)+(((N122*2)+(M122*2))*'MATERIALES (2)'!$C$138)+(4*'MATERIALES (2)'!$C$137)+(((M122*5)*2)*'MATERIALES (2)'!$C$136)+(4*'MATERIALES (2)'!$C$135)+(1*'MATERIALES (2)'!$C$140)+(4*'MATERIALES (2)'!$C$139)+(6*'MATERIALES (2)'!$C$150)</f>
        <v>14218</v>
      </c>
      <c r="Q122" s="75"/>
      <c r="R122" s="55">
        <f>(((M122*'MATERIALES (2)'!$C$22)*(N122/0.06))*'MATERIALES (2)'!$F$1)+((M122*'MATERIALES (2)'!$C$29)*(N122/0.06))</f>
        <v>185492.92462686572</v>
      </c>
      <c r="S122" s="59">
        <f t="shared" si="10"/>
        <v>313196.17412686575</v>
      </c>
      <c r="T122" s="67">
        <f t="shared" si="11"/>
        <v>584936.13666542899</v>
      </c>
    </row>
    <row r="123" spans="1:20" ht="15.75" hidden="1" thickBot="1">
      <c r="A123" s="42"/>
      <c r="B123" s="37"/>
      <c r="C123" s="38">
        <f>((((A123*2)+(B123*2))*'MATERIALES (2)'!$C$13)+((A123*2)*'MATERIALES (2)'!$C$6)+((B123*4)*'MATERIALES (2)'!$C$15)+(B123*'MATERIALES (2)'!$C$25))*'MATERIALES (2)'!$F$1</f>
        <v>0</v>
      </c>
      <c r="D123" s="59">
        <f>(8*'MATERIALES (2)'!$C$126)+(8*'MATERIALES (2)'!$C$163)+((8*4)*'MATERIALES (2)'!$C$134)+(((B123*2)+(A123*2))*'MATERIALES (2)'!$C$138)+(4*'MATERIALES (2)'!$C$137)+(((A123*5)*2)*'MATERIALES (2)'!$C$136)+(4*'MATERIALES (2)'!$C$135)+(1*'MATERIALES (2)'!$C$140)+(2*'MATERIALES (2)'!$C$139)+(4*'MATERIALES (2)'!$C$150)</f>
        <v>9458</v>
      </c>
      <c r="E123" s="75"/>
      <c r="F123" s="55">
        <f>(((A123*'MATERIALES (2)'!$C$22)*(B123/0.06))*'MATERIALES (2)'!$F$1)+((A123*'MATERIALES (2)'!$C$29)*(B123/0.06))</f>
        <v>0</v>
      </c>
      <c r="G123" s="38">
        <f t="shared" si="8"/>
        <v>9458</v>
      </c>
      <c r="H123" s="49">
        <f t="shared" si="9"/>
        <v>17664.091830000001</v>
      </c>
      <c r="I123" s="57"/>
      <c r="M123" s="68"/>
      <c r="N123" s="69"/>
      <c r="O123" s="59">
        <f>((((M123*2)+(N123*2))*'MATERIALES (2)'!$C$13)+((M123*2)*'MATERIALES (2)'!$C$6)+((N123*6)*'MATERIALES (2)'!$C$15)+(N123*'MATERIALES (2)'!$C$25))*'MATERIALES (2)'!$F$2</f>
        <v>0</v>
      </c>
      <c r="P123" s="59">
        <f>(12*'MATERIALES (2)'!$C$126)+(12*'MATERIALES (2)'!$C$163)+((8*4)*'MATERIALES (2)'!$C$134)+(((N123*2)+(M123*2))*'MATERIALES (2)'!$C$138)+(4*'MATERIALES (2)'!$C$137)+(((M123*5)*2)*'MATERIALES (2)'!$C$136)+(4*'MATERIALES (2)'!$C$135)+(1*'MATERIALES (2)'!$C$140)+(4*'MATERIALES (2)'!$C$139)+(6*'MATERIALES (2)'!$C$150)</f>
        <v>13762</v>
      </c>
      <c r="Q123" s="75"/>
      <c r="R123" s="55">
        <f>(((M123*'MATERIALES (2)'!$C$22)*(N123/0.06))*'MATERIALES (2)'!$F$1)+((M123*'MATERIALES (2)'!$C$29)*(N123/0.06))</f>
        <v>0</v>
      </c>
      <c r="S123" s="59">
        <f t="shared" si="10"/>
        <v>13762</v>
      </c>
      <c r="T123" s="67">
        <f t="shared" si="11"/>
        <v>25702.39287</v>
      </c>
    </row>
    <row r="124" spans="1:20" ht="15.75" hidden="1" thickBot="1">
      <c r="A124" s="42"/>
      <c r="B124" s="37"/>
      <c r="C124" s="38">
        <f>((((A124*2)+(B124*2))*'MATERIALES (2)'!$C$13)+((A124*2)*'MATERIALES (2)'!$C$6)+((B124*4)*'MATERIALES (2)'!$C$15)+(B124*'MATERIALES (2)'!$C$25))*'MATERIALES (2)'!$F$1</f>
        <v>0</v>
      </c>
      <c r="D124" s="59">
        <f>(8*'MATERIALES (2)'!$C$126)+(8*'MATERIALES (2)'!$C$163)+((8*4)*'MATERIALES (2)'!$C$134)+(((B124*2)+(A124*2))*'MATERIALES (2)'!$C$138)+(4*'MATERIALES (2)'!$C$137)+(((A124*5)*2)*'MATERIALES (2)'!$C$136)+(4*'MATERIALES (2)'!$C$135)+(1*'MATERIALES (2)'!$C$140)+(2*'MATERIALES (2)'!$C$139)+(4*'MATERIALES (2)'!$C$150)</f>
        <v>9458</v>
      </c>
      <c r="E124" s="75"/>
      <c r="F124" s="55">
        <f>(((A124*'MATERIALES (2)'!$C$22)*(B124/0.06))*'MATERIALES (2)'!$F$1)+((A124*'MATERIALES (2)'!$C$29)*(B124/0.06))</f>
        <v>0</v>
      </c>
      <c r="G124" s="38">
        <f t="shared" si="8"/>
        <v>9458</v>
      </c>
      <c r="H124" s="49">
        <f t="shared" si="9"/>
        <v>17664.091830000001</v>
      </c>
      <c r="I124" s="57"/>
      <c r="M124" s="68"/>
      <c r="N124" s="69"/>
      <c r="O124" s="59">
        <f>((((M124*2)+(N124*2))*'MATERIALES (2)'!$C$13)+((M124*2)*'MATERIALES (2)'!$C$6)+((N124*6)*'MATERIALES (2)'!$C$15)+(N124*'MATERIALES (2)'!$C$25))*'MATERIALES (2)'!$F$2</f>
        <v>0</v>
      </c>
      <c r="P124" s="59">
        <f>(12*'MATERIALES (2)'!$C$126)+(12*'MATERIALES (2)'!$C$163)+((8*4)*'MATERIALES (2)'!$C$134)+(((N124*2)+(M124*2))*'MATERIALES (2)'!$C$138)+(4*'MATERIALES (2)'!$C$137)+(((M124*5)*2)*'MATERIALES (2)'!$C$136)+(4*'MATERIALES (2)'!$C$135)+(1*'MATERIALES (2)'!$C$140)+(4*'MATERIALES (2)'!$C$139)+(6*'MATERIALES (2)'!$C$150)</f>
        <v>13762</v>
      </c>
      <c r="Q124" s="75"/>
      <c r="R124" s="55">
        <f>(((M124*'MATERIALES (2)'!$C$22)*(N124/0.06))*'MATERIALES (2)'!$F$1)+((M124*'MATERIALES (2)'!$C$29)*(N124/0.06))</f>
        <v>0</v>
      </c>
      <c r="S124" s="59">
        <f t="shared" si="10"/>
        <v>13762</v>
      </c>
      <c r="T124" s="67">
        <f t="shared" si="11"/>
        <v>25702.39287</v>
      </c>
    </row>
    <row r="125" spans="1:20" ht="15.75" hidden="1" thickBot="1">
      <c r="A125" s="42"/>
      <c r="B125" s="37"/>
      <c r="C125" s="38">
        <f>((((A125*2)+(B125*2))*'MATERIALES (2)'!$C$13)+((A125*2)*'MATERIALES (2)'!$C$6)+((B125*4)*'MATERIALES (2)'!$C$15)+(B125*'MATERIALES (2)'!$C$25))*'MATERIALES (2)'!$F$1</f>
        <v>0</v>
      </c>
      <c r="D125" s="59">
        <f>(8*'MATERIALES (2)'!$C$126)+(8*'MATERIALES (2)'!$C$163)+((8*4)*'MATERIALES (2)'!$C$134)+(((B125*2)+(A125*2))*'MATERIALES (2)'!$C$138)+(4*'MATERIALES (2)'!$C$137)+(((A125*5)*2)*'MATERIALES (2)'!$C$136)+(4*'MATERIALES (2)'!$C$135)+(1*'MATERIALES (2)'!$C$140)+(2*'MATERIALES (2)'!$C$139)+(4*'MATERIALES (2)'!$C$150)</f>
        <v>9458</v>
      </c>
      <c r="E125" s="75"/>
      <c r="F125" s="55">
        <f>(((A125*'MATERIALES (2)'!$C$22)*(B125/0.06))*'MATERIALES (2)'!$F$1)+((A125*'MATERIALES (2)'!$C$29)*(B125/0.06))</f>
        <v>0</v>
      </c>
      <c r="G125" s="38">
        <f t="shared" si="8"/>
        <v>9458</v>
      </c>
      <c r="H125" s="49">
        <f t="shared" si="9"/>
        <v>17664.091830000001</v>
      </c>
      <c r="I125" s="57"/>
      <c r="M125" s="68"/>
      <c r="N125" s="69"/>
      <c r="O125" s="59">
        <f>((((M125*2)+(N125*2))*'MATERIALES (2)'!$C$13)+((M125*2)*'MATERIALES (2)'!$C$6)+((N125*6)*'MATERIALES (2)'!$C$15)+(N125*'MATERIALES (2)'!$C$25))*'MATERIALES (2)'!$F$2</f>
        <v>0</v>
      </c>
      <c r="P125" s="59">
        <f>(12*'MATERIALES (2)'!$C$126)+(12*'MATERIALES (2)'!$C$163)+((8*4)*'MATERIALES (2)'!$C$134)+(((N125*2)+(M125*2))*'MATERIALES (2)'!$C$138)+(4*'MATERIALES (2)'!$C$137)+(((M125*5)*2)*'MATERIALES (2)'!$C$136)+(4*'MATERIALES (2)'!$C$135)+(1*'MATERIALES (2)'!$C$140)+(4*'MATERIALES (2)'!$C$139)+(6*'MATERIALES (2)'!$C$150)</f>
        <v>13762</v>
      </c>
      <c r="Q125" s="75"/>
      <c r="R125" s="55">
        <f>(((M125*'MATERIALES (2)'!$C$22)*(N125/0.06))*'MATERIALES (2)'!$F$1)+((M125*'MATERIALES (2)'!$C$29)*(N125/0.06))</f>
        <v>0</v>
      </c>
      <c r="S125" s="59">
        <f t="shared" si="10"/>
        <v>13762</v>
      </c>
      <c r="T125" s="67">
        <f t="shared" si="11"/>
        <v>25702.39287</v>
      </c>
    </row>
    <row r="126" spans="1:20" ht="15.75" hidden="1" thickBot="1">
      <c r="A126" s="42">
        <v>2.2000000000000002</v>
      </c>
      <c r="B126" s="37">
        <v>1</v>
      </c>
      <c r="C126" s="38">
        <f>((((A126*2)+(B126*2))*'MATERIALES (2)'!$C$13)+((A126*2)*'MATERIALES (2)'!$C$6)+((B126*4)*'MATERIALES (2)'!$C$15)+(B126*'MATERIALES (2)'!$C$25))*'MATERIALES (2)'!$F$1</f>
        <v>76013.038499999995</v>
      </c>
      <c r="D126" s="59">
        <f>(8*'MATERIALES (2)'!$C$126)+(8*'MATERIALES (2)'!$C$163)+((8*4)*'MATERIALES (2)'!$C$134)+(((B126*2)+(A126*2))*'MATERIALES (2)'!$C$138)+(4*'MATERIALES (2)'!$C$137)+(((A126*5)*2)*'MATERIALES (2)'!$C$136)+(4*'MATERIALES (2)'!$C$135)+(1*'MATERIALES (2)'!$C$140)+(2*'MATERIALES (2)'!$C$139)+(4*'MATERIALES (2)'!$C$150)</f>
        <v>9842</v>
      </c>
      <c r="E126" s="75"/>
      <c r="F126" s="55">
        <f>(((A126*'MATERIALES (2)'!$C$22)*(B126/0.06))*'MATERIALES (2)'!$F$1)+((A126*'MATERIALES (2)'!$C$29)*(B126/0.06))</f>
        <v>113356.78727197347</v>
      </c>
      <c r="G126" s="38">
        <f t="shared" si="8"/>
        <v>199211.82577197347</v>
      </c>
      <c r="H126" s="49">
        <f t="shared" si="9"/>
        <v>372054.97822563967</v>
      </c>
      <c r="I126" s="57"/>
      <c r="M126" s="68">
        <v>2.2000000000000002</v>
      </c>
      <c r="N126" s="69">
        <v>1</v>
      </c>
      <c r="O126" s="59">
        <f>((((M126*2)+(N126*2))*'MATERIALES (2)'!$C$13)+((M126*2)*'MATERIALES (2)'!$C$6)+((N126*6)*'MATERIALES (2)'!$C$15)+(N126*'MATERIALES (2)'!$C$25))*'MATERIALES (2)'!$F$2</f>
        <v>84830.833500000008</v>
      </c>
      <c r="P126" s="59">
        <f>(12*'MATERIALES (2)'!$C$126)+(12*'MATERIALES (2)'!$C$163)+((8*4)*'MATERIALES (2)'!$C$134)+(((N126*2)+(M126*2))*'MATERIALES (2)'!$C$138)+(4*'MATERIALES (2)'!$C$137)+(((M126*5)*2)*'MATERIALES (2)'!$C$136)+(4*'MATERIALES (2)'!$C$135)+(1*'MATERIALES (2)'!$C$140)+(4*'MATERIALES (2)'!$C$139)+(6*'MATERIALES (2)'!$C$150)</f>
        <v>14146</v>
      </c>
      <c r="Q126" s="75"/>
      <c r="R126" s="55">
        <f>(((M126*'MATERIALES (2)'!$C$22)*(N126/0.06))*'MATERIALES (2)'!$F$1)+((M126*'MATERIALES (2)'!$C$29)*(N126/0.06))</f>
        <v>113356.78727197347</v>
      </c>
      <c r="S126" s="59">
        <f t="shared" si="10"/>
        <v>212333.62077197348</v>
      </c>
      <c r="T126" s="67">
        <f t="shared" si="11"/>
        <v>396561.70183046465</v>
      </c>
    </row>
    <row r="127" spans="1:20" ht="15.75" hidden="1" thickBot="1">
      <c r="A127" s="42">
        <v>2.2000000000000002</v>
      </c>
      <c r="B127" s="37">
        <v>1.2</v>
      </c>
      <c r="C127" s="38">
        <f>((((A127*2)+(B127*2))*'MATERIALES (2)'!$C$13)+((A127*2)*'MATERIALES (2)'!$C$6)+((B127*4)*'MATERIALES (2)'!$C$15)+(B127*'MATERIALES (2)'!$C$25))*'MATERIALES (2)'!$F$1</f>
        <v>82413.345000000001</v>
      </c>
      <c r="D127" s="59">
        <f>(8*'MATERIALES (2)'!$C$126)+(8*'MATERIALES (2)'!$C$163)+((8*4)*'MATERIALES (2)'!$C$134)+(((B127*2)+(A127*2))*'MATERIALES (2)'!$C$138)+(4*'MATERIALES (2)'!$C$137)+(((A127*5)*2)*'MATERIALES (2)'!$C$136)+(4*'MATERIALES (2)'!$C$135)+(1*'MATERIALES (2)'!$C$140)+(2*'MATERIALES (2)'!$C$139)+(4*'MATERIALES (2)'!$C$150)</f>
        <v>9866</v>
      </c>
      <c r="E127" s="75"/>
      <c r="F127" s="55">
        <f>(((A127*'MATERIALES (2)'!$C$22)*(B127/0.06))*'MATERIALES (2)'!$F$1)+((A127*'MATERIALES (2)'!$C$29)*(B127/0.06))</f>
        <v>136028.14472636819</v>
      </c>
      <c r="G127" s="38">
        <f t="shared" si="8"/>
        <v>228307.48972636819</v>
      </c>
      <c r="H127" s="49">
        <f t="shared" si="9"/>
        <v>426395.05857510568</v>
      </c>
      <c r="I127" s="57"/>
      <c r="M127" s="68">
        <v>2.2000000000000002</v>
      </c>
      <c r="N127" s="69">
        <v>1.2</v>
      </c>
      <c r="O127" s="59">
        <f>((((M127*2)+(N127*2))*'MATERIALES (2)'!$C$13)+((M127*2)*'MATERIALES (2)'!$C$6)+((N127*6)*'MATERIALES (2)'!$C$15)+(N127*'MATERIALES (2)'!$C$25))*'MATERIALES (2)'!$F$2</f>
        <v>92994.699000000008</v>
      </c>
      <c r="P127" s="59">
        <f>(12*'MATERIALES (2)'!$C$126)+(12*'MATERIALES (2)'!$C$163)+((8*4)*'MATERIALES (2)'!$C$134)+(((N127*2)+(M127*2))*'MATERIALES (2)'!$C$138)+(4*'MATERIALES (2)'!$C$137)+(((M127*5)*2)*'MATERIALES (2)'!$C$136)+(4*'MATERIALES (2)'!$C$135)+(1*'MATERIALES (2)'!$C$140)+(4*'MATERIALES (2)'!$C$139)+(6*'MATERIALES (2)'!$C$150)</f>
        <v>14170</v>
      </c>
      <c r="Q127" s="75"/>
      <c r="R127" s="55">
        <f>(((M127*'MATERIALES (2)'!$C$22)*(N127/0.06))*'MATERIALES (2)'!$F$1)+((M127*'MATERIALES (2)'!$C$29)*(N127/0.06))</f>
        <v>136028.14472636819</v>
      </c>
      <c r="S127" s="59">
        <f t="shared" si="10"/>
        <v>243192.84372636821</v>
      </c>
      <c r="T127" s="67">
        <f t="shared" si="11"/>
        <v>454195.46669289569</v>
      </c>
    </row>
    <row r="128" spans="1:20" ht="15.75" hidden="1" thickBot="1">
      <c r="A128" s="42">
        <v>2.2000000000000002</v>
      </c>
      <c r="B128" s="37">
        <v>1.5</v>
      </c>
      <c r="C128" s="38">
        <f>((((A128*2)+(B128*2))*'MATERIALES (2)'!$C$13)+((A128*2)*'MATERIALES (2)'!$C$6)+((B128*4)*'MATERIALES (2)'!$C$15)+(B128*'MATERIALES (2)'!$C$25))*'MATERIALES (2)'!$F$1</f>
        <v>92013.80475000001</v>
      </c>
      <c r="D128" s="59">
        <f>(8*'MATERIALES (2)'!$C$126)+(8*'MATERIALES (2)'!$C$163)+((8*4)*'MATERIALES (2)'!$C$134)+(((B128*2)+(A128*2))*'MATERIALES (2)'!$C$138)+(4*'MATERIALES (2)'!$C$137)+(((A128*5)*2)*'MATERIALES (2)'!$C$136)+(4*'MATERIALES (2)'!$C$135)+(1*'MATERIALES (2)'!$C$140)+(2*'MATERIALES (2)'!$C$139)+(4*'MATERIALES (2)'!$C$150)</f>
        <v>9902</v>
      </c>
      <c r="E128" s="75"/>
      <c r="F128" s="55">
        <f>(((A128*'MATERIALES (2)'!$C$22)*(B128/0.06))*'MATERIALES (2)'!$F$1)+((A128*'MATERIALES (2)'!$C$29)*(B128/0.06))</f>
        <v>170035.18090796022</v>
      </c>
      <c r="G128" s="38">
        <f t="shared" si="8"/>
        <v>271950.98565796023</v>
      </c>
      <c r="H128" s="49">
        <f t="shared" si="9"/>
        <v>507905.17909930454</v>
      </c>
      <c r="I128" s="57"/>
      <c r="M128" s="68">
        <v>2.2000000000000002</v>
      </c>
      <c r="N128" s="69">
        <v>1.5</v>
      </c>
      <c r="O128" s="59">
        <f>((((M128*2)+(N128*2))*'MATERIALES (2)'!$C$13)+((M128*2)*'MATERIALES (2)'!$C$6)+((N128*6)*'MATERIALES (2)'!$C$15)+(N128*'MATERIALES (2)'!$C$25))*'MATERIALES (2)'!$F$2</f>
        <v>105240.49725</v>
      </c>
      <c r="P128" s="59">
        <f>(12*'MATERIALES (2)'!$C$126)+(12*'MATERIALES (2)'!$C$163)+((8*4)*'MATERIALES (2)'!$C$134)+(((N128*2)+(M128*2))*'MATERIALES (2)'!$C$138)+(4*'MATERIALES (2)'!$C$137)+(((M128*5)*2)*'MATERIALES (2)'!$C$136)+(4*'MATERIALES (2)'!$C$135)+(1*'MATERIALES (2)'!$C$140)+(4*'MATERIALES (2)'!$C$139)+(6*'MATERIALES (2)'!$C$150)</f>
        <v>14206</v>
      </c>
      <c r="Q128" s="75"/>
      <c r="R128" s="55">
        <f>(((M128*'MATERIALES (2)'!$C$22)*(N128/0.06))*'MATERIALES (2)'!$F$1)+((M128*'MATERIALES (2)'!$C$29)*(N128/0.06))</f>
        <v>170035.18090796022</v>
      </c>
      <c r="S128" s="59">
        <f t="shared" si="10"/>
        <v>289481.67815796024</v>
      </c>
      <c r="T128" s="67">
        <f t="shared" si="11"/>
        <v>540646.11398654198</v>
      </c>
    </row>
    <row r="129" spans="1:20" ht="15.75" hidden="1" thickBot="1">
      <c r="A129" s="42">
        <v>2.2000000000000002</v>
      </c>
      <c r="B129" s="37">
        <v>1.8</v>
      </c>
      <c r="C129" s="38">
        <f>((((A129*2)+(B129*2))*'MATERIALES (2)'!$C$13)+((A129*2)*'MATERIALES (2)'!$C$6)+((B129*4)*'MATERIALES (2)'!$C$15)+(B129*'MATERIALES (2)'!$C$25))*'MATERIALES (2)'!$F$1</f>
        <v>101614.26449999999</v>
      </c>
      <c r="D129" s="59">
        <f>(8*'MATERIALES (2)'!$C$126)+(8*'MATERIALES (2)'!$C$163)+((8*4)*'MATERIALES (2)'!$C$134)+(((B129*2)+(A129*2))*'MATERIALES (2)'!$C$138)+(4*'MATERIALES (2)'!$C$137)+(((A129*5)*2)*'MATERIALES (2)'!$C$136)+(4*'MATERIALES (2)'!$C$135)+(1*'MATERIALES (2)'!$C$140)+(2*'MATERIALES (2)'!$C$139)+(4*'MATERIALES (2)'!$C$150)</f>
        <v>9938</v>
      </c>
      <c r="E129" s="75"/>
      <c r="F129" s="55">
        <f>(((A129*'MATERIALES (2)'!$C$22)*(B129/0.06))*'MATERIALES (2)'!$F$1)+((A129*'MATERIALES (2)'!$C$29)*(B129/0.06))</f>
        <v>204042.21708955229</v>
      </c>
      <c r="G129" s="38">
        <f t="shared" si="8"/>
        <v>315594.48158955225</v>
      </c>
      <c r="H129" s="49">
        <f t="shared" si="9"/>
        <v>589415.29962350335</v>
      </c>
      <c r="I129" s="57"/>
      <c r="M129" s="68">
        <v>2.2000000000000002</v>
      </c>
      <c r="N129" s="69">
        <v>1.8</v>
      </c>
      <c r="O129" s="59">
        <f>((((M129*2)+(N129*2))*'MATERIALES (2)'!$C$13)+((M129*2)*'MATERIALES (2)'!$C$6)+((N129*6)*'MATERIALES (2)'!$C$15)+(N129*'MATERIALES (2)'!$C$25))*'MATERIALES (2)'!$F$2</f>
        <v>117486.29549999999</v>
      </c>
      <c r="P129" s="59">
        <f>(12*'MATERIALES (2)'!$C$126)+(12*'MATERIALES (2)'!$C$163)+((8*4)*'MATERIALES (2)'!$C$134)+(((N129*2)+(M129*2))*'MATERIALES (2)'!$C$138)+(4*'MATERIALES (2)'!$C$137)+(((M129*5)*2)*'MATERIALES (2)'!$C$136)+(4*'MATERIALES (2)'!$C$135)+(1*'MATERIALES (2)'!$C$140)+(4*'MATERIALES (2)'!$C$139)+(6*'MATERIALES (2)'!$C$150)</f>
        <v>14242</v>
      </c>
      <c r="Q129" s="75"/>
      <c r="R129" s="55">
        <f>(((M129*'MATERIALES (2)'!$C$22)*(N129/0.06))*'MATERIALES (2)'!$F$1)+((M129*'MATERIALES (2)'!$C$29)*(N129/0.06))</f>
        <v>204042.21708955229</v>
      </c>
      <c r="S129" s="59">
        <f t="shared" si="10"/>
        <v>335770.51258955232</v>
      </c>
      <c r="T129" s="67">
        <f t="shared" si="11"/>
        <v>627096.76128018845</v>
      </c>
    </row>
    <row r="130" spans="1:20" ht="15.75" hidden="1" thickBot="1">
      <c r="A130" s="42">
        <v>2.4</v>
      </c>
      <c r="B130" s="37">
        <v>0.4</v>
      </c>
      <c r="C130" s="38">
        <f>((((A130*2)+(B130*2))*'MATERIALES (2)'!$C$13)+((A130*2)*'MATERIALES (2)'!$C$6)+((B130*4)*'MATERIALES (2)'!$C$15)+(B130*'MATERIALES (2)'!$C$25))*'MATERIALES (2)'!$F$1</f>
        <v>60813.165000000001</v>
      </c>
      <c r="D130" s="59">
        <f>(8*'MATERIALES (2)'!$C$126)+(8*'MATERIALES (2)'!$C$163)+((8*4)*'MATERIALES (2)'!$C$134)+(((B130*2)+(A130*2))*'MATERIALES (2)'!$C$138)+(4*'MATERIALES (2)'!$C$137)+(((A130*5)*2)*'MATERIALES (2)'!$C$136)+(4*'MATERIALES (2)'!$C$135)+(1*'MATERIALES (2)'!$C$140)+(2*'MATERIALES (2)'!$C$139)+(4*'MATERIALES (2)'!$C$150)</f>
        <v>9794</v>
      </c>
      <c r="E130" s="75"/>
      <c r="F130" s="55">
        <f>(((A130*'MATERIALES (2)'!$C$22)*(B130/0.06))*'MATERIALES (2)'!$F$1)+((A130*'MATERIALES (2)'!$C$29)*(B130/0.06))</f>
        <v>49464.779900497517</v>
      </c>
      <c r="G130" s="38">
        <f t="shared" si="8"/>
        <v>120071.94490049753</v>
      </c>
      <c r="H130" s="49">
        <f t="shared" si="9"/>
        <v>224250.56681424068</v>
      </c>
      <c r="I130" s="57"/>
      <c r="M130" s="68">
        <v>2.4</v>
      </c>
      <c r="N130" s="69">
        <v>0.4</v>
      </c>
      <c r="O130" s="59">
        <f>((((M130*2)+(N130*2))*'MATERIALES (2)'!$C$13)+((M130*2)*'MATERIALES (2)'!$C$6)+((N130*6)*'MATERIALES (2)'!$C$15)+(N130*'MATERIALES (2)'!$C$25))*'MATERIALES (2)'!$F$2</f>
        <v>64340.282999999996</v>
      </c>
      <c r="P130" s="59">
        <f>(12*'MATERIALES (2)'!$C$126)+(12*'MATERIALES (2)'!$C$163)+((8*4)*'MATERIALES (2)'!$C$134)+(((N130*2)+(M130*2))*'MATERIALES (2)'!$C$138)+(4*'MATERIALES (2)'!$C$137)+(((M130*5)*2)*'MATERIALES (2)'!$C$136)+(4*'MATERIALES (2)'!$C$135)+(1*'MATERIALES (2)'!$C$140)+(4*'MATERIALES (2)'!$C$139)+(6*'MATERIALES (2)'!$C$150)</f>
        <v>14098</v>
      </c>
      <c r="Q130" s="75"/>
      <c r="R130" s="55">
        <f>(((M130*'MATERIALES (2)'!$C$22)*(N130/0.06))*'MATERIALES (2)'!$F$1)+((M130*'MATERIALES (2)'!$C$29)*(N130/0.06))</f>
        <v>49464.779900497517</v>
      </c>
      <c r="S130" s="59">
        <f t="shared" si="10"/>
        <v>127903.06290049752</v>
      </c>
      <c r="T130" s="67">
        <f t="shared" si="11"/>
        <v>238876.23688017068</v>
      </c>
    </row>
    <row r="131" spans="1:20" ht="15.75" hidden="1" thickBot="1">
      <c r="A131" s="42">
        <v>2.4</v>
      </c>
      <c r="B131" s="37">
        <v>0.6</v>
      </c>
      <c r="C131" s="38">
        <f>((((A131*2)+(B131*2))*'MATERIALES (2)'!$C$13)+((A131*2)*'MATERIALES (2)'!$C$6)+((B131*4)*'MATERIALES (2)'!$C$15)+(B131*'MATERIALES (2)'!$C$25))*'MATERIALES (2)'!$F$1</f>
        <v>67213.4715</v>
      </c>
      <c r="D131" s="59">
        <f>(8*'MATERIALES (2)'!$C$126)+(8*'MATERIALES (2)'!$C$163)+((8*4)*'MATERIALES (2)'!$C$134)+(((B131*2)+(A131*2))*'MATERIALES (2)'!$C$138)+(4*'MATERIALES (2)'!$C$137)+(((A131*5)*2)*'MATERIALES (2)'!$C$136)+(4*'MATERIALES (2)'!$C$135)+(1*'MATERIALES (2)'!$C$140)+(2*'MATERIALES (2)'!$C$139)+(4*'MATERIALES (2)'!$C$150)</f>
        <v>9818</v>
      </c>
      <c r="E131" s="75"/>
      <c r="F131" s="55">
        <f>(((A131*'MATERIALES (2)'!$C$22)*(B131/0.06))*'MATERIALES (2)'!$F$1)+((A131*'MATERIALES (2)'!$C$29)*(B131/0.06))</f>
        <v>74197.169850746272</v>
      </c>
      <c r="G131" s="38">
        <f t="shared" si="8"/>
        <v>151228.64135074627</v>
      </c>
      <c r="H131" s="49">
        <f t="shared" si="9"/>
        <v>282439.90358910104</v>
      </c>
      <c r="I131" s="57"/>
      <c r="M131" s="68">
        <v>2.4</v>
      </c>
      <c r="N131" s="69">
        <v>0.6</v>
      </c>
      <c r="O131" s="59">
        <f>((((M131*2)+(N131*2))*'MATERIALES (2)'!$C$13)+((M131*2)*'MATERIALES (2)'!$C$6)+((N131*6)*'MATERIALES (2)'!$C$15)+(N131*'MATERIALES (2)'!$C$25))*'MATERIALES (2)'!$F$2</f>
        <v>72504.14850000001</v>
      </c>
      <c r="P131" s="59">
        <f>(12*'MATERIALES (2)'!$C$126)+(12*'MATERIALES (2)'!$C$163)+((8*4)*'MATERIALES (2)'!$C$134)+(((N131*2)+(M131*2))*'MATERIALES (2)'!$C$138)+(4*'MATERIALES (2)'!$C$137)+(((M131*5)*2)*'MATERIALES (2)'!$C$136)+(4*'MATERIALES (2)'!$C$135)+(1*'MATERIALES (2)'!$C$140)+(4*'MATERIALES (2)'!$C$139)+(6*'MATERIALES (2)'!$C$150)</f>
        <v>14122</v>
      </c>
      <c r="Q131" s="75"/>
      <c r="R131" s="55">
        <f>(((M131*'MATERIALES (2)'!$C$22)*(N131/0.06))*'MATERIALES (2)'!$F$1)+((M131*'MATERIALES (2)'!$C$29)*(N131/0.06))</f>
        <v>74197.169850746272</v>
      </c>
      <c r="S131" s="59">
        <f t="shared" si="10"/>
        <v>160823.3183507463</v>
      </c>
      <c r="T131" s="67">
        <f t="shared" si="11"/>
        <v>300359.25816799607</v>
      </c>
    </row>
    <row r="132" spans="1:20" ht="15.75" hidden="1" thickBot="1">
      <c r="A132" s="42">
        <v>2.4</v>
      </c>
      <c r="B132" s="37">
        <v>0.8</v>
      </c>
      <c r="C132" s="38">
        <f>((((A132*2)+(B132*2))*'MATERIALES (2)'!$C$13)+((A132*2)*'MATERIALES (2)'!$C$6)+((B132*4)*'MATERIALES (2)'!$C$15)+(B132*'MATERIALES (2)'!$C$25))*'MATERIALES (2)'!$F$1</f>
        <v>73613.778000000006</v>
      </c>
      <c r="D132" s="59">
        <f>(8*'MATERIALES (2)'!$C$126)+(8*'MATERIALES (2)'!$C$163)+((8*4)*'MATERIALES (2)'!$C$134)+(((B132*2)+(A132*2))*'MATERIALES (2)'!$C$138)+(4*'MATERIALES (2)'!$C$137)+(((A132*5)*2)*'MATERIALES (2)'!$C$136)+(4*'MATERIALES (2)'!$C$135)+(1*'MATERIALES (2)'!$C$140)+(2*'MATERIALES (2)'!$C$139)+(4*'MATERIALES (2)'!$C$150)</f>
        <v>9842</v>
      </c>
      <c r="E132" s="75"/>
      <c r="F132" s="55">
        <f>(((A132*'MATERIALES (2)'!$C$22)*(B132/0.06))*'MATERIALES (2)'!$F$1)+((A132*'MATERIALES (2)'!$C$29)*(B132/0.06))</f>
        <v>98929.559800995034</v>
      </c>
      <c r="G132" s="38">
        <f t="shared" si="8"/>
        <v>182385.33780099504</v>
      </c>
      <c r="H132" s="49">
        <f t="shared" si="9"/>
        <v>340629.24036396132</v>
      </c>
      <c r="I132" s="57"/>
      <c r="M132" s="68">
        <v>2.4</v>
      </c>
      <c r="N132" s="69">
        <v>0.8</v>
      </c>
      <c r="O132" s="59">
        <f>((((M132*2)+(N132*2))*'MATERIALES (2)'!$C$13)+((M132*2)*'MATERIALES (2)'!$C$6)+((N132*6)*'MATERIALES (2)'!$C$15)+(N132*'MATERIALES (2)'!$C$25))*'MATERIALES (2)'!$F$2</f>
        <v>80668.01400000001</v>
      </c>
      <c r="P132" s="59">
        <f>(12*'MATERIALES (2)'!$C$126)+(12*'MATERIALES (2)'!$C$163)+((8*4)*'MATERIALES (2)'!$C$134)+(((N132*2)+(M132*2))*'MATERIALES (2)'!$C$138)+(4*'MATERIALES (2)'!$C$137)+(((M132*5)*2)*'MATERIALES (2)'!$C$136)+(4*'MATERIALES (2)'!$C$135)+(1*'MATERIALES (2)'!$C$140)+(4*'MATERIALES (2)'!$C$139)+(6*'MATERIALES (2)'!$C$150)</f>
        <v>14146</v>
      </c>
      <c r="Q132" s="75"/>
      <c r="R132" s="55">
        <f>(((M132*'MATERIALES (2)'!$C$22)*(N132/0.06))*'MATERIALES (2)'!$F$1)+((M132*'MATERIALES (2)'!$C$29)*(N132/0.06))</f>
        <v>98929.559800995034</v>
      </c>
      <c r="S132" s="59">
        <f t="shared" si="10"/>
        <v>193743.57380099504</v>
      </c>
      <c r="T132" s="67">
        <f t="shared" si="11"/>
        <v>361842.27945582138</v>
      </c>
    </row>
    <row r="133" spans="1:20" ht="15.75" hidden="1" thickBot="1">
      <c r="A133" s="42">
        <v>2.4</v>
      </c>
      <c r="B133" s="37">
        <v>1</v>
      </c>
      <c r="C133" s="38">
        <f>((((A133*2)+(B133*2))*'MATERIALES (2)'!$C$13)+((A133*2)*'MATERIALES (2)'!$C$6)+((B133*4)*'MATERIALES (2)'!$C$15)+(B133*'MATERIALES (2)'!$C$25))*'MATERIALES (2)'!$F$1</f>
        <v>80014.084499999997</v>
      </c>
      <c r="D133" s="59">
        <f>(8*'MATERIALES (2)'!$C$126)+(8*'MATERIALES (2)'!$C$163)+((8*4)*'MATERIALES (2)'!$C$134)+(((B133*2)+(A133*2))*'MATERIALES (2)'!$C$138)+(4*'MATERIALES (2)'!$C$137)+(((A133*5)*2)*'MATERIALES (2)'!$C$136)+(4*'MATERIALES (2)'!$C$135)+(1*'MATERIALES (2)'!$C$140)+(2*'MATERIALES (2)'!$C$139)+(4*'MATERIALES (2)'!$C$150)</f>
        <v>9866</v>
      </c>
      <c r="E133" s="75"/>
      <c r="F133" s="55">
        <f>(((A133*'MATERIALES (2)'!$C$22)*(B133/0.06))*'MATERIALES (2)'!$F$1)+((A133*'MATERIALES (2)'!$C$29)*(B133/0.06))</f>
        <v>123661.94975124381</v>
      </c>
      <c r="G133" s="38">
        <f t="shared" si="8"/>
        <v>213542.03425124381</v>
      </c>
      <c r="H133" s="49">
        <f t="shared" si="9"/>
        <v>398818.57713882171</v>
      </c>
      <c r="I133" s="57"/>
      <c r="M133" s="68">
        <v>2.4</v>
      </c>
      <c r="N133" s="69">
        <v>1</v>
      </c>
      <c r="O133" s="59">
        <f>((((M133*2)+(N133*2))*'MATERIALES (2)'!$C$13)+((M133*2)*'MATERIALES (2)'!$C$6)+((N133*6)*'MATERIALES (2)'!$C$15)+(N133*'MATERIALES (2)'!$C$25))*'MATERIALES (2)'!$F$2</f>
        <v>88831.879499999995</v>
      </c>
      <c r="P133" s="59">
        <f>(12*'MATERIALES (2)'!$C$126)+(12*'MATERIALES (2)'!$C$163)+((8*4)*'MATERIALES (2)'!$C$134)+(((N133*2)+(M133*2))*'MATERIALES (2)'!$C$138)+(4*'MATERIALES (2)'!$C$137)+(((M133*5)*2)*'MATERIALES (2)'!$C$136)+(4*'MATERIALES (2)'!$C$135)+(1*'MATERIALES (2)'!$C$140)+(4*'MATERIALES (2)'!$C$139)+(6*'MATERIALES (2)'!$C$150)</f>
        <v>14170</v>
      </c>
      <c r="Q133" s="75"/>
      <c r="R133" s="55">
        <f>(((M133*'MATERIALES (2)'!$C$22)*(N133/0.06))*'MATERIALES (2)'!$F$1)+((M133*'MATERIALES (2)'!$C$29)*(N133/0.06))</f>
        <v>123661.94975124381</v>
      </c>
      <c r="S133" s="59">
        <f t="shared" si="10"/>
        <v>226663.82925124379</v>
      </c>
      <c r="T133" s="67">
        <f t="shared" si="11"/>
        <v>423325.30074364669</v>
      </c>
    </row>
    <row r="134" spans="1:20" ht="15.75" hidden="1" thickBot="1">
      <c r="A134" s="42">
        <v>2.4</v>
      </c>
      <c r="B134" s="37">
        <v>1.2</v>
      </c>
      <c r="C134" s="38">
        <f>((((A134*2)+(B134*2))*'MATERIALES (2)'!$C$13)+((A134*2)*'MATERIALES (2)'!$C$6)+((B134*4)*'MATERIALES (2)'!$C$15)+(B134*'MATERIALES (2)'!$C$25))*'MATERIALES (2)'!$F$1</f>
        <v>86414.390999999989</v>
      </c>
      <c r="D134" s="59">
        <f>(8*'MATERIALES (2)'!$C$126)+(8*'MATERIALES (2)'!$C$163)+((8*4)*'MATERIALES (2)'!$C$134)+(((B134*2)+(A134*2))*'MATERIALES (2)'!$C$138)+(4*'MATERIALES (2)'!$C$137)+(((A134*5)*2)*'MATERIALES (2)'!$C$136)+(4*'MATERIALES (2)'!$C$135)+(1*'MATERIALES (2)'!$C$140)+(2*'MATERIALES (2)'!$C$139)+(4*'MATERIALES (2)'!$C$150)</f>
        <v>9890</v>
      </c>
      <c r="E134" s="75"/>
      <c r="F134" s="55">
        <f>(((A134*'MATERIALES (2)'!$C$22)*(B134/0.06))*'MATERIALES (2)'!$F$1)+((A134*'MATERIALES (2)'!$C$29)*(B134/0.06))</f>
        <v>148394.33970149254</v>
      </c>
      <c r="G134" s="38">
        <f t="shared" si="8"/>
        <v>244698.73070149252</v>
      </c>
      <c r="H134" s="49">
        <f t="shared" si="9"/>
        <v>457007.91391368199</v>
      </c>
      <c r="I134" s="57"/>
      <c r="M134" s="68">
        <v>2.4</v>
      </c>
      <c r="N134" s="69">
        <v>1.2</v>
      </c>
      <c r="O134" s="59">
        <f>((((M134*2)+(N134*2))*'MATERIALES (2)'!$C$13)+((M134*2)*'MATERIALES (2)'!$C$6)+((N134*6)*'MATERIALES (2)'!$C$15)+(N134*'MATERIALES (2)'!$C$25))*'MATERIALES (2)'!$F$2</f>
        <v>96995.74500000001</v>
      </c>
      <c r="P134" s="59">
        <f>(12*'MATERIALES (2)'!$C$126)+(12*'MATERIALES (2)'!$C$163)+((8*4)*'MATERIALES (2)'!$C$134)+(((N134*2)+(M134*2))*'MATERIALES (2)'!$C$138)+(4*'MATERIALES (2)'!$C$137)+(((M134*5)*2)*'MATERIALES (2)'!$C$136)+(4*'MATERIALES (2)'!$C$135)+(1*'MATERIALES (2)'!$C$140)+(4*'MATERIALES (2)'!$C$139)+(6*'MATERIALES (2)'!$C$150)</f>
        <v>14194</v>
      </c>
      <c r="Q134" s="75"/>
      <c r="R134" s="55">
        <f>(((M134*'MATERIALES (2)'!$C$22)*(N134/0.06))*'MATERIALES (2)'!$F$1)+((M134*'MATERIALES (2)'!$C$29)*(N134/0.06))</f>
        <v>148394.33970149254</v>
      </c>
      <c r="S134" s="59">
        <f>SUM(O134:R134)</f>
        <v>259584.08470149257</v>
      </c>
      <c r="T134" s="67">
        <f t="shared" si="11"/>
        <v>484808.32203147211</v>
      </c>
    </row>
    <row r="135" spans="1:20" ht="15.75" hidden="1" thickBot="1">
      <c r="A135" s="42">
        <v>2.4</v>
      </c>
      <c r="B135" s="37">
        <v>1.5</v>
      </c>
      <c r="C135" s="38">
        <f>((((A135*2)+(B135*2))*'MATERIALES (2)'!$C$13)+((A135*2)*'MATERIALES (2)'!$C$6)+((B135*4)*'MATERIALES (2)'!$C$15)+(B135*'MATERIALES (2)'!$C$25))*'MATERIALES (2)'!$F$1</f>
        <v>96014.850749999998</v>
      </c>
      <c r="D135" s="59">
        <f>(8*'MATERIALES (2)'!$C$126)+(8*'MATERIALES (2)'!$C$163)+((8*4)*'MATERIALES (2)'!$C$134)+(((B135*2)+(A135*2))*'MATERIALES (2)'!$C$138)+(4*'MATERIALES (2)'!$C$137)+(((A135*5)*2)*'MATERIALES (2)'!$C$136)+(4*'MATERIALES (2)'!$C$135)+(1*'MATERIALES (2)'!$C$140)+(2*'MATERIALES (2)'!$C$139)+(4*'MATERIALES (2)'!$C$150)</f>
        <v>9926</v>
      </c>
      <c r="E135" s="75"/>
      <c r="F135" s="55">
        <f>(((A135*'MATERIALES (2)'!$C$22)*(B135/0.06))*'MATERIALES (2)'!$F$1)+((A135*'MATERIALES (2)'!$C$29)*(B135/0.06))</f>
        <v>185492.92462686569</v>
      </c>
      <c r="G135" s="38">
        <f>SUM(C135:F135)</f>
        <v>291433.7753768657</v>
      </c>
      <c r="H135" s="49">
        <f t="shared" si="9"/>
        <v>544291.91907597263</v>
      </c>
      <c r="I135" s="57"/>
      <c r="M135" s="68">
        <v>2.4</v>
      </c>
      <c r="N135" s="69">
        <v>1.5</v>
      </c>
      <c r="O135" s="59">
        <f>((((M135*2)+(N135*2))*'MATERIALES (2)'!$C$13)+((M135*2)*'MATERIALES (2)'!$C$6)+((N135*6)*'MATERIALES (2)'!$C$15)+(N135*'MATERIALES (2)'!$C$25))*'MATERIALES (2)'!$F$2</f>
        <v>109241.54324999999</v>
      </c>
      <c r="P135" s="59">
        <f>(12*'MATERIALES (2)'!$C$126)+(12*'MATERIALES (2)'!$C$163)+((8*4)*'MATERIALES (2)'!$C$134)+(((N135*2)+(M135*2))*'MATERIALES (2)'!$C$138)+(4*'MATERIALES (2)'!$C$137)+(((M135*5)*2)*'MATERIALES (2)'!$C$136)+(4*'MATERIALES (2)'!$C$135)+(1*'MATERIALES (2)'!$C$140)+(4*'MATERIALES (2)'!$C$139)+(6*'MATERIALES (2)'!$C$150)</f>
        <v>14230</v>
      </c>
      <c r="Q135" s="75"/>
      <c r="R135" s="55">
        <f>(((M135*'MATERIALES (2)'!$C$22)*(N135/0.06))*'MATERIALES (2)'!$F$1)+((M135*'MATERIALES (2)'!$C$29)*(N135/0.06))</f>
        <v>185492.92462686569</v>
      </c>
      <c r="S135" s="59">
        <f t="shared" ref="S135:S136" si="12">SUM(O135:R135)</f>
        <v>308964.46787686564</v>
      </c>
      <c r="T135" s="67">
        <f t="shared" si="11"/>
        <v>577032.85396321001</v>
      </c>
    </row>
    <row r="136" spans="1:20" ht="15.75" hidden="1" thickBot="1">
      <c r="A136" s="44">
        <v>2.4</v>
      </c>
      <c r="B136" s="45">
        <v>1.8</v>
      </c>
      <c r="C136" s="50">
        <f>((((A136*2)+(B136*2))*'MATERIALES (2)'!$C$13)+((A136*2)*'MATERIALES (2)'!$C$6)+((B136*4)*'MATERIALES (2)'!$C$15)+(B136*'MATERIALES (2)'!$C$25))*'MATERIALES (2)'!$F$1</f>
        <v>105615.31049999999</v>
      </c>
      <c r="D136" s="60">
        <f>(8*'MATERIALES (2)'!$C$126)+(8*'MATERIALES (2)'!$C$163)+((8*4)*'MATERIALES (2)'!$C$134)+(((B136*2)+(A136*2))*'MATERIALES (2)'!$C$138)+(4*'MATERIALES (2)'!$C$137)+(((A136*5)*2)*'MATERIALES (2)'!$C$136)+(4*'MATERIALES (2)'!$C$135)+(1*'MATERIALES (2)'!$C$140)+(2*'MATERIALES (2)'!$C$139)+(4*'MATERIALES (2)'!$C$150)</f>
        <v>9962</v>
      </c>
      <c r="E136" s="76"/>
      <c r="F136" s="56">
        <f>(((A136*'MATERIALES (2)'!$C$22)*(B136/0.06))*'MATERIALES (2)'!$F$1)+((A136*'MATERIALES (2)'!$C$29)*(B136/0.06))</f>
        <v>222591.50955223886</v>
      </c>
      <c r="G136" s="50">
        <f t="shared" ref="G136" si="13">SUM(C136:F136)</f>
        <v>338168.82005223888</v>
      </c>
      <c r="H136" s="49">
        <f t="shared" si="9"/>
        <v>631575.92423826305</v>
      </c>
      <c r="I136" s="57"/>
      <c r="M136" s="71">
        <v>2.4</v>
      </c>
      <c r="N136" s="72">
        <v>1.8</v>
      </c>
      <c r="O136" s="60">
        <f>((((M136*2)+(N136*2))*'MATERIALES (2)'!$C$13)+((M136*2)*'MATERIALES (2)'!$C$6)+((N136*6)*'MATERIALES (2)'!$C$15)+(N136*'MATERIALES (2)'!$C$25))*'MATERIALES (2)'!$F$2</f>
        <v>121487.34150000002</v>
      </c>
      <c r="P136" s="60">
        <f>(12*'MATERIALES (2)'!$C$126)+(12*'MATERIALES (2)'!$C$163)+((8*4)*'MATERIALES (2)'!$C$134)+(((N136*2)+(M136*2))*'MATERIALES (2)'!$C$138)+(4*'MATERIALES (2)'!$C$137)+(((M136*5)*2)*'MATERIALES (2)'!$C$136)+(4*'MATERIALES (2)'!$C$135)+(1*'MATERIALES (2)'!$C$140)+(4*'MATERIALES (2)'!$C$139)+(6*'MATERIALES (2)'!$C$150)</f>
        <v>14266</v>
      </c>
      <c r="Q136" s="76"/>
      <c r="R136" s="56">
        <f>(((M136*'MATERIALES (2)'!$C$22)*(N136/0.06))*'MATERIALES (2)'!$F$1)+((M136*'MATERIALES (2)'!$C$29)*(N136/0.06))</f>
        <v>222591.50955223886</v>
      </c>
      <c r="S136" s="60">
        <f t="shared" si="12"/>
        <v>358344.8510522389</v>
      </c>
      <c r="T136" s="67">
        <f t="shared" si="11"/>
        <v>669257.38589494815</v>
      </c>
    </row>
    <row r="137" spans="1:20" hidden="1"/>
    <row r="138" spans="1:20" hidden="1"/>
    <row r="139" spans="1:20" ht="15.75" hidden="1" thickBot="1">
      <c r="C139" s="53"/>
      <c r="O139" s="53"/>
    </row>
    <row r="140" spans="1:20" ht="15.75" hidden="1" thickBot="1">
      <c r="C140" s="807">
        <v>1.5</v>
      </c>
      <c r="D140" s="808"/>
      <c r="E140" s="808"/>
      <c r="F140" s="809"/>
      <c r="H140" s="46" t="s">
        <v>163</v>
      </c>
      <c r="M140" s="32"/>
      <c r="N140" s="32"/>
      <c r="O140" s="807">
        <v>1.5</v>
      </c>
      <c r="P140" s="808"/>
      <c r="Q140" s="808"/>
      <c r="R140" s="809"/>
      <c r="S140" s="32"/>
      <c r="T140" s="46" t="s">
        <v>163</v>
      </c>
    </row>
    <row r="141" spans="1:20" ht="15.75" hidden="1" thickBot="1">
      <c r="A141" s="792" t="s">
        <v>175</v>
      </c>
      <c r="B141" s="793"/>
      <c r="C141" s="793"/>
      <c r="D141" s="793"/>
      <c r="E141" s="793"/>
      <c r="F141" s="793"/>
      <c r="G141" s="793"/>
      <c r="H141" s="794"/>
      <c r="M141" s="792" t="s">
        <v>180</v>
      </c>
      <c r="N141" s="793"/>
      <c r="O141" s="793"/>
      <c r="P141" s="793"/>
      <c r="Q141" s="793"/>
      <c r="R141" s="793"/>
      <c r="S141" s="793"/>
      <c r="T141" s="794"/>
    </row>
    <row r="142" spans="1:20" ht="15.75" hidden="1" thickBot="1">
      <c r="A142" s="36" t="s">
        <v>116</v>
      </c>
      <c r="B142" s="36" t="s">
        <v>117</v>
      </c>
      <c r="C142" s="36" t="s">
        <v>162</v>
      </c>
      <c r="D142" s="36" t="s">
        <v>119</v>
      </c>
      <c r="E142" s="36" t="s">
        <v>120</v>
      </c>
      <c r="F142" s="36" t="s">
        <v>181</v>
      </c>
      <c r="G142" s="36" t="s">
        <v>121</v>
      </c>
      <c r="H142" s="36" t="s">
        <v>122</v>
      </c>
      <c r="M142" s="36" t="s">
        <v>116</v>
      </c>
      <c r="N142" s="36" t="s">
        <v>117</v>
      </c>
      <c r="O142" s="36" t="s">
        <v>162</v>
      </c>
      <c r="P142" s="36" t="s">
        <v>119</v>
      </c>
      <c r="Q142" s="36" t="s">
        <v>120</v>
      </c>
      <c r="R142" s="36" t="s">
        <v>181</v>
      </c>
      <c r="S142" s="36" t="s">
        <v>121</v>
      </c>
      <c r="T142" s="36" t="s">
        <v>122</v>
      </c>
    </row>
    <row r="143" spans="1:20" ht="15.75" hidden="1" thickBot="1">
      <c r="A143" s="795"/>
      <c r="B143" s="796"/>
      <c r="C143" s="796"/>
      <c r="D143" s="796"/>
      <c r="E143" s="796"/>
      <c r="F143" s="796"/>
      <c r="G143" s="796"/>
      <c r="H143" s="797"/>
      <c r="M143" s="795"/>
      <c r="N143" s="796"/>
      <c r="O143" s="796"/>
      <c r="P143" s="796"/>
      <c r="Q143" s="796"/>
      <c r="R143" s="796"/>
      <c r="S143" s="796"/>
      <c r="T143" s="797"/>
    </row>
    <row r="144" spans="1:20" ht="15.75" hidden="1" thickBot="1">
      <c r="A144" s="40">
        <v>1.2</v>
      </c>
      <c r="B144" s="41">
        <v>2</v>
      </c>
      <c r="C144" s="47">
        <f>((((A144*2)+(B144*2))*'MATERIALES (2)'!$C$13)+((A144*2)*'MATERIALES (2)'!$C$6)+(A144*'MATERIALES (2)'!$C$9)+((B144*4)*'MATERIALES (2)'!$C$15)+(B144*'MATERIALES (2)'!$C$25))*'MATERIALES (2)'!$F$1</f>
        <v>99082.85100000001</v>
      </c>
      <c r="D144" s="47">
        <f>(12*'MATERIALES (2)'!$C$126)+(12*'MATERIALES (2)'!$C$163)+((8*4)*'MATERIALES (2)'!$C$134)+(((B144*2)+(A144*2))*'MATERIALES (2)'!$C$138)+(4*'MATERIALES (2)'!$C$137)+(((A144*5)*2)*'MATERIALES (2)'!$C$136)+(4*'MATERIALES (2)'!$C$135)+(1*'MATERIALES (2)'!$C$140)+(2*'MATERIALES (2)'!$C$139)+(6*'MATERIALES (2)'!$C$150)</f>
        <v>12546</v>
      </c>
      <c r="E144" s="74"/>
      <c r="F144" s="54">
        <f>(((A144*'MATERIALES (2)'!$C$22)*(B144/0.06))*'MATERIALES (2)'!$F$1)+((A144*'MATERIALES (2)'!$C$29)*(B144/0.06))</f>
        <v>123661.94975124381</v>
      </c>
      <c r="G144" s="47">
        <f>SUM(C144:F144)</f>
        <v>235290.80075124383</v>
      </c>
      <c r="H144" s="49">
        <f>(SUM(C144:F144)*$C$140)</f>
        <v>352936.20112686575</v>
      </c>
      <c r="M144" s="40">
        <v>1.2</v>
      </c>
      <c r="N144" s="41">
        <v>2</v>
      </c>
      <c r="O144" s="47">
        <f>((((M144*2)+(N144*2))*'MATERIALES (2)'!$C$13)+((M144*2)*'MATERIALES (2)'!$C$6)+(M144*'MATERIALES (2)'!$C$9)+((N144*6)*'MATERIALES (2)'!$C$15)+((N144*2)*'MATERIALES (2)'!$C$25))*'MATERIALES (2)'!$F$1</f>
        <v>122893.17600000001</v>
      </c>
      <c r="P144" s="47">
        <f>(18*'MATERIALES (2)'!$C$126)+(18*'MATERIALES (2)'!$C$163)+((8*4)*'MATERIALES (2)'!$C$134)+(((N144*2)+(M144*2))*'MATERIALES (2)'!$C$138)+(4*'MATERIALES (2)'!$C$137)+(((M144*5)*2)*'MATERIALES (2)'!$C$136)+(4*'MATERIALES (2)'!$C$135)+(1*'MATERIALES (2)'!$C$140)+(4*'MATERIALES (2)'!$C$139)+(9*'MATERIALES (2)'!$C$150)</f>
        <v>18202</v>
      </c>
      <c r="Q144" s="74"/>
      <c r="R144" s="54">
        <f>(((M144*'MATERIALES (2)'!$C$22)*(N144/0.06))*'MATERIALES (2)'!$F$1)+((M144*'MATERIALES (2)'!$C$29)*(N144/0.06))</f>
        <v>123661.94975124381</v>
      </c>
      <c r="S144" s="47">
        <f>SUM(O144:R144)</f>
        <v>264757.12575124379</v>
      </c>
      <c r="T144" s="49">
        <f>(SUM(O144:R144)*$O$140)</f>
        <v>397135.68862686568</v>
      </c>
    </row>
    <row r="145" spans="1:29" ht="15.75" hidden="1" thickBot="1">
      <c r="A145" s="42">
        <v>1.5</v>
      </c>
      <c r="B145" s="37">
        <v>2</v>
      </c>
      <c r="C145" s="38">
        <f>((((A145*2)+(B145*2))*'MATERIALES (2)'!$C$13)+((A145*2)*'MATERIALES (2)'!$C$6)+(A145*'MATERIALES (2)'!$C$9)+((B145*4)*'MATERIALES (2)'!$C$15)+(B145*'MATERIALES (2)'!$C$25))*'MATERIALES (2)'!$F$1</f>
        <v>107852.7975</v>
      </c>
      <c r="D145" s="38">
        <f>(12*'MATERIALES (2)'!$C$126)+(12*'MATERIALES (2)'!$C$163)+((8*4)*'MATERIALES (2)'!$C$134)+(((B145*2)+(A145*2))*'MATERIALES (2)'!$C$138)+(4*'MATERIALES (2)'!$C$137)+(((A145*5)*2)*'MATERIALES (2)'!$C$136)+(4*'MATERIALES (2)'!$C$135)+(1*'MATERIALES (2)'!$C$140)+(2*'MATERIALES (2)'!$C$139)+(6*'MATERIALES (2)'!$C$150)</f>
        <v>12582</v>
      </c>
      <c r="E145" s="75"/>
      <c r="F145" s="55">
        <f>(((A145*'MATERIALES (2)'!$C$22)*(B145/0.06))*'MATERIALES (2)'!$F$1)+((A145*'MATERIALES (2)'!$C$29)*(B145/0.06))</f>
        <v>154577.43718905476</v>
      </c>
      <c r="G145" s="38">
        <f>SUM(C145:F145)</f>
        <v>275012.23468905478</v>
      </c>
      <c r="H145" s="49">
        <f>(SUM(C145:F145)*$C$140)</f>
        <v>412518.35203358217</v>
      </c>
      <c r="M145" s="42">
        <v>1.5</v>
      </c>
      <c r="N145" s="37">
        <v>2</v>
      </c>
      <c r="O145" s="38">
        <f>((((M145*2)+(N145*2))*'MATERIALES (2)'!$C$13)+((M145*2)*'MATERIALES (2)'!$C$6)+(M145*'MATERIALES (2)'!$C$9)+((N145*6)*'MATERIALES (2)'!$C$15)+((N145*2)*'MATERIALES (2)'!$C$25))*'MATERIALES (2)'!$F$1</f>
        <v>131663.1225</v>
      </c>
      <c r="P145" s="38">
        <f>(18*'MATERIALES (2)'!$C$126)+(18*'MATERIALES (2)'!$C$163)+((8*4)*'MATERIALES (2)'!$C$134)+(((N145*2)+(M145*2))*'MATERIALES (2)'!$C$138)+(4*'MATERIALES (2)'!$C$137)+(((M145*5)*2)*'MATERIALES (2)'!$C$136)+(4*'MATERIALES (2)'!$C$135)+(1*'MATERIALES (2)'!$C$140)+(4*'MATERIALES (2)'!$C$139)+(9*'MATERIALES (2)'!$C$150)</f>
        <v>18238</v>
      </c>
      <c r="Q145" s="75"/>
      <c r="R145" s="55">
        <f>(((M145*'MATERIALES (2)'!$C$22)*(N145/0.06))*'MATERIALES (2)'!$F$1)+((M145*'MATERIALES (2)'!$C$29)*(N145/0.06))</f>
        <v>154577.43718905476</v>
      </c>
      <c r="S145" s="38">
        <f>SUM(O145:R145)</f>
        <v>304478.55968905473</v>
      </c>
      <c r="T145" s="49">
        <f t="shared" ref="T145:T147" si="14">(SUM(O145:R145)*$O$140)</f>
        <v>456717.8395335821</v>
      </c>
    </row>
    <row r="146" spans="1:29" ht="15.75" hidden="1" thickBot="1">
      <c r="A146" s="42">
        <v>1.8</v>
      </c>
      <c r="B146" s="37">
        <v>2</v>
      </c>
      <c r="C146" s="38">
        <f>((((A146*2)+(B146*2))*'MATERIALES (2)'!$C$13)+((A146*2)*'MATERIALES (2)'!$C$6)+(A146*'MATERIALES (2)'!$C$9)+((B146*4)*'MATERIALES (2)'!$C$15)+(B146*'MATERIALES (2)'!$C$25))*'MATERIALES (2)'!$F$1</f>
        <v>116622.74400000001</v>
      </c>
      <c r="D146" s="38">
        <f>(12*'MATERIALES (2)'!$C$126)+(12*'MATERIALES (2)'!$C$163)+((8*4)*'MATERIALES (2)'!$C$134)+(((B146*2)+(A146*2))*'MATERIALES (2)'!$C$138)+(4*'MATERIALES (2)'!$C$137)+(((A146*5)*2)*'MATERIALES (2)'!$C$136)+(4*'MATERIALES (2)'!$C$135)+(1*'MATERIALES (2)'!$C$140)+(2*'MATERIALES (2)'!$C$139)+(6*'MATERIALES (2)'!$C$150)</f>
        <v>12618</v>
      </c>
      <c r="E146" s="75"/>
      <c r="F146" s="55">
        <f>(((A146*'MATERIALES (2)'!$C$22)*(B146/0.06))*'MATERIALES (2)'!$F$1)+((A146*'MATERIALES (2)'!$C$29)*(B146/0.06))</f>
        <v>185492.92462686572</v>
      </c>
      <c r="G146" s="38">
        <f t="shared" ref="G146:G149" si="15">SUM(C146:F146)</f>
        <v>314733.66862686572</v>
      </c>
      <c r="H146" s="49">
        <f>(SUM(C146:F146)*$C$140)</f>
        <v>472100.50294029858</v>
      </c>
      <c r="M146" s="42">
        <v>1.8</v>
      </c>
      <c r="N146" s="37">
        <v>2</v>
      </c>
      <c r="O146" s="38">
        <f>((((M146*2)+(N146*2))*'MATERIALES (2)'!$C$13)+((M146*2)*'MATERIALES (2)'!$C$6)+(M146*'MATERIALES (2)'!$C$9)+((N146*6)*'MATERIALES (2)'!$C$15)+((N146*2)*'MATERIALES (2)'!$C$25))*'MATERIALES (2)'!$F$1</f>
        <v>140433.06900000002</v>
      </c>
      <c r="P146" s="38">
        <f>(18*'MATERIALES (2)'!$C$126)+(18*'MATERIALES (2)'!$C$163)+((8*4)*'MATERIALES (2)'!$C$134)+(((N146*2)+(M146*2))*'MATERIALES (2)'!$C$138)+(4*'MATERIALES (2)'!$C$137)+(((M146*5)*2)*'MATERIALES (2)'!$C$136)+(4*'MATERIALES (2)'!$C$135)+(1*'MATERIALES (2)'!$C$140)+(4*'MATERIALES (2)'!$C$139)+(9*'MATERIALES (2)'!$C$150)</f>
        <v>18274</v>
      </c>
      <c r="Q146" s="75"/>
      <c r="R146" s="55">
        <f>(((M146*'MATERIALES (2)'!$C$22)*(N146/0.06))*'MATERIALES (2)'!$F$1)+((M146*'MATERIALES (2)'!$C$29)*(N146/0.06))</f>
        <v>185492.92462686572</v>
      </c>
      <c r="S146" s="38">
        <f t="shared" ref="S146:S149" si="16">SUM(O146:R146)</f>
        <v>344199.99362686573</v>
      </c>
      <c r="T146" s="49">
        <f t="shared" si="14"/>
        <v>516299.99044029857</v>
      </c>
    </row>
    <row r="147" spans="1:29" ht="15.75" hidden="1" thickBot="1">
      <c r="A147" s="42">
        <v>2</v>
      </c>
      <c r="B147" s="37">
        <v>2</v>
      </c>
      <c r="C147" s="38">
        <f>((((A147*2)+(B147*2))*'MATERIALES (2)'!$C$13)+((A147*2)*'MATERIALES (2)'!$C$6)+(A147*'MATERIALES (2)'!$C$9)+((B147*4)*'MATERIALES (2)'!$C$15)+(B147*'MATERIALES (2)'!$C$25))*'MATERIALES (2)'!$F$1</f>
        <v>122469.375</v>
      </c>
      <c r="D147" s="38">
        <f>(12*'MATERIALES (2)'!$C$126)+(12*'MATERIALES (2)'!$C$163)+((8*4)*'MATERIALES (2)'!$C$134)+(((B147*2)+(A147*2))*'MATERIALES (2)'!$C$138)+(4*'MATERIALES (2)'!$C$137)+(((A147*5)*2)*'MATERIALES (2)'!$C$136)+(4*'MATERIALES (2)'!$C$135)+(1*'MATERIALES (2)'!$C$140)+(2*'MATERIALES (2)'!$C$139)+(6*'MATERIALES (2)'!$C$150)</f>
        <v>12642</v>
      </c>
      <c r="E147" s="75"/>
      <c r="F147" s="55">
        <f>(((A147*'MATERIALES (2)'!$C$22)*(B147/0.06))*'MATERIALES (2)'!$F$1)+((A147*'MATERIALES (2)'!$C$29)*(B147/0.06))</f>
        <v>206103.2495854063</v>
      </c>
      <c r="G147" s="38">
        <f t="shared" si="15"/>
        <v>341214.62458540627</v>
      </c>
      <c r="H147" s="49">
        <f>(SUM(C147:F147)*$C$140)</f>
        <v>511821.93687810941</v>
      </c>
      <c r="M147" s="42">
        <v>2</v>
      </c>
      <c r="N147" s="37">
        <v>2</v>
      </c>
      <c r="O147" s="38">
        <f>((((M147*2)+(N147*2))*'MATERIALES (2)'!$C$13)+((M147*2)*'MATERIALES (2)'!$C$6)+(M147*'MATERIALES (2)'!$C$9)+((N147*6)*'MATERIALES (2)'!$C$15)+((N147*2)*'MATERIALES (2)'!$C$25))*'MATERIALES (2)'!$F$1</f>
        <v>146279.70000000001</v>
      </c>
      <c r="P147" s="38">
        <f>(18*'MATERIALES (2)'!$C$126)+(18*'MATERIALES (2)'!$C$163)+((8*4)*'MATERIALES (2)'!$C$134)+(((N147*2)+(M147*2))*'MATERIALES (2)'!$C$138)+(4*'MATERIALES (2)'!$C$137)+(((M147*5)*2)*'MATERIALES (2)'!$C$136)+(4*'MATERIALES (2)'!$C$135)+(1*'MATERIALES (2)'!$C$140)+(4*'MATERIALES (2)'!$C$139)+(9*'MATERIALES (2)'!$C$150)</f>
        <v>18298</v>
      </c>
      <c r="Q147" s="75"/>
      <c r="R147" s="55">
        <f>(((M147*'MATERIALES (2)'!$C$22)*(N147/0.06))*'MATERIALES (2)'!$F$1)+((M147*'MATERIALES (2)'!$C$29)*(N147/0.06))</f>
        <v>206103.2495854063</v>
      </c>
      <c r="S147" s="38">
        <f t="shared" si="16"/>
        <v>370680.94958540634</v>
      </c>
      <c r="T147" s="49">
        <f t="shared" si="14"/>
        <v>556021.42437810951</v>
      </c>
    </row>
    <row r="148" spans="1:29" ht="15.75" hidden="1" thickBot="1">
      <c r="A148" s="42">
        <v>2.4</v>
      </c>
      <c r="B148" s="37">
        <v>2</v>
      </c>
      <c r="C148" s="38">
        <f>((((A148*2)+(B148*2))*'MATERIALES (2)'!$C$13)+((A148*2)*'MATERIALES (2)'!$C$6)+(A148*'MATERIALES (2)'!$C$9)+((B148*4)*'MATERIALES (2)'!$C$15)+(B148*'MATERIALES (2)'!$C$25))*'MATERIALES (2)'!$F$1</f>
        <v>134162.63700000002</v>
      </c>
      <c r="D148" s="38">
        <f>(12*'MATERIALES (2)'!$C$126)+(12*'MATERIALES (2)'!$C$163)+((8*4)*'MATERIALES (2)'!$C$134)+(((B148*2)+(A148*2))*'MATERIALES (2)'!$C$138)+(4*'MATERIALES (2)'!$C$137)+(((A148*5)*2)*'MATERIALES (2)'!$C$136)+(4*'MATERIALES (2)'!$C$135)+(1*'MATERIALES (2)'!$C$140)+(2*'MATERIALES (2)'!$C$139)+(6*'MATERIALES (2)'!$C$150)</f>
        <v>12690</v>
      </c>
      <c r="E148" s="75"/>
      <c r="F148" s="55">
        <f>(((A148*'MATERIALES (2)'!$C$22)*(B148/0.06))*'MATERIALES (2)'!$F$1)+((A148*'MATERIALES (2)'!$C$29)*(B148/0.06))</f>
        <v>247323.89950248762</v>
      </c>
      <c r="G148" s="38">
        <f t="shared" si="15"/>
        <v>394176.53650248761</v>
      </c>
      <c r="H148" s="49">
        <f t="shared" ref="H148:H149" si="17">(SUM(C148:F148)*$C$140)</f>
        <v>591264.80475373147</v>
      </c>
      <c r="M148" s="42">
        <v>2.4</v>
      </c>
      <c r="N148" s="37">
        <v>2</v>
      </c>
      <c r="O148" s="38">
        <f>((((M148*2)+(N148*2))*'MATERIALES (2)'!$C$13)+((M148*2)*'MATERIALES (2)'!$C$6)+(M148*'MATERIALES (2)'!$C$9)+((N148*6)*'MATERIALES (2)'!$C$15)+((N148*2)*'MATERIALES (2)'!$C$25))*'MATERIALES (2)'!$F$1</f>
        <v>157972.962</v>
      </c>
      <c r="P148" s="38">
        <f>(18*'MATERIALES (2)'!$C$126)+(18*'MATERIALES (2)'!$C$163)+((8*4)*'MATERIALES (2)'!$C$134)+(((N148*2)+(M148*2))*'MATERIALES (2)'!$C$138)+(4*'MATERIALES (2)'!$C$137)+(((M148*5)*2)*'MATERIALES (2)'!$C$136)+(4*'MATERIALES (2)'!$C$135)+(1*'MATERIALES (2)'!$C$140)+(4*'MATERIALES (2)'!$C$139)+(9*'MATERIALES (2)'!$C$150)</f>
        <v>18346</v>
      </c>
      <c r="Q148" s="75"/>
      <c r="R148" s="55">
        <f>(((M148*'MATERIALES (2)'!$C$22)*(N148/0.06))*'MATERIALES (2)'!$F$1)+((M148*'MATERIALES (2)'!$C$29)*(N148/0.06))</f>
        <v>247323.89950248762</v>
      </c>
      <c r="S148" s="38">
        <f t="shared" si="16"/>
        <v>423642.86150248762</v>
      </c>
      <c r="T148" s="49">
        <f>(SUM(O148:R148)*$O$140)</f>
        <v>635464.2922537314</v>
      </c>
    </row>
    <row r="149" spans="1:29" ht="15.75" hidden="1" thickBot="1">
      <c r="A149" s="44">
        <v>2.4</v>
      </c>
      <c r="B149" s="45">
        <v>2</v>
      </c>
      <c r="C149" s="50">
        <f>((((A149*2)+(B149*2))*'MATERIALES (2)'!$C$13)+((A149*2)*'MATERIALES (2)'!$C$6)+(A149*'MATERIALES (2)'!$C$9)+((B149*4)*'MATERIALES (2)'!$C$15)+(B149*'MATERIALES (2)'!$C$25))*'MATERIALES (2)'!$F$1</f>
        <v>134162.63700000002</v>
      </c>
      <c r="D149" s="50">
        <f>(12*'MATERIALES (2)'!$C$126)+(12*'MATERIALES (2)'!$C$163)+((8*4)*'MATERIALES (2)'!$C$134)+(((B149*2)+(A149*2))*'MATERIALES (2)'!$C$138)+(4*'MATERIALES (2)'!$C$137)+(((A149*5)*2)*'MATERIALES (2)'!$C$136)+(4*'MATERIALES (2)'!$C$135)+(1*'MATERIALES (2)'!$C$140)+(2*'MATERIALES (2)'!$C$139)+(6*'MATERIALES (2)'!$C$150)</f>
        <v>12690</v>
      </c>
      <c r="E149" s="76"/>
      <c r="F149" s="56">
        <f>(((A149*'MATERIALES (2)'!$C$22)*(B149/0.06))*'MATERIALES (2)'!$F$1)+((A149*'MATERIALES (2)'!$C$29)*(B149/0.06))</f>
        <v>247323.89950248762</v>
      </c>
      <c r="G149" s="50">
        <f t="shared" si="15"/>
        <v>394176.53650248761</v>
      </c>
      <c r="H149" s="49">
        <f t="shared" si="17"/>
        <v>591264.80475373147</v>
      </c>
      <c r="M149" s="44">
        <v>2.4</v>
      </c>
      <c r="N149" s="45">
        <v>2</v>
      </c>
      <c r="O149" s="50">
        <f>((((M149*2)+(N149*2))*'MATERIALES (2)'!$C$13)+((M149*2)*'MATERIALES (2)'!$C$6)+(M149*'MATERIALES (2)'!$C$9)+((N149*6)*'MATERIALES (2)'!$C$15)+((N149*2)*'MATERIALES (2)'!$C$25))*'MATERIALES (2)'!$F$1</f>
        <v>157972.962</v>
      </c>
      <c r="P149" s="50">
        <f>(18*'MATERIALES (2)'!$C$126)+(18*'MATERIALES (2)'!$C$163)+((8*4)*'MATERIALES (2)'!$C$134)+(((N149*2)+(M149*2))*'MATERIALES (2)'!$C$138)+(4*'MATERIALES (2)'!$C$137)+(((M149*5)*2)*'MATERIALES (2)'!$C$136)+(4*'MATERIALES (2)'!$C$135)+(1*'MATERIALES (2)'!$C$140)+(4*'MATERIALES (2)'!$C$139)+(9*'MATERIALES (2)'!$C$150)</f>
        <v>18346</v>
      </c>
      <c r="Q149" s="76"/>
      <c r="R149" s="56">
        <f>(((M149*'MATERIALES (2)'!$C$22)*(N149/0.06))*'MATERIALES (2)'!$F$1)+((M149*'MATERIALES (2)'!$C$29)*(N149/0.06))</f>
        <v>247323.89950248762</v>
      </c>
      <c r="S149" s="50">
        <f t="shared" si="16"/>
        <v>423642.86150248762</v>
      </c>
      <c r="T149" s="49">
        <f>(SUM(O149:R149)*$O$140)</f>
        <v>635464.2922537314</v>
      </c>
    </row>
    <row r="150" spans="1:29" hidden="1"/>
    <row r="151" spans="1:29" hidden="1"/>
    <row r="152" spans="1:29" hidden="1"/>
    <row r="153" spans="1:29" ht="15.75" thickBot="1">
      <c r="X153" s="32"/>
      <c r="Y153" s="32"/>
      <c r="Z153" s="32"/>
      <c r="AA153" s="32"/>
      <c r="AB153" s="32"/>
    </row>
    <row r="154" spans="1:29" ht="23.25" customHeight="1" thickBot="1">
      <c r="W154" s="861" t="s">
        <v>665</v>
      </c>
      <c r="X154" s="876"/>
      <c r="Y154" s="876"/>
      <c r="Z154" s="876"/>
      <c r="AA154" s="862"/>
      <c r="AB154" s="259"/>
      <c r="AC154" s="944" t="s">
        <v>664</v>
      </c>
    </row>
    <row r="155" spans="1:29" ht="24" thickBot="1">
      <c r="W155" s="570"/>
      <c r="X155" s="850" t="s">
        <v>839</v>
      </c>
      <c r="Y155" s="852"/>
      <c r="Z155" s="850" t="s">
        <v>840</v>
      </c>
      <c r="AA155" s="852"/>
      <c r="AB155" s="259"/>
      <c r="AC155" s="945"/>
    </row>
    <row r="156" spans="1:29" ht="19.5" thickBot="1">
      <c r="W156" s="240" t="s">
        <v>534</v>
      </c>
      <c r="X156" s="240" t="s">
        <v>616</v>
      </c>
      <c r="Y156" s="240" t="s">
        <v>617</v>
      </c>
      <c r="Z156" s="568" t="s">
        <v>837</v>
      </c>
      <c r="AA156" s="568" t="s">
        <v>838</v>
      </c>
      <c r="AB156" s="32"/>
      <c r="AC156" s="945"/>
    </row>
    <row r="157" spans="1:29" ht="15.75">
      <c r="W157" s="262" t="s">
        <v>539</v>
      </c>
      <c r="X157" s="250">
        <f t="shared" ref="X157:X196" si="18">+H6</f>
        <v>83831.558873658752</v>
      </c>
      <c r="Y157" s="250"/>
      <c r="Z157" s="567">
        <f t="shared" ref="Z157:Z196" si="19">+H83</f>
        <v>87308.100081251439</v>
      </c>
      <c r="AA157" s="567"/>
      <c r="AB157" s="32"/>
      <c r="AC157" s="945"/>
    </row>
    <row r="158" spans="1:29" ht="15.75">
      <c r="W158" s="262" t="s">
        <v>540</v>
      </c>
      <c r="X158" s="250">
        <f t="shared" si="18"/>
        <v>106357.46082668439</v>
      </c>
      <c r="Y158" s="250"/>
      <c r="Z158" s="567">
        <f t="shared" si="19"/>
        <v>110854.12902756213</v>
      </c>
      <c r="AA158" s="567"/>
      <c r="AB158" s="32"/>
      <c r="AC158" s="945"/>
    </row>
    <row r="159" spans="1:29" ht="15.75">
      <c r="W159" s="262" t="s">
        <v>541</v>
      </c>
      <c r="X159" s="250">
        <f t="shared" si="18"/>
        <v>98384.501098248773</v>
      </c>
      <c r="Y159" s="250"/>
      <c r="Z159" s="567">
        <f t="shared" si="19"/>
        <v>102523.92971825023</v>
      </c>
      <c r="AA159" s="567"/>
      <c r="AB159" s="32"/>
      <c r="AC159" s="945"/>
    </row>
    <row r="160" spans="1:29" ht="15.75">
      <c r="W160" s="262" t="s">
        <v>542</v>
      </c>
      <c r="X160" s="250">
        <f t="shared" si="18"/>
        <v>124562.45357021815</v>
      </c>
      <c r="Y160" s="250"/>
      <c r="Z160" s="567">
        <f t="shared" si="19"/>
        <v>129919.21508995535</v>
      </c>
      <c r="AA160" s="567"/>
      <c r="AB160" s="32"/>
      <c r="AC160" s="945"/>
    </row>
    <row r="161" spans="23:29" ht="15.75">
      <c r="W161" s="262" t="s">
        <v>543</v>
      </c>
      <c r="X161" s="250">
        <f t="shared" si="18"/>
        <v>150740.40604218753</v>
      </c>
      <c r="Y161" s="250"/>
      <c r="Z161" s="567">
        <f t="shared" si="19"/>
        <v>157314.50046166044</v>
      </c>
      <c r="AA161" s="567"/>
      <c r="AB161" s="32"/>
      <c r="AC161" s="945"/>
    </row>
    <row r="162" spans="23:29" ht="15.75">
      <c r="W162" s="262" t="s">
        <v>544</v>
      </c>
      <c r="X162" s="250">
        <f t="shared" si="18"/>
        <v>112937.44332283875</v>
      </c>
      <c r="Y162" s="250">
        <f t="shared" ref="Y162:Y196" si="20">+T11</f>
        <v>129264.82576103252</v>
      </c>
      <c r="Z162" s="567">
        <f t="shared" si="19"/>
        <v>117739.75935524903</v>
      </c>
      <c r="AA162" s="567">
        <f t="shared" ref="AA162:AA195" si="21">+T88</f>
        <v>132365.42942117903</v>
      </c>
      <c r="AB162" s="32"/>
      <c r="AC162" s="945"/>
    </row>
    <row r="163" spans="23:29" ht="15.75">
      <c r="W163" s="262" t="s">
        <v>545</v>
      </c>
      <c r="X163" s="250">
        <f t="shared" si="18"/>
        <v>142767.44631375192</v>
      </c>
      <c r="Y163" s="250">
        <f t="shared" si="20"/>
        <v>163382.91054104248</v>
      </c>
      <c r="Z163" s="567">
        <f t="shared" si="19"/>
        <v>148984.30115234855</v>
      </c>
      <c r="AA163" s="567">
        <f t="shared" si="21"/>
        <v>166903.65573124355</v>
      </c>
      <c r="AB163" s="32"/>
      <c r="AC163" s="945"/>
    </row>
    <row r="164" spans="23:29" ht="15.75">
      <c r="W164" s="263" t="s">
        <v>546</v>
      </c>
      <c r="X164" s="250">
        <f t="shared" si="18"/>
        <v>172597.449304665</v>
      </c>
      <c r="Y164" s="250">
        <f t="shared" si="20"/>
        <v>197500.99532105253</v>
      </c>
      <c r="Z164" s="567">
        <f t="shared" si="19"/>
        <v>180228.84294944804</v>
      </c>
      <c r="AA164" s="567">
        <f t="shared" si="21"/>
        <v>201441.8820413081</v>
      </c>
      <c r="AB164" s="264"/>
      <c r="AC164" s="945"/>
    </row>
    <row r="165" spans="23:29" ht="16.5" thickBot="1">
      <c r="W165" s="263" t="s">
        <v>547</v>
      </c>
      <c r="X165" s="250">
        <f t="shared" si="18"/>
        <v>202427.45229557817</v>
      </c>
      <c r="Y165" s="250">
        <f t="shared" si="20"/>
        <v>231619.08010106251</v>
      </c>
      <c r="Z165" s="567">
        <f t="shared" si="19"/>
        <v>211473.38474654756</v>
      </c>
      <c r="AA165" s="567">
        <f t="shared" si="21"/>
        <v>235980.10835137256</v>
      </c>
      <c r="AB165" s="264"/>
      <c r="AC165" s="946"/>
    </row>
    <row r="166" spans="23:29" ht="15.75">
      <c r="W166" s="263" t="s">
        <v>548</v>
      </c>
      <c r="X166" s="250">
        <f t="shared" si="18"/>
        <v>217342.45379103473</v>
      </c>
      <c r="Y166" s="250">
        <f t="shared" si="20"/>
        <v>248678.12249106754</v>
      </c>
      <c r="Z166" s="567">
        <f t="shared" si="19"/>
        <v>227095.65564509731</v>
      </c>
      <c r="AA166" s="567">
        <f t="shared" si="21"/>
        <v>253249.22150640489</v>
      </c>
      <c r="AB166" s="264"/>
      <c r="AC166" s="264"/>
    </row>
    <row r="167" spans="23:29" ht="15.75">
      <c r="W167" s="263" t="s">
        <v>549</v>
      </c>
      <c r="X167" s="250">
        <f t="shared" si="18"/>
        <v>232257.45528649125</v>
      </c>
      <c r="Y167" s="250">
        <f t="shared" si="20"/>
        <v>265737.16488107253</v>
      </c>
      <c r="Z167" s="567">
        <f t="shared" si="19"/>
        <v>242717.92654364707</v>
      </c>
      <c r="AA167" s="567">
        <f t="shared" si="21"/>
        <v>270518.33466143708</v>
      </c>
      <c r="AB167" s="264"/>
      <c r="AC167" s="264"/>
    </row>
    <row r="168" spans="23:29" ht="15.75">
      <c r="W168" s="263" t="s">
        <v>550</v>
      </c>
      <c r="X168" s="250">
        <f t="shared" si="18"/>
        <v>277002.45977286098</v>
      </c>
      <c r="Y168" s="250">
        <f t="shared" si="20"/>
        <v>316914.29205108754</v>
      </c>
      <c r="Z168" s="567">
        <f t="shared" si="19"/>
        <v>289584.73923929647</v>
      </c>
      <c r="AA168" s="567">
        <f t="shared" si="21"/>
        <v>322325.67412653391</v>
      </c>
      <c r="AB168" s="264"/>
      <c r="AC168" s="264"/>
    </row>
    <row r="169" spans="23:29" ht="15.75">
      <c r="W169" s="263" t="s">
        <v>551</v>
      </c>
      <c r="X169" s="250">
        <f t="shared" si="18"/>
        <v>127490.38554742878</v>
      </c>
      <c r="Y169" s="250">
        <f t="shared" si="20"/>
        <v>143817.76798562251</v>
      </c>
      <c r="Z169" s="567">
        <f t="shared" si="19"/>
        <v>132955.58899224782</v>
      </c>
      <c r="AA169" s="567">
        <f t="shared" si="21"/>
        <v>147581.25905817785</v>
      </c>
      <c r="AB169" s="264"/>
      <c r="AC169" s="264"/>
    </row>
    <row r="170" spans="23:29" ht="15.75">
      <c r="W170" s="263" t="s">
        <v>552</v>
      </c>
      <c r="X170" s="250">
        <f t="shared" si="18"/>
        <v>160972.43905728561</v>
      </c>
      <c r="Y170" s="250">
        <f t="shared" si="20"/>
        <v>181587.90328457628</v>
      </c>
      <c r="Z170" s="567">
        <f t="shared" si="19"/>
        <v>168049.38721474173</v>
      </c>
      <c r="AA170" s="567">
        <f t="shared" si="21"/>
        <v>185968.74179363676</v>
      </c>
      <c r="AB170" s="264"/>
      <c r="AC170" s="264"/>
    </row>
    <row r="171" spans="23:29" ht="15.75">
      <c r="W171" s="263" t="s">
        <v>553</v>
      </c>
      <c r="X171" s="250">
        <f t="shared" si="18"/>
        <v>194454.4925671425</v>
      </c>
      <c r="Y171" s="250">
        <f t="shared" si="20"/>
        <v>219358.03858353005</v>
      </c>
      <c r="Z171" s="567">
        <f t="shared" si="19"/>
        <v>203143.18543723566</v>
      </c>
      <c r="AA171" s="567">
        <f t="shared" si="21"/>
        <v>224356.22452909575</v>
      </c>
      <c r="AB171" s="264"/>
      <c r="AC171" s="264"/>
    </row>
    <row r="172" spans="23:29" ht="15.75">
      <c r="W172" s="263" t="s">
        <v>554</v>
      </c>
      <c r="X172" s="250">
        <f t="shared" si="18"/>
        <v>227936.54607699942</v>
      </c>
      <c r="Y172" s="250">
        <f t="shared" si="20"/>
        <v>257128.17388248382</v>
      </c>
      <c r="Z172" s="567">
        <f t="shared" si="19"/>
        <v>238236.98365972959</v>
      </c>
      <c r="AA172" s="567">
        <f t="shared" si="21"/>
        <v>262743.70726455463</v>
      </c>
      <c r="AB172" s="264"/>
      <c r="AC172" s="264"/>
    </row>
    <row r="173" spans="23:29" ht="15.75">
      <c r="W173" s="263" t="s">
        <v>555</v>
      </c>
      <c r="X173" s="250">
        <f t="shared" si="18"/>
        <v>244677.57283192786</v>
      </c>
      <c r="Y173" s="250">
        <f t="shared" si="20"/>
        <v>276013.24153196072</v>
      </c>
      <c r="Z173" s="567">
        <f t="shared" si="19"/>
        <v>255783.88277097655</v>
      </c>
      <c r="AA173" s="567">
        <f t="shared" si="21"/>
        <v>281937.44863228407</v>
      </c>
      <c r="AB173" s="264"/>
      <c r="AC173" s="264"/>
    </row>
    <row r="174" spans="23:29" ht="15.75">
      <c r="W174" s="263" t="s">
        <v>556</v>
      </c>
      <c r="X174" s="250">
        <f t="shared" si="18"/>
        <v>261418.59958685626</v>
      </c>
      <c r="Y174" s="250">
        <f t="shared" si="20"/>
        <v>294898.30918143754</v>
      </c>
      <c r="Z174" s="567">
        <f t="shared" si="19"/>
        <v>273330.7818822235</v>
      </c>
      <c r="AA174" s="567">
        <f t="shared" si="21"/>
        <v>301131.19000001351</v>
      </c>
      <c r="AB174" s="264"/>
      <c r="AC174" s="264"/>
    </row>
    <row r="175" spans="23:29" ht="15.75">
      <c r="W175" s="263" t="s">
        <v>557</v>
      </c>
      <c r="X175" s="250">
        <f t="shared" si="18"/>
        <v>311641.67985164165</v>
      </c>
      <c r="Y175" s="250">
        <f t="shared" si="20"/>
        <v>351553.51212986815</v>
      </c>
      <c r="Z175" s="567">
        <f t="shared" si="19"/>
        <v>325971.47921596438</v>
      </c>
      <c r="AA175" s="567">
        <f t="shared" si="21"/>
        <v>358712.414103202</v>
      </c>
      <c r="AB175" s="264"/>
      <c r="AC175" s="264"/>
    </row>
    <row r="176" spans="23:29" ht="15.75">
      <c r="W176" s="263" t="s">
        <v>558</v>
      </c>
      <c r="X176" s="250">
        <f t="shared" si="18"/>
        <v>361864.76011642709</v>
      </c>
      <c r="Y176" s="250">
        <f t="shared" si="20"/>
        <v>408208.71507829882</v>
      </c>
      <c r="Z176" s="567">
        <f t="shared" si="19"/>
        <v>378612.17654970539</v>
      </c>
      <c r="AA176" s="567">
        <f t="shared" si="21"/>
        <v>416293.63820639031</v>
      </c>
      <c r="AB176" s="264"/>
      <c r="AC176" s="265"/>
    </row>
    <row r="177" spans="23:29" ht="15.75">
      <c r="W177" s="263" t="s">
        <v>559</v>
      </c>
      <c r="X177" s="250">
        <f t="shared" si="18"/>
        <v>149319.79888431384</v>
      </c>
      <c r="Y177" s="250">
        <f t="shared" si="20"/>
        <v>165647.18132250756</v>
      </c>
      <c r="Z177" s="567">
        <f t="shared" si="19"/>
        <v>155779.33344774606</v>
      </c>
      <c r="AA177" s="567">
        <f t="shared" si="21"/>
        <v>170405.00351367603</v>
      </c>
      <c r="AB177" s="32"/>
    </row>
    <row r="178" spans="23:29" ht="15.75">
      <c r="W178" s="263" t="s">
        <v>560</v>
      </c>
      <c r="X178" s="250">
        <f t="shared" si="18"/>
        <v>188279.92817258628</v>
      </c>
      <c r="Y178" s="250">
        <f t="shared" si="20"/>
        <v>208895.39239987687</v>
      </c>
      <c r="Z178" s="567">
        <f t="shared" si="19"/>
        <v>196647.01630833157</v>
      </c>
      <c r="AA178" s="567">
        <f t="shared" si="21"/>
        <v>214566.3708872266</v>
      </c>
      <c r="AB178" s="32"/>
    </row>
    <row r="179" spans="23:29" ht="15.75">
      <c r="W179" s="263" t="s">
        <v>561</v>
      </c>
      <c r="X179" s="250">
        <f t="shared" si="18"/>
        <v>227240.05746085881</v>
      </c>
      <c r="Y179" s="250">
        <f t="shared" si="20"/>
        <v>252143.6034772463</v>
      </c>
      <c r="Z179" s="567">
        <f t="shared" si="19"/>
        <v>237514.69916891711</v>
      </c>
      <c r="AA179" s="567">
        <f t="shared" si="21"/>
        <v>258727.73826077711</v>
      </c>
      <c r="AB179" s="32"/>
    </row>
    <row r="180" spans="23:29" ht="15.75">
      <c r="W180" s="263" t="s">
        <v>562</v>
      </c>
      <c r="X180" s="250">
        <f t="shared" si="18"/>
        <v>266200.1867491313</v>
      </c>
      <c r="Y180" s="250">
        <f t="shared" si="20"/>
        <v>295391.8145546157</v>
      </c>
      <c r="Z180" s="567">
        <f t="shared" si="19"/>
        <v>278382.38202950271</v>
      </c>
      <c r="AA180" s="567">
        <f t="shared" si="21"/>
        <v>302889.10563432763</v>
      </c>
      <c r="AB180" s="32"/>
    </row>
    <row r="181" spans="23:29" ht="15.75">
      <c r="W181" s="263" t="s">
        <v>563</v>
      </c>
      <c r="X181" s="250">
        <f t="shared" si="18"/>
        <v>285680.25139326754</v>
      </c>
      <c r="Y181" s="250">
        <f t="shared" si="20"/>
        <v>317015.92009330046</v>
      </c>
      <c r="Z181" s="567">
        <f t="shared" si="19"/>
        <v>298816.22345979535</v>
      </c>
      <c r="AA181" s="567">
        <f t="shared" si="21"/>
        <v>324969.7893211029</v>
      </c>
      <c r="AB181" s="32"/>
    </row>
    <row r="182" spans="23:29" ht="15.75">
      <c r="W182" s="263" t="s">
        <v>564</v>
      </c>
      <c r="X182" s="250">
        <f t="shared" si="18"/>
        <v>305160.31603740377</v>
      </c>
      <c r="Y182" s="250">
        <f t="shared" si="20"/>
        <v>338640.02563198505</v>
      </c>
      <c r="Z182" s="567">
        <f t="shared" si="19"/>
        <v>319250.06489008816</v>
      </c>
      <c r="AA182" s="567">
        <f t="shared" si="21"/>
        <v>347050.47300787806</v>
      </c>
      <c r="AB182" s="32"/>
    </row>
    <row r="183" spans="23:29" ht="15.75">
      <c r="W183" s="263" t="s">
        <v>565</v>
      </c>
      <c r="X183" s="250">
        <f t="shared" si="18"/>
        <v>363600.50996981259</v>
      </c>
      <c r="Y183" s="250">
        <f t="shared" si="20"/>
        <v>403512.34224803915</v>
      </c>
      <c r="Z183" s="567">
        <f t="shared" si="19"/>
        <v>380551.58918096649</v>
      </c>
      <c r="AA183" s="567">
        <f t="shared" si="21"/>
        <v>413292.52406820393</v>
      </c>
      <c r="AB183" s="32"/>
    </row>
    <row r="184" spans="23:29" ht="15.75">
      <c r="W184" s="263" t="s">
        <v>566</v>
      </c>
      <c r="X184" s="250">
        <f t="shared" si="18"/>
        <v>422040.7039022214</v>
      </c>
      <c r="Y184" s="250">
        <f t="shared" si="20"/>
        <v>468384.65886409325</v>
      </c>
      <c r="Z184" s="567">
        <f t="shared" si="19"/>
        <v>441853.11347184482</v>
      </c>
      <c r="AA184" s="567">
        <f t="shared" si="21"/>
        <v>479534.57512852986</v>
      </c>
      <c r="AB184" s="32"/>
      <c r="AC184" s="32"/>
    </row>
    <row r="185" spans="23:29" ht="15.75">
      <c r="W185" s="268" t="s">
        <v>567</v>
      </c>
      <c r="X185" s="250">
        <f t="shared" si="18"/>
        <v>260025.62235457508</v>
      </c>
      <c r="Y185" s="250">
        <f t="shared" si="20"/>
        <v>284929.16837096255</v>
      </c>
      <c r="Z185" s="567">
        <f t="shared" si="19"/>
        <v>271886.21290059859</v>
      </c>
      <c r="AA185" s="567">
        <f t="shared" si="21"/>
        <v>293099.25199245848</v>
      </c>
    </row>
    <row r="186" spans="23:29" ht="15.75">
      <c r="W186" s="268" t="s">
        <v>568</v>
      </c>
      <c r="X186" s="250">
        <f t="shared" si="18"/>
        <v>304463.82742126315</v>
      </c>
      <c r="Y186" s="250">
        <f t="shared" si="20"/>
        <v>333655.45522674761</v>
      </c>
      <c r="Z186" s="567">
        <f t="shared" si="19"/>
        <v>318527.78039927565</v>
      </c>
      <c r="AA186" s="567">
        <f t="shared" si="21"/>
        <v>343034.50400410069</v>
      </c>
    </row>
    <row r="187" spans="23:29" ht="15.75">
      <c r="W187" s="268" t="s">
        <v>569</v>
      </c>
      <c r="X187" s="250">
        <f t="shared" si="18"/>
        <v>326682.92995460733</v>
      </c>
      <c r="Y187" s="250">
        <f t="shared" si="20"/>
        <v>358018.59865464002</v>
      </c>
      <c r="Z187" s="567">
        <f t="shared" si="19"/>
        <v>341848.56414861424</v>
      </c>
      <c r="AA187" s="567">
        <f t="shared" si="21"/>
        <v>368002.13000992173</v>
      </c>
    </row>
    <row r="188" spans="23:29" ht="15.75">
      <c r="W188" s="268" t="s">
        <v>570</v>
      </c>
      <c r="X188" s="250">
        <f t="shared" si="18"/>
        <v>348902.03248795122</v>
      </c>
      <c r="Y188" s="250">
        <f t="shared" si="20"/>
        <v>382381.74208253255</v>
      </c>
      <c r="Z188" s="567">
        <f t="shared" si="19"/>
        <v>365169.34789795277</v>
      </c>
      <c r="AA188" s="567">
        <f t="shared" si="21"/>
        <v>392969.75601574278</v>
      </c>
    </row>
    <row r="189" spans="23:29" ht="15.75">
      <c r="W189" s="268" t="s">
        <v>571</v>
      </c>
      <c r="X189" s="250">
        <f t="shared" si="18"/>
        <v>415559.34008798352</v>
      </c>
      <c r="Y189" s="250">
        <f t="shared" si="20"/>
        <v>455471.17236621008</v>
      </c>
      <c r="Z189" s="567">
        <f t="shared" si="19"/>
        <v>435131.69914596842</v>
      </c>
      <c r="AA189" s="567">
        <f t="shared" si="21"/>
        <v>467872.63403320592</v>
      </c>
    </row>
    <row r="190" spans="23:29" ht="15.75">
      <c r="W190" s="268" t="s">
        <v>572</v>
      </c>
      <c r="X190" s="250">
        <f t="shared" si="18"/>
        <v>482216.64768801577</v>
      </c>
      <c r="Y190" s="250">
        <f t="shared" si="20"/>
        <v>528560.60264988756</v>
      </c>
      <c r="Z190" s="567">
        <f t="shared" si="19"/>
        <v>505094.0503939843</v>
      </c>
      <c r="AA190" s="567">
        <f t="shared" si="21"/>
        <v>542775.51205066929</v>
      </c>
    </row>
    <row r="191" spans="23:29" ht="15.75">
      <c r="W191" s="268" t="s">
        <v>573</v>
      </c>
      <c r="X191" s="250">
        <f t="shared" si="18"/>
        <v>281882.66561705252</v>
      </c>
      <c r="Y191" s="250">
        <f t="shared" si="20"/>
        <v>306786.21163344005</v>
      </c>
      <c r="Z191" s="567">
        <f t="shared" si="19"/>
        <v>294800.55538838607</v>
      </c>
      <c r="AA191" s="567">
        <f t="shared" si="21"/>
        <v>316013.59448024613</v>
      </c>
    </row>
    <row r="192" spans="23:29" ht="15.75">
      <c r="W192" s="269" t="s">
        <v>574</v>
      </c>
      <c r="X192" s="250">
        <f t="shared" si="18"/>
        <v>329972.9212026844</v>
      </c>
      <c r="Y192" s="250">
        <f t="shared" si="20"/>
        <v>359164.5490081688</v>
      </c>
      <c r="Z192" s="567">
        <f t="shared" si="19"/>
        <v>345291.37931245763</v>
      </c>
      <c r="AA192" s="567">
        <f t="shared" si="21"/>
        <v>369798.10291728261</v>
      </c>
    </row>
    <row r="193" spans="23:27" ht="15.75">
      <c r="W193" s="269" t="s">
        <v>575</v>
      </c>
      <c r="X193" s="250">
        <f t="shared" si="18"/>
        <v>354018.04899550043</v>
      </c>
      <c r="Y193" s="250">
        <f t="shared" si="20"/>
        <v>385353.71769553324</v>
      </c>
      <c r="Z193" s="567">
        <f t="shared" si="19"/>
        <v>370536.79127449333</v>
      </c>
      <c r="AA193" s="567">
        <f t="shared" si="21"/>
        <v>396690.35713580094</v>
      </c>
    </row>
    <row r="194" spans="23:27" ht="15.75">
      <c r="W194" s="269" t="s">
        <v>576</v>
      </c>
      <c r="X194" s="250">
        <f t="shared" si="18"/>
        <v>378063.17678831634</v>
      </c>
      <c r="Y194" s="250">
        <f t="shared" si="20"/>
        <v>411542.88638289744</v>
      </c>
      <c r="Z194" s="567">
        <f t="shared" si="19"/>
        <v>395782.2032365292</v>
      </c>
      <c r="AA194" s="567">
        <f t="shared" si="21"/>
        <v>423582.61135431915</v>
      </c>
    </row>
    <row r="195" spans="23:27" ht="15.75">
      <c r="W195" s="269" t="s">
        <v>577</v>
      </c>
      <c r="X195" s="250">
        <f t="shared" si="18"/>
        <v>450198.56016676419</v>
      </c>
      <c r="Y195" s="250">
        <f t="shared" si="20"/>
        <v>490110.39244499081</v>
      </c>
      <c r="Z195" s="567">
        <f t="shared" si="19"/>
        <v>471518.43912263657</v>
      </c>
      <c r="AA195" s="567">
        <f t="shared" si="21"/>
        <v>504259.37400987407</v>
      </c>
    </row>
    <row r="196" spans="23:27" ht="16.5" thickBot="1">
      <c r="W196" s="269" t="s">
        <v>578</v>
      </c>
      <c r="X196" s="250">
        <f t="shared" si="18"/>
        <v>522333.94354521204</v>
      </c>
      <c r="Y196" s="250">
        <f t="shared" si="20"/>
        <v>568677.89850708388</v>
      </c>
      <c r="Z196" s="567">
        <f t="shared" si="19"/>
        <v>547254.675008744</v>
      </c>
      <c r="AA196" s="567">
        <f>+T122</f>
        <v>584936.13666542899</v>
      </c>
    </row>
    <row r="197" spans="23:27" ht="28.5" customHeight="1" thickBot="1">
      <c r="W197" s="850" t="s">
        <v>666</v>
      </c>
      <c r="X197" s="851"/>
      <c r="Y197" s="851"/>
      <c r="Z197" s="851"/>
      <c r="AA197" s="852"/>
    </row>
    <row r="198" spans="23:27" ht="33.75" customHeight="1" thickBot="1">
      <c r="W198" s="570"/>
      <c r="X198" s="850" t="s">
        <v>839</v>
      </c>
      <c r="Y198" s="852"/>
      <c r="Z198" s="850" t="s">
        <v>840</v>
      </c>
      <c r="AA198" s="852"/>
    </row>
    <row r="199" spans="23:27" ht="21" customHeight="1" thickBot="1">
      <c r="W199" s="271" t="s">
        <v>534</v>
      </c>
      <c r="X199" s="375" t="s">
        <v>616</v>
      </c>
      <c r="Y199" s="271" t="s">
        <v>617</v>
      </c>
      <c r="Z199" s="571" t="s">
        <v>837</v>
      </c>
      <c r="AA199" s="569" t="s">
        <v>838</v>
      </c>
    </row>
    <row r="200" spans="23:27" ht="15.75">
      <c r="W200" s="272" t="s">
        <v>581</v>
      </c>
      <c r="X200" s="261">
        <f>+H67</f>
        <v>420159.1963762464</v>
      </c>
      <c r="Y200" s="572">
        <f t="shared" ref="Y200:Y204" si="22">+T67</f>
        <v>473226.0955572151</v>
      </c>
      <c r="Z200" s="261">
        <f>+H144</f>
        <v>352936.20112686575</v>
      </c>
      <c r="AA200" s="273">
        <f t="shared" ref="AA200:AA204" si="23">+T144</f>
        <v>397135.68862686568</v>
      </c>
    </row>
    <row r="201" spans="23:27" ht="15.75">
      <c r="W201" s="274" t="s">
        <v>582</v>
      </c>
      <c r="X201" s="250">
        <f t="shared" ref="X201:X202" si="24">+H68</f>
        <v>490798.88041294698</v>
      </c>
      <c r="Y201" s="252">
        <f t="shared" si="22"/>
        <v>543865.77959391579</v>
      </c>
      <c r="Z201" s="250">
        <f t="shared" ref="Z201:Z202" si="25">+H145</f>
        <v>412518.35203358217</v>
      </c>
      <c r="AA201" s="275">
        <f t="shared" si="23"/>
        <v>456717.8395335821</v>
      </c>
    </row>
    <row r="202" spans="23:27" ht="15.75">
      <c r="W202" s="274" t="s">
        <v>583</v>
      </c>
      <c r="X202" s="250">
        <f t="shared" si="24"/>
        <v>561438.56444964767</v>
      </c>
      <c r="Y202" s="252">
        <f t="shared" si="22"/>
        <v>614505.46363061643</v>
      </c>
      <c r="Z202" s="250">
        <f t="shared" si="25"/>
        <v>472100.50294029858</v>
      </c>
      <c r="AA202" s="275">
        <f t="shared" si="23"/>
        <v>516299.99044029857</v>
      </c>
    </row>
    <row r="203" spans="23:27" ht="15.75">
      <c r="W203" s="274" t="s">
        <v>584</v>
      </c>
      <c r="X203" s="250"/>
      <c r="Y203" s="252">
        <f t="shared" si="22"/>
        <v>661598.58632175007</v>
      </c>
      <c r="Z203" s="250"/>
      <c r="AA203" s="275">
        <f t="shared" si="23"/>
        <v>556021.42437810951</v>
      </c>
    </row>
    <row r="204" spans="23:27" ht="16.5" thickBot="1">
      <c r="W204" s="276" t="s">
        <v>585</v>
      </c>
      <c r="X204" s="266"/>
      <c r="Y204" s="573">
        <f t="shared" si="22"/>
        <v>755784.83170401771</v>
      </c>
      <c r="Z204" s="266"/>
      <c r="AA204" s="277">
        <f t="shared" si="23"/>
        <v>635464.2922537314</v>
      </c>
    </row>
  </sheetData>
  <mergeCells count="32">
    <mergeCell ref="AC154:AC165"/>
    <mergeCell ref="C140:F140"/>
    <mergeCell ref="O140:R140"/>
    <mergeCell ref="A141:H141"/>
    <mergeCell ref="M141:T141"/>
    <mergeCell ref="A143:H143"/>
    <mergeCell ref="M143:T143"/>
    <mergeCell ref="W197:AA197"/>
    <mergeCell ref="W154:AA154"/>
    <mergeCell ref="X155:Y155"/>
    <mergeCell ref="Z155:AA155"/>
    <mergeCell ref="X198:Y198"/>
    <mergeCell ref="Z198:AA198"/>
    <mergeCell ref="A82:H82"/>
    <mergeCell ref="M82:T82"/>
    <mergeCell ref="C63:F63"/>
    <mergeCell ref="O63:R63"/>
    <mergeCell ref="A64:H64"/>
    <mergeCell ref="M64:T64"/>
    <mergeCell ref="A66:H66"/>
    <mergeCell ref="M66:T66"/>
    <mergeCell ref="A75:T76"/>
    <mergeCell ref="C79:F79"/>
    <mergeCell ref="O79:R79"/>
    <mergeCell ref="A80:H80"/>
    <mergeCell ref="M80:T80"/>
    <mergeCell ref="C2:F2"/>
    <mergeCell ref="O2:R2"/>
    <mergeCell ref="A3:H3"/>
    <mergeCell ref="M3:T3"/>
    <mergeCell ref="A5:H5"/>
    <mergeCell ref="M5:T5"/>
  </mergeCells>
  <pageMargins left="0.70866141732283472" right="0.70866141732283472" top="0.74803149606299213" bottom="0.74803149606299213" header="0.31496062992125984" footer="0.31496062992125984"/>
  <pageSetup scale="79" orientation="portrait" r:id="rId1"/>
  <ignoredErrors>
    <ignoredError sqref="AA162" calculatedColumn="1"/>
  </ignoredErrors>
  <tableParts count="2">
    <tablePart r:id="rId2"/>
    <tablePart r:id="rId3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02"/>
  <sheetViews>
    <sheetView topLeftCell="W59" zoomScale="90" zoomScaleNormal="90" workbookViewId="0">
      <selection activeCell="AC61" sqref="AC61"/>
    </sheetView>
  </sheetViews>
  <sheetFormatPr baseColWidth="10" defaultRowHeight="15"/>
  <cols>
    <col min="1" max="1" width="7" hidden="1" customWidth="1"/>
    <col min="2" max="2" width="4.7109375" hidden="1" customWidth="1"/>
    <col min="3" max="3" width="12.140625" hidden="1" customWidth="1"/>
    <col min="4" max="4" width="11.140625" hidden="1" customWidth="1"/>
    <col min="5" max="5" width="8.140625" hidden="1" customWidth="1"/>
    <col min="6" max="6" width="11.140625" hidden="1" customWidth="1"/>
    <col min="7" max="8" width="12.140625" hidden="1" customWidth="1"/>
    <col min="9" max="9" width="29.5703125" hidden="1" customWidth="1"/>
    <col min="10" max="12" width="0" hidden="1" customWidth="1"/>
    <col min="13" max="13" width="7" hidden="1" customWidth="1"/>
    <col min="14" max="14" width="4.7109375" hidden="1" customWidth="1"/>
    <col min="15" max="15" width="12.140625" hidden="1" customWidth="1"/>
    <col min="16" max="16" width="11.140625" hidden="1" customWidth="1"/>
    <col min="17" max="17" width="8.140625" hidden="1" customWidth="1"/>
    <col min="18" max="18" width="11.140625" hidden="1" customWidth="1"/>
    <col min="19" max="20" width="12.140625" hidden="1" customWidth="1"/>
    <col min="21" max="21" width="0" hidden="1" customWidth="1"/>
    <col min="22" max="22" width="1.85546875" hidden="1" customWidth="1"/>
    <col min="24" max="24" width="16.5703125" customWidth="1"/>
    <col min="25" max="25" width="17.5703125" customWidth="1"/>
    <col min="26" max="26" width="17.7109375" customWidth="1"/>
    <col min="27" max="27" width="17.42578125" customWidth="1"/>
    <col min="29" max="29" width="11.140625" customWidth="1"/>
    <col min="30" max="30" width="14" customWidth="1"/>
  </cols>
  <sheetData>
    <row r="1" spans="1:20" ht="15.75" hidden="1" thickBot="1"/>
    <row r="2" spans="1:20" ht="15.75" hidden="1" thickBot="1">
      <c r="A2" s="32"/>
      <c r="B2" s="32"/>
      <c r="C2" s="807">
        <v>1.35</v>
      </c>
      <c r="D2" s="808"/>
      <c r="E2" s="809"/>
      <c r="F2" s="545">
        <v>2</v>
      </c>
      <c r="G2" s="32"/>
      <c r="H2" s="46" t="s">
        <v>163</v>
      </c>
      <c r="M2" s="32"/>
      <c r="N2" s="32"/>
      <c r="O2" s="947">
        <v>1.35</v>
      </c>
      <c r="P2" s="948"/>
      <c r="Q2" s="949"/>
      <c r="R2" s="728">
        <v>2</v>
      </c>
      <c r="S2" s="32"/>
      <c r="T2" s="46" t="s">
        <v>163</v>
      </c>
    </row>
    <row r="3" spans="1:20" ht="15.75" hidden="1" thickBot="1">
      <c r="A3" s="792" t="s">
        <v>183</v>
      </c>
      <c r="B3" s="793"/>
      <c r="C3" s="793"/>
      <c r="D3" s="793"/>
      <c r="E3" s="793"/>
      <c r="F3" s="793"/>
      <c r="G3" s="793"/>
      <c r="H3" s="794"/>
      <c r="M3" s="792" t="s">
        <v>184</v>
      </c>
      <c r="N3" s="793"/>
      <c r="O3" s="793"/>
      <c r="P3" s="793"/>
      <c r="Q3" s="793"/>
      <c r="R3" s="793"/>
      <c r="S3" s="793"/>
      <c r="T3" s="794"/>
    </row>
    <row r="4" spans="1:20" ht="15.75" hidden="1" thickBot="1">
      <c r="A4" s="36" t="s">
        <v>116</v>
      </c>
      <c r="B4" s="36" t="s">
        <v>117</v>
      </c>
      <c r="C4" s="36" t="s">
        <v>162</v>
      </c>
      <c r="D4" s="36" t="s">
        <v>119</v>
      </c>
      <c r="E4" s="36" t="s">
        <v>120</v>
      </c>
      <c r="F4" s="36" t="s">
        <v>118</v>
      </c>
      <c r="G4" s="36" t="s">
        <v>121</v>
      </c>
      <c r="H4" s="36" t="s">
        <v>122</v>
      </c>
      <c r="M4" s="36" t="s">
        <v>116</v>
      </c>
      <c r="N4" s="36" t="s">
        <v>117</v>
      </c>
      <c r="O4" s="36" t="s">
        <v>162</v>
      </c>
      <c r="P4" s="36" t="s">
        <v>119</v>
      </c>
      <c r="Q4" s="36" t="s">
        <v>120</v>
      </c>
      <c r="R4" s="36" t="s">
        <v>118</v>
      </c>
      <c r="S4" s="36" t="s">
        <v>121</v>
      </c>
      <c r="T4" s="36" t="s">
        <v>122</v>
      </c>
    </row>
    <row r="5" spans="1:20" ht="15.75" hidden="1" thickBot="1">
      <c r="A5" s="795"/>
      <c r="B5" s="796"/>
      <c r="C5" s="796"/>
      <c r="D5" s="796"/>
      <c r="E5" s="796"/>
      <c r="F5" s="796"/>
      <c r="G5" s="796"/>
      <c r="H5" s="797"/>
      <c r="M5" s="795"/>
      <c r="N5" s="796"/>
      <c r="O5" s="796"/>
      <c r="P5" s="796"/>
      <c r="Q5" s="796"/>
      <c r="R5" s="796"/>
      <c r="S5" s="796"/>
      <c r="T5" s="797"/>
    </row>
    <row r="6" spans="1:20" ht="15.75" hidden="1" thickBot="1">
      <c r="A6" s="40">
        <v>0.3</v>
      </c>
      <c r="B6" s="41">
        <v>0.4</v>
      </c>
      <c r="C6" s="47">
        <f>((((A6*2)+(B6*2))*'MATERIALES (2)'!$C$13)+((A6*2)*'MATERIALES (2)'!$C$6)+((B6*2)*'MATERIALES (2)'!$C$15))*'MATERIALES (2)'!$F$1</f>
        <v>14040.117</v>
      </c>
      <c r="D6" s="58">
        <f>(4*'MATERIALES (2)'!$C$126)+(4*'MATERIALES (2)'!$C$163)+((8*4)*'MATERIALES (2)'!$C$134)+(((B6*2)+(A6*2))*'MATERIALES (2)'!$C$138)+(4*'MATERIALES (2)'!$C$137)+(((A6*5)*2)*'MATERIALES (2)'!$C$136)+(4*'MATERIALES (2)'!$C$135)+(1*'MATERIALES (2)'!$C$140)+(((A6*2)+(B6*2))*'MATERIALES (2)'!$C$130)+(2*'MATERIALES (2)'!$C$150)</f>
        <v>5574</v>
      </c>
      <c r="E6" s="74"/>
      <c r="F6" s="54">
        <f>(A6*B6)*'MATERIALES (2)'!$D$85</f>
        <v>888</v>
      </c>
      <c r="G6" s="47">
        <f>SUM(C6:F6)</f>
        <v>20502.116999999998</v>
      </c>
      <c r="H6" s="49">
        <f>((((SUM(C6:E6)*$C$2)+(F6*$F$2))*1.21)*1.05)*1.05</f>
        <v>37692.953681748746</v>
      </c>
      <c r="M6" s="65">
        <v>0.4</v>
      </c>
      <c r="N6" s="66">
        <v>0.4</v>
      </c>
      <c r="O6" s="58">
        <f>((((M6*2)+(N6*2))*'MATERIALES (2)'!$C$13)+((M6*2)*'MATERIALES (2)'!$C$6)+((N6*2)*'MATERIALES (2)'!$C$15))*'MATERIALES (2)'!$F$1</f>
        <v>16040.640000000001</v>
      </c>
      <c r="P6" s="58">
        <f>(4*'MATERIALES (2)'!$C$126)+(4*'MATERIALES (2)'!$C$163)+((8*4)*'MATERIALES (2)'!$C$134)+(((N6*2)+(M6*2))*'MATERIALES (2)'!$C$138)+(4*'MATERIALES (2)'!$C$137)+(((M6*5)*2)*'MATERIALES (2)'!$C$136)+(4*'MATERIALES (2)'!$C$135)+(1*'MATERIALES (2)'!$C$144)+(((M6*2)+(N6*2))*'MATERIALES (2)'!$C$130)+(2*'MATERIALES (2)'!$C$150)</f>
        <v>5724</v>
      </c>
      <c r="Q6" s="74"/>
      <c r="R6" s="54">
        <f>(M6*N6)*'MATERIALES (2)'!$D$85</f>
        <v>1184.0000000000002</v>
      </c>
      <c r="S6" s="58">
        <f>SUM(O6:R6)</f>
        <v>22948.639999999999</v>
      </c>
      <c r="T6" s="67">
        <f>((((SUM(O6:Q6)*$O$2)+(R6*$R$2))*1.21)*1.05)*1.05</f>
        <v>42355.645932600004</v>
      </c>
    </row>
    <row r="7" spans="1:20" ht="15.75" hidden="1" thickBot="1">
      <c r="A7" s="42">
        <v>0.3</v>
      </c>
      <c r="B7" s="37">
        <v>0.6</v>
      </c>
      <c r="C7" s="38">
        <f>((((A7*2)+(B7*2))*'MATERIALES (2)'!$C$13)+((A7*2)*'MATERIALES (2)'!$C$6)+((B7*2)*'MATERIALES (2)'!$C$15))*'MATERIALES (2)'!$F$1</f>
        <v>18059.391</v>
      </c>
      <c r="D7" s="59">
        <f>(4*'MATERIALES (2)'!$C$126)+(4*'MATERIALES (2)'!$C$163)+((8*4)*'MATERIALES (2)'!$C$134)+(((B7*2)+(A7*2))*'MATERIALES (2)'!$C$138)+(4*'MATERIALES (2)'!$C$137)+(((A7*5)*2)*'MATERIALES (2)'!$C$136)+(4*'MATERIALES (2)'!$C$135)+(1*'MATERIALES (2)'!$C$140)+(((A7*2)+(B7*2))*'MATERIALES (2)'!$C$130)+(2*'MATERIALES (2)'!$C$150)</f>
        <v>5694</v>
      </c>
      <c r="E7" s="75"/>
      <c r="F7" s="55">
        <f>(A7*B7)*'MATERIALES (2)'!$D$85</f>
        <v>1332</v>
      </c>
      <c r="G7" s="38">
        <f t="shared" ref="G7:G26" si="0">SUM(C7:F7)</f>
        <v>25085.391</v>
      </c>
      <c r="H7" s="49">
        <f t="shared" ref="H7:H26" si="1">((((SUM(C7:E7)*$C$2)+(F7*$F$2))*1.21)*1.05)*1.05</f>
        <v>46332.126128846248</v>
      </c>
      <c r="M7" s="68">
        <v>0.4</v>
      </c>
      <c r="N7" s="69">
        <v>0.6</v>
      </c>
      <c r="O7" s="59">
        <f>((((M7*2)+(N7*2))*'MATERIALES (2)'!$C$13)+((M7*2)*'MATERIALES (2)'!$C$6)+((N7*2)*'MATERIALES (2)'!$C$15))*'MATERIALES (2)'!$F$1</f>
        <v>20059.914000000001</v>
      </c>
      <c r="P7" s="59">
        <f>(4*'MATERIALES (2)'!$C$126)+(4*'MATERIALES (2)'!$C$163)+((8*4)*'MATERIALES (2)'!$C$134)+(((N7*2)+(M7*2))*'MATERIALES (2)'!$C$138)+(4*'MATERIALES (2)'!$C$137)+(((M7*5)*2)*'MATERIALES (2)'!$C$136)+(4*'MATERIALES (2)'!$C$135)+(1*'MATERIALES (2)'!$C$144)+(((M7*2)+(N7*2))*'MATERIALES (2)'!$C$130)+(2*'MATERIALES (2)'!$C$150)</f>
        <v>5844</v>
      </c>
      <c r="Q7" s="75"/>
      <c r="R7" s="55">
        <f>(M7*N7)*'MATERIALES (2)'!$D$85</f>
        <v>1776</v>
      </c>
      <c r="S7" s="59">
        <f t="shared" ref="S7:S23" si="2">SUM(O7:R7)</f>
        <v>27679.914000000001</v>
      </c>
      <c r="T7" s="67">
        <f t="shared" ref="T7:T23" si="3">((((SUM(O7:Q7)*$O$2)+(R7*$R$2))*1.21)*1.05)*1.05</f>
        <v>51389.689779697503</v>
      </c>
    </row>
    <row r="8" spans="1:20" ht="15.75" hidden="1" thickBot="1">
      <c r="A8" s="42">
        <v>0.3</v>
      </c>
      <c r="B8" s="37">
        <v>0.8</v>
      </c>
      <c r="C8" s="38">
        <f>((((A8*2)+(B8*2))*'MATERIALES (2)'!$C$13)+((A8*2)*'MATERIALES (2)'!$C$6)+((B8*2)*'MATERIALES (2)'!$C$15))*'MATERIALES (2)'!$F$1</f>
        <v>22078.665000000001</v>
      </c>
      <c r="D8" s="59">
        <f>(4*'MATERIALES (2)'!$C$126)+(4*'MATERIALES (2)'!$C$163)+((8*4)*'MATERIALES (2)'!$C$134)+(((B8*2)+(A8*2))*'MATERIALES (2)'!$C$138)+(4*'MATERIALES (2)'!$C$137)+(((A8*5)*2)*'MATERIALES (2)'!$C$136)+(4*'MATERIALES (2)'!$C$135)+(1*'MATERIALES (2)'!$C$140)+(((A8*2)+(B8*2))*'MATERIALES (2)'!$C$130)+(2*'MATERIALES (2)'!$C$150)</f>
        <v>5814</v>
      </c>
      <c r="E8" s="75"/>
      <c r="F8" s="55">
        <f>(A8*B8)*'MATERIALES (2)'!$D$85</f>
        <v>1776</v>
      </c>
      <c r="G8" s="38">
        <f t="shared" si="0"/>
        <v>29668.665000000001</v>
      </c>
      <c r="H8" s="49">
        <f t="shared" si="1"/>
        <v>54971.298575943758</v>
      </c>
      <c r="M8" s="68">
        <v>0.4</v>
      </c>
      <c r="N8" s="69">
        <v>0.8</v>
      </c>
      <c r="O8" s="59">
        <f>((((M8*2)+(N8*2))*'MATERIALES (2)'!$C$13)+((M8*2)*'MATERIALES (2)'!$C$6)+((N8*2)*'MATERIALES (2)'!$C$15))*'MATERIALES (2)'!$F$1</f>
        <v>24079.188000000006</v>
      </c>
      <c r="P8" s="59">
        <f>(4*'MATERIALES (2)'!$C$126)+(4*'MATERIALES (2)'!$C$163)+((8*4)*'MATERIALES (2)'!$C$134)+(((N8*2)+(M8*2))*'MATERIALES (2)'!$C$138)+(4*'MATERIALES (2)'!$C$137)+(((M8*5)*2)*'MATERIALES (2)'!$C$136)+(4*'MATERIALES (2)'!$C$135)+(1*'MATERIALES (2)'!$C$144)+(((M8*2)+(N8*2))*'MATERIALES (2)'!$C$130)+(2*'MATERIALES (2)'!$C$150)</f>
        <v>5964</v>
      </c>
      <c r="Q8" s="75"/>
      <c r="R8" s="55">
        <f>(M8*N8)*'MATERIALES (2)'!$D$85</f>
        <v>2368.0000000000005</v>
      </c>
      <c r="S8" s="59">
        <f t="shared" si="2"/>
        <v>32411.188000000006</v>
      </c>
      <c r="T8" s="67">
        <f t="shared" si="3"/>
        <v>60423.733626795016</v>
      </c>
    </row>
    <row r="9" spans="1:20" ht="15.75" hidden="1" thickBot="1">
      <c r="A9" s="42">
        <v>0.3</v>
      </c>
      <c r="B9" s="37">
        <v>1</v>
      </c>
      <c r="C9" s="38">
        <f>((((A9*2)+(B9*2))*'MATERIALES (2)'!$C$13)+((A9*2)*'MATERIALES (2)'!$C$6)+((B9*2)*'MATERIALES (2)'!$C$15))*'MATERIALES (2)'!$F$1</f>
        <v>26097.938999999998</v>
      </c>
      <c r="D9" s="59">
        <f>(4*'MATERIALES (2)'!$C$126)+(4*'MATERIALES (2)'!$C$163)+((8*4)*'MATERIALES (2)'!$C$134)+(((B9*2)+(A9*2))*'MATERIALES (2)'!$C$138)+(4*'MATERIALES (2)'!$C$137)+(((A9*5)*2)*'MATERIALES (2)'!$C$136)+(4*'MATERIALES (2)'!$C$135)+(1*'MATERIALES (2)'!$C$140)+(((A9*2)+(B9*2))*'MATERIALES (2)'!$C$130)+(2*'MATERIALES (2)'!$C$150)</f>
        <v>5934</v>
      </c>
      <c r="E9" s="75"/>
      <c r="F9" s="55">
        <f>(A9*B9)*'MATERIALES (2)'!$D$85</f>
        <v>2220</v>
      </c>
      <c r="G9" s="38">
        <f t="shared" si="0"/>
        <v>34251.938999999998</v>
      </c>
      <c r="H9" s="49">
        <f t="shared" si="1"/>
        <v>63610.47102304126</v>
      </c>
      <c r="M9" s="68">
        <v>0.4</v>
      </c>
      <c r="N9" s="69">
        <v>1</v>
      </c>
      <c r="O9" s="59">
        <f>((((M9*2)+(N9*2))*'MATERIALES (2)'!$C$13)+((M9*2)*'MATERIALES (2)'!$C$6)+((N9*2)*'MATERIALES (2)'!$C$15))*'MATERIALES (2)'!$F$1</f>
        <v>28098.462000000003</v>
      </c>
      <c r="P9" s="59">
        <f>(4*'MATERIALES (2)'!$C$126)+(4*'MATERIALES (2)'!$C$163)+((8*4)*'MATERIALES (2)'!$C$134)+(((N9*2)+(M9*2))*'MATERIALES (2)'!$C$138)+(4*'MATERIALES (2)'!$C$137)+(((M9*5)*2)*'MATERIALES (2)'!$C$136)+(4*'MATERIALES (2)'!$C$135)+(1*'MATERIALES (2)'!$C$144)+(((M9*2)+(N9*2))*'MATERIALES (2)'!$C$130)+(2*'MATERIALES (2)'!$C$150)</f>
        <v>6084</v>
      </c>
      <c r="Q9" s="75"/>
      <c r="R9" s="55">
        <f>(M9*N9)*'MATERIALES (2)'!$D$85</f>
        <v>2960</v>
      </c>
      <c r="S9" s="59">
        <f t="shared" si="2"/>
        <v>37142.462</v>
      </c>
      <c r="T9" s="67">
        <f t="shared" si="3"/>
        <v>69457.777473892507</v>
      </c>
    </row>
    <row r="10" spans="1:20" ht="15.75" hidden="1" thickBot="1">
      <c r="A10" s="42">
        <v>0.3</v>
      </c>
      <c r="B10" s="37">
        <v>1.2</v>
      </c>
      <c r="C10" s="38">
        <f>((((A10*2)+(B10*2))*'MATERIALES (2)'!$C$13)+((A10*2)*'MATERIALES (2)'!$C$6)+((B10*2)*'MATERIALES (2)'!$C$15))*'MATERIALES (2)'!$F$1</f>
        <v>30117.212999999996</v>
      </c>
      <c r="D10" s="59">
        <f>(4*'MATERIALES (2)'!$C$126)+(4*'MATERIALES (2)'!$C$163)+((8*4)*'MATERIALES (2)'!$C$134)+(((B10*2)+(A10*2))*'MATERIALES (2)'!$C$138)+(4*'MATERIALES (2)'!$C$137)+(((A10*5)*2)*'MATERIALES (2)'!$C$136)+(4*'MATERIALES (2)'!$C$135)+(1*'MATERIALES (2)'!$C$140)+(((A10*2)+(B10*2))*'MATERIALES (2)'!$C$130)+(2*'MATERIALES (2)'!$C$150)</f>
        <v>6054</v>
      </c>
      <c r="E10" s="75"/>
      <c r="F10" s="55">
        <f>(A10*B10)*'MATERIALES (2)'!$D$85</f>
        <v>2664</v>
      </c>
      <c r="G10" s="38">
        <f t="shared" si="0"/>
        <v>38835.212999999996</v>
      </c>
      <c r="H10" s="49">
        <f t="shared" si="1"/>
        <v>72249.643470138762</v>
      </c>
      <c r="M10" s="68">
        <v>0.4</v>
      </c>
      <c r="N10" s="69">
        <v>1.2</v>
      </c>
      <c r="O10" s="59">
        <f>((((M10*2)+(N10*2))*'MATERIALES (2)'!$C$13)+((M10*2)*'MATERIALES (2)'!$C$6)+((N10*2)*'MATERIALES (2)'!$C$15))*'MATERIALES (2)'!$F$1</f>
        <v>32117.736000000001</v>
      </c>
      <c r="P10" s="59">
        <f>(4*'MATERIALES (2)'!$C$126)+(4*'MATERIALES (2)'!$C$163)+((8*4)*'MATERIALES (2)'!$C$134)+(((N10*2)+(M10*2))*'MATERIALES (2)'!$C$138)+(4*'MATERIALES (2)'!$C$137)+(((M10*5)*2)*'MATERIALES (2)'!$C$136)+(4*'MATERIALES (2)'!$C$135)+(1*'MATERIALES (2)'!$C$144)+(((M10*2)+(N10*2))*'MATERIALES (2)'!$C$130)+(2*'MATERIALES (2)'!$C$150)</f>
        <v>6204</v>
      </c>
      <c r="Q10" s="75"/>
      <c r="R10" s="55">
        <f>(M10*N10)*'MATERIALES (2)'!$D$85</f>
        <v>3552</v>
      </c>
      <c r="S10" s="59">
        <f t="shared" si="2"/>
        <v>41873.736000000004</v>
      </c>
      <c r="T10" s="67">
        <f t="shared" si="3"/>
        <v>78491.821320990013</v>
      </c>
    </row>
    <row r="11" spans="1:20" ht="15.75" hidden="1" thickBot="1">
      <c r="A11" s="42">
        <v>0.4</v>
      </c>
      <c r="B11" s="37">
        <v>0.4</v>
      </c>
      <c r="C11" s="38">
        <f>((((A11*2)+(B11*2))*'MATERIALES (2)'!$C$13)+((A11*2)*'MATERIALES (2)'!$C$6)+((B11*2)*'MATERIALES (2)'!$C$15))*'MATERIALES (2)'!$F$1</f>
        <v>16040.640000000001</v>
      </c>
      <c r="D11" s="59">
        <f>(4*'MATERIALES (2)'!$C$126)+(4*'MATERIALES (2)'!$C$163)+((8*4)*'MATERIALES (2)'!$C$134)+(((B11*2)+(A11*2))*'MATERIALES (2)'!$C$138)+(4*'MATERIALES (2)'!$C$137)+(((A11*5)*2)*'MATERIALES (2)'!$C$136)+(4*'MATERIALES (2)'!$C$135)+(1*'MATERIALES (2)'!$C$140)+(((A11*2)+(B11*2))*'MATERIALES (2)'!$C$130)+(2*'MATERIALES (2)'!$C$150)</f>
        <v>5634</v>
      </c>
      <c r="E11" s="75"/>
      <c r="F11" s="55">
        <f>(A11*B11)*'MATERIALES (2)'!$D$85</f>
        <v>1184.0000000000002</v>
      </c>
      <c r="G11" s="38">
        <f t="shared" si="0"/>
        <v>22858.639999999999</v>
      </c>
      <c r="H11" s="49">
        <f t="shared" si="1"/>
        <v>42193.561895100007</v>
      </c>
      <c r="M11" s="68">
        <v>0.4</v>
      </c>
      <c r="N11" s="69">
        <v>1.5</v>
      </c>
      <c r="O11" s="59">
        <f>((((M11*2)+(N11*2))*'MATERIALES (2)'!$C$13)+((M11*2)*'MATERIALES (2)'!$C$6)+((N11*2)*'MATERIALES (2)'!$C$15))*'MATERIALES (2)'!$F$1</f>
        <v>38146.647000000004</v>
      </c>
      <c r="P11" s="59">
        <f>(4*'MATERIALES (2)'!$C$126)+(4*'MATERIALES (2)'!$C$163)+((8*4)*'MATERIALES (2)'!$C$134)+(((N11*2)+(M11*2))*'MATERIALES (2)'!$C$138)+(4*'MATERIALES (2)'!$C$137)+(((M11*5)*2)*'MATERIALES (2)'!$C$136)+(4*'MATERIALES (2)'!$C$135)+(1*'MATERIALES (2)'!$C$144)+(((M11*2)+(N11*2))*'MATERIALES (2)'!$C$130)+(2*'MATERIALES (2)'!$C$150)</f>
        <v>6384</v>
      </c>
      <c r="Q11" s="75"/>
      <c r="R11" s="55">
        <f>(M11*N11)*'MATERIALES (2)'!$D$85</f>
        <v>4440.0000000000009</v>
      </c>
      <c r="S11" s="59">
        <f t="shared" si="2"/>
        <v>48970.647000000004</v>
      </c>
      <c r="T11" s="67">
        <f t="shared" si="3"/>
        <v>92042.887091636279</v>
      </c>
    </row>
    <row r="12" spans="1:20" ht="15.75" hidden="1" thickBot="1">
      <c r="A12" s="42">
        <v>0.4</v>
      </c>
      <c r="B12" s="37">
        <v>0.6</v>
      </c>
      <c r="C12" s="38">
        <f>((((A12*2)+(B12*2))*'MATERIALES (2)'!$C$13)+((A12*2)*'MATERIALES (2)'!$C$6)+((B12*2)*'MATERIALES (2)'!$C$15))*'MATERIALES (2)'!$F$1</f>
        <v>20059.914000000001</v>
      </c>
      <c r="D12" s="59">
        <f>(4*'MATERIALES (2)'!$C$126)+(4*'MATERIALES (2)'!$C$163)+((8*4)*'MATERIALES (2)'!$C$134)+(((B12*2)+(A12*2))*'MATERIALES (2)'!$C$138)+(4*'MATERIALES (2)'!$C$137)+(((A12*5)*2)*'MATERIALES (2)'!$C$136)+(4*'MATERIALES (2)'!$C$135)+(1*'MATERIALES (2)'!$C$140)+(((A12*2)+(B12*2))*'MATERIALES (2)'!$C$130)+(2*'MATERIALES (2)'!$C$150)</f>
        <v>5754</v>
      </c>
      <c r="E12" s="75"/>
      <c r="F12" s="55">
        <f>(A12*B12)*'MATERIALES (2)'!$D$85</f>
        <v>1776</v>
      </c>
      <c r="G12" s="38">
        <f t="shared" si="0"/>
        <v>27589.914000000001</v>
      </c>
      <c r="H12" s="49">
        <f t="shared" si="1"/>
        <v>51227.605742197498</v>
      </c>
      <c r="M12" s="68">
        <v>0.6</v>
      </c>
      <c r="N12" s="69">
        <v>0.4</v>
      </c>
      <c r="O12" s="59">
        <f>((((M12*2)+(N12*2))*'MATERIALES (2)'!$C$13)+((M12*2)*'MATERIALES (2)'!$C$6)+((N12*2)*'MATERIALES (2)'!$C$15))*'MATERIALES (2)'!$F$1</f>
        <v>20041.686000000002</v>
      </c>
      <c r="P12" s="59">
        <f>(4*'MATERIALES (2)'!$C$126)+(4*'MATERIALES (2)'!$C$163)+((8*4)*'MATERIALES (2)'!$C$134)+(((N12*2)+(M12*2))*'MATERIALES (2)'!$C$138)+(4*'MATERIALES (2)'!$C$137)+(((M12*5)*2)*'MATERIALES (2)'!$C$136)+(4*'MATERIALES (2)'!$C$135)+(1*'MATERIALES (2)'!$C$144)+(((M12*2)+(N12*2))*'MATERIALES (2)'!$C$130)+(2*'MATERIALES (2)'!$C$150)</f>
        <v>5844</v>
      </c>
      <c r="Q12" s="75"/>
      <c r="R12" s="55">
        <f>(M12*N12)*'MATERIALES (2)'!$D$85</f>
        <v>1776</v>
      </c>
      <c r="S12" s="59">
        <f t="shared" si="2"/>
        <v>27661.686000000002</v>
      </c>
      <c r="T12" s="67">
        <f t="shared" si="3"/>
        <v>51356.862359302504</v>
      </c>
    </row>
    <row r="13" spans="1:20" ht="15.75" hidden="1" thickBot="1">
      <c r="A13" s="42">
        <v>0.4</v>
      </c>
      <c r="B13" s="37">
        <v>0.8</v>
      </c>
      <c r="C13" s="38">
        <f>((((A13*2)+(B13*2))*'MATERIALES (2)'!$C$13)+((A13*2)*'MATERIALES (2)'!$C$6)+((B13*2)*'MATERIALES (2)'!$C$15))*'MATERIALES (2)'!$F$1</f>
        <v>24079.188000000006</v>
      </c>
      <c r="D13" s="59">
        <f>(4*'MATERIALES (2)'!$C$126)+(4*'MATERIALES (2)'!$C$163)+((8*4)*'MATERIALES (2)'!$C$134)+(((B13*2)+(A13*2))*'MATERIALES (2)'!$C$138)+(4*'MATERIALES (2)'!$C$137)+(((A13*5)*2)*'MATERIALES (2)'!$C$136)+(4*'MATERIALES (2)'!$C$135)+(1*'MATERIALES (2)'!$C$140)+(((A13*2)+(B13*2))*'MATERIALES (2)'!$C$130)+(2*'MATERIALES (2)'!$C$150)</f>
        <v>5874</v>
      </c>
      <c r="E13" s="75"/>
      <c r="F13" s="55">
        <f>(A13*B13)*'MATERIALES (2)'!$D$85</f>
        <v>2368.0000000000005</v>
      </c>
      <c r="G13" s="38">
        <f t="shared" si="0"/>
        <v>32321.188000000006</v>
      </c>
      <c r="H13" s="49">
        <f t="shared" si="1"/>
        <v>60261.649589295012</v>
      </c>
      <c r="M13" s="68">
        <v>0.6</v>
      </c>
      <c r="N13" s="69">
        <v>0.6</v>
      </c>
      <c r="O13" s="59">
        <f>((((M13*2)+(N13*2))*'MATERIALES (2)'!$C$13)+((M13*2)*'MATERIALES (2)'!$C$6)+((N13*2)*'MATERIALES (2)'!$C$15))*'MATERIALES (2)'!$F$1</f>
        <v>24060.960000000003</v>
      </c>
      <c r="P13" s="59">
        <f>(4*'MATERIALES (2)'!$C$126)+(4*'MATERIALES (2)'!$C$163)+((8*4)*'MATERIALES (2)'!$C$134)+(((N13*2)+(M13*2))*'MATERIALES (2)'!$C$138)+(4*'MATERIALES (2)'!$C$137)+(((M13*5)*2)*'MATERIALES (2)'!$C$136)+(4*'MATERIALES (2)'!$C$135)+(1*'MATERIALES (2)'!$C$144)+(((M13*2)+(N13*2))*'MATERIALES (2)'!$C$130)+(2*'MATERIALES (2)'!$C$150)</f>
        <v>5964</v>
      </c>
      <c r="Q13" s="75"/>
      <c r="R13" s="55">
        <f>(M13*N13)*'MATERIALES (2)'!$D$85</f>
        <v>2664</v>
      </c>
      <c r="S13" s="59">
        <f t="shared" si="2"/>
        <v>32688.960000000003</v>
      </c>
      <c r="T13" s="67">
        <f t="shared" si="3"/>
        <v>61180.64900640001</v>
      </c>
    </row>
    <row r="14" spans="1:20" ht="15.75" hidden="1" thickBot="1">
      <c r="A14" s="42">
        <v>0.4</v>
      </c>
      <c r="B14" s="37">
        <v>1</v>
      </c>
      <c r="C14" s="38">
        <f>((((A14*2)+(B14*2))*'MATERIALES (2)'!$C$13)+((A14*2)*'MATERIALES (2)'!$C$6)+((B14*2)*'MATERIALES (2)'!$C$15))*'MATERIALES (2)'!$F$1</f>
        <v>28098.462000000003</v>
      </c>
      <c r="D14" s="59">
        <f>(4*'MATERIALES (2)'!$C$126)+(4*'MATERIALES (2)'!$C$163)+((8*4)*'MATERIALES (2)'!$C$134)+(((B14*2)+(A14*2))*'MATERIALES (2)'!$C$138)+(4*'MATERIALES (2)'!$C$137)+(((A14*5)*2)*'MATERIALES (2)'!$C$136)+(4*'MATERIALES (2)'!$C$135)+(1*'MATERIALES (2)'!$C$140)+(((A14*2)+(B14*2))*'MATERIALES (2)'!$C$130)+(2*'MATERIALES (2)'!$C$150)</f>
        <v>5994</v>
      </c>
      <c r="E14" s="75"/>
      <c r="F14" s="55">
        <f>(A14*B14)*'MATERIALES (2)'!$D$85</f>
        <v>2960</v>
      </c>
      <c r="G14" s="38">
        <f t="shared" si="0"/>
        <v>37052.462</v>
      </c>
      <c r="H14" s="49">
        <f t="shared" si="1"/>
        <v>69295.69343639251</v>
      </c>
      <c r="M14" s="68">
        <v>0.6</v>
      </c>
      <c r="N14" s="69">
        <v>0.8</v>
      </c>
      <c r="O14" s="59">
        <f>((((M14*2)+(N14*2))*'MATERIALES (2)'!$C$13)+((M14*2)*'MATERIALES (2)'!$C$6)+((N14*2)*'MATERIALES (2)'!$C$15))*'MATERIALES (2)'!$F$1</f>
        <v>28080.234</v>
      </c>
      <c r="P14" s="59">
        <f>(4*'MATERIALES (2)'!$C$126)+(4*'MATERIALES (2)'!$C$163)+((8*4)*'MATERIALES (2)'!$C$134)+(((N14*2)+(M14*2))*'MATERIALES (2)'!$C$138)+(4*'MATERIALES (2)'!$C$137)+(((M14*5)*2)*'MATERIALES (2)'!$C$136)+(4*'MATERIALES (2)'!$C$135)+(1*'MATERIALES (2)'!$C$144)+(((M14*2)+(N14*2))*'MATERIALES (2)'!$C$130)+(2*'MATERIALES (2)'!$C$150)</f>
        <v>6084</v>
      </c>
      <c r="Q14" s="75"/>
      <c r="R14" s="55">
        <f>(M14*N14)*'MATERIALES (2)'!$D$85</f>
        <v>3552</v>
      </c>
      <c r="S14" s="59">
        <f t="shared" si="2"/>
        <v>37716.233999999997</v>
      </c>
      <c r="T14" s="67">
        <f t="shared" si="3"/>
        <v>71004.435653497494</v>
      </c>
    </row>
    <row r="15" spans="1:20" ht="15.75" hidden="1" thickBot="1">
      <c r="A15" s="42">
        <v>0.4</v>
      </c>
      <c r="B15" s="37">
        <v>1.2</v>
      </c>
      <c r="C15" s="38">
        <f>((((A15*2)+(B15*2))*'MATERIALES (2)'!$C$13)+((A15*2)*'MATERIALES (2)'!$C$6)+((B15*2)*'MATERIALES (2)'!$C$15))*'MATERIALES (2)'!$F$1</f>
        <v>32117.736000000001</v>
      </c>
      <c r="D15" s="59">
        <f>(4*'MATERIALES (2)'!$C$126)+(4*'MATERIALES (2)'!$C$163)+((8*4)*'MATERIALES (2)'!$C$134)+(((B15*2)+(A15*2))*'MATERIALES (2)'!$C$138)+(4*'MATERIALES (2)'!$C$137)+(((A15*5)*2)*'MATERIALES (2)'!$C$136)+(4*'MATERIALES (2)'!$C$135)+(1*'MATERIALES (2)'!$C$140)+(((A15*2)+(B15*2))*'MATERIALES (2)'!$C$130)+(2*'MATERIALES (2)'!$C$150)</f>
        <v>6114</v>
      </c>
      <c r="E15" s="75"/>
      <c r="F15" s="55">
        <f>(A15*B15)*'MATERIALES (2)'!$D$85</f>
        <v>3552</v>
      </c>
      <c r="G15" s="38">
        <f t="shared" si="0"/>
        <v>41783.736000000004</v>
      </c>
      <c r="H15" s="49">
        <f t="shared" si="1"/>
        <v>78329.737283490016</v>
      </c>
      <c r="M15" s="68">
        <v>0.6</v>
      </c>
      <c r="N15" s="69">
        <v>1</v>
      </c>
      <c r="O15" s="59">
        <f>((((M15*2)+(N15*2))*'MATERIALES (2)'!$C$13)+((M15*2)*'MATERIALES (2)'!$C$6)+((N15*2)*'MATERIALES (2)'!$C$15))*'MATERIALES (2)'!$F$1</f>
        <v>32099.508000000002</v>
      </c>
      <c r="P15" s="59">
        <f>(4*'MATERIALES (2)'!$C$126)+(4*'MATERIALES (2)'!$C$163)+((8*4)*'MATERIALES (2)'!$C$134)+(((N15*2)+(M15*2))*'MATERIALES (2)'!$C$138)+(4*'MATERIALES (2)'!$C$137)+(((M15*5)*2)*'MATERIALES (2)'!$C$136)+(4*'MATERIALES (2)'!$C$135)+(1*'MATERIALES (2)'!$C$144)+(((M15*2)+(N15*2))*'MATERIALES (2)'!$C$130)+(2*'MATERIALES (2)'!$C$150)</f>
        <v>6204</v>
      </c>
      <c r="Q15" s="75"/>
      <c r="R15" s="55">
        <f>(M15*N15)*'MATERIALES (2)'!$D$85</f>
        <v>4440</v>
      </c>
      <c r="S15" s="59">
        <f t="shared" si="2"/>
        <v>42743.508000000002</v>
      </c>
      <c r="T15" s="67">
        <f t="shared" si="3"/>
        <v>80828.222300595022</v>
      </c>
    </row>
    <row r="16" spans="1:20" ht="15.75" hidden="1" thickBot="1">
      <c r="A16" s="42">
        <v>0.4</v>
      </c>
      <c r="B16" s="37">
        <v>1.5</v>
      </c>
      <c r="C16" s="38">
        <f>((((A16*2)+(B16*2))*'MATERIALES (2)'!$C$13)+((A16*2)*'MATERIALES (2)'!$C$6)+((B16*2)*'MATERIALES (2)'!$C$15))*'MATERIALES (2)'!$F$1</f>
        <v>38146.647000000004</v>
      </c>
      <c r="D16" s="59">
        <f>(4*'MATERIALES (2)'!$C$126)+(4*'MATERIALES (2)'!$C$163)+((8*4)*'MATERIALES (2)'!$C$134)+(((B16*2)+(A16*2))*'MATERIALES (2)'!$C$138)+(4*'MATERIALES (2)'!$C$137)+(((A16*5)*2)*'MATERIALES (2)'!$C$136)+(4*'MATERIALES (2)'!$C$135)+(1*'MATERIALES (2)'!$C$140)+(((A16*2)+(B16*2))*'MATERIALES (2)'!$C$130)+(2*'MATERIALES (2)'!$C$150)</f>
        <v>6294</v>
      </c>
      <c r="E16" s="75"/>
      <c r="F16" s="55">
        <f>(A16*B16)*'MATERIALES (2)'!$D$85</f>
        <v>4440.0000000000009</v>
      </c>
      <c r="G16" s="38">
        <f t="shared" si="0"/>
        <v>48880.647000000004</v>
      </c>
      <c r="H16" s="49">
        <f t="shared" si="1"/>
        <v>91880.803054136282</v>
      </c>
      <c r="M16" s="68">
        <v>0.6</v>
      </c>
      <c r="N16" s="69">
        <v>1.2</v>
      </c>
      <c r="O16" s="59">
        <f>((((M16*2)+(N16*2))*'MATERIALES (2)'!$C$13)+((M16*2)*'MATERIALES (2)'!$C$6)+((N16*2)*'MATERIALES (2)'!$C$15))*'MATERIALES (2)'!$F$1</f>
        <v>36118.781999999999</v>
      </c>
      <c r="P16" s="59">
        <f>(4*'MATERIALES (2)'!$C$126)+(4*'MATERIALES (2)'!$C$163)+((8*4)*'MATERIALES (2)'!$C$134)+(((N16*2)+(M16*2))*'MATERIALES (2)'!$C$138)+(4*'MATERIALES (2)'!$C$137)+(((M16*5)*2)*'MATERIALES (2)'!$C$136)+(4*'MATERIALES (2)'!$C$135)+(1*'MATERIALES (2)'!$C$144)+(((M16*2)+(N16*2))*'MATERIALES (2)'!$C$130)+(2*'MATERIALES (2)'!$C$150)</f>
        <v>6324</v>
      </c>
      <c r="Q16" s="75"/>
      <c r="R16" s="55">
        <f>(M16*N16)*'MATERIALES (2)'!$D$85</f>
        <v>5328</v>
      </c>
      <c r="S16" s="59">
        <f t="shared" si="2"/>
        <v>47770.781999999999</v>
      </c>
      <c r="T16" s="67">
        <f t="shared" si="3"/>
        <v>90652.00894769252</v>
      </c>
    </row>
    <row r="17" spans="1:20" ht="15.75" hidden="1" thickBot="1">
      <c r="A17" s="42">
        <v>0.5</v>
      </c>
      <c r="B17" s="37">
        <v>0.6</v>
      </c>
      <c r="C17" s="38">
        <f>((((A17*2)+(B17*2))*'MATERIALES (2)'!$C$13)+((A17*2)*'MATERIALES (2)'!$C$6)+((B17*2)*'MATERIALES (2)'!$C$15))*'MATERIALES (2)'!$F$1</f>
        <v>22060.436999999998</v>
      </c>
      <c r="D17" s="59">
        <f>(4*'MATERIALES (2)'!$C$126)+(4*'MATERIALES (2)'!$C$163)+((8*4)*'MATERIALES (2)'!$C$134)+(((B17*2)+(A17*2))*'MATERIALES (2)'!$C$138)+(4*'MATERIALES (2)'!$C$137)+(((A17*5)*2)*'MATERIALES (2)'!$C$136)+(4*'MATERIALES (2)'!$C$135)+(1*'MATERIALES (2)'!$C$140)+(((A17*2)+(B17*2))*'MATERIALES (2)'!$C$130)+(2*'MATERIALES (2)'!$C$150)</f>
        <v>5814</v>
      </c>
      <c r="E17" s="75"/>
      <c r="F17" s="55">
        <f>(A17*B17)*'MATERIALES (2)'!$D$85</f>
        <v>2220</v>
      </c>
      <c r="G17" s="38">
        <f t="shared" si="0"/>
        <v>30094.436999999998</v>
      </c>
      <c r="H17" s="49">
        <f t="shared" si="1"/>
        <v>56123.085355548763</v>
      </c>
      <c r="M17" s="68">
        <v>0.6</v>
      </c>
      <c r="N17" s="69">
        <v>1.5</v>
      </c>
      <c r="O17" s="59">
        <f>((((M17*2)+(N17*2))*'MATERIALES (2)'!$C$13)+((M17*2)*'MATERIALES (2)'!$C$6)+((N17*2)*'MATERIALES (2)'!$C$15))*'MATERIALES (2)'!$F$1</f>
        <v>42147.692999999999</v>
      </c>
      <c r="P17" s="59">
        <f>(4*'MATERIALES (2)'!$C$126)+(4*'MATERIALES (2)'!$C$163)+((8*4)*'MATERIALES (2)'!$C$134)+(((N17*2)+(M17*2))*'MATERIALES (2)'!$C$138)+(4*'MATERIALES (2)'!$C$137)+(((M17*5)*2)*'MATERIALES (2)'!$C$136)+(4*'MATERIALES (2)'!$C$135)+(1*'MATERIALES (2)'!$C$144)+(((M17*2)+(N17*2))*'MATERIALES (2)'!$C$130)+(2*'MATERIALES (2)'!$C$150)</f>
        <v>6504</v>
      </c>
      <c r="Q17" s="75"/>
      <c r="R17" s="55">
        <f>(M17*N17)*'MATERIALES (2)'!$D$85</f>
        <v>6659.9999999999991</v>
      </c>
      <c r="S17" s="59">
        <f t="shared" si="2"/>
        <v>55311.692999999999</v>
      </c>
      <c r="T17" s="67">
        <f t="shared" si="3"/>
        <v>105387.68891833875</v>
      </c>
    </row>
    <row r="18" spans="1:20" ht="15.75" hidden="1" thickBot="1">
      <c r="A18" s="42">
        <v>0.5</v>
      </c>
      <c r="B18" s="37">
        <v>0.8</v>
      </c>
      <c r="C18" s="38">
        <f>((((A18*2)+(B18*2))*'MATERIALES (2)'!$C$13)+((A18*2)*'MATERIALES (2)'!$C$6)+((B18*2)*'MATERIALES (2)'!$C$15))*'MATERIALES (2)'!$F$1</f>
        <v>26079.711000000003</v>
      </c>
      <c r="D18" s="59">
        <f>(4*'MATERIALES (2)'!$C$126)+(4*'MATERIALES (2)'!$C$163)+((8*4)*'MATERIALES (2)'!$C$134)+(((B18*2)+(A18*2))*'MATERIALES (2)'!$C$138)+(4*'MATERIALES (2)'!$C$137)+(((A18*5)*2)*'MATERIALES (2)'!$C$136)+(4*'MATERIALES (2)'!$C$135)+(1*'MATERIALES (2)'!$C$140)+(((A18*2)+(B18*2))*'MATERIALES (2)'!$C$130)+(2*'MATERIALES (2)'!$C$150)</f>
        <v>5934</v>
      </c>
      <c r="E18" s="75"/>
      <c r="F18" s="55">
        <f>(A18*B18)*'MATERIALES (2)'!$D$85</f>
        <v>2960</v>
      </c>
      <c r="G18" s="38">
        <f t="shared" si="0"/>
        <v>34973.711000000003</v>
      </c>
      <c r="H18" s="49">
        <f t="shared" si="1"/>
        <v>65552.000602646265</v>
      </c>
      <c r="M18" s="68">
        <v>0.8</v>
      </c>
      <c r="N18" s="69">
        <v>0.4</v>
      </c>
      <c r="O18" s="59">
        <f>((((M18*2)+(N18*2))*'MATERIALES (2)'!$C$13)+((M18*2)*'MATERIALES (2)'!$C$6)+((N18*2)*'MATERIALES (2)'!$C$15))*'MATERIALES (2)'!$F$1</f>
        <v>24042.732000000004</v>
      </c>
      <c r="P18" s="59">
        <f>(4*'MATERIALES (2)'!$C$126)+(4*'MATERIALES (2)'!$C$163)+((8*4)*'MATERIALES (2)'!$C$134)+(((N18*2)+(M18*2))*'MATERIALES (2)'!$C$138)+(4*'MATERIALES (2)'!$C$137)+(((M18*5)*2)*'MATERIALES (2)'!$C$136)+(4*'MATERIALES (2)'!$C$135)+(1*'MATERIALES (2)'!$C$144)+(((M18*2)+(N18*2))*'MATERIALES (2)'!$C$130)+(2*'MATERIALES (2)'!$C$150)</f>
        <v>5964</v>
      </c>
      <c r="Q18" s="75"/>
      <c r="R18" s="55">
        <f>(M18*N18)*'MATERIALES (2)'!$D$85</f>
        <v>2368.0000000000005</v>
      </c>
      <c r="S18" s="59">
        <f t="shared" si="2"/>
        <v>32374.732000000004</v>
      </c>
      <c r="T18" s="67">
        <f t="shared" si="3"/>
        <v>60358.078786005019</v>
      </c>
    </row>
    <row r="19" spans="1:20" ht="15.75" hidden="1" thickBot="1">
      <c r="A19" s="42">
        <v>0.5</v>
      </c>
      <c r="B19" s="37">
        <v>1</v>
      </c>
      <c r="C19" s="38">
        <f>((((A19*2)+(B19*2))*'MATERIALES (2)'!$C$13)+((A19*2)*'MATERIALES (2)'!$C$6)+((B19*2)*'MATERIALES (2)'!$C$15))*'MATERIALES (2)'!$F$1</f>
        <v>30098.985000000001</v>
      </c>
      <c r="D19" s="59">
        <f>(4*'MATERIALES (2)'!$C$126)+(4*'MATERIALES (2)'!$C$163)+((8*4)*'MATERIALES (2)'!$C$134)+(((B19*2)+(A19*2))*'MATERIALES (2)'!$C$138)+(4*'MATERIALES (2)'!$C$137)+(((A19*5)*2)*'MATERIALES (2)'!$C$136)+(4*'MATERIALES (2)'!$C$135)+(1*'MATERIALES (2)'!$C$140)+(((A19*2)+(B19*2))*'MATERIALES (2)'!$C$130)+(2*'MATERIALES (2)'!$C$150)</f>
        <v>6054</v>
      </c>
      <c r="E19" s="75"/>
      <c r="F19" s="55">
        <f>(A19*B19)*'MATERIALES (2)'!$D$85</f>
        <v>3700</v>
      </c>
      <c r="G19" s="38">
        <f t="shared" si="0"/>
        <v>39852.985000000001</v>
      </c>
      <c r="H19" s="49">
        <f t="shared" si="1"/>
        <v>74980.915849743746</v>
      </c>
      <c r="M19" s="68">
        <v>0.8</v>
      </c>
      <c r="N19" s="69">
        <v>0.6</v>
      </c>
      <c r="O19" s="59">
        <f>((((M19*2)+(N19*2))*'MATERIALES (2)'!$C$13)+((M19*2)*'MATERIALES (2)'!$C$6)+((N19*2)*'MATERIALES (2)'!$C$15))*'MATERIALES (2)'!$F$1</f>
        <v>28062.006000000001</v>
      </c>
      <c r="P19" s="59">
        <f>(4*'MATERIALES (2)'!$C$126)+(4*'MATERIALES (2)'!$C$163)+((8*4)*'MATERIALES (2)'!$C$134)+(((N19*2)+(M19*2))*'MATERIALES (2)'!$C$138)+(4*'MATERIALES (2)'!$C$137)+(((M19*5)*2)*'MATERIALES (2)'!$C$136)+(4*'MATERIALES (2)'!$C$135)+(1*'MATERIALES (2)'!$C$144)+(((M19*2)+(N19*2))*'MATERIALES (2)'!$C$130)+(2*'MATERIALES (2)'!$C$150)</f>
        <v>6084</v>
      </c>
      <c r="Q19" s="75"/>
      <c r="R19" s="55">
        <f>(M19*N19)*'MATERIALES (2)'!$D$85</f>
        <v>3552</v>
      </c>
      <c r="S19" s="59">
        <f t="shared" si="2"/>
        <v>37698.006000000001</v>
      </c>
      <c r="T19" s="67">
        <f t="shared" si="3"/>
        <v>70971.608233102525</v>
      </c>
    </row>
    <row r="20" spans="1:20" ht="15.75" hidden="1" thickBot="1">
      <c r="A20" s="42">
        <v>0.5</v>
      </c>
      <c r="B20" s="37">
        <v>1.2</v>
      </c>
      <c r="C20" s="38">
        <f>((((A20*2)+(B20*2))*'MATERIALES (2)'!$C$13)+((A20*2)*'MATERIALES (2)'!$C$6)+((B20*2)*'MATERIALES (2)'!$C$15))*'MATERIALES (2)'!$F$1</f>
        <v>34118.258999999998</v>
      </c>
      <c r="D20" s="59">
        <f>(4*'MATERIALES (2)'!$C$126)+(4*'MATERIALES (2)'!$C$163)+((8*4)*'MATERIALES (2)'!$C$134)+(((B20*2)+(A20*2))*'MATERIALES (2)'!$C$138)+(4*'MATERIALES (2)'!$C$137)+(((A20*5)*2)*'MATERIALES (2)'!$C$136)+(4*'MATERIALES (2)'!$C$135)+(1*'MATERIALES (2)'!$C$140)+(((A20*2)+(B20*2))*'MATERIALES (2)'!$C$130)+(2*'MATERIALES (2)'!$C$150)</f>
        <v>6174</v>
      </c>
      <c r="E20" s="75"/>
      <c r="F20" s="55">
        <f>(A20*B20)*'MATERIALES (2)'!$D$85</f>
        <v>4440</v>
      </c>
      <c r="G20" s="38">
        <f t="shared" si="0"/>
        <v>44732.258999999998</v>
      </c>
      <c r="H20" s="49">
        <f t="shared" si="1"/>
        <v>84409.831096841255</v>
      </c>
      <c r="M20" s="68">
        <v>0.8</v>
      </c>
      <c r="N20" s="69">
        <v>0.8</v>
      </c>
      <c r="O20" s="59">
        <f>((((M20*2)+(N20*2))*'MATERIALES (2)'!$C$13)+((M20*2)*'MATERIALES (2)'!$C$6)+((N20*2)*'MATERIALES (2)'!$C$15))*'MATERIALES (2)'!$F$1</f>
        <v>32081.280000000002</v>
      </c>
      <c r="P20" s="59">
        <f>(4*'MATERIALES (2)'!$C$126)+(4*'MATERIALES (2)'!$C$163)+((8*4)*'MATERIALES (2)'!$C$134)+(((N20*2)+(M20*2))*'MATERIALES (2)'!$C$138)+(4*'MATERIALES (2)'!$C$137)+(((M20*5)*2)*'MATERIALES (2)'!$C$136)+(4*'MATERIALES (2)'!$C$135)+(1*'MATERIALES (2)'!$C$144)+(((M20*2)+(N20*2))*'MATERIALES (2)'!$C$130)+(2*'MATERIALES (2)'!$C$150)</f>
        <v>6204</v>
      </c>
      <c r="Q20" s="75"/>
      <c r="R20" s="55">
        <f>(M20*N20)*'MATERIALES (2)'!$D$85</f>
        <v>4736.0000000000009</v>
      </c>
      <c r="S20" s="59">
        <f t="shared" si="2"/>
        <v>43021.279999999999</v>
      </c>
      <c r="T20" s="67">
        <f t="shared" si="3"/>
        <v>81585.137680200016</v>
      </c>
    </row>
    <row r="21" spans="1:20" ht="15.75" hidden="1" thickBot="1">
      <c r="A21" s="42">
        <v>0.5</v>
      </c>
      <c r="B21" s="37">
        <v>1.5</v>
      </c>
      <c r="C21" s="38">
        <f>((((A21*2)+(B21*2))*'MATERIALES (2)'!$C$13)+((A21*2)*'MATERIALES (2)'!$C$6)+((B21*2)*'MATERIALES (2)'!$C$15))*'MATERIALES (2)'!$F$1</f>
        <v>40147.17</v>
      </c>
      <c r="D21" s="59">
        <f>(4*'MATERIALES (2)'!$C$126)+(4*'MATERIALES (2)'!$C$163)+((8*4)*'MATERIALES (2)'!$C$134)+(((B21*2)+(A21*2))*'MATERIALES (2)'!$C$138)+(4*'MATERIALES (2)'!$C$137)+(((A21*5)*2)*'MATERIALES (2)'!$C$136)+(4*'MATERIALES (2)'!$C$135)+(1*'MATERIALES (2)'!$C$140)+(((A21*2)+(B21*2))*'MATERIALES (2)'!$C$130)+(2*'MATERIALES (2)'!$C$150)</f>
        <v>6354</v>
      </c>
      <c r="E21" s="75"/>
      <c r="F21" s="55">
        <f>(A21*B21)*'MATERIALES (2)'!$D$85</f>
        <v>5550</v>
      </c>
      <c r="G21" s="38">
        <f t="shared" si="0"/>
        <v>52051.17</v>
      </c>
      <c r="H21" s="49">
        <f t="shared" si="1"/>
        <v>98553.203967487498</v>
      </c>
      <c r="M21" s="68">
        <v>0.8</v>
      </c>
      <c r="N21" s="69">
        <v>1</v>
      </c>
      <c r="O21" s="59">
        <f>((((M21*2)+(N21*2))*'MATERIALES (2)'!$C$13)+((M21*2)*'MATERIALES (2)'!$C$6)+((N21*2)*'MATERIALES (2)'!$C$15))*'MATERIALES (2)'!$F$1</f>
        <v>36100.554000000004</v>
      </c>
      <c r="P21" s="59">
        <f>(4*'MATERIALES (2)'!$C$126)+(4*'MATERIALES (2)'!$C$163)+((8*4)*'MATERIALES (2)'!$C$134)+(((N21*2)+(M21*2))*'MATERIALES (2)'!$C$138)+(4*'MATERIALES (2)'!$C$137)+(((M21*5)*2)*'MATERIALES (2)'!$C$136)+(4*'MATERIALES (2)'!$C$135)+(1*'MATERIALES (2)'!$C$144)+(((M21*2)+(N21*2))*'MATERIALES (2)'!$C$130)+(2*'MATERIALES (2)'!$C$150)</f>
        <v>6324</v>
      </c>
      <c r="Q21" s="75"/>
      <c r="R21" s="55">
        <f>(M21*N21)*'MATERIALES (2)'!$D$85</f>
        <v>5920</v>
      </c>
      <c r="S21" s="59">
        <f t="shared" si="2"/>
        <v>48344.554000000004</v>
      </c>
      <c r="T21" s="67">
        <f t="shared" si="3"/>
        <v>92198.667127297522</v>
      </c>
    </row>
    <row r="22" spans="1:20" ht="15.75" hidden="1" thickBot="1">
      <c r="A22" s="42">
        <v>0.6</v>
      </c>
      <c r="B22" s="37">
        <v>0.6</v>
      </c>
      <c r="C22" s="38">
        <f>((((A22*2)+(B22*2))*'MATERIALES (2)'!$C$13)+((A22*2)*'MATERIALES (2)'!$C$6)+((B22*2)*'MATERIALES (2)'!$C$15))*'MATERIALES (2)'!$F$1</f>
        <v>24060.960000000003</v>
      </c>
      <c r="D22" s="59">
        <f>(4*'MATERIALES (2)'!$C$126)+(4*'MATERIALES (2)'!$C$163)+((8*4)*'MATERIALES (2)'!$C$134)+(((B22*2)+(A22*2))*'MATERIALES (2)'!$C$138)+(4*'MATERIALES (2)'!$C$137)+(((A22*5)*2)*'MATERIALES (2)'!$C$136)+(4*'MATERIALES (2)'!$C$135)+(1*'MATERIALES (2)'!$C$140)+(((A22*2)+(B22*2))*'MATERIALES (2)'!$C$130)+(2*'MATERIALES (2)'!$C$150)</f>
        <v>5874</v>
      </c>
      <c r="E22" s="75"/>
      <c r="F22" s="55">
        <f>(A22*B22)*'MATERIALES (2)'!$D$85</f>
        <v>2664</v>
      </c>
      <c r="G22" s="38">
        <f t="shared" si="0"/>
        <v>32598.960000000003</v>
      </c>
      <c r="H22" s="49">
        <f t="shared" si="1"/>
        <v>61018.564968900013</v>
      </c>
      <c r="M22" s="68">
        <v>0.8</v>
      </c>
      <c r="N22" s="69">
        <v>1.2</v>
      </c>
      <c r="O22" s="59">
        <f>((((M22*2)+(N22*2))*'MATERIALES (2)'!$C$13)+((M22*2)*'MATERIALES (2)'!$C$6)+((N22*2)*'MATERIALES (2)'!$C$15))*'MATERIALES (2)'!$F$1</f>
        <v>40119.828000000001</v>
      </c>
      <c r="P22" s="59">
        <f>(4*'MATERIALES (2)'!$C$126)+(4*'MATERIALES (2)'!$C$163)+((8*4)*'MATERIALES (2)'!$C$134)+(((N22*2)+(M22*2))*'MATERIALES (2)'!$C$138)+(4*'MATERIALES (2)'!$C$137)+(((M22*5)*2)*'MATERIALES (2)'!$C$136)+(4*'MATERIALES (2)'!$C$135)+(1*'MATERIALES (2)'!$C$144)+(((M22*2)+(N22*2))*'MATERIALES (2)'!$C$130)+(2*'MATERIALES (2)'!$C$150)</f>
        <v>6444</v>
      </c>
      <c r="Q22" s="75"/>
      <c r="R22" s="55">
        <f>(M22*N22)*'MATERIALES (2)'!$D$85</f>
        <v>7104</v>
      </c>
      <c r="S22" s="59">
        <f t="shared" si="2"/>
        <v>53667.828000000001</v>
      </c>
      <c r="T22" s="67">
        <f t="shared" si="3"/>
        <v>102812.19657439501</v>
      </c>
    </row>
    <row r="23" spans="1:20" ht="15.75" hidden="1" thickBot="1">
      <c r="A23" s="42">
        <v>0.6</v>
      </c>
      <c r="B23" s="37">
        <v>0.8</v>
      </c>
      <c r="C23" s="38">
        <f>((((A23*2)+(B23*2))*'MATERIALES (2)'!$C$13)+((A23*2)*'MATERIALES (2)'!$C$6)+((B23*2)*'MATERIALES (2)'!$C$15))*'MATERIALES (2)'!$F$1</f>
        <v>28080.234</v>
      </c>
      <c r="D23" s="59">
        <f>(4*'MATERIALES (2)'!$C$126)+(4*'MATERIALES (2)'!$C$163)+((8*4)*'MATERIALES (2)'!$C$134)+(((B23*2)+(A23*2))*'MATERIALES (2)'!$C$138)+(4*'MATERIALES (2)'!$C$137)+(((A23*5)*2)*'MATERIALES (2)'!$C$136)+(4*'MATERIALES (2)'!$C$135)+(1*'MATERIALES (2)'!$C$140)+(((A23*2)+(B23*2))*'MATERIALES (2)'!$C$130)+(2*'MATERIALES (2)'!$C$150)</f>
        <v>5994</v>
      </c>
      <c r="E23" s="75"/>
      <c r="F23" s="55">
        <f>(A23*B23)*'MATERIALES (2)'!$D$85</f>
        <v>3552</v>
      </c>
      <c r="G23" s="38">
        <f t="shared" si="0"/>
        <v>37626.233999999997</v>
      </c>
      <c r="H23" s="49">
        <f t="shared" si="1"/>
        <v>70842.351615997497</v>
      </c>
      <c r="M23" s="71">
        <v>0.8</v>
      </c>
      <c r="N23" s="72">
        <v>1.5</v>
      </c>
      <c r="O23" s="60">
        <f>((((M23*2)+(N23*2))*'MATERIALES (2)'!$C$13)+((M23*2)*'MATERIALES (2)'!$C$6)+((N23*2)*'MATERIALES (2)'!$C$15))*'MATERIALES (2)'!$F$1</f>
        <v>46148.738999999994</v>
      </c>
      <c r="P23" s="60">
        <f>(4*'MATERIALES (2)'!$C$126)+(4*'MATERIALES (2)'!$C$163)+((8*4)*'MATERIALES (2)'!$C$134)+(((N23*2)+(M23*2))*'MATERIALES (2)'!$C$138)+(4*'MATERIALES (2)'!$C$137)+(((M23*5)*2)*'MATERIALES (2)'!$C$136)+(4*'MATERIALES (2)'!$C$135)+(1*'MATERIALES (2)'!$C$144)+(((M23*2)+(N23*2))*'MATERIALES (2)'!$C$130)+(2*'MATERIALES (2)'!$C$150)</f>
        <v>6624</v>
      </c>
      <c r="Q23" s="76"/>
      <c r="R23" s="56">
        <f>(M23*N23)*'MATERIALES (2)'!$D$85</f>
        <v>8880.0000000000018</v>
      </c>
      <c r="S23" s="60">
        <f t="shared" si="2"/>
        <v>61652.738999999994</v>
      </c>
      <c r="T23" s="67">
        <f t="shared" si="3"/>
        <v>118732.49074504127</v>
      </c>
    </row>
    <row r="24" spans="1:20" ht="15.75" hidden="1" thickBot="1">
      <c r="A24" s="42">
        <v>0.6</v>
      </c>
      <c r="B24" s="37">
        <v>1</v>
      </c>
      <c r="C24" s="38">
        <f>((((A24*2)+(B24*2))*'MATERIALES (2)'!$C$13)+((A24*2)*'MATERIALES (2)'!$C$6)+((B24*2)*'MATERIALES (2)'!$C$15))*'MATERIALES (2)'!$F$1</f>
        <v>32099.508000000002</v>
      </c>
      <c r="D24" s="59">
        <f>(4*'MATERIALES (2)'!$C$126)+(4*'MATERIALES (2)'!$C$163)+((8*4)*'MATERIALES (2)'!$C$134)+(((B24*2)+(A24*2))*'MATERIALES (2)'!$C$138)+(4*'MATERIALES (2)'!$C$137)+(((A24*5)*2)*'MATERIALES (2)'!$C$136)+(4*'MATERIALES (2)'!$C$135)+(1*'MATERIALES (2)'!$C$140)+(((A24*2)+(B24*2))*'MATERIALES (2)'!$C$130)+(2*'MATERIALES (2)'!$C$150)</f>
        <v>6114</v>
      </c>
      <c r="E24" s="75"/>
      <c r="F24" s="55">
        <f>(A24*B24)*'MATERIALES (2)'!$D$85</f>
        <v>4440</v>
      </c>
      <c r="G24" s="38">
        <f t="shared" si="0"/>
        <v>42653.508000000002</v>
      </c>
      <c r="H24" s="49">
        <f t="shared" si="1"/>
        <v>80666.138263094996</v>
      </c>
      <c r="M24" s="117"/>
      <c r="N24" s="117"/>
      <c r="O24" s="376"/>
      <c r="P24" s="376"/>
      <c r="Q24" s="377"/>
      <c r="R24" s="378"/>
      <c r="S24" s="376"/>
      <c r="T24" s="379"/>
    </row>
    <row r="25" spans="1:20" ht="15.75" hidden="1" thickBot="1">
      <c r="A25" s="68">
        <v>0.6</v>
      </c>
      <c r="B25" s="69">
        <v>1.2</v>
      </c>
      <c r="C25" s="38">
        <f>((((A25*2)+(B25*2))*'MATERIALES (2)'!$C$13)+((A25*2)*'MATERIALES (2)'!$C$6)+((B25*2)*'MATERIALES (2)'!$C$15))*'MATERIALES (2)'!$F$1</f>
        <v>36118.781999999999</v>
      </c>
      <c r="D25" s="59">
        <f>(4*'MATERIALES (2)'!$C$126)+(4*'MATERIALES (2)'!$C$163)+((8*4)*'MATERIALES (2)'!$C$134)+(((B25*2)+(A25*2))*'MATERIALES (2)'!$C$138)+(4*'MATERIALES (2)'!$C$137)+(((A25*5)*2)*'MATERIALES (2)'!$C$136)+(4*'MATERIALES (2)'!$C$135)+(1*'MATERIALES (2)'!$C$140)+(((A25*2)+(B25*2))*'MATERIALES (2)'!$C$130)+(2*'MATERIALES (2)'!$C$150)</f>
        <v>6234</v>
      </c>
      <c r="E25" s="75"/>
      <c r="F25" s="55">
        <f>(A25*B25)*'MATERIALES (2)'!$D$85</f>
        <v>5328</v>
      </c>
      <c r="G25" s="38">
        <f t="shared" si="0"/>
        <v>47680.781999999999</v>
      </c>
      <c r="H25" s="49">
        <f t="shared" si="1"/>
        <v>90489.924910192523</v>
      </c>
      <c r="M25" s="117"/>
      <c r="N25" s="117"/>
      <c r="O25" s="376"/>
      <c r="P25" s="376"/>
      <c r="Q25" s="377"/>
      <c r="R25" s="378"/>
      <c r="S25" s="376"/>
      <c r="T25" s="379"/>
    </row>
    <row r="26" spans="1:20" ht="15.75" hidden="1" thickBot="1">
      <c r="A26" s="71">
        <v>0.6</v>
      </c>
      <c r="B26" s="72">
        <v>1.5</v>
      </c>
      <c r="C26" s="50">
        <f>((((A26*2)+(B26*2))*'MATERIALES (2)'!$C$13)+((A26*2)*'MATERIALES (2)'!$C$6)+((B26*2)*'MATERIALES (2)'!$C$15))*'MATERIALES (2)'!$F$1</f>
        <v>42147.692999999999</v>
      </c>
      <c r="D26" s="60">
        <f>(4*'MATERIALES (2)'!$C$126)+(4*'MATERIALES (2)'!$C$163)+((8*4)*'MATERIALES (2)'!$C$134)+(((B26*2)+(A26*2))*'MATERIALES (2)'!$C$138)+(4*'MATERIALES (2)'!$C$137)+(((A26*5)*2)*'MATERIALES (2)'!$C$136)+(4*'MATERIALES (2)'!$C$135)+(1*'MATERIALES (2)'!$C$140)+(((A26*2)+(B26*2))*'MATERIALES (2)'!$C$130)+(2*'MATERIALES (2)'!$C$150)</f>
        <v>6414</v>
      </c>
      <c r="E26" s="76"/>
      <c r="F26" s="56">
        <f>(A26*B26)*'MATERIALES (2)'!$D$85</f>
        <v>6659.9999999999991</v>
      </c>
      <c r="G26" s="50">
        <f t="shared" si="0"/>
        <v>55221.692999999999</v>
      </c>
      <c r="H26" s="49">
        <f t="shared" si="1"/>
        <v>105225.60488083876</v>
      </c>
      <c r="M26" s="117"/>
      <c r="N26" s="117"/>
      <c r="O26" s="376"/>
      <c r="P26" s="376"/>
      <c r="Q26" s="377"/>
      <c r="R26" s="378"/>
      <c r="S26" s="376"/>
      <c r="T26" s="379"/>
    </row>
    <row r="27" spans="1:20" hidden="1">
      <c r="A27" s="117"/>
      <c r="B27" s="117"/>
    </row>
    <row r="28" spans="1:20" ht="15.75" hidden="1" thickBot="1"/>
    <row r="29" spans="1:20" ht="15.75" hidden="1" thickBot="1">
      <c r="A29" s="32"/>
      <c r="B29" s="32"/>
      <c r="C29" s="807">
        <v>1.35</v>
      </c>
      <c r="D29" s="808"/>
      <c r="E29" s="809"/>
      <c r="F29" s="545">
        <v>2</v>
      </c>
      <c r="G29" s="32"/>
      <c r="H29" s="46" t="s">
        <v>163</v>
      </c>
    </row>
    <row r="30" spans="1:20" ht="15.75" hidden="1" thickBot="1">
      <c r="A30" s="792" t="s">
        <v>185</v>
      </c>
      <c r="B30" s="793"/>
      <c r="C30" s="793"/>
      <c r="D30" s="793"/>
      <c r="E30" s="793"/>
      <c r="F30" s="793"/>
      <c r="G30" s="793"/>
      <c r="H30" s="794"/>
    </row>
    <row r="31" spans="1:20" ht="15.75" hidden="1" thickBot="1">
      <c r="A31" s="36" t="s">
        <v>116</v>
      </c>
      <c r="B31" s="36" t="s">
        <v>117</v>
      </c>
      <c r="C31" s="36" t="s">
        <v>162</v>
      </c>
      <c r="D31" s="36" t="s">
        <v>119</v>
      </c>
      <c r="E31" s="36" t="s">
        <v>120</v>
      </c>
      <c r="F31" s="36" t="s">
        <v>118</v>
      </c>
      <c r="G31" s="36" t="s">
        <v>121</v>
      </c>
      <c r="H31" s="36" t="s">
        <v>122</v>
      </c>
    </row>
    <row r="32" spans="1:20" ht="15.75" hidden="1" thickBot="1">
      <c r="A32" s="795"/>
      <c r="B32" s="796"/>
      <c r="C32" s="796"/>
      <c r="D32" s="796"/>
      <c r="E32" s="796"/>
      <c r="F32" s="796"/>
      <c r="G32" s="796"/>
      <c r="H32" s="797"/>
    </row>
    <row r="33" spans="1:11" ht="15" hidden="1" customHeight="1" thickBot="1">
      <c r="A33" s="65">
        <v>0.4</v>
      </c>
      <c r="B33" s="66">
        <v>0.4</v>
      </c>
      <c r="C33" s="58">
        <f>((((A33*2)+(B33*2))*'MATERIALES (2)'!$C$13)+(((A33*2)+(B33*2))*'MATERIALES (2)'!$C$15))*'MATERIALES (2)'!$F$1</f>
        <v>16077.096</v>
      </c>
      <c r="D33" s="58">
        <f>(4*'MATERIALES (2)'!$C$126)+(4*'MATERIALES (2)'!$C$163)+((8*4)*'MATERIALES (2)'!$C$134)+(((B33*2)+(A33*2))*'MATERIALES (2)'!$C$138)+(4*'MATERIALES (2)'!$C$137)+(((A33*5)*2)*'MATERIALES (2)'!$C$136)+(4*'MATERIALES (2)'!$C$135)+(1*'MATERIALES (2)'!$C$145)+(((A33*2)+(B33*2))*'MATERIALES (2)'!$C$130)+(2*'MATERIALES (2)'!$C$150)</f>
        <v>8134</v>
      </c>
      <c r="E33" s="74"/>
      <c r="F33" s="54">
        <f>(A33*B33)*'MATERIALES (2)'!$D$85</f>
        <v>1184.0000000000002</v>
      </c>
      <c r="G33" s="58">
        <f>SUM(C33:F33)</f>
        <v>25395.095999999998</v>
      </c>
      <c r="H33" s="67">
        <f>((((SUM(C33:E33)*$C$29)+(F33*$F$29))*1.21)*1.05)*1.05</f>
        <v>46761.551110889995</v>
      </c>
      <c r="I33" s="950" t="s">
        <v>189</v>
      </c>
    </row>
    <row r="34" spans="1:11" ht="15.75" hidden="1" thickBot="1">
      <c r="A34" s="68">
        <v>0.5</v>
      </c>
      <c r="B34" s="69">
        <v>0.4</v>
      </c>
      <c r="C34" s="59">
        <f>((((A34*2)+(B34*2))*'MATERIALES (2)'!$C$13)+(((A34*2)+(B34*2))*'MATERIALES (2)'!$C$15))*'MATERIALES (2)'!$F$1</f>
        <v>18086.733</v>
      </c>
      <c r="D34" s="59">
        <f>(4*'MATERIALES (2)'!$C$126)+(4*'MATERIALES (2)'!$C$163)+((8*4)*'MATERIALES (2)'!$C$134)+(((B34*2)+(A34*2))*'MATERIALES (2)'!$C$138)+(4*'MATERIALES (2)'!$C$137)+(((A34*5)*2)*'MATERIALES (2)'!$C$136)+(4*'MATERIALES (2)'!$C$135)+(1*'MATERIALES (2)'!$C$145)+(((A34*2)+(B34*2))*'MATERIALES (2)'!$C$130)+(2*'MATERIALES (2)'!$C$150)</f>
        <v>8194</v>
      </c>
      <c r="E34" s="75"/>
      <c r="F34" s="55">
        <f>(A34*B34)*'MATERIALES (2)'!$D$85</f>
        <v>1480</v>
      </c>
      <c r="G34" s="59">
        <f t="shared" ref="G34:G44" si="4">SUM(C34:F34)</f>
        <v>27760.733</v>
      </c>
      <c r="H34" s="67">
        <f t="shared" ref="H34:H44" si="5">((((SUM(C34:E34)*$C$29)+(F34*$F$29))*1.21)*1.05)*1.05</f>
        <v>51278.573034438763</v>
      </c>
      <c r="I34" s="951"/>
    </row>
    <row r="35" spans="1:11" ht="15.75" hidden="1" thickBot="1">
      <c r="A35" s="68">
        <v>0.5</v>
      </c>
      <c r="B35" s="69">
        <v>0.5</v>
      </c>
      <c r="C35" s="59">
        <f>((((A35*2)+(B35*2))*'MATERIALES (2)'!$C$13)+(((A35*2)+(B35*2))*'MATERIALES (2)'!$C$15))*'MATERIALES (2)'!$F$1</f>
        <v>20096.37</v>
      </c>
      <c r="D35" s="59">
        <f>(4*'MATERIALES (2)'!$C$126)+(4*'MATERIALES (2)'!$C$163)+((8*4)*'MATERIALES (2)'!$C$134)+(((B35*2)+(A35*2))*'MATERIALES (2)'!$C$138)+(4*'MATERIALES (2)'!$C$137)+(((A35*5)*2)*'MATERIALES (2)'!$C$136)+(4*'MATERIALES (2)'!$C$135)+(1*'MATERIALES (2)'!$C$145)+(((A35*2)+(B35*2))*'MATERIALES (2)'!$C$130)+(2*'MATERIALES (2)'!$C$150)</f>
        <v>8254</v>
      </c>
      <c r="E35" s="75"/>
      <c r="F35" s="55">
        <f>(A35*B35)*'MATERIALES (2)'!$D$85</f>
        <v>1850</v>
      </c>
      <c r="G35" s="59">
        <f t="shared" si="4"/>
        <v>30200.37</v>
      </c>
      <c r="H35" s="67">
        <f t="shared" si="5"/>
        <v>55993.030657987496</v>
      </c>
      <c r="I35" s="951"/>
    </row>
    <row r="36" spans="1:11" ht="15.75" hidden="1" customHeight="1" thickBot="1">
      <c r="A36" s="68">
        <v>0.6</v>
      </c>
      <c r="B36" s="69">
        <v>0.4</v>
      </c>
      <c r="C36" s="59">
        <f>((((A36*2)+(B36*2))*'MATERIALES (2)'!$C$13)+(((A36*2)+(B36*2))*'MATERIALES (2)'!$C$15))*'MATERIALES (2)'!$F$1</f>
        <v>20096.37</v>
      </c>
      <c r="D36" s="59">
        <f>(4*'MATERIALES (2)'!$C$126)+(4*'MATERIALES (2)'!$C$163)+((8*4)*'MATERIALES (2)'!$C$134)+(((B36*2)+(A36*2))*'MATERIALES (2)'!$C$138)+(4*'MATERIALES (2)'!$C$137)+(((A36*5)*2)*'MATERIALES (2)'!$C$136)+(4*'MATERIALES (2)'!$C$135)+(1*'MATERIALES (2)'!$C$145)+(((A36*2)+(B36*2))*'MATERIALES (2)'!$C$130)+(2*'MATERIALES (2)'!$C$150)</f>
        <v>8254</v>
      </c>
      <c r="E36" s="75"/>
      <c r="F36" s="55">
        <f>(A36*B36)*'MATERIALES (2)'!$D$85</f>
        <v>1776</v>
      </c>
      <c r="G36" s="59">
        <f t="shared" si="4"/>
        <v>30126.37</v>
      </c>
      <c r="H36" s="67">
        <f t="shared" si="5"/>
        <v>55795.594957987501</v>
      </c>
      <c r="I36" s="951"/>
    </row>
    <row r="37" spans="1:11" ht="15.75" hidden="1" thickBot="1">
      <c r="A37" s="68">
        <v>0.6</v>
      </c>
      <c r="B37" s="69">
        <v>0.5</v>
      </c>
      <c r="C37" s="59">
        <f>((((A37*2)+(B37*2))*'MATERIALES (2)'!$C$13)+(((A37*2)+(B37*2))*'MATERIALES (2)'!$C$15))*'MATERIALES (2)'!$F$1</f>
        <v>22106.006999999998</v>
      </c>
      <c r="D37" s="59">
        <f>(4*'MATERIALES (2)'!$C$126)+(4*'MATERIALES (2)'!$C$163)+((8*4)*'MATERIALES (2)'!$C$134)+(((B37*2)+(A37*2))*'MATERIALES (2)'!$C$138)+(4*'MATERIALES (2)'!$C$137)+(((A37*5)*2)*'MATERIALES (2)'!$C$136)+(4*'MATERIALES (2)'!$C$135)+(1*'MATERIALES (2)'!$C$145)+(((A37*2)+(B37*2))*'MATERIALES (2)'!$C$130)+(2*'MATERIALES (2)'!$C$150)</f>
        <v>8314</v>
      </c>
      <c r="E37" s="75"/>
      <c r="F37" s="55">
        <f>(A37*B37)*'MATERIALES (2)'!$D$85</f>
        <v>2220</v>
      </c>
      <c r="G37" s="59">
        <f t="shared" si="4"/>
        <v>32640.006999999998</v>
      </c>
      <c r="H37" s="67">
        <f t="shared" si="5"/>
        <v>60707.488281536251</v>
      </c>
      <c r="I37" s="952"/>
    </row>
    <row r="38" spans="1:11" ht="15.75" hidden="1" thickBot="1">
      <c r="A38" s="68">
        <v>0.6</v>
      </c>
      <c r="B38" s="69">
        <v>0.6</v>
      </c>
      <c r="C38" s="59">
        <f>((((A38*2)+(B38*2))*'MATERIALES (2)'!$C$13)+(((A38*2)+(B38*2))*'MATERIALES (2)'!$C$15))*'MATERIALES (2)'!$F$1</f>
        <v>24115.644</v>
      </c>
      <c r="D38" s="59">
        <f>(4*'MATERIALES (2)'!$C$126)+(4*'MATERIALES (2)'!$C$163)+((8*4)*'MATERIALES (2)'!$C$134)+(((B38*2)+(A38*2))*'MATERIALES (2)'!$C$138)+(4*'MATERIALES (2)'!$C$137)+(((A38*5)*2)*'MATERIALES (2)'!$C$136)+(4*'MATERIALES (2)'!$C$135)+(1*'MATERIALES (2)'!$C$146)+(((A38*2)+(B38*2))*'MATERIALES (2)'!$C$130)+(2*'MATERIALES (2)'!$C$150)</f>
        <v>8614</v>
      </c>
      <c r="E38" s="75"/>
      <c r="F38" s="55">
        <f>(A38*B38)*'MATERIALES (2)'!$D$85</f>
        <v>2664</v>
      </c>
      <c r="G38" s="59">
        <f t="shared" si="4"/>
        <v>35393.644</v>
      </c>
      <c r="H38" s="67">
        <f t="shared" si="5"/>
        <v>66051.605705085007</v>
      </c>
      <c r="I38" s="873" t="s">
        <v>190</v>
      </c>
    </row>
    <row r="39" spans="1:11" ht="15.75" hidden="1" thickBot="1">
      <c r="A39" s="68">
        <v>0.7</v>
      </c>
      <c r="B39" s="69">
        <v>0.4</v>
      </c>
      <c r="C39" s="59">
        <f>((((A39*2)+(B39*2))*'MATERIALES (2)'!$C$13)+(((A39*2)+(B39*2))*'MATERIALES (2)'!$C$15))*'MATERIALES (2)'!$F$1</f>
        <v>22106.006999999998</v>
      </c>
      <c r="D39" s="59">
        <f>(4*'MATERIALES (2)'!$C$126)+(4*'MATERIALES (2)'!$C$163)+((8*4)*'MATERIALES (2)'!$C$134)+(((B39*2)+(A39*2))*'MATERIALES (2)'!$C$138)+(4*'MATERIALES (2)'!$C$137)+(((A39*5)*2)*'MATERIALES (2)'!$C$136)+(4*'MATERIALES (2)'!$C$135)+(1*'MATERIALES (2)'!$C$146)+(((A39*2)+(B39*2))*'MATERIALES (2)'!$C$130)+(2*'MATERIALES (2)'!$C$150)</f>
        <v>8554</v>
      </c>
      <c r="E39" s="75"/>
      <c r="F39" s="55">
        <f>(A39*B39)*'MATERIALES (2)'!$D$85</f>
        <v>2072</v>
      </c>
      <c r="G39" s="59">
        <f t="shared" si="4"/>
        <v>32732.006999999998</v>
      </c>
      <c r="H39" s="67">
        <f t="shared" si="5"/>
        <v>60744.840981536254</v>
      </c>
      <c r="I39" s="874"/>
    </row>
    <row r="40" spans="1:11" ht="15.75" hidden="1" thickBot="1">
      <c r="A40" s="68">
        <v>0.7</v>
      </c>
      <c r="B40" s="69">
        <v>0.5</v>
      </c>
      <c r="C40" s="59">
        <f>((((A40*2)+(B40*2))*'MATERIALES (2)'!$C$13)+(((A40*2)+(B40*2))*'MATERIALES (2)'!$C$15))*'MATERIALES (2)'!$F$1</f>
        <v>24115.644</v>
      </c>
      <c r="D40" s="59">
        <f>(4*'MATERIALES (2)'!$C$126)+(4*'MATERIALES (2)'!$C$163)+((8*4)*'MATERIALES (2)'!$C$134)+(((B40*2)+(A40*2))*'MATERIALES (2)'!$C$138)+(4*'MATERIALES (2)'!$C$137)+(((A40*5)*2)*'MATERIALES (2)'!$C$136)+(4*'MATERIALES (2)'!$C$135)+(1*'MATERIALES (2)'!$C$146)+(((A40*2)+(B40*2))*'MATERIALES (2)'!$C$130)+(2*'MATERIALES (2)'!$C$150)</f>
        <v>8614</v>
      </c>
      <c r="E40" s="75"/>
      <c r="F40" s="55">
        <f>(A40*B40)*'MATERIALES (2)'!$D$85</f>
        <v>2590</v>
      </c>
      <c r="G40" s="59">
        <f t="shared" si="4"/>
        <v>35319.644</v>
      </c>
      <c r="H40" s="67">
        <f t="shared" si="5"/>
        <v>65854.17000508502</v>
      </c>
      <c r="I40" s="874"/>
    </row>
    <row r="41" spans="1:11" ht="15.75" hidden="1" thickBot="1">
      <c r="A41" s="68">
        <v>0.7</v>
      </c>
      <c r="B41" s="69">
        <v>0.6</v>
      </c>
      <c r="C41" s="59">
        <f>((((A41*2)+(B41*2))*'MATERIALES (2)'!$C$13)+(((A41*2)+(B41*2))*'MATERIALES (2)'!$C$15))*'MATERIALES (2)'!$F$1</f>
        <v>26125.280999999995</v>
      </c>
      <c r="D41" s="59">
        <f>(4*'MATERIALES (2)'!$C$126)+(4*'MATERIALES (2)'!$C$163)+((8*4)*'MATERIALES (2)'!$C$134)+(((B41*2)+(A41*2))*'MATERIALES (2)'!$C$138)+(4*'MATERIALES (2)'!$C$137)+(((A41*5)*2)*'MATERIALES (2)'!$C$136)+(4*'MATERIALES (2)'!$C$135)+(1*'MATERIALES (2)'!$C$146)+(((A41*2)+(B41*2))*'MATERIALES (2)'!$C$130)+(2*'MATERIALES (2)'!$C$150)</f>
        <v>8674</v>
      </c>
      <c r="E41" s="75"/>
      <c r="F41" s="55">
        <f>(A41*B41)*'MATERIALES (2)'!$D$85</f>
        <v>3108</v>
      </c>
      <c r="G41" s="59">
        <f t="shared" si="4"/>
        <v>37907.280999999995</v>
      </c>
      <c r="H41" s="67">
        <f t="shared" si="5"/>
        <v>70963.499028633756</v>
      </c>
      <c r="I41" s="874"/>
      <c r="K41" s="77"/>
    </row>
    <row r="42" spans="1:11" ht="15.75" hidden="1" thickBot="1">
      <c r="A42" s="68">
        <v>0.8</v>
      </c>
      <c r="B42" s="69">
        <v>0.4</v>
      </c>
      <c r="C42" s="59">
        <f>((((A42*2)+(B42*2))*'MATERIALES (2)'!$C$13)+(((A42*2)+(B42*2))*'MATERIALES (2)'!$C$15))*'MATERIALES (2)'!$F$1</f>
        <v>24115.644000000004</v>
      </c>
      <c r="D42" s="59">
        <f>(4*'MATERIALES (2)'!$C$126)+(4*'MATERIALES (2)'!$C$163)+((8*4)*'MATERIALES (2)'!$C$134)+(((B42*2)+(A42*2))*'MATERIALES (2)'!$C$138)+(4*'MATERIALES (2)'!$C$137)+(((A42*5)*2)*'MATERIALES (2)'!$C$136)+(4*'MATERIALES (2)'!$C$135)+(1*'MATERIALES (2)'!$C$146)+(((A42*2)+(B42*2))*'MATERIALES (2)'!$C$130)+(2*'MATERIALES (2)'!$C$150)</f>
        <v>8614</v>
      </c>
      <c r="E42" s="75"/>
      <c r="F42" s="55">
        <f>(A42*B42)*'MATERIALES (2)'!$D$85</f>
        <v>2368.0000000000005</v>
      </c>
      <c r="G42" s="59">
        <f t="shared" si="4"/>
        <v>35097.644000000008</v>
      </c>
      <c r="H42" s="67">
        <f t="shared" si="5"/>
        <v>65261.862905085014</v>
      </c>
      <c r="I42" s="874"/>
    </row>
    <row r="43" spans="1:11" ht="15.75" hidden="1" thickBot="1">
      <c r="A43" s="68">
        <v>0.8</v>
      </c>
      <c r="B43" s="69">
        <v>0.5</v>
      </c>
      <c r="C43" s="59">
        <f>((((A43*2)+(B43*2))*'MATERIALES (2)'!$C$13)+(((A43*2)+(B43*2))*'MATERIALES (2)'!$C$15))*'MATERIALES (2)'!$F$1</f>
        <v>26125.280999999995</v>
      </c>
      <c r="D43" s="59">
        <f>(4*'MATERIALES (2)'!$C$126)+(4*'MATERIALES (2)'!$C$163)+((8*4)*'MATERIALES (2)'!$C$134)+(((B43*2)+(A43*2))*'MATERIALES (2)'!$C$138)+(4*'MATERIALES (2)'!$C$137)+(((A43*5)*2)*'MATERIALES (2)'!$C$136)+(4*'MATERIALES (2)'!$C$135)+(1*'MATERIALES (2)'!$C$146)+(((A43*2)+(B43*2))*'MATERIALES (2)'!$C$130)+(2*'MATERIALES (2)'!$C$150)</f>
        <v>8674</v>
      </c>
      <c r="E43" s="75"/>
      <c r="F43" s="55">
        <f>(A43*B43)*'MATERIALES (2)'!$D$85</f>
        <v>2960</v>
      </c>
      <c r="G43" s="59">
        <f t="shared" si="4"/>
        <v>37759.280999999995</v>
      </c>
      <c r="H43" s="67">
        <f t="shared" si="5"/>
        <v>70568.627628633752</v>
      </c>
      <c r="I43" s="874"/>
    </row>
    <row r="44" spans="1:11" ht="15.75" hidden="1" thickBot="1">
      <c r="A44" s="68">
        <v>0.4</v>
      </c>
      <c r="B44" s="69">
        <v>1.1000000000000001</v>
      </c>
      <c r="C44" s="59">
        <f>((((A44*2)+(B44*2))*'MATERIALES (2)'!$C$13)+(((A44*2)+(B44*2))*'MATERIALES (2)'!$C$15))*'MATERIALES (2)'!$F$1</f>
        <v>30144.555</v>
      </c>
      <c r="D44" s="59">
        <f>(4*'MATERIALES (2)'!$C$126)+(4*'MATERIALES (2)'!$C$163)+((8*4)*'MATERIALES (2)'!$C$134)+(((B44*2)+(A44*2))*'MATERIALES (2)'!$C$138)+(4*'MATERIALES (2)'!$C$137)+(((A44*5)*2)*'MATERIALES (2)'!$C$136)+(4*'MATERIALES (2)'!$C$135)+(1*'MATERIALES (2)'!$C$146)+(((A44*2)+(B44*2))*'MATERIALES (2)'!$C$130)+(2*'MATERIALES (2)'!$C$150)</f>
        <v>8794</v>
      </c>
      <c r="E44" s="75"/>
      <c r="F44" s="55">
        <f>(A44*B44)*'MATERIALES (2)'!$D$85</f>
        <v>3256.0000000000005</v>
      </c>
      <c r="G44" s="59">
        <f t="shared" si="4"/>
        <v>42194.555</v>
      </c>
      <c r="H44" s="67">
        <f t="shared" si="5"/>
        <v>78812.928675731266</v>
      </c>
      <c r="I44" s="875"/>
    </row>
    <row r="45" spans="1:11" hidden="1"/>
    <row r="46" spans="1:11" ht="15.75" hidden="1" customHeight="1"/>
    <row r="47" spans="1:11" hidden="1"/>
    <row r="48" spans="1:11" hidden="1"/>
    <row r="49" spans="24:30" hidden="1"/>
    <row r="50" spans="24:30" ht="15.75" hidden="1" customHeight="1"/>
    <row r="51" spans="24:30" hidden="1"/>
    <row r="52" spans="24:30" hidden="1"/>
    <row r="53" spans="24:30" hidden="1"/>
    <row r="54" spans="24:30" hidden="1"/>
    <row r="55" spans="24:30" hidden="1"/>
    <row r="56" spans="24:30" hidden="1"/>
    <row r="57" spans="24:30" hidden="1"/>
    <row r="58" spans="24:30" ht="15" hidden="1" customHeight="1">
      <c r="Y58" s="32"/>
      <c r="Z58" s="32"/>
      <c r="AA58" s="32"/>
      <c r="AB58" s="32"/>
      <c r="AC58" s="32"/>
    </row>
    <row r="59" spans="24:30" ht="15.75" thickBot="1">
      <c r="Y59" s="32"/>
      <c r="Z59" s="32"/>
      <c r="AA59" s="32"/>
      <c r="AB59" s="32"/>
      <c r="AC59" s="32"/>
    </row>
    <row r="60" spans="24:30" ht="27.75" customHeight="1">
      <c r="X60" s="841" t="s">
        <v>925</v>
      </c>
      <c r="Y60" s="842"/>
      <c r="Z60" s="842"/>
      <c r="AA60" s="843"/>
      <c r="AB60" s="256"/>
      <c r="AC60" s="32"/>
      <c r="AD60" s="944" t="s">
        <v>664</v>
      </c>
    </row>
    <row r="61" spans="24:30" ht="24" thickBot="1">
      <c r="X61" s="844"/>
      <c r="Y61" s="845"/>
      <c r="Z61" s="845"/>
      <c r="AA61" s="846"/>
      <c r="AB61" s="256"/>
      <c r="AC61" s="32"/>
      <c r="AD61" s="945"/>
    </row>
    <row r="62" spans="24:30" ht="39.75" customHeight="1" thickBot="1">
      <c r="X62" s="239" t="s">
        <v>534</v>
      </c>
      <c r="Y62" s="240" t="s">
        <v>535</v>
      </c>
      <c r="Z62" s="240" t="s">
        <v>537</v>
      </c>
      <c r="AA62" s="241" t="s">
        <v>538</v>
      </c>
      <c r="AB62" s="242"/>
      <c r="AC62" s="32"/>
      <c r="AD62" s="945"/>
    </row>
    <row r="63" spans="24:30" ht="50.25" customHeight="1" thickBot="1">
      <c r="X63" s="243"/>
      <c r="Y63" s="244"/>
      <c r="Z63" s="244"/>
      <c r="AA63" s="244"/>
      <c r="AB63" s="248"/>
      <c r="AC63" s="32"/>
      <c r="AD63" s="945"/>
    </row>
    <row r="64" spans="24:30" ht="15.75">
      <c r="X64" s="249" t="s">
        <v>587</v>
      </c>
      <c r="Y64" s="250">
        <f>+H6</f>
        <v>37692.953681748746</v>
      </c>
      <c r="Z64" s="250">
        <f>+'HERR CORREDIZA'!U106</f>
        <v>13696.431439989376</v>
      </c>
      <c r="AA64" s="251">
        <f>+Rejas!F52</f>
        <v>22100</v>
      </c>
      <c r="AB64" s="252"/>
      <c r="AC64" s="32"/>
      <c r="AD64" s="945"/>
    </row>
    <row r="65" spans="24:30" ht="15.75">
      <c r="X65" s="249" t="s">
        <v>588</v>
      </c>
      <c r="Y65" s="250">
        <f t="shared" ref="Y65:Y84" si="6">+H7</f>
        <v>46332.126128846248</v>
      </c>
      <c r="Z65" s="250">
        <f>+'HERR CORREDIZA'!U107</f>
        <v>17668.699585700626</v>
      </c>
      <c r="AA65" s="251">
        <f>+Rejas!F53</f>
        <v>22100</v>
      </c>
      <c r="AB65" s="252"/>
      <c r="AC65" s="32"/>
      <c r="AD65" s="945"/>
    </row>
    <row r="66" spans="24:30" ht="15.75">
      <c r="X66" s="249" t="s">
        <v>589</v>
      </c>
      <c r="Y66" s="250">
        <f t="shared" si="6"/>
        <v>54971.298575943758</v>
      </c>
      <c r="Z66" s="250">
        <f>+'HERR CORREDIZA'!U108</f>
        <v>21640.967731411882</v>
      </c>
      <c r="AA66" s="251">
        <f>+Rejas!F54</f>
        <v>22100</v>
      </c>
      <c r="AB66" s="252"/>
      <c r="AC66" s="32"/>
      <c r="AD66" s="945"/>
    </row>
    <row r="67" spans="24:30" ht="15.75">
      <c r="X67" s="249" t="s">
        <v>590</v>
      </c>
      <c r="Y67" s="250">
        <f t="shared" si="6"/>
        <v>63610.47102304126</v>
      </c>
      <c r="Z67" s="250">
        <f>+'HERR CORREDIZA'!U109</f>
        <v>25613.23587712313</v>
      </c>
      <c r="AA67" s="251">
        <f>+Rejas!F55</f>
        <v>22100</v>
      </c>
      <c r="AB67" s="252"/>
      <c r="AC67" s="32"/>
      <c r="AD67" s="945"/>
    </row>
    <row r="68" spans="24:30" ht="15.75">
      <c r="X68" s="249" t="s">
        <v>591</v>
      </c>
      <c r="Y68" s="250">
        <f t="shared" si="6"/>
        <v>72249.643470138762</v>
      </c>
      <c r="Z68" s="250">
        <f>+'HERR CORREDIZA'!U110</f>
        <v>29585.504022834379</v>
      </c>
      <c r="AA68" s="251">
        <f>+Rejas!F56</f>
        <v>22100</v>
      </c>
      <c r="AB68" s="252"/>
      <c r="AC68" s="32"/>
      <c r="AD68" s="945"/>
    </row>
    <row r="69" spans="24:30" ht="15.75">
      <c r="X69" s="249" t="s">
        <v>592</v>
      </c>
      <c r="Y69" s="250">
        <f t="shared" si="6"/>
        <v>42193.561895100007</v>
      </c>
      <c r="Z69" s="250">
        <f>+'HERR CORREDIZA'!U111</f>
        <v>15909.616567845003</v>
      </c>
      <c r="AA69" s="251">
        <f>+Rejas!F57</f>
        <v>22100</v>
      </c>
      <c r="AB69" s="252"/>
      <c r="AC69" s="32"/>
      <c r="AD69" s="945"/>
    </row>
    <row r="70" spans="24:30" ht="16.5" thickBot="1">
      <c r="X70" s="249" t="s">
        <v>593</v>
      </c>
      <c r="Y70" s="250">
        <f t="shared" si="6"/>
        <v>51227.605742197498</v>
      </c>
      <c r="Z70" s="250">
        <f>+'HERR CORREDIZA'!U112</f>
        <v>20335.98682355625</v>
      </c>
      <c r="AA70" s="251">
        <f>+Rejas!F58</f>
        <v>22100</v>
      </c>
      <c r="AB70" s="252"/>
      <c r="AC70" s="32"/>
      <c r="AD70" s="946"/>
    </row>
    <row r="71" spans="24:30" ht="15.75">
      <c r="X71" s="249" t="s">
        <v>594</v>
      </c>
      <c r="Y71" s="250">
        <f t="shared" si="6"/>
        <v>60261.649589295012</v>
      </c>
      <c r="Z71" s="250">
        <f>+'HERR CORREDIZA'!U113</f>
        <v>24762.357079267505</v>
      </c>
      <c r="AA71" s="251">
        <f>+Rejas!F59</f>
        <v>22100</v>
      </c>
      <c r="AB71" s="252"/>
      <c r="AC71" s="32"/>
    </row>
    <row r="72" spans="24:30" ht="15.75">
      <c r="X72" s="249" t="s">
        <v>595</v>
      </c>
      <c r="Y72" s="250">
        <f t="shared" si="6"/>
        <v>69295.69343639251</v>
      </c>
      <c r="Z72" s="250">
        <f>+'HERR CORREDIZA'!U114</f>
        <v>29188.72733497875</v>
      </c>
      <c r="AA72" s="251">
        <f>+Rejas!F60</f>
        <v>22100</v>
      </c>
      <c r="AB72" s="252"/>
      <c r="AC72" s="32"/>
    </row>
    <row r="73" spans="24:30" ht="15.75">
      <c r="X73" s="249" t="s">
        <v>596</v>
      </c>
      <c r="Y73" s="250">
        <f t="shared" si="6"/>
        <v>78329.737283490016</v>
      </c>
      <c r="Z73" s="250">
        <f>+'HERR CORREDIZA'!U115</f>
        <v>33615.097590689998</v>
      </c>
      <c r="AA73" s="251">
        <f>+Rejas!F61</f>
        <v>22100</v>
      </c>
      <c r="AB73" s="252"/>
      <c r="AC73" s="32"/>
    </row>
    <row r="74" spans="24:30" ht="15.75">
      <c r="X74" s="249" t="s">
        <v>597</v>
      </c>
      <c r="Y74" s="250">
        <f t="shared" si="6"/>
        <v>91880.803054136282</v>
      </c>
      <c r="Z74" s="250">
        <f>+'HERR CORREDIZA'!U116</f>
        <v>40254.652974256875</v>
      </c>
      <c r="AA74" s="251">
        <f>+Rejas!F62</f>
        <v>26520.000000000007</v>
      </c>
      <c r="AB74" s="252"/>
      <c r="AC74" s="32"/>
    </row>
    <row r="75" spans="24:30" ht="15.75">
      <c r="X75" s="249" t="s">
        <v>598</v>
      </c>
      <c r="Y75" s="250">
        <f t="shared" si="6"/>
        <v>56123.085355548763</v>
      </c>
      <c r="Z75" s="250">
        <f>+'HERR CORREDIZA'!U117</f>
        <v>23003.274061411877</v>
      </c>
      <c r="AA75" s="251">
        <f>+Rejas!F63</f>
        <v>22100</v>
      </c>
      <c r="AB75" s="252"/>
      <c r="AC75" s="32"/>
    </row>
    <row r="76" spans="24:30" ht="15.75">
      <c r="X76" s="249" t="s">
        <v>599</v>
      </c>
      <c r="Y76" s="250">
        <f t="shared" si="6"/>
        <v>65552.000602646265</v>
      </c>
      <c r="Z76" s="250">
        <f>+'HERR CORREDIZA'!U118</f>
        <v>27883.746427123129</v>
      </c>
      <c r="AA76" s="251">
        <f>+Rejas!F64</f>
        <v>22100</v>
      </c>
      <c r="AB76" s="252"/>
      <c r="AC76" s="32"/>
    </row>
    <row r="77" spans="24:30" ht="15.75">
      <c r="X77" s="249" t="s">
        <v>600</v>
      </c>
      <c r="Y77" s="250">
        <f t="shared" si="6"/>
        <v>74980.915849743746</v>
      </c>
      <c r="Z77" s="250">
        <f>+'HERR CORREDIZA'!U119</f>
        <v>32764.218792834377</v>
      </c>
      <c r="AA77" s="251">
        <f>+Rejas!F65</f>
        <v>22100</v>
      </c>
      <c r="AB77" s="252"/>
      <c r="AC77" s="32"/>
    </row>
    <row r="78" spans="24:30" ht="15.75">
      <c r="X78" s="249" t="s">
        <v>601</v>
      </c>
      <c r="Y78" s="250">
        <f t="shared" si="6"/>
        <v>84409.831096841255</v>
      </c>
      <c r="Z78" s="250">
        <f>+'HERR CORREDIZA'!U120</f>
        <v>37644.691158545626</v>
      </c>
      <c r="AA78" s="251">
        <f>+Rejas!F66</f>
        <v>26520</v>
      </c>
      <c r="AB78" s="252"/>
      <c r="AC78" s="32"/>
    </row>
    <row r="79" spans="24:30" ht="15.75">
      <c r="X79" s="249" t="s">
        <v>602</v>
      </c>
      <c r="Y79" s="250">
        <f t="shared" si="6"/>
        <v>98553.203967487498</v>
      </c>
      <c r="Z79" s="250">
        <f>+'HERR CORREDIZA'!U121</f>
        <v>44965.399707112498</v>
      </c>
      <c r="AA79" s="251">
        <f>+Rejas!F67</f>
        <v>33150</v>
      </c>
      <c r="AB79" s="252"/>
      <c r="AC79" s="32"/>
    </row>
    <row r="80" spans="24:30" ht="15.75">
      <c r="X80" s="249" t="s">
        <v>540</v>
      </c>
      <c r="Y80" s="250">
        <f t="shared" si="6"/>
        <v>61018.564968900013</v>
      </c>
      <c r="Z80" s="250">
        <f>+'HERR CORREDIZA'!U122</f>
        <v>25670.561299267501</v>
      </c>
      <c r="AA80" s="251">
        <f>+Rejas!F68</f>
        <v>22100</v>
      </c>
      <c r="AB80" s="252"/>
      <c r="AC80" s="32"/>
    </row>
    <row r="81" spans="24:29" ht="15.75">
      <c r="X81" s="249" t="s">
        <v>603</v>
      </c>
      <c r="Y81" s="250">
        <f t="shared" si="6"/>
        <v>70842.351615997497</v>
      </c>
      <c r="Z81" s="250">
        <f>+'HERR CORREDIZA'!U123</f>
        <v>31005.135774978753</v>
      </c>
      <c r="AA81" s="251">
        <f>+Rejas!F69</f>
        <v>22100</v>
      </c>
      <c r="AB81" s="252"/>
      <c r="AC81" s="32"/>
    </row>
    <row r="82" spans="24:29" ht="15.75">
      <c r="X82" s="249" t="s">
        <v>604</v>
      </c>
      <c r="Y82" s="250">
        <f t="shared" si="6"/>
        <v>80666.138263094996</v>
      </c>
      <c r="Z82" s="250">
        <f>+'HERR CORREDIZA'!U124</f>
        <v>36339.710250690005</v>
      </c>
      <c r="AA82" s="251">
        <f>+Rejas!F70</f>
        <v>26520</v>
      </c>
      <c r="AB82" s="252"/>
      <c r="AC82" s="32"/>
    </row>
    <row r="83" spans="24:29" ht="15.75">
      <c r="X83" s="249" t="s">
        <v>605</v>
      </c>
      <c r="Y83" s="250">
        <f t="shared" si="6"/>
        <v>90489.924910192523</v>
      </c>
      <c r="Z83" s="250">
        <f>+'HERR CORREDIZA'!U125</f>
        <v>41674.284726401253</v>
      </c>
      <c r="AA83" s="251">
        <f>+Rejas!F71</f>
        <v>31824</v>
      </c>
      <c r="AB83" s="252"/>
      <c r="AC83" s="32"/>
    </row>
    <row r="84" spans="24:29" ht="15.75">
      <c r="X84" s="249" t="s">
        <v>606</v>
      </c>
      <c r="Y84" s="250">
        <f t="shared" si="6"/>
        <v>105225.60488083876</v>
      </c>
      <c r="Z84" s="250">
        <f>+'HERR CORREDIZA'!U126</f>
        <v>49676.146439968121</v>
      </c>
      <c r="AA84" s="251">
        <f>+Rejas!F72</f>
        <v>39780</v>
      </c>
      <c r="AB84" s="252"/>
      <c r="AC84" s="32"/>
    </row>
    <row r="86" spans="24:29" ht="15.75" thickBot="1"/>
    <row r="87" spans="24:29">
      <c r="X87" s="861" t="s">
        <v>924</v>
      </c>
      <c r="Y87" s="862"/>
    </row>
    <row r="88" spans="24:29">
      <c r="X88" s="863"/>
      <c r="Y88" s="864"/>
    </row>
    <row r="89" spans="24:29" ht="24" customHeight="1" thickBot="1">
      <c r="X89" s="865"/>
      <c r="Y89" s="866"/>
    </row>
    <row r="90" spans="24:29" ht="29.25" customHeight="1" thickBot="1">
      <c r="X90" s="239" t="s">
        <v>534</v>
      </c>
      <c r="Y90" s="240" t="s">
        <v>535</v>
      </c>
    </row>
    <row r="91" spans="24:29" ht="15.75">
      <c r="X91" s="249" t="s">
        <v>592</v>
      </c>
      <c r="Y91" s="250">
        <f t="shared" ref="Y91:Y102" si="7">+H33</f>
        <v>46761.551110889995</v>
      </c>
    </row>
    <row r="92" spans="24:29" ht="15.75">
      <c r="X92" s="249" t="s">
        <v>608</v>
      </c>
      <c r="Y92" s="250">
        <f t="shared" si="7"/>
        <v>51278.573034438763</v>
      </c>
    </row>
    <row r="93" spans="24:29" ht="15.75">
      <c r="X93" s="249" t="s">
        <v>609</v>
      </c>
      <c r="Y93" s="250">
        <f t="shared" si="7"/>
        <v>55993.030657987496</v>
      </c>
    </row>
    <row r="94" spans="24:29" ht="15.75">
      <c r="X94" s="249" t="s">
        <v>539</v>
      </c>
      <c r="Y94" s="250">
        <f t="shared" si="7"/>
        <v>55795.594957987501</v>
      </c>
    </row>
    <row r="95" spans="24:29" ht="15.75">
      <c r="X95" s="249" t="s">
        <v>610</v>
      </c>
      <c r="Y95" s="250">
        <f t="shared" si="7"/>
        <v>60707.488281536251</v>
      </c>
    </row>
    <row r="96" spans="24:29" ht="15.75">
      <c r="X96" s="249" t="s">
        <v>540</v>
      </c>
      <c r="Y96" s="250">
        <f t="shared" si="7"/>
        <v>66051.605705085007</v>
      </c>
    </row>
    <row r="97" spans="24:25" ht="15.75">
      <c r="X97" s="249" t="s">
        <v>611</v>
      </c>
      <c r="Y97" s="250">
        <f t="shared" si="7"/>
        <v>60744.840981536254</v>
      </c>
    </row>
    <row r="98" spans="24:25" ht="15.75">
      <c r="X98" s="249" t="s">
        <v>612</v>
      </c>
      <c r="Y98" s="250">
        <f t="shared" si="7"/>
        <v>65854.17000508502</v>
      </c>
    </row>
    <row r="99" spans="24:25" ht="15.75">
      <c r="X99" s="249" t="s">
        <v>613</v>
      </c>
      <c r="Y99" s="250">
        <f t="shared" si="7"/>
        <v>70963.499028633756</v>
      </c>
    </row>
    <row r="100" spans="24:25" ht="15.75">
      <c r="X100" s="254" t="s">
        <v>541</v>
      </c>
      <c r="Y100" s="255">
        <f t="shared" si="7"/>
        <v>65261.862905085014</v>
      </c>
    </row>
    <row r="101" spans="24:25" ht="15.75">
      <c r="X101" s="254" t="s">
        <v>614</v>
      </c>
      <c r="Y101" s="255">
        <f t="shared" si="7"/>
        <v>70568.627628633752</v>
      </c>
    </row>
    <row r="102" spans="24:25" ht="15.75">
      <c r="X102" s="254" t="s">
        <v>542</v>
      </c>
      <c r="Y102" s="255">
        <f t="shared" si="7"/>
        <v>78812.928675731266</v>
      </c>
    </row>
  </sheetData>
  <mergeCells count="14">
    <mergeCell ref="AD60:AD70"/>
    <mergeCell ref="X60:AA61"/>
    <mergeCell ref="X87:Y89"/>
    <mergeCell ref="I33:I37"/>
    <mergeCell ref="C29:E29"/>
    <mergeCell ref="A30:H30"/>
    <mergeCell ref="A32:H32"/>
    <mergeCell ref="I38:I44"/>
    <mergeCell ref="C2:E2"/>
    <mergeCell ref="O2:Q2"/>
    <mergeCell ref="A3:H3"/>
    <mergeCell ref="M3:T3"/>
    <mergeCell ref="A5:H5"/>
    <mergeCell ref="M5:T5"/>
  </mergeCells>
  <pageMargins left="0.70866141732283472" right="0.70866141732283472" top="0.74803149606299213" bottom="0.74803149606299213" header="0.31496062992125984" footer="0.31496062992125984"/>
  <pageSetup scale="85" orientation="portrait" r:id="rId1"/>
  <drawing r:id="rId2"/>
  <tableParts count="2">
    <tablePart r:id="rId3"/>
    <tablePart r:id="rId4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2"/>
  <sheetViews>
    <sheetView topLeftCell="K1" zoomScale="90" zoomScaleNormal="90" workbookViewId="0">
      <selection activeCell="Q14" sqref="Q14"/>
    </sheetView>
  </sheetViews>
  <sheetFormatPr baseColWidth="10" defaultRowHeight="15"/>
  <cols>
    <col min="1" max="1" width="7" hidden="1" customWidth="1"/>
    <col min="2" max="2" width="4.7109375" hidden="1" customWidth="1"/>
    <col min="3" max="3" width="12.140625" hidden="1" customWidth="1"/>
    <col min="4" max="4" width="11.140625" hidden="1" customWidth="1"/>
    <col min="5" max="5" width="8.140625" hidden="1" customWidth="1"/>
    <col min="6" max="7" width="12.140625" hidden="1" customWidth="1"/>
    <col min="8" max="8" width="13.28515625" hidden="1" customWidth="1"/>
    <col min="9" max="9" width="0" hidden="1" customWidth="1"/>
    <col min="10" max="10" width="3" hidden="1" customWidth="1"/>
    <col min="12" max="12" width="16.140625" bestFit="1" customWidth="1"/>
    <col min="13" max="15" width="17.5703125" customWidth="1"/>
    <col min="17" max="17" width="11.42578125" customWidth="1"/>
    <col min="18" max="18" width="14.42578125" customWidth="1"/>
  </cols>
  <sheetData>
    <row r="1" spans="1:18" ht="15.75" thickBot="1">
      <c r="M1" s="32"/>
      <c r="N1" s="32"/>
      <c r="O1" s="32"/>
      <c r="P1" s="32"/>
      <c r="Q1" s="32"/>
      <c r="R1" s="944" t="s">
        <v>664</v>
      </c>
    </row>
    <row r="2" spans="1:18" ht="15.75" thickBot="1">
      <c r="A2" s="32"/>
      <c r="B2" s="32"/>
      <c r="C2" s="947">
        <v>1.35</v>
      </c>
      <c r="D2" s="948"/>
      <c r="E2" s="949"/>
      <c r="F2" s="728">
        <v>2</v>
      </c>
      <c r="G2" s="32"/>
      <c r="H2" s="46" t="s">
        <v>163</v>
      </c>
      <c r="M2" s="32"/>
      <c r="N2" s="32"/>
      <c r="O2" s="32"/>
      <c r="P2" s="32"/>
      <c r="Q2" s="32"/>
      <c r="R2" s="945"/>
    </row>
    <row r="3" spans="1:18" ht="15.75" thickBot="1">
      <c r="A3" s="792" t="s">
        <v>192</v>
      </c>
      <c r="B3" s="793"/>
      <c r="C3" s="793"/>
      <c r="D3" s="793"/>
      <c r="E3" s="793"/>
      <c r="F3" s="793"/>
      <c r="G3" s="793"/>
      <c r="H3" s="794"/>
      <c r="L3" s="861" t="s">
        <v>926</v>
      </c>
      <c r="M3" s="876"/>
      <c r="N3" s="876"/>
      <c r="O3" s="862"/>
      <c r="P3" s="32"/>
      <c r="Q3" s="32"/>
      <c r="R3" s="945"/>
    </row>
    <row r="4" spans="1:18" ht="21.75" thickBot="1">
      <c r="A4" s="36" t="s">
        <v>116</v>
      </c>
      <c r="B4" s="36" t="s">
        <v>117</v>
      </c>
      <c r="C4" s="36" t="s">
        <v>162</v>
      </c>
      <c r="D4" s="36" t="s">
        <v>119</v>
      </c>
      <c r="E4" s="36" t="s">
        <v>120</v>
      </c>
      <c r="F4" s="36" t="s">
        <v>118</v>
      </c>
      <c r="G4" s="36" t="s">
        <v>121</v>
      </c>
      <c r="H4" s="36" t="s">
        <v>122</v>
      </c>
      <c r="L4" s="865"/>
      <c r="M4" s="877"/>
      <c r="N4" s="877"/>
      <c r="O4" s="866"/>
      <c r="P4" s="577"/>
      <c r="Q4" s="577"/>
      <c r="R4" s="945"/>
    </row>
    <row r="5" spans="1:18" ht="19.5" thickBot="1">
      <c r="A5" s="795"/>
      <c r="B5" s="796"/>
      <c r="C5" s="796"/>
      <c r="D5" s="796"/>
      <c r="E5" s="796"/>
      <c r="F5" s="796"/>
      <c r="G5" s="796"/>
      <c r="H5" s="797"/>
      <c r="L5" s="239" t="s">
        <v>534</v>
      </c>
      <c r="M5" s="382" t="s">
        <v>535</v>
      </c>
      <c r="N5" s="240" t="s">
        <v>536</v>
      </c>
      <c r="O5" s="242" t="s">
        <v>538</v>
      </c>
      <c r="R5" s="945"/>
    </row>
    <row r="6" spans="1:18" ht="16.5" thickBot="1">
      <c r="A6" s="40">
        <v>0.6</v>
      </c>
      <c r="B6" s="41">
        <v>0.4</v>
      </c>
      <c r="C6" s="47">
        <f>((((A6*2)+(B6*2))*'MATERIALES (2)'!$C$18)+(((A6*2)+(B6*2))*'MATERIALES (2)'!$C$11))*'MATERIALES (2)'!$F$1</f>
        <v>15607.725</v>
      </c>
      <c r="D6" s="47">
        <f>(((4*2)*4)*'MATERIALES (2)'!$C$134)+(4*'MATERIALES (2)'!$C$135)+(((A6*2)+(B6*2))*'MATERIALES (2)'!$C$154)</f>
        <v>2120</v>
      </c>
      <c r="E6" s="74"/>
      <c r="F6" s="48">
        <f>(A6*B6)*'MATERIALES (2)'!$D$85</f>
        <v>1776</v>
      </c>
      <c r="G6" s="47">
        <f>SUM(C6:F6)</f>
        <v>19503.724999999999</v>
      </c>
      <c r="H6" s="49">
        <f>((((SUM(C6:E6)*$C$2)+(F6*$F$2))*1.21)*1.05)*1.05</f>
        <v>36664.915063218752</v>
      </c>
      <c r="L6" s="272" t="s">
        <v>539</v>
      </c>
      <c r="M6" s="278">
        <f>+H6</f>
        <v>36664.915063218752</v>
      </c>
      <c r="N6" s="381">
        <f>(+'HERR CORREDIZA'!K6+H6)</f>
        <v>46108.946814603769</v>
      </c>
      <c r="O6" s="278">
        <f>+Rejas!F6</f>
        <v>22100</v>
      </c>
      <c r="R6" s="945"/>
    </row>
    <row r="7" spans="1:18" ht="16.5" thickBot="1">
      <c r="A7" s="42">
        <v>0.6</v>
      </c>
      <c r="B7" s="37">
        <v>0.6</v>
      </c>
      <c r="C7" s="38">
        <f>((((A7*2)+(B7*2))*'MATERIALES (2)'!$C$18)+(((A7*2)+(B7*2))*'MATERIALES (2)'!$C$11))*'MATERIALES (2)'!$F$1</f>
        <v>18729.27</v>
      </c>
      <c r="D7" s="38">
        <f>(((4*2)*4)*'MATERIALES (2)'!$C$134)+(4*'MATERIALES (2)'!$C$135)+(((A7*2)+(B7*2))*'MATERIALES (2)'!$C$154)</f>
        <v>2216</v>
      </c>
      <c r="E7" s="75"/>
      <c r="F7" s="39">
        <f>(A7*B7)*'MATERIALES (2)'!$D$85</f>
        <v>2664</v>
      </c>
      <c r="G7" s="38">
        <f t="shared" ref="G7:G59" si="0">SUM(C7:F7)</f>
        <v>23609.27</v>
      </c>
      <c r="H7" s="49">
        <f t="shared" ref="H7:H59" si="1">((((SUM(C7:E7)*$C$2)+(F7*$F$2))*1.21)*1.05)*1.05</f>
        <v>44828.728845862512</v>
      </c>
      <c r="L7" s="274" t="s">
        <v>540</v>
      </c>
      <c r="M7" s="246">
        <f t="shared" ref="M7:M45" si="2">+H7</f>
        <v>44828.728845862512</v>
      </c>
      <c r="N7" s="248">
        <f>(+'HERR CORREDIZA'!K7+H7)</f>
        <v>58589.566379190015</v>
      </c>
      <c r="O7" s="246">
        <f>+Rejas!F7</f>
        <v>22100</v>
      </c>
      <c r="R7" s="945"/>
    </row>
    <row r="8" spans="1:18" ht="16.5" thickBot="1">
      <c r="A8" s="42">
        <v>0.8</v>
      </c>
      <c r="B8" s="37">
        <v>0.4</v>
      </c>
      <c r="C8" s="38">
        <f>((((A8*2)+(B8*2))*'MATERIALES (2)'!$C$18)+(((A8*2)+(B8*2))*'MATERIALES (2)'!$C$11))*'MATERIALES (2)'!$F$1</f>
        <v>18729.27</v>
      </c>
      <c r="D8" s="38">
        <f>(((4*2)*4)*'MATERIALES (2)'!$C$134)+(4*'MATERIALES (2)'!$C$135)+(((A8*2)+(B8*2))*'MATERIALES (2)'!$C$154)</f>
        <v>2216</v>
      </c>
      <c r="E8" s="75"/>
      <c r="F8" s="39">
        <f>(A8*B8)*'MATERIALES (2)'!$D$85</f>
        <v>2368.0000000000005</v>
      </c>
      <c r="G8" s="38">
        <f t="shared" si="0"/>
        <v>23313.27</v>
      </c>
      <c r="H8" s="49">
        <f t="shared" si="1"/>
        <v>44038.986045862504</v>
      </c>
      <c r="L8" s="274" t="s">
        <v>541</v>
      </c>
      <c r="M8" s="246">
        <f t="shared" si="2"/>
        <v>44038.986045862504</v>
      </c>
      <c r="N8" s="248">
        <f>(+'HERR CORREDIZA'!K8+H8)</f>
        <v>53483.017797247521</v>
      </c>
      <c r="O8" s="246">
        <f>+Rejas!F8</f>
        <v>22100</v>
      </c>
      <c r="R8" s="945"/>
    </row>
    <row r="9" spans="1:18" ht="16.5" thickBot="1">
      <c r="A9" s="42">
        <v>0.8</v>
      </c>
      <c r="B9" s="37">
        <v>0.6</v>
      </c>
      <c r="C9" s="38">
        <f>((((A9*2)+(B9*2))*'MATERIALES (2)'!$C$18)+(((A9*2)+(B9*2))*'MATERIALES (2)'!$C$11))*'MATERIALES (2)'!$F$1</f>
        <v>21850.814999999999</v>
      </c>
      <c r="D9" s="38">
        <f>(((4*2)*4)*'MATERIALES (2)'!$C$134)+(4*'MATERIALES (2)'!$C$135)+(((A9*2)+(B9*2))*'MATERIALES (2)'!$C$154)</f>
        <v>2312</v>
      </c>
      <c r="E9" s="75"/>
      <c r="F9" s="39">
        <f>(A9*B9)*'MATERIALES (2)'!$D$85</f>
        <v>3552</v>
      </c>
      <c r="G9" s="38">
        <f>SUM(C9:F9)</f>
        <v>27714.814999999999</v>
      </c>
      <c r="H9" s="49">
        <f t="shared" si="1"/>
        <v>52992.542628506257</v>
      </c>
      <c r="L9" s="274" t="s">
        <v>542</v>
      </c>
      <c r="M9" s="246">
        <f t="shared" si="2"/>
        <v>52992.542628506257</v>
      </c>
      <c r="N9" s="248">
        <f>(+'HERR CORREDIZA'!K9+H9)</f>
        <v>66753.38016183376</v>
      </c>
      <c r="O9" s="246">
        <f>+Rejas!F9</f>
        <v>22100</v>
      </c>
      <c r="R9" s="945"/>
    </row>
    <row r="10" spans="1:18" ht="16.5" thickBot="1">
      <c r="A10" s="42">
        <v>0.8</v>
      </c>
      <c r="B10" s="37">
        <v>0.8</v>
      </c>
      <c r="C10" s="38">
        <f>((((A10*2)+(B10*2))*'MATERIALES (2)'!$C$18)+(((A10*2)+(B10*2))*'MATERIALES (2)'!$C$11))*'MATERIALES (2)'!$F$1</f>
        <v>24972.36</v>
      </c>
      <c r="D10" s="38">
        <f>(((4*2)*4)*'MATERIALES (2)'!$C$134)+(4*'MATERIALES (2)'!$C$135)+(((A10*2)+(B10*2))*'MATERIALES (2)'!$C$154)</f>
        <v>2408</v>
      </c>
      <c r="E10" s="75"/>
      <c r="F10" s="39">
        <f>(A10*B10)*'MATERIALES (2)'!$D$85</f>
        <v>4736.0000000000009</v>
      </c>
      <c r="G10" s="38">
        <f t="shared" si="0"/>
        <v>32116.36</v>
      </c>
      <c r="H10" s="49">
        <f t="shared" si="1"/>
        <v>61946.099211150009</v>
      </c>
      <c r="L10" s="274" t="s">
        <v>543</v>
      </c>
      <c r="M10" s="246">
        <f t="shared" si="2"/>
        <v>61946.099211150009</v>
      </c>
      <c r="N10" s="248">
        <f>(+'HERR CORREDIZA'!K10+H10)</f>
        <v>80023.742526420028</v>
      </c>
      <c r="O10" s="246">
        <f>+Rejas!F10</f>
        <v>28288.000000000007</v>
      </c>
      <c r="R10" s="945"/>
    </row>
    <row r="11" spans="1:18" ht="16.5" thickBot="1">
      <c r="A11" s="42">
        <v>1</v>
      </c>
      <c r="B11" s="37">
        <v>0.4</v>
      </c>
      <c r="C11" s="38">
        <f>((((A11*2)+(B11*2))*'MATERIALES (2)'!$C$18)+(((A11*2)+(B11*2))*'MATERIALES (2)'!$C$11))*'MATERIALES (2)'!$F$1</f>
        <v>21850.814999999999</v>
      </c>
      <c r="D11" s="38">
        <f>(((4*2)*4)*'MATERIALES (2)'!$C$134)+(4*'MATERIALES (2)'!$C$135)+(((A11*2)+(B11*2))*'MATERIALES (2)'!$C$154)</f>
        <v>2312</v>
      </c>
      <c r="E11" s="75"/>
      <c r="F11" s="39">
        <f>(A11*B11)*'MATERIALES (2)'!$D$85</f>
        <v>2960</v>
      </c>
      <c r="G11" s="38">
        <f t="shared" si="0"/>
        <v>27122.814999999999</v>
      </c>
      <c r="H11" s="49">
        <f t="shared" si="1"/>
        <v>51413.057028506257</v>
      </c>
      <c r="L11" s="274" t="s">
        <v>544</v>
      </c>
      <c r="M11" s="246">
        <f t="shared" si="2"/>
        <v>51413.057028506257</v>
      </c>
      <c r="N11" s="248">
        <f>(+'HERR CORREDIZA'!K11+H11)</f>
        <v>60857.088779891259</v>
      </c>
      <c r="O11" s="246">
        <f>+Rejas!F11</f>
        <v>22100</v>
      </c>
      <c r="R11" s="946"/>
    </row>
    <row r="12" spans="1:18" ht="16.5" thickBot="1">
      <c r="A12" s="42">
        <v>1</v>
      </c>
      <c r="B12" s="37">
        <v>0.6</v>
      </c>
      <c r="C12" s="38">
        <f>((((A12*2)+(B12*2))*'MATERIALES (2)'!$C$18)+(((A12*2)+(B12*2))*'MATERIALES (2)'!$C$11))*'MATERIALES (2)'!$F$1</f>
        <v>24972.36</v>
      </c>
      <c r="D12" s="38">
        <f>(((4*2)*4)*'MATERIALES (2)'!$C$134)+(4*'MATERIALES (2)'!$C$135)+(((A12*2)+(B12*2))*'MATERIALES (2)'!$C$154)</f>
        <v>2408</v>
      </c>
      <c r="E12" s="75"/>
      <c r="F12" s="39">
        <f>(A12*B12)*'MATERIALES (2)'!$D$85</f>
        <v>4440</v>
      </c>
      <c r="G12" s="38">
        <f t="shared" si="0"/>
        <v>31820.36</v>
      </c>
      <c r="H12" s="49">
        <f t="shared" si="1"/>
        <v>61156.356411150002</v>
      </c>
      <c r="L12" s="274" t="s">
        <v>545</v>
      </c>
      <c r="M12" s="246">
        <f t="shared" si="2"/>
        <v>61156.356411150002</v>
      </c>
      <c r="N12" s="248">
        <f>(+'HERR CORREDIZA'!K12+H12)</f>
        <v>74917.193944477505</v>
      </c>
      <c r="O12" s="246">
        <f>+Rejas!F12</f>
        <v>26520</v>
      </c>
    </row>
    <row r="13" spans="1:18" ht="16.5" thickBot="1">
      <c r="A13" s="42">
        <v>1</v>
      </c>
      <c r="B13" s="37">
        <v>0.8</v>
      </c>
      <c r="C13" s="38">
        <f>((((A13*2)+(B13*2))*'MATERIALES (2)'!$C$18)+(((A13*2)+(B13*2))*'MATERIALES (2)'!$C$11))*'MATERIALES (2)'!$F$1</f>
        <v>28093.905000000002</v>
      </c>
      <c r="D13" s="38">
        <f>(((4*2)*4)*'MATERIALES (2)'!$C$134)+(4*'MATERIALES (2)'!$C$135)+(((A13*2)+(B13*2))*'MATERIALES (2)'!$C$154)</f>
        <v>2504</v>
      </c>
      <c r="E13" s="75"/>
      <c r="F13" s="39">
        <f>(A13*B13)*'MATERIALES (2)'!$D$85</f>
        <v>5920</v>
      </c>
      <c r="G13" s="38">
        <f t="shared" si="0"/>
        <v>36517.904999999999</v>
      </c>
      <c r="H13" s="49">
        <f t="shared" si="1"/>
        <v>70899.655793793761</v>
      </c>
      <c r="L13" s="380" t="s">
        <v>546</v>
      </c>
      <c r="M13" s="246">
        <f t="shared" si="2"/>
        <v>70899.655793793761</v>
      </c>
      <c r="N13" s="252">
        <f>(+'HERR CORREDIZA'!K13+H13)</f>
        <v>88977.299109063781</v>
      </c>
      <c r="O13" s="246">
        <f>+Rejas!F13</f>
        <v>35360</v>
      </c>
    </row>
    <row r="14" spans="1:18" ht="16.5" thickBot="1">
      <c r="A14" s="42">
        <v>1</v>
      </c>
      <c r="B14" s="37">
        <v>1</v>
      </c>
      <c r="C14" s="38">
        <f>((((A14*2)+(B14*2))*'MATERIALES (2)'!$C$18)+(((A14*2)+(B14*2))*'MATERIALES (2)'!$C$11))*'MATERIALES (2)'!$F$1</f>
        <v>31215.45</v>
      </c>
      <c r="D14" s="38">
        <f>(((4*2)*4)*'MATERIALES (2)'!$C$134)+(4*'MATERIALES (2)'!$C$135)+(((A14*2)+(B14*2))*'MATERIALES (2)'!$C$154)</f>
        <v>2600</v>
      </c>
      <c r="E14" s="75"/>
      <c r="F14" s="39">
        <f>(A14*B14)*'MATERIALES (2)'!$D$85</f>
        <v>7400</v>
      </c>
      <c r="G14" s="38">
        <f t="shared" si="0"/>
        <v>41215.449999999997</v>
      </c>
      <c r="H14" s="49">
        <f t="shared" si="1"/>
        <v>80642.955176437506</v>
      </c>
      <c r="L14" s="380" t="s">
        <v>547</v>
      </c>
      <c r="M14" s="246">
        <f t="shared" si="2"/>
        <v>80642.955176437506</v>
      </c>
      <c r="N14" s="252">
        <f>(+'HERR CORREDIZA'!K14+H14)</f>
        <v>103037.40427365</v>
      </c>
      <c r="O14" s="246">
        <f>+Rejas!F14</f>
        <v>44200</v>
      </c>
    </row>
    <row r="15" spans="1:18" ht="16.5" thickBot="1">
      <c r="A15" s="42">
        <v>1</v>
      </c>
      <c r="B15" s="37">
        <v>1.1000000000000001</v>
      </c>
      <c r="C15" s="38">
        <f>((((A15*2)+(B15*2))*'MATERIALES (2)'!$C$18)+(((A15*2)+(B15*2))*'MATERIALES (2)'!$C$11))*'MATERIALES (2)'!$F$1</f>
        <v>32776.222500000003</v>
      </c>
      <c r="D15" s="38">
        <f>(((4*2)*4)*'MATERIALES (2)'!$C$134)+(4*'MATERIALES (2)'!$C$135)+(((A15*2)+(B15*2))*'MATERIALES (2)'!$C$154)</f>
        <v>2648</v>
      </c>
      <c r="E15" s="75"/>
      <c r="F15" s="39">
        <f>(A15*B15)*'MATERIALES (2)'!$D$85</f>
        <v>8140.0000000000009</v>
      </c>
      <c r="G15" s="38">
        <f t="shared" si="0"/>
        <v>43564.222500000003</v>
      </c>
      <c r="H15" s="49">
        <f t="shared" si="1"/>
        <v>85514.604867759394</v>
      </c>
      <c r="L15" s="380" t="s">
        <v>548</v>
      </c>
      <c r="M15" s="246">
        <f t="shared" si="2"/>
        <v>85514.604867759394</v>
      </c>
      <c r="N15" s="252">
        <f>(+'HERR CORREDIZA'!K15+H15)</f>
        <v>110067.45685594314</v>
      </c>
      <c r="O15" s="246">
        <f>+Rejas!F15</f>
        <v>48620</v>
      </c>
    </row>
    <row r="16" spans="1:18" ht="16.5" thickBot="1">
      <c r="A16" s="42">
        <v>1</v>
      </c>
      <c r="B16" s="37">
        <v>1.2</v>
      </c>
      <c r="C16" s="38">
        <f>((((A16*2)+(B16*2))*'MATERIALES (2)'!$C$18)+(((A16*2)+(B16*2))*'MATERIALES (2)'!$C$11))*'MATERIALES (2)'!$F$1</f>
        <v>34336.995000000003</v>
      </c>
      <c r="D16" s="38">
        <f>(((4*2)*4)*'MATERIALES (2)'!$C$134)+(4*'MATERIALES (2)'!$C$135)+(((A16*2)+(B16*2))*'MATERIALES (2)'!$C$154)</f>
        <v>2696</v>
      </c>
      <c r="E16" s="75"/>
      <c r="F16" s="39">
        <f>(A16*B16)*'MATERIALES (2)'!$D$85</f>
        <v>8880</v>
      </c>
      <c r="G16" s="38">
        <f t="shared" si="0"/>
        <v>45912.995000000003</v>
      </c>
      <c r="H16" s="49">
        <f t="shared" si="1"/>
        <v>90386.254559081281</v>
      </c>
      <c r="L16" s="380" t="s">
        <v>549</v>
      </c>
      <c r="M16" s="246">
        <f t="shared" si="2"/>
        <v>90386.254559081281</v>
      </c>
      <c r="N16" s="252">
        <f>(+'HERR CORREDIZA'!K16+H16)</f>
        <v>117097.50943823627</v>
      </c>
      <c r="O16" s="246">
        <f>+Rejas!F16</f>
        <v>53040</v>
      </c>
    </row>
    <row r="17" spans="1:15" ht="16.5" thickBot="1">
      <c r="A17" s="42">
        <v>1</v>
      </c>
      <c r="B17" s="37">
        <v>1.5</v>
      </c>
      <c r="C17" s="38">
        <f>((((A17*2)+(B17*2))*'MATERIALES (2)'!$C$18)+(((A17*2)+(B17*2))*'MATERIALES (2)'!$C$11))*'MATERIALES (2)'!$F$1</f>
        <v>39019.3125</v>
      </c>
      <c r="D17" s="38">
        <f>(((4*2)*4)*'MATERIALES (2)'!$C$134)+(4*'MATERIALES (2)'!$C$135)+(((A17*2)+(B17*2))*'MATERIALES (2)'!$C$154)</f>
        <v>2840</v>
      </c>
      <c r="E17" s="75"/>
      <c r="F17" s="39">
        <f>(A17*B17)*'MATERIALES (2)'!$D$85</f>
        <v>11100</v>
      </c>
      <c r="G17" s="38">
        <f t="shared" si="0"/>
        <v>52959.3125</v>
      </c>
      <c r="H17" s="49">
        <f t="shared" si="1"/>
        <v>105001.20363304687</v>
      </c>
      <c r="L17" s="380" t="s">
        <v>550</v>
      </c>
      <c r="M17" s="246">
        <f t="shared" si="2"/>
        <v>105001.20363304687</v>
      </c>
      <c r="N17" s="252">
        <f>(+'HERR CORREDIZA'!K17+H17)</f>
        <v>138187.66718511563</v>
      </c>
      <c r="O17" s="246">
        <f>+Rejas!F17</f>
        <v>22100</v>
      </c>
    </row>
    <row r="18" spans="1:15" ht="16.5" thickBot="1">
      <c r="A18" s="42">
        <v>1.2</v>
      </c>
      <c r="B18" s="37">
        <v>0.4</v>
      </c>
      <c r="C18" s="38">
        <f>((((A18*2)+(B18*2))*'MATERIALES (2)'!$C$18)+(((A18*2)+(B18*2))*'MATERIALES (2)'!$C$11))*'MATERIALES (2)'!$F$1</f>
        <v>24972.36</v>
      </c>
      <c r="D18" s="38">
        <f>(((4*2)*4)*'MATERIALES (2)'!$C$134)+(4*'MATERIALES (2)'!$C$135)+(((A18*2)+(B18*2))*'MATERIALES (2)'!$C$154)</f>
        <v>2408</v>
      </c>
      <c r="E18" s="75"/>
      <c r="F18" s="39">
        <f>(A18*B18)*'MATERIALES (2)'!$D$85</f>
        <v>3552</v>
      </c>
      <c r="G18" s="38">
        <f t="shared" si="0"/>
        <v>30932.36</v>
      </c>
      <c r="H18" s="49">
        <f t="shared" si="1"/>
        <v>58787.128011150009</v>
      </c>
      <c r="L18" s="380" t="s">
        <v>551</v>
      </c>
      <c r="M18" s="246">
        <f t="shared" si="2"/>
        <v>58787.128011150009</v>
      </c>
      <c r="N18" s="252">
        <f>(+'HERR CORREDIZA'!K18+H18)</f>
        <v>68231.15976253504</v>
      </c>
      <c r="O18" s="246">
        <f>+Rejas!F18</f>
        <v>22100</v>
      </c>
    </row>
    <row r="19" spans="1:15" ht="16.5" thickBot="1">
      <c r="A19" s="42">
        <v>1.2</v>
      </c>
      <c r="B19" s="37">
        <v>0.6</v>
      </c>
      <c r="C19" s="38">
        <f>((((A19*2)+(B19*2))*'MATERIALES (2)'!$C$18)+(((A19*2)+(B19*2))*'MATERIALES (2)'!$C$11))*'MATERIALES (2)'!$F$1</f>
        <v>28093.905000000002</v>
      </c>
      <c r="D19" s="38">
        <f>(((4*2)*4)*'MATERIALES (2)'!$C$134)+(4*'MATERIALES (2)'!$C$135)+(((A19*2)+(B19*2))*'MATERIALES (2)'!$C$154)</f>
        <v>2504</v>
      </c>
      <c r="E19" s="75"/>
      <c r="F19" s="39">
        <f>(A19*B19)*'MATERIALES (2)'!$D$85</f>
        <v>5328</v>
      </c>
      <c r="G19" s="38">
        <f t="shared" si="0"/>
        <v>35925.904999999999</v>
      </c>
      <c r="H19" s="49">
        <f t="shared" si="1"/>
        <v>69320.170193793761</v>
      </c>
      <c r="L19" s="380" t="s">
        <v>552</v>
      </c>
      <c r="M19" s="246">
        <f t="shared" si="2"/>
        <v>69320.170193793761</v>
      </c>
      <c r="N19" s="252">
        <f>(+'HERR CORREDIZA'!K19+H19)</f>
        <v>83081.00772712125</v>
      </c>
      <c r="O19" s="246">
        <f>+Rejas!F19</f>
        <v>31824</v>
      </c>
    </row>
    <row r="20" spans="1:15" ht="16.5" thickBot="1">
      <c r="A20" s="42">
        <v>1.2</v>
      </c>
      <c r="B20" s="37">
        <v>0.8</v>
      </c>
      <c r="C20" s="38">
        <f>((((A20*2)+(B20*2))*'MATERIALES (2)'!$C$18)+(((A20*2)+(B20*2))*'MATERIALES (2)'!$C$11))*'MATERIALES (2)'!$F$1</f>
        <v>31215.45</v>
      </c>
      <c r="D20" s="38">
        <f>(((4*2)*4)*'MATERIALES (2)'!$C$134)+(4*'MATERIALES (2)'!$C$135)+(((A20*2)+(B20*2))*'MATERIALES (2)'!$C$154)</f>
        <v>2600</v>
      </c>
      <c r="E20" s="75"/>
      <c r="F20" s="39">
        <f>(A20*B20)*'MATERIALES (2)'!$D$85</f>
        <v>7104</v>
      </c>
      <c r="G20" s="38">
        <f t="shared" si="0"/>
        <v>40919.449999999997</v>
      </c>
      <c r="H20" s="49">
        <f t="shared" si="1"/>
        <v>79853.212376437514</v>
      </c>
      <c r="L20" s="380" t="s">
        <v>553</v>
      </c>
      <c r="M20" s="246">
        <f t="shared" si="2"/>
        <v>79853.212376437514</v>
      </c>
      <c r="N20" s="252">
        <f>(+'HERR CORREDIZA'!K20+H20)</f>
        <v>97930.855691707533</v>
      </c>
      <c r="O20" s="246">
        <f>+Rejas!F20</f>
        <v>42432</v>
      </c>
    </row>
    <row r="21" spans="1:15" ht="16.5" thickBot="1">
      <c r="A21" s="42">
        <v>1.2</v>
      </c>
      <c r="B21" s="37">
        <v>1</v>
      </c>
      <c r="C21" s="38">
        <f>((((A21*2)+(B21*2))*'MATERIALES (2)'!$C$18)+(((A21*2)+(B21*2))*'MATERIALES (2)'!$C$11))*'MATERIALES (2)'!$F$1</f>
        <v>34336.995000000003</v>
      </c>
      <c r="D21" s="38">
        <f>(((4*2)*4)*'MATERIALES (2)'!$C$134)+(4*'MATERIALES (2)'!$C$135)+(((A21*2)+(B21*2))*'MATERIALES (2)'!$C$154)</f>
        <v>2696</v>
      </c>
      <c r="E21" s="75"/>
      <c r="F21" s="39">
        <f>(A21*B21)*'MATERIALES (2)'!$D$85</f>
        <v>8880</v>
      </c>
      <c r="G21" s="38">
        <f t="shared" si="0"/>
        <v>45912.995000000003</v>
      </c>
      <c r="H21" s="49">
        <f t="shared" si="1"/>
        <v>90386.254559081281</v>
      </c>
      <c r="L21" s="380" t="s">
        <v>554</v>
      </c>
      <c r="M21" s="246">
        <f t="shared" si="2"/>
        <v>90386.254559081281</v>
      </c>
      <c r="N21" s="252">
        <f>(+'HERR CORREDIZA'!K21+H21)</f>
        <v>112780.70365629371</v>
      </c>
      <c r="O21" s="246">
        <f>+Rejas!F21</f>
        <v>53040</v>
      </c>
    </row>
    <row r="22" spans="1:15" ht="16.5" thickBot="1">
      <c r="A22" s="42">
        <v>1.2</v>
      </c>
      <c r="B22" s="37">
        <v>1.1000000000000001</v>
      </c>
      <c r="C22" s="38">
        <f>((((A22*2)+(B22*2))*'MATERIALES (2)'!$C$18)+(((A22*2)+(B22*2))*'MATERIALES (2)'!$C$11))*'MATERIALES (2)'!$F$1</f>
        <v>35897.767499999994</v>
      </c>
      <c r="D22" s="38">
        <f>(((4*2)*4)*'MATERIALES (2)'!$C$134)+(4*'MATERIALES (2)'!$C$135)+(((A22*2)+(B22*2))*'MATERIALES (2)'!$C$154)</f>
        <v>2744</v>
      </c>
      <c r="E22" s="75"/>
      <c r="F22" s="39">
        <f>(A22*B22)*'MATERIALES (2)'!$D$85</f>
        <v>9768</v>
      </c>
      <c r="G22" s="38">
        <f t="shared" si="0"/>
        <v>48409.767499999994</v>
      </c>
      <c r="H22" s="49">
        <f t="shared" si="1"/>
        <v>95652.775650403113</v>
      </c>
      <c r="L22" s="380" t="s">
        <v>555</v>
      </c>
      <c r="M22" s="246">
        <f t="shared" si="2"/>
        <v>95652.775650403113</v>
      </c>
      <c r="N22" s="252">
        <f>(+'HERR CORREDIZA'!K22+H22)</f>
        <v>120205.62763858686</v>
      </c>
      <c r="O22" s="246">
        <f>+Rejas!F22</f>
        <v>58344</v>
      </c>
    </row>
    <row r="23" spans="1:15" ht="16.5" thickBot="1">
      <c r="A23" s="42">
        <v>1.2</v>
      </c>
      <c r="B23" s="37">
        <v>1.2</v>
      </c>
      <c r="C23" s="38">
        <f>((((A23*2)+(B23*2))*'MATERIALES (2)'!$C$18)+(((A23*2)+(B23*2))*'MATERIALES (2)'!$C$11))*'MATERIALES (2)'!$F$1</f>
        <v>37458.54</v>
      </c>
      <c r="D23" s="38">
        <f>(((4*2)*4)*'MATERIALES (2)'!$C$134)+(4*'MATERIALES (2)'!$C$135)+(((A23*2)+(B23*2))*'MATERIALES (2)'!$C$154)</f>
        <v>2792</v>
      </c>
      <c r="E23" s="75"/>
      <c r="F23" s="39">
        <f>(A23*B23)*'MATERIALES (2)'!$D$85</f>
        <v>10656</v>
      </c>
      <c r="G23" s="38">
        <f t="shared" si="0"/>
        <v>50906.54</v>
      </c>
      <c r="H23" s="49">
        <f t="shared" si="1"/>
        <v>100919.29674172502</v>
      </c>
      <c r="L23" s="380" t="s">
        <v>556</v>
      </c>
      <c r="M23" s="246">
        <f t="shared" si="2"/>
        <v>100919.29674172502</v>
      </c>
      <c r="N23" s="252">
        <f>(+'HERR CORREDIZA'!K23+H23)</f>
        <v>127630.55162088001</v>
      </c>
      <c r="O23" s="246">
        <f>+Rejas!F23</f>
        <v>63648</v>
      </c>
    </row>
    <row r="24" spans="1:15" ht="16.5" thickBot="1">
      <c r="A24" s="42">
        <v>1.2</v>
      </c>
      <c r="B24" s="37">
        <v>1.5</v>
      </c>
      <c r="C24" s="38">
        <f>((((A24*2)+(B24*2))*'MATERIALES (2)'!$C$18)+(((A24*2)+(B24*2))*'MATERIALES (2)'!$C$11))*'MATERIALES (2)'!$F$1</f>
        <v>42140.857500000006</v>
      </c>
      <c r="D24" s="38">
        <f>(((4*2)*4)*'MATERIALES (2)'!$C$134)+(4*'MATERIALES (2)'!$C$135)+(((A24*2)+(B24*2))*'MATERIALES (2)'!$C$154)</f>
        <v>2936</v>
      </c>
      <c r="E24" s="75"/>
      <c r="F24" s="39">
        <f>(A24*B24)*'MATERIALES (2)'!$D$85</f>
        <v>13319.999999999998</v>
      </c>
      <c r="G24" s="38">
        <f t="shared" si="0"/>
        <v>58396.857500000006</v>
      </c>
      <c r="H24" s="49">
        <f t="shared" si="1"/>
        <v>116718.86001569065</v>
      </c>
      <c r="L24" s="380" t="s">
        <v>557</v>
      </c>
      <c r="M24" s="246">
        <f t="shared" si="2"/>
        <v>116718.86001569065</v>
      </c>
      <c r="N24" s="252">
        <f>(+'HERR CORREDIZA'!K24+H24)</f>
        <v>149905.32356775945</v>
      </c>
      <c r="O24" s="246">
        <f>+Rejas!F24</f>
        <v>79560</v>
      </c>
    </row>
    <row r="25" spans="1:15" ht="16.5" thickBot="1">
      <c r="A25" s="42">
        <v>1.2</v>
      </c>
      <c r="B25" s="37">
        <v>1.8</v>
      </c>
      <c r="C25" s="38">
        <f>((((A25*2)+(B25*2))*'MATERIALES (2)'!$C$18)+(((A25*2)+(B25*2))*'MATERIALES (2)'!$C$11))*'MATERIALES (2)'!$F$1</f>
        <v>46823.175000000003</v>
      </c>
      <c r="D25" s="38">
        <f>(((4*2)*4)*'MATERIALES (2)'!$C$134)+(4*'MATERIALES (2)'!$C$135)+(((A25*2)+(B25*2))*'MATERIALES (2)'!$C$154)</f>
        <v>3080</v>
      </c>
      <c r="E25" s="75"/>
      <c r="F25" s="39">
        <f>(A25*B25)*'MATERIALES (2)'!$D$85</f>
        <v>15984.000000000002</v>
      </c>
      <c r="G25" s="38">
        <f t="shared" si="0"/>
        <v>65887.175000000003</v>
      </c>
      <c r="H25" s="49">
        <f t="shared" si="1"/>
        <v>132518.42328965626</v>
      </c>
      <c r="L25" s="380" t="s">
        <v>558</v>
      </c>
      <c r="M25" s="246">
        <f t="shared" si="2"/>
        <v>132518.42328965626</v>
      </c>
      <c r="N25" s="252">
        <f>(+'HERR CORREDIZA'!K25+H25)</f>
        <v>172180.09551463876</v>
      </c>
      <c r="O25" s="246">
        <f>+Rejas!F25</f>
        <v>95472</v>
      </c>
    </row>
    <row r="26" spans="1:15" ht="16.5" thickBot="1">
      <c r="A26" s="42">
        <v>1.5</v>
      </c>
      <c r="B26" s="37">
        <v>0.4</v>
      </c>
      <c r="C26" s="38">
        <f>((((A26*2)+(B26*2))*'MATERIALES (2)'!$C$18)+(((A26*2)+(B26*2))*'MATERIALES (2)'!$C$11))*'MATERIALES (2)'!$F$1</f>
        <v>29654.677499999998</v>
      </c>
      <c r="D26" s="38">
        <f>(((4*2)*4)*'MATERIALES (2)'!$C$134)+(4*'MATERIALES (2)'!$C$135)+(((A26*2)+(B26*2))*'MATERIALES (2)'!$C$154)</f>
        <v>2552</v>
      </c>
      <c r="E26" s="75"/>
      <c r="F26" s="39">
        <f>(A26*B26)*'MATERIALES (2)'!$D$85</f>
        <v>4440.0000000000009</v>
      </c>
      <c r="G26" s="38">
        <f t="shared" si="0"/>
        <v>36646.677499999998</v>
      </c>
      <c r="H26" s="49">
        <f t="shared" si="1"/>
        <v>69848.234485115638</v>
      </c>
      <c r="L26" s="249" t="s">
        <v>559</v>
      </c>
      <c r="M26" s="246">
        <f t="shared" si="2"/>
        <v>69848.234485115638</v>
      </c>
      <c r="N26" s="252">
        <f>(+'HERR CORREDIZA'!K26+H26)</f>
        <v>79292.266236500625</v>
      </c>
      <c r="O26" s="246">
        <f>+Rejas!F26</f>
        <v>26520.000000000007</v>
      </c>
    </row>
    <row r="27" spans="1:15" ht="16.5" thickBot="1">
      <c r="A27" s="42">
        <v>1.5</v>
      </c>
      <c r="B27" s="37">
        <v>0.6</v>
      </c>
      <c r="C27" s="38">
        <f>((((A27*2)+(B27*2))*'MATERIALES (2)'!$C$18)+(((A27*2)+(B27*2))*'MATERIALES (2)'!$C$11))*'MATERIALES (2)'!$F$1</f>
        <v>32776.222500000003</v>
      </c>
      <c r="D27" s="38">
        <f>(((4*2)*4)*'MATERIALES (2)'!$C$134)+(4*'MATERIALES (2)'!$C$135)+(((A27*2)+(B27*2))*'MATERIALES (2)'!$C$154)</f>
        <v>2648</v>
      </c>
      <c r="E27" s="75"/>
      <c r="F27" s="39">
        <f>(A27*B27)*'MATERIALES (2)'!$D$85</f>
        <v>6659.9999999999991</v>
      </c>
      <c r="G27" s="38">
        <f t="shared" si="0"/>
        <v>42084.222500000003</v>
      </c>
      <c r="H27" s="49">
        <f t="shared" si="1"/>
        <v>81565.890867759386</v>
      </c>
      <c r="L27" s="249" t="s">
        <v>560</v>
      </c>
      <c r="M27" s="246">
        <f t="shared" si="2"/>
        <v>81565.890867759386</v>
      </c>
      <c r="N27" s="252">
        <f>(+'HERR CORREDIZA'!K27+H27)</f>
        <v>95326.728401086875</v>
      </c>
      <c r="O27" s="246">
        <f>+Rejas!F27</f>
        <v>39780</v>
      </c>
    </row>
    <row r="28" spans="1:15" ht="16.5" thickBot="1">
      <c r="A28" s="42">
        <v>1.5</v>
      </c>
      <c r="B28" s="37">
        <v>0.8</v>
      </c>
      <c r="C28" s="38">
        <f>((((A28*2)+(B28*2))*'MATERIALES (2)'!$C$18)+(((A28*2)+(B28*2))*'MATERIALES (2)'!$C$11))*'MATERIALES (2)'!$F$1</f>
        <v>35897.767499999994</v>
      </c>
      <c r="D28" s="38">
        <f>(((4*2)*4)*'MATERIALES (2)'!$C$134)+(4*'MATERIALES (2)'!$C$135)+(((A28*2)+(B28*2))*'MATERIALES (2)'!$C$154)</f>
        <v>2744</v>
      </c>
      <c r="E28" s="75"/>
      <c r="F28" s="39">
        <f>(A28*B28)*'MATERIALES (2)'!$D$85</f>
        <v>8880.0000000000018</v>
      </c>
      <c r="G28" s="38">
        <f t="shared" si="0"/>
        <v>47521.767499999994</v>
      </c>
      <c r="H28" s="49">
        <f t="shared" si="1"/>
        <v>93283.547250403135</v>
      </c>
      <c r="L28" s="249" t="s">
        <v>561</v>
      </c>
      <c r="M28" s="246">
        <f t="shared" si="2"/>
        <v>93283.547250403135</v>
      </c>
      <c r="N28" s="252">
        <f>(+'HERR CORREDIZA'!K28+H28)</f>
        <v>111361.19056567315</v>
      </c>
      <c r="O28" s="246">
        <f>+Rejas!F28</f>
        <v>53040.000000000015</v>
      </c>
    </row>
    <row r="29" spans="1:15" ht="16.5" thickBot="1">
      <c r="A29" s="42">
        <v>1.5</v>
      </c>
      <c r="B29" s="37">
        <v>1</v>
      </c>
      <c r="C29" s="38">
        <f>((((A29*2)+(B29*2))*'MATERIALES (2)'!$C$18)+(((A29*2)+(B29*2))*'MATERIALES (2)'!$C$11))*'MATERIALES (2)'!$F$1</f>
        <v>39019.3125</v>
      </c>
      <c r="D29" s="38">
        <f>(((4*2)*4)*'MATERIALES (2)'!$C$134)+(4*'MATERIALES (2)'!$C$135)+(((A29*2)+(B29*2))*'MATERIALES (2)'!$C$154)</f>
        <v>2840</v>
      </c>
      <c r="E29" s="75"/>
      <c r="F29" s="39">
        <f>(A29*B29)*'MATERIALES (2)'!$D$85</f>
        <v>11100</v>
      </c>
      <c r="G29" s="38">
        <f t="shared" si="0"/>
        <v>52959.3125</v>
      </c>
      <c r="H29" s="49">
        <f t="shared" si="1"/>
        <v>105001.20363304687</v>
      </c>
      <c r="L29" s="249" t="s">
        <v>562</v>
      </c>
      <c r="M29" s="246">
        <f t="shared" si="2"/>
        <v>105001.20363304687</v>
      </c>
      <c r="N29" s="252">
        <f>(+'HERR CORREDIZA'!K29+H29)</f>
        <v>127395.65273025933</v>
      </c>
      <c r="O29" s="246">
        <f>+Rejas!F29</f>
        <v>66300</v>
      </c>
    </row>
    <row r="30" spans="1:15" ht="16.5" thickBot="1">
      <c r="A30" s="42">
        <v>1.5</v>
      </c>
      <c r="B30" s="37">
        <v>1.1000000000000001</v>
      </c>
      <c r="C30" s="38">
        <f>((((A30*2)+(B30*2))*'MATERIALES (2)'!$C$18)+(((A30*2)+(B30*2))*'MATERIALES (2)'!$C$11))*'MATERIALES (2)'!$F$1</f>
        <v>40580.085000000006</v>
      </c>
      <c r="D30" s="38">
        <f>(((4*2)*4)*'MATERIALES (2)'!$C$134)+(4*'MATERIALES (2)'!$C$135)+(((A30*2)+(B30*2))*'MATERIALES (2)'!$C$154)</f>
        <v>2888</v>
      </c>
      <c r="E30" s="75"/>
      <c r="F30" s="39">
        <f>(A30*B30)*'MATERIALES (2)'!$D$85</f>
        <v>12210.000000000002</v>
      </c>
      <c r="G30" s="38">
        <f t="shared" si="0"/>
        <v>55678.085000000006</v>
      </c>
      <c r="H30" s="49">
        <f t="shared" si="1"/>
        <v>110860.03182436878</v>
      </c>
      <c r="L30" s="249" t="s">
        <v>563</v>
      </c>
      <c r="M30" s="246">
        <f t="shared" si="2"/>
        <v>110860.03182436878</v>
      </c>
      <c r="N30" s="252">
        <f>(+'HERR CORREDIZA'!K30+H30)</f>
        <v>135412.88381255252</v>
      </c>
      <c r="O30" s="246">
        <f>+Rejas!F30</f>
        <v>72930.000000000015</v>
      </c>
    </row>
    <row r="31" spans="1:15" ht="16.5" thickBot="1">
      <c r="A31" s="42">
        <v>1.5</v>
      </c>
      <c r="B31" s="37">
        <v>1.2</v>
      </c>
      <c r="C31" s="38">
        <f>((((A31*2)+(B31*2))*'MATERIALES (2)'!$C$18)+(((A31*2)+(B31*2))*'MATERIALES (2)'!$C$11))*'MATERIALES (2)'!$F$1</f>
        <v>42140.857500000006</v>
      </c>
      <c r="D31" s="38">
        <f>(((4*2)*4)*'MATERIALES (2)'!$C$134)+(4*'MATERIALES (2)'!$C$135)+(((A31*2)+(B31*2))*'MATERIALES (2)'!$C$154)</f>
        <v>2936</v>
      </c>
      <c r="E31" s="75"/>
      <c r="F31" s="39">
        <f>(A31*B31)*'MATERIALES (2)'!$D$85</f>
        <v>13319.999999999998</v>
      </c>
      <c r="G31" s="38">
        <f t="shared" si="0"/>
        <v>58396.857500000006</v>
      </c>
      <c r="H31" s="49">
        <f t="shared" si="1"/>
        <v>116718.86001569065</v>
      </c>
      <c r="L31" s="249" t="s">
        <v>564</v>
      </c>
      <c r="M31" s="246">
        <f t="shared" si="2"/>
        <v>116718.86001569065</v>
      </c>
      <c r="N31" s="252">
        <f>(+'HERR CORREDIZA'!K31+H31)</f>
        <v>143430.11489484561</v>
      </c>
      <c r="O31" s="246">
        <f>+Rejas!F31</f>
        <v>79560</v>
      </c>
    </row>
    <row r="32" spans="1:15" ht="16.5" thickBot="1">
      <c r="A32" s="42">
        <v>1.5</v>
      </c>
      <c r="B32" s="37">
        <v>1.5</v>
      </c>
      <c r="C32" s="38">
        <f>((((A32*2)+(B32*2))*'MATERIALES (2)'!$C$18)+(((A32*2)+(B32*2))*'MATERIALES (2)'!$C$11))*'MATERIALES (2)'!$F$1</f>
        <v>46823.175000000003</v>
      </c>
      <c r="D32" s="38">
        <f>(((4*2)*4)*'MATERIALES (2)'!$C$134)+(4*'MATERIALES (2)'!$C$135)+(((A32*2)+(B32*2))*'MATERIALES (2)'!$C$154)</f>
        <v>3080</v>
      </c>
      <c r="E32" s="75"/>
      <c r="F32" s="39">
        <f>(A32*B32)*'MATERIALES (2)'!$D$85</f>
        <v>16650</v>
      </c>
      <c r="G32" s="38">
        <f t="shared" si="0"/>
        <v>66553.175000000003</v>
      </c>
      <c r="H32" s="49">
        <f t="shared" si="1"/>
        <v>134295.34458965628</v>
      </c>
      <c r="L32" s="249" t="s">
        <v>565</v>
      </c>
      <c r="M32" s="246">
        <f t="shared" si="2"/>
        <v>134295.34458965628</v>
      </c>
      <c r="N32" s="252">
        <f>(+'HERR CORREDIZA'!K32+H32)</f>
        <v>167481.80814172502</v>
      </c>
      <c r="O32" s="246">
        <f>+Rejas!F32</f>
        <v>99450</v>
      </c>
    </row>
    <row r="33" spans="1:15" ht="16.5" thickBot="1">
      <c r="A33" s="42">
        <v>1.5</v>
      </c>
      <c r="B33" s="37">
        <v>1.8</v>
      </c>
      <c r="C33" s="38">
        <f>((((A33*2)+(B33*2))*'MATERIALES (2)'!$C$18)+(((A33*2)+(B33*2))*'MATERIALES (2)'!$C$11))*'MATERIALES (2)'!$F$1</f>
        <v>51505.4925</v>
      </c>
      <c r="D33" s="38">
        <f>(((4*2)*4)*'MATERIALES (2)'!$C$134)+(4*'MATERIALES (2)'!$C$135)+(((A33*2)+(B33*2))*'MATERIALES (2)'!$C$154)</f>
        <v>3224</v>
      </c>
      <c r="E33" s="75"/>
      <c r="F33" s="39">
        <f>(A33*B33)*'MATERIALES (2)'!$D$85</f>
        <v>19980</v>
      </c>
      <c r="G33" s="38">
        <f t="shared" si="0"/>
        <v>74709.492499999993</v>
      </c>
      <c r="H33" s="49">
        <f t="shared" si="1"/>
        <v>151871.82916362191</v>
      </c>
      <c r="L33" s="249" t="s">
        <v>566</v>
      </c>
      <c r="M33" s="246">
        <f t="shared" si="2"/>
        <v>151871.82916362191</v>
      </c>
      <c r="N33" s="252">
        <f>(+'HERR CORREDIZA'!K33+H33)</f>
        <v>191533.50138860443</v>
      </c>
      <c r="O33" s="246">
        <f>+Rejas!F33</f>
        <v>119340</v>
      </c>
    </row>
    <row r="34" spans="1:15" ht="16.5" thickBot="1">
      <c r="A34" s="42">
        <v>1.8</v>
      </c>
      <c r="B34" s="37">
        <v>0.8</v>
      </c>
      <c r="C34" s="38">
        <f>((((A34*2)+(B34*2))*'MATERIALES (2)'!$C$18)+(((A34*2)+(B34*2))*'MATERIALES (2)'!$C$11))*'MATERIALES (2)'!$F$1</f>
        <v>40580.085000000006</v>
      </c>
      <c r="D34" s="38">
        <f>(((4*2)*4)*'MATERIALES (2)'!$C$134)+(4*'MATERIALES (2)'!$C$135)+(((A34*2)+(B34*2))*'MATERIALES (2)'!$C$154)</f>
        <v>2888</v>
      </c>
      <c r="E34" s="75"/>
      <c r="F34" s="39">
        <f>(A34*B34)*'MATERIALES (2)'!$D$85</f>
        <v>10656.000000000002</v>
      </c>
      <c r="G34" s="38">
        <f t="shared" si="0"/>
        <v>54124.085000000006</v>
      </c>
      <c r="H34" s="49">
        <f t="shared" si="1"/>
        <v>106713.88212436877</v>
      </c>
      <c r="L34" s="249" t="s">
        <v>567</v>
      </c>
      <c r="M34" s="246">
        <f t="shared" si="2"/>
        <v>106713.88212436877</v>
      </c>
      <c r="N34" s="252">
        <f>(+'HERR CORREDIZA'!K34+H34)</f>
        <v>124791.52543963882</v>
      </c>
      <c r="O34" s="246">
        <f>+Rejas!F34</f>
        <v>63648.000000000015</v>
      </c>
    </row>
    <row r="35" spans="1:15" ht="16.5" thickBot="1">
      <c r="A35" s="42">
        <v>1.8</v>
      </c>
      <c r="B35" s="37">
        <v>1</v>
      </c>
      <c r="C35" s="38">
        <f>((((A35*2)+(B35*2))*'MATERIALES (2)'!$C$18)+(((A35*2)+(B35*2))*'MATERIALES (2)'!$C$11))*'MATERIALES (2)'!$F$1</f>
        <v>43701.63</v>
      </c>
      <c r="D35" s="38">
        <f>(((4*2)*4)*'MATERIALES (2)'!$C$134)+(4*'MATERIALES (2)'!$C$135)+(((A35*2)+(B35*2))*'MATERIALES (2)'!$C$154)</f>
        <v>2984</v>
      </c>
      <c r="E35" s="75"/>
      <c r="F35" s="39">
        <f>(A35*B35)*'MATERIALES (2)'!$D$85</f>
        <v>13320</v>
      </c>
      <c r="G35" s="38">
        <f t="shared" si="0"/>
        <v>60005.63</v>
      </c>
      <c r="H35" s="49">
        <f t="shared" si="1"/>
        <v>119616.1527070125</v>
      </c>
      <c r="L35" s="249" t="s">
        <v>568</v>
      </c>
      <c r="M35" s="246">
        <f t="shared" si="2"/>
        <v>119616.1527070125</v>
      </c>
      <c r="N35" s="252">
        <f>(+'HERR CORREDIZA'!K35+H35)</f>
        <v>142010.60180422501</v>
      </c>
      <c r="O35" s="246">
        <f>+Rejas!F35</f>
        <v>79560</v>
      </c>
    </row>
    <row r="36" spans="1:15" ht="16.5" thickBot="1">
      <c r="A36" s="42">
        <v>1.8</v>
      </c>
      <c r="B36" s="37">
        <v>1.1000000000000001</v>
      </c>
      <c r="C36" s="38">
        <f>((((A36*2)+(B36*2))*'MATERIALES (2)'!$C$18)+(((A36*2)+(B36*2))*'MATERIALES (2)'!$C$11))*'MATERIALES (2)'!$F$1</f>
        <v>45262.402500000011</v>
      </c>
      <c r="D36" s="38">
        <f>(((4*2)*4)*'MATERIALES (2)'!$C$134)+(4*'MATERIALES (2)'!$C$135)+(((A36*2)+(B36*2))*'MATERIALES (2)'!$C$154)</f>
        <v>3032</v>
      </c>
      <c r="E36" s="75"/>
      <c r="F36" s="39">
        <f>(A36*B36)*'MATERIALES (2)'!$D$85</f>
        <v>14652.000000000002</v>
      </c>
      <c r="G36" s="38">
        <f t="shared" si="0"/>
        <v>62946.402500000011</v>
      </c>
      <c r="H36" s="49">
        <f t="shared" si="1"/>
        <v>126067.2879983344</v>
      </c>
      <c r="L36" s="249" t="s">
        <v>569</v>
      </c>
      <c r="M36" s="246">
        <f t="shared" si="2"/>
        <v>126067.2879983344</v>
      </c>
      <c r="N36" s="252">
        <f>(+'HERR CORREDIZA'!K36+H36)</f>
        <v>150620.13998651819</v>
      </c>
      <c r="O36" s="246">
        <f>+Rejas!F36</f>
        <v>87516</v>
      </c>
    </row>
    <row r="37" spans="1:15" ht="16.5" thickBot="1">
      <c r="A37" s="42">
        <v>1.8</v>
      </c>
      <c r="B37" s="37">
        <v>1.2</v>
      </c>
      <c r="C37" s="38">
        <f>((((A37*2)+(B37*2))*'MATERIALES (2)'!$C$18)+(((A37*2)+(B37*2))*'MATERIALES (2)'!$C$11))*'MATERIALES (2)'!$F$1</f>
        <v>46823.175000000003</v>
      </c>
      <c r="D37" s="38">
        <f>(((4*2)*4)*'MATERIALES (2)'!$C$134)+(4*'MATERIALES (2)'!$C$135)+(((A37*2)+(B37*2))*'MATERIALES (2)'!$C$154)</f>
        <v>3080</v>
      </c>
      <c r="E37" s="75"/>
      <c r="F37" s="39">
        <f>(A37*B37)*'MATERIALES (2)'!$D$85</f>
        <v>15984.000000000002</v>
      </c>
      <c r="G37" s="38">
        <f t="shared" si="0"/>
        <v>65887.175000000003</v>
      </c>
      <c r="H37" s="49">
        <f t="shared" si="1"/>
        <v>132518.42328965626</v>
      </c>
      <c r="L37" s="249" t="s">
        <v>570</v>
      </c>
      <c r="M37" s="246">
        <f t="shared" si="2"/>
        <v>132518.42328965626</v>
      </c>
      <c r="N37" s="252">
        <f>(+'HERR CORREDIZA'!K37+H37)</f>
        <v>159229.67816881125</v>
      </c>
      <c r="O37" s="246">
        <f>+Rejas!F37</f>
        <v>95472</v>
      </c>
    </row>
    <row r="38" spans="1:15" ht="16.5" thickBot="1">
      <c r="A38" s="42">
        <v>1.8</v>
      </c>
      <c r="B38" s="37">
        <v>1.5</v>
      </c>
      <c r="C38" s="38">
        <f>((((A38*2)+(B38*2))*'MATERIALES (2)'!$C$18)+(((A38*2)+(B38*2))*'MATERIALES (2)'!$C$11))*'MATERIALES (2)'!$F$1</f>
        <v>51505.4925</v>
      </c>
      <c r="D38" s="38">
        <f>(((4*2)*4)*'MATERIALES (2)'!$C$134)+(4*'MATERIALES (2)'!$C$135)+(((A38*2)+(B38*2))*'MATERIALES (2)'!$C$154)</f>
        <v>3224</v>
      </c>
      <c r="E38" s="75"/>
      <c r="F38" s="39">
        <f>(A38*B38)*'MATERIALES (2)'!$D$85</f>
        <v>19980</v>
      </c>
      <c r="G38" s="38">
        <f t="shared" si="0"/>
        <v>74709.492499999993</v>
      </c>
      <c r="H38" s="49">
        <f t="shared" si="1"/>
        <v>151871.82916362191</v>
      </c>
      <c r="L38" s="249" t="s">
        <v>571</v>
      </c>
      <c r="M38" s="246">
        <f t="shared" si="2"/>
        <v>151871.82916362191</v>
      </c>
      <c r="N38" s="252">
        <f>(+'HERR CORREDIZA'!K38+H38)</f>
        <v>185058.29271569068</v>
      </c>
      <c r="O38" s="246">
        <f>+Rejas!F38</f>
        <v>119340</v>
      </c>
    </row>
    <row r="39" spans="1:15" ht="16.5" thickBot="1">
      <c r="A39" s="42">
        <v>1.8</v>
      </c>
      <c r="B39" s="37">
        <v>1.8</v>
      </c>
      <c r="C39" s="38">
        <f>((((A39*2)+(B39*2))*'MATERIALES (2)'!$C$18)+(((A39*2)+(B39*2))*'MATERIALES (2)'!$C$11))*'MATERIALES (2)'!$F$1</f>
        <v>56187.810000000005</v>
      </c>
      <c r="D39" s="38">
        <f>(((4*2)*4)*'MATERIALES (2)'!$C$134)+(4*'MATERIALES (2)'!$C$135)+(((A39*2)+(B39*2))*'MATERIALES (2)'!$C$154)</f>
        <v>3368</v>
      </c>
      <c r="E39" s="75"/>
      <c r="F39" s="39">
        <f>(A39*B39)*'MATERIALES (2)'!$D$85</f>
        <v>23976</v>
      </c>
      <c r="G39" s="38">
        <f t="shared" si="0"/>
        <v>83531.81</v>
      </c>
      <c r="H39" s="49">
        <f t="shared" si="1"/>
        <v>171225.23503758755</v>
      </c>
      <c r="L39" s="249" t="s">
        <v>572</v>
      </c>
      <c r="M39" s="246">
        <f t="shared" si="2"/>
        <v>171225.23503758755</v>
      </c>
      <c r="N39" s="252">
        <f>(+'HERR CORREDIZA'!K39+H39)</f>
        <v>210886.90726257008</v>
      </c>
      <c r="O39" s="246">
        <f>+Rejas!F39</f>
        <v>143208</v>
      </c>
    </row>
    <row r="40" spans="1:15" ht="16.5" thickBot="1">
      <c r="A40" s="42">
        <v>2</v>
      </c>
      <c r="B40" s="37">
        <v>0.8</v>
      </c>
      <c r="C40" s="38">
        <f>((((A40*2)+(B40*2))*'MATERIALES (2)'!$C$18)+(((A40*2)+(B40*2))*'MATERIALES (2)'!$C$11))*'MATERIALES (2)'!$F$1</f>
        <v>43701.63</v>
      </c>
      <c r="D40" s="38">
        <f>(((4*2)*4)*'MATERIALES (2)'!$C$134)+(4*'MATERIALES (2)'!$C$135)+(((A40*2)+(B40*2))*'MATERIALES (2)'!$C$154)</f>
        <v>2984</v>
      </c>
      <c r="E40" s="75"/>
      <c r="F40" s="39">
        <f>(A40*B40)*'MATERIALES (2)'!$D$85</f>
        <v>11840</v>
      </c>
      <c r="G40" s="38">
        <f t="shared" si="0"/>
        <v>58525.63</v>
      </c>
      <c r="H40" s="49">
        <f t="shared" si="1"/>
        <v>115667.43870701249</v>
      </c>
      <c r="L40" s="249" t="s">
        <v>573</v>
      </c>
      <c r="M40" s="246">
        <f t="shared" si="2"/>
        <v>115667.43870701249</v>
      </c>
      <c r="N40" s="252">
        <f>(+'HERR CORREDIZA'!K40+H40)</f>
        <v>133745.08202228253</v>
      </c>
      <c r="O40" s="246">
        <f>+Rejas!F40</f>
        <v>70720</v>
      </c>
    </row>
    <row r="41" spans="1:15" ht="16.5" thickBot="1">
      <c r="A41" s="42">
        <v>2</v>
      </c>
      <c r="B41" s="37">
        <v>1</v>
      </c>
      <c r="C41" s="38">
        <f>((((A41*2)+(B41*2))*'MATERIALES (2)'!$C$18)+(((A41*2)+(B41*2))*'MATERIALES (2)'!$C$11))*'MATERIALES (2)'!$F$1</f>
        <v>46823.175000000003</v>
      </c>
      <c r="D41" s="38">
        <f>(((4*2)*4)*'MATERIALES (2)'!$C$134)+(4*'MATERIALES (2)'!$C$135)+(((A41*2)+(B41*2))*'MATERIALES (2)'!$C$154)</f>
        <v>3080</v>
      </c>
      <c r="E41" s="75"/>
      <c r="F41" s="39">
        <f>(A41*B41)*'MATERIALES (2)'!$D$85</f>
        <v>14800</v>
      </c>
      <c r="G41" s="38">
        <f t="shared" si="0"/>
        <v>64703.175000000003</v>
      </c>
      <c r="H41" s="49">
        <f t="shared" si="1"/>
        <v>129359.45208965626</v>
      </c>
      <c r="L41" s="249" t="s">
        <v>574</v>
      </c>
      <c r="M41" s="246">
        <f t="shared" si="2"/>
        <v>129359.45208965626</v>
      </c>
      <c r="N41" s="252">
        <f>(+'HERR CORREDIZA'!K41+H41)</f>
        <v>151753.90118686875</v>
      </c>
      <c r="O41" s="246">
        <f>+Rejas!F41</f>
        <v>88400</v>
      </c>
    </row>
    <row r="42" spans="1:15" ht="16.5" thickBot="1">
      <c r="A42" s="42">
        <v>2</v>
      </c>
      <c r="B42" s="37">
        <v>1.1000000000000001</v>
      </c>
      <c r="C42" s="38">
        <f>((((A42*2)+(B42*2))*'MATERIALES (2)'!$C$18)+(((A42*2)+(B42*2))*'MATERIALES (2)'!$C$11))*'MATERIALES (2)'!$F$1</f>
        <v>48383.947500000002</v>
      </c>
      <c r="D42" s="38">
        <f>(((4*2)*4)*'MATERIALES (2)'!$C$134)+(4*'MATERIALES (2)'!$C$135)+(((A42*2)+(B42*2))*'MATERIALES (2)'!$C$154)</f>
        <v>3128</v>
      </c>
      <c r="E42" s="75"/>
      <c r="F42" s="39">
        <f>(A42*B42)*'MATERIALES (2)'!$D$85</f>
        <v>16280.000000000002</v>
      </c>
      <c r="G42" s="38">
        <f t="shared" si="0"/>
        <v>67791.947500000009</v>
      </c>
      <c r="H42" s="49">
        <f t="shared" si="1"/>
        <v>136205.45878097814</v>
      </c>
      <c r="L42" s="249" t="s">
        <v>575</v>
      </c>
      <c r="M42" s="246">
        <f t="shared" si="2"/>
        <v>136205.45878097814</v>
      </c>
      <c r="N42" s="252">
        <f>(+'HERR CORREDIZA'!K42+H42)</f>
        <v>160758.31076916188</v>
      </c>
      <c r="O42" s="246">
        <f>+Rejas!F42</f>
        <v>97240</v>
      </c>
    </row>
    <row r="43" spans="1:15" ht="16.5" thickBot="1">
      <c r="A43" s="42">
        <v>2</v>
      </c>
      <c r="B43" s="37">
        <v>1.2</v>
      </c>
      <c r="C43" s="38">
        <f>((((A43*2)+(B43*2))*'MATERIALES (2)'!$C$18)+(((A43*2)+(B43*2))*'MATERIALES (2)'!$C$11))*'MATERIALES (2)'!$F$1</f>
        <v>49944.72</v>
      </c>
      <c r="D43" s="38">
        <f>(((4*2)*4)*'MATERIALES (2)'!$C$134)+(4*'MATERIALES (2)'!$C$135)+(((A43*2)+(B43*2))*'MATERIALES (2)'!$C$154)</f>
        <v>3176</v>
      </c>
      <c r="E43" s="75"/>
      <c r="F43" s="39">
        <f>(A43*B43)*'MATERIALES (2)'!$D$85</f>
        <v>17760</v>
      </c>
      <c r="G43" s="38">
        <f t="shared" si="0"/>
        <v>70880.72</v>
      </c>
      <c r="H43" s="49">
        <f t="shared" si="1"/>
        <v>143051.46547230001</v>
      </c>
      <c r="L43" s="249" t="s">
        <v>576</v>
      </c>
      <c r="M43" s="246">
        <f t="shared" si="2"/>
        <v>143051.46547230001</v>
      </c>
      <c r="N43" s="252">
        <f>(+'HERR CORREDIZA'!K43+H43)</f>
        <v>169762.72035145498</v>
      </c>
      <c r="O43" s="246">
        <f>+Rejas!F43</f>
        <v>106080</v>
      </c>
    </row>
    <row r="44" spans="1:15" ht="16.5" thickBot="1">
      <c r="A44" s="42">
        <v>2</v>
      </c>
      <c r="B44" s="37">
        <v>1.5</v>
      </c>
      <c r="C44" s="38">
        <f>((((A44*2)+(B44*2))*'MATERIALES (2)'!$C$18)+(((A44*2)+(B44*2))*'MATERIALES (2)'!$C$11))*'MATERIALES (2)'!$F$1</f>
        <v>54627.037499999999</v>
      </c>
      <c r="D44" s="38">
        <f>(((4*2)*4)*'MATERIALES (2)'!$C$134)+(4*'MATERIALES (2)'!$C$135)+(((A44*2)+(B44*2))*'MATERIALES (2)'!$C$154)</f>
        <v>3320</v>
      </c>
      <c r="E44" s="75"/>
      <c r="F44" s="39">
        <f>(A44*B44)*'MATERIALES (2)'!$D$85</f>
        <v>22200</v>
      </c>
      <c r="G44" s="38">
        <f t="shared" si="0"/>
        <v>80147.037500000006</v>
      </c>
      <c r="H44" s="49">
        <f t="shared" si="1"/>
        <v>163589.48554626561</v>
      </c>
      <c r="L44" s="249" t="s">
        <v>577</v>
      </c>
      <c r="M44" s="246">
        <f t="shared" si="2"/>
        <v>163589.48554626561</v>
      </c>
      <c r="N44" s="252">
        <f>(+'HERR CORREDIZA'!K44+H44)</f>
        <v>196775.94909833444</v>
      </c>
      <c r="O44" s="246">
        <f>+Rejas!F44</f>
        <v>132600</v>
      </c>
    </row>
    <row r="45" spans="1:15" ht="16.5" thickBot="1">
      <c r="A45" s="42">
        <v>2</v>
      </c>
      <c r="B45" s="37">
        <v>1.8</v>
      </c>
      <c r="C45" s="38">
        <f>((((A45*2)+(B45*2))*'MATERIALES (2)'!$C$18)+(((A45*2)+(B45*2))*'MATERIALES (2)'!$C$11))*'MATERIALES (2)'!$F$1</f>
        <v>59309.354999999996</v>
      </c>
      <c r="D45" s="38">
        <f>(((4*2)*4)*'MATERIALES (2)'!$C$134)+(4*'MATERIALES (2)'!$C$135)+(((A45*2)+(B45*2))*'MATERIALES (2)'!$C$154)</f>
        <v>3464</v>
      </c>
      <c r="E45" s="75"/>
      <c r="F45" s="39">
        <f>(A45*B45)*'MATERIALES (2)'!$D$85</f>
        <v>26640</v>
      </c>
      <c r="G45" s="38">
        <f t="shared" si="0"/>
        <v>89413.354999999996</v>
      </c>
      <c r="H45" s="49">
        <f t="shared" si="1"/>
        <v>184127.5056202313</v>
      </c>
      <c r="L45" s="249" t="s">
        <v>578</v>
      </c>
      <c r="M45" s="285">
        <f t="shared" si="2"/>
        <v>184127.5056202313</v>
      </c>
      <c r="N45" s="252">
        <f>(+'HERR CORREDIZA'!K45+H45)</f>
        <v>223789.17784521377</v>
      </c>
      <c r="O45" s="285">
        <f>+Rejas!F45</f>
        <v>159120</v>
      </c>
    </row>
    <row r="46" spans="1:15" ht="15.75" thickBot="1">
      <c r="A46" s="42"/>
      <c r="B46" s="37"/>
      <c r="C46" s="38">
        <f>((((A46*2)+(B46*2))*'MATERIALES (2)'!$C$18)+(((A46*2)+(B46*2))*'MATERIALES (2)'!$C$11))*'MATERIALES (2)'!$F$1</f>
        <v>0</v>
      </c>
      <c r="D46" s="38">
        <f>(((4*2)*4)*'MATERIALES (2)'!$C$134)+(4*'MATERIALES (2)'!$C$135)+(((A46*2)+(B46*2))*'MATERIALES (2)'!$C$154)</f>
        <v>1640</v>
      </c>
      <c r="E46" s="75"/>
      <c r="F46" s="39">
        <f>(A46*B46)*'MATERIALES (2)'!$D$85</f>
        <v>0</v>
      </c>
      <c r="G46" s="38">
        <f t="shared" si="0"/>
        <v>1640</v>
      </c>
      <c r="H46" s="49">
        <f t="shared" si="1"/>
        <v>2953.5313500000002</v>
      </c>
    </row>
    <row r="47" spans="1:15" ht="15.75" thickBot="1">
      <c r="A47" s="42"/>
      <c r="B47" s="37"/>
      <c r="C47" s="38">
        <f>((((A47*2)+(B47*2))*'MATERIALES (2)'!$C$18)+(((A47*2)+(B47*2))*'MATERIALES (2)'!$C$11))*'MATERIALES (2)'!$F$1</f>
        <v>0</v>
      </c>
      <c r="D47" s="38">
        <f>(((4*2)*4)*'MATERIALES (2)'!$C$134)+(4*'MATERIALES (2)'!$C$135)+(((A47*2)+(B47*2))*'MATERIALES (2)'!$C$154)</f>
        <v>1640</v>
      </c>
      <c r="E47" s="75"/>
      <c r="F47" s="39">
        <f>(A47*B47)*'MATERIALES (2)'!$D$85</f>
        <v>0</v>
      </c>
      <c r="G47" s="38">
        <f t="shared" si="0"/>
        <v>1640</v>
      </c>
      <c r="H47" s="49">
        <f t="shared" si="1"/>
        <v>2953.5313500000002</v>
      </c>
    </row>
    <row r="48" spans="1:15" ht="15.75" thickBot="1">
      <c r="A48" s="42"/>
      <c r="B48" s="37"/>
      <c r="C48" s="38">
        <f>((((A48*2)+(B48*2))*'MATERIALES (2)'!$C$18)+(((A48*2)+(B48*2))*'MATERIALES (2)'!$C$11))*'MATERIALES (2)'!$F$1</f>
        <v>0</v>
      </c>
      <c r="D48" s="38">
        <f>(((4*2)*4)*'MATERIALES (2)'!$C$134)+(4*'MATERIALES (2)'!$C$135)+(((A48*2)+(B48*2))*'MATERIALES (2)'!$C$154)</f>
        <v>1640</v>
      </c>
      <c r="E48" s="75"/>
      <c r="F48" s="39">
        <f>(A48*B48)*'MATERIALES (2)'!$D$85</f>
        <v>0</v>
      </c>
      <c r="G48" s="38">
        <f t="shared" si="0"/>
        <v>1640</v>
      </c>
      <c r="H48" s="49">
        <f t="shared" si="1"/>
        <v>2953.5313500000002</v>
      </c>
    </row>
    <row r="49" spans="1:8" ht="15.75" thickBot="1">
      <c r="A49" s="42">
        <v>2.2000000000000002</v>
      </c>
      <c r="B49" s="37">
        <v>1</v>
      </c>
      <c r="C49" s="38">
        <f>((((A49*2)+(B49*2))*'MATERIALES (2)'!$C$18)+(((A49*2)+(B49*2))*'MATERIALES (2)'!$C$11))*'MATERIALES (2)'!$F$1</f>
        <v>49944.72</v>
      </c>
      <c r="D49" s="38">
        <f>(((4*2)*4)*'MATERIALES (2)'!$C$134)+(4*'MATERIALES (2)'!$C$135)+(((A49*2)+(B49*2))*'MATERIALES (2)'!$C$154)</f>
        <v>3176</v>
      </c>
      <c r="E49" s="75"/>
      <c r="F49" s="39">
        <f>(A49*B49)*'MATERIALES (2)'!$D$85</f>
        <v>16280.000000000002</v>
      </c>
      <c r="G49" s="38">
        <f t="shared" si="0"/>
        <v>69400.72</v>
      </c>
      <c r="H49" s="49">
        <f t="shared" si="1"/>
        <v>139102.75147230001</v>
      </c>
    </row>
    <row r="50" spans="1:8" ht="15.75" thickBot="1">
      <c r="A50" s="42">
        <v>2.2000000000000002</v>
      </c>
      <c r="B50" s="37">
        <v>1.2</v>
      </c>
      <c r="C50" s="38">
        <f>((((A50*2)+(B50*2))*'MATERIALES (2)'!$C$18)+(((A50*2)+(B50*2))*'MATERIALES (2)'!$C$11))*'MATERIALES (2)'!$F$1</f>
        <v>53066.265000000007</v>
      </c>
      <c r="D50" s="38">
        <f>(((4*2)*4)*'MATERIALES (2)'!$C$134)+(4*'MATERIALES (2)'!$C$135)+(((A50*2)+(B50*2))*'MATERIALES (2)'!$C$154)</f>
        <v>3272</v>
      </c>
      <c r="E50" s="75"/>
      <c r="F50" s="39">
        <f>(A50*B50)*'MATERIALES (2)'!$D$85</f>
        <v>19536</v>
      </c>
      <c r="G50" s="38">
        <f t="shared" si="0"/>
        <v>75874.265000000014</v>
      </c>
      <c r="H50" s="49">
        <f t="shared" si="1"/>
        <v>153584.50765494377</v>
      </c>
    </row>
    <row r="51" spans="1:8" ht="15.75" thickBot="1">
      <c r="A51" s="42">
        <v>2.2000000000000002</v>
      </c>
      <c r="B51" s="37">
        <v>1.5</v>
      </c>
      <c r="C51" s="38">
        <f>((((A51*2)+(B51*2))*'MATERIALES (2)'!$C$18)+(((A51*2)+(B51*2))*'MATERIALES (2)'!$C$11))*'MATERIALES (2)'!$F$1</f>
        <v>57748.582500000011</v>
      </c>
      <c r="D51" s="38">
        <f>(((4*2)*4)*'MATERIALES (2)'!$C$134)+(4*'MATERIALES (2)'!$C$135)+(((A51*2)+(B51*2))*'MATERIALES (2)'!$C$154)</f>
        <v>3416</v>
      </c>
      <c r="E51" s="75"/>
      <c r="F51" s="39">
        <f>(A51*B51)*'MATERIALES (2)'!$D$85</f>
        <v>24420.000000000004</v>
      </c>
      <c r="G51" s="38">
        <f t="shared" si="0"/>
        <v>85584.582500000019</v>
      </c>
      <c r="H51" s="49">
        <f t="shared" si="1"/>
        <v>175307.14192890938</v>
      </c>
    </row>
    <row r="52" spans="1:8" ht="15.75" thickBot="1">
      <c r="A52" s="42">
        <v>2.2000000000000002</v>
      </c>
      <c r="B52" s="37">
        <v>1.8</v>
      </c>
      <c r="C52" s="38">
        <f>((((A52*2)+(B52*2))*'MATERIALES (2)'!$C$18)+(((A52*2)+(B52*2))*'MATERIALES (2)'!$C$11))*'MATERIALES (2)'!$F$1</f>
        <v>62430.9</v>
      </c>
      <c r="D52" s="38">
        <f>(((4*2)*4)*'MATERIALES (2)'!$C$134)+(4*'MATERIALES (2)'!$C$135)+(((A52*2)+(B52*2))*'MATERIALES (2)'!$C$154)</f>
        <v>3560</v>
      </c>
      <c r="E52" s="75"/>
      <c r="F52" s="39">
        <f>(A52*B52)*'MATERIALES (2)'!$D$85</f>
        <v>29304.000000000004</v>
      </c>
      <c r="G52" s="38">
        <f t="shared" si="0"/>
        <v>95294.9</v>
      </c>
      <c r="H52" s="49">
        <f t="shared" si="1"/>
        <v>197029.77620287499</v>
      </c>
    </row>
    <row r="53" spans="1:8" ht="15.75" thickBot="1">
      <c r="A53" s="42">
        <v>2.4</v>
      </c>
      <c r="B53" s="37">
        <v>0.4</v>
      </c>
      <c r="C53" s="38">
        <f>((((A53*2)+(B53*2))*'MATERIALES (2)'!$C$18)+(((A53*2)+(B53*2))*'MATERIALES (2)'!$C$11))*'MATERIALES (2)'!$F$1</f>
        <v>43701.63</v>
      </c>
      <c r="D53" s="38">
        <f>(((4*2)*4)*'MATERIALES (2)'!$C$134)+(4*'MATERIALES (2)'!$C$135)+(((A53*2)+(B53*2))*'MATERIALES (2)'!$C$154)</f>
        <v>2984</v>
      </c>
      <c r="E53" s="75"/>
      <c r="F53" s="39">
        <f>(A53*B53)*'MATERIALES (2)'!$D$85</f>
        <v>7104</v>
      </c>
      <c r="G53" s="38">
        <f t="shared" si="0"/>
        <v>53789.63</v>
      </c>
      <c r="H53" s="49">
        <f t="shared" si="1"/>
        <v>103031.55390701251</v>
      </c>
    </row>
    <row r="54" spans="1:8" ht="15.75" thickBot="1">
      <c r="A54" s="42">
        <v>2.4</v>
      </c>
      <c r="B54" s="37">
        <v>0.6</v>
      </c>
      <c r="C54" s="38">
        <f>((((A54*2)+(B54*2))*'MATERIALES (2)'!$C$18)+(((A54*2)+(B54*2))*'MATERIALES (2)'!$C$11))*'MATERIALES (2)'!$F$1</f>
        <v>46823.175000000003</v>
      </c>
      <c r="D54" s="38">
        <f>(((4*2)*4)*'MATERIALES (2)'!$C$134)+(4*'MATERIALES (2)'!$C$135)+(((A54*2)+(B54*2))*'MATERIALES (2)'!$C$154)</f>
        <v>3080</v>
      </c>
      <c r="E54" s="75"/>
      <c r="F54" s="39">
        <f>(A54*B54)*'MATERIALES (2)'!$D$85</f>
        <v>10656</v>
      </c>
      <c r="G54" s="38">
        <f t="shared" si="0"/>
        <v>60559.175000000003</v>
      </c>
      <c r="H54" s="49">
        <f t="shared" si="1"/>
        <v>118303.05288965628</v>
      </c>
    </row>
    <row r="55" spans="1:8" ht="15.75" thickBot="1">
      <c r="A55" s="42">
        <v>2.4</v>
      </c>
      <c r="B55" s="37">
        <v>0.8</v>
      </c>
      <c r="C55" s="38">
        <f>((((A55*2)+(B55*2))*'MATERIALES (2)'!$C$18)+(((A55*2)+(B55*2))*'MATERIALES (2)'!$C$11))*'MATERIALES (2)'!$F$1</f>
        <v>49944.72</v>
      </c>
      <c r="D55" s="38">
        <f>(((4*2)*4)*'MATERIALES (2)'!$C$134)+(4*'MATERIALES (2)'!$C$135)+(((A55*2)+(B55*2))*'MATERIALES (2)'!$C$154)</f>
        <v>3176</v>
      </c>
      <c r="E55" s="75"/>
      <c r="F55" s="39">
        <f>(A55*B55)*'MATERIALES (2)'!$D$85</f>
        <v>14208</v>
      </c>
      <c r="G55" s="38">
        <f t="shared" si="0"/>
        <v>67328.72</v>
      </c>
      <c r="H55" s="49">
        <f t="shared" si="1"/>
        <v>133574.55187230001</v>
      </c>
    </row>
    <row r="56" spans="1:8" ht="15.75" thickBot="1">
      <c r="A56" s="42">
        <v>2.4</v>
      </c>
      <c r="B56" s="37">
        <v>1</v>
      </c>
      <c r="C56" s="38">
        <f>((((A56*2)+(B56*2))*'MATERIALES (2)'!$C$18)+(((A56*2)+(B56*2))*'MATERIALES (2)'!$C$11))*'MATERIALES (2)'!$F$1</f>
        <v>53066.264999999992</v>
      </c>
      <c r="D56" s="38">
        <f>(((4*2)*4)*'MATERIALES (2)'!$C$134)+(4*'MATERIALES (2)'!$C$135)+(((A56*2)+(B56*2))*'MATERIALES (2)'!$C$154)</f>
        <v>3272</v>
      </c>
      <c r="E56" s="75"/>
      <c r="F56" s="39">
        <f>(A56*B56)*'MATERIALES (2)'!$D$85</f>
        <v>17760</v>
      </c>
      <c r="G56" s="38">
        <f t="shared" si="0"/>
        <v>74098.264999999985</v>
      </c>
      <c r="H56" s="49">
        <f t="shared" si="1"/>
        <v>148846.05085494375</v>
      </c>
    </row>
    <row r="57" spans="1:8" ht="15.75" thickBot="1">
      <c r="A57" s="42">
        <v>2.4</v>
      </c>
      <c r="B57" s="37">
        <v>1.2</v>
      </c>
      <c r="C57" s="38">
        <f>((((A57*2)+(B57*2))*'MATERIALES (2)'!$C$18)+(((A57*2)+(B57*2))*'MATERIALES (2)'!$C$11))*'MATERIALES (2)'!$F$1</f>
        <v>56187.810000000005</v>
      </c>
      <c r="D57" s="38">
        <f>(((4*2)*4)*'MATERIALES (2)'!$C$134)+(4*'MATERIALES (2)'!$C$135)+(((A57*2)+(B57*2))*'MATERIALES (2)'!$C$154)</f>
        <v>3368</v>
      </c>
      <c r="E57" s="75"/>
      <c r="F57" s="39">
        <f>(A57*B57)*'MATERIALES (2)'!$D$85</f>
        <v>21312</v>
      </c>
      <c r="G57" s="38">
        <f t="shared" si="0"/>
        <v>80867.81</v>
      </c>
      <c r="H57" s="49">
        <f t="shared" si="1"/>
        <v>164117.54983758752</v>
      </c>
    </row>
    <row r="58" spans="1:8" ht="15.75" thickBot="1">
      <c r="A58" s="42">
        <v>2.4</v>
      </c>
      <c r="B58" s="37">
        <v>1.5</v>
      </c>
      <c r="C58" s="38">
        <f>((((A58*2)+(B58*2))*'MATERIALES (2)'!$C$18)+(((A58*2)+(B58*2))*'MATERIALES (2)'!$C$11))*'MATERIALES (2)'!$F$1</f>
        <v>60870.127500000002</v>
      </c>
      <c r="D58" s="38">
        <f>(((4*2)*4)*'MATERIALES (2)'!$C$134)+(4*'MATERIALES (2)'!$C$135)+(((A58*2)+(B58*2))*'MATERIALES (2)'!$C$154)</f>
        <v>3512</v>
      </c>
      <c r="E58" s="75"/>
      <c r="F58" s="39">
        <f>(A58*B58)*'MATERIALES (2)'!$D$85</f>
        <v>26639.999999999996</v>
      </c>
      <c r="G58" s="38">
        <f t="shared" si="0"/>
        <v>91022.127500000002</v>
      </c>
      <c r="H58" s="49">
        <f t="shared" si="1"/>
        <v>187024.79831155314</v>
      </c>
    </row>
    <row r="59" spans="1:8" ht="15.75" thickBot="1">
      <c r="A59" s="44">
        <v>2.4</v>
      </c>
      <c r="B59" s="45">
        <v>1.8</v>
      </c>
      <c r="C59" s="50">
        <f>((((A59*2)+(B59*2))*'MATERIALES (2)'!$C$18)+(((A59*2)+(B59*2))*'MATERIALES (2)'!$C$11))*'MATERIALES (2)'!$F$1</f>
        <v>65552.445000000007</v>
      </c>
      <c r="D59" s="50">
        <f>(((4*2)*4)*'MATERIALES (2)'!$C$134)+(4*'MATERIALES (2)'!$C$135)+(((A59*2)+(B59*2))*'MATERIALES (2)'!$C$154)</f>
        <v>3656</v>
      </c>
      <c r="E59" s="76"/>
      <c r="F59" s="51">
        <f>(A59*B59)*'MATERIALES (2)'!$D$85</f>
        <v>31968.000000000004</v>
      </c>
      <c r="G59" s="50">
        <f t="shared" si="0"/>
        <v>101176.44500000001</v>
      </c>
      <c r="H59" s="49">
        <f t="shared" si="1"/>
        <v>209932.04678551879</v>
      </c>
    </row>
    <row r="62" spans="1:8" ht="15.75" thickBot="1"/>
    <row r="63" spans="1:8" ht="15.75" thickBot="1">
      <c r="A63" s="32"/>
      <c r="B63" s="32"/>
      <c r="C63" s="947">
        <v>1.4</v>
      </c>
      <c r="D63" s="948"/>
      <c r="E63" s="949"/>
      <c r="F63" s="728">
        <v>2</v>
      </c>
      <c r="G63" s="32"/>
      <c r="H63" s="46" t="s">
        <v>163</v>
      </c>
    </row>
    <row r="64" spans="1:8" ht="15.75" thickBot="1">
      <c r="A64" s="792" t="s">
        <v>193</v>
      </c>
      <c r="B64" s="793"/>
      <c r="C64" s="793"/>
      <c r="D64" s="793"/>
      <c r="E64" s="793"/>
      <c r="F64" s="793"/>
      <c r="G64" s="793"/>
      <c r="H64" s="794"/>
    </row>
    <row r="65" spans="1:8" ht="15.75" thickBot="1">
      <c r="A65" s="36" t="s">
        <v>116</v>
      </c>
      <c r="B65" s="36" t="s">
        <v>117</v>
      </c>
      <c r="C65" s="36" t="s">
        <v>162</v>
      </c>
      <c r="D65" s="36" t="s">
        <v>119</v>
      </c>
      <c r="E65" s="36" t="s">
        <v>120</v>
      </c>
      <c r="F65" s="36" t="s">
        <v>118</v>
      </c>
      <c r="G65" s="36" t="s">
        <v>121</v>
      </c>
      <c r="H65" s="36" t="s">
        <v>122</v>
      </c>
    </row>
    <row r="66" spans="1:8" ht="15.75" thickBot="1">
      <c r="A66" s="795"/>
      <c r="B66" s="796"/>
      <c r="C66" s="796"/>
      <c r="D66" s="796"/>
      <c r="E66" s="796"/>
      <c r="F66" s="796"/>
      <c r="G66" s="796"/>
      <c r="H66" s="797"/>
    </row>
    <row r="67" spans="1:8" ht="15.75" thickBot="1">
      <c r="A67" s="40">
        <v>1.2</v>
      </c>
      <c r="B67" s="41">
        <v>2</v>
      </c>
      <c r="C67" s="47">
        <f>((((A67*2)+(B67*2))*'MATERIALES (2)'!$C$18)+(((A67*4)+(B67*2))*'MATERIALES (2)'!$C$11)+(A67*'MATERIALES (2)'!$C$19)*'MATERIALES (2)'!$F$1)</f>
        <v>13552.736200000001</v>
      </c>
      <c r="D67" s="47">
        <f>(((4*2)*4)*'MATERIALES (2)'!$C$134)+(4*'MATERIALES (2)'!$C$135)+(((A67*2)+(B67*2))*'MATERIALES (2)'!$C$154)+((4*2)*'MATERIALES (2)'!$C$134)+(2*'MATERIALES (2)'!$C$164)</f>
        <v>4536</v>
      </c>
      <c r="E67" s="74"/>
      <c r="F67" s="48">
        <f>(A67*B67)*'MATERIALES (2)'!$D$85</f>
        <v>17760</v>
      </c>
      <c r="G67" s="47">
        <f>SUM(C67:F67)</f>
        <v>35848.736199999999</v>
      </c>
      <c r="H67" s="49">
        <f>((((SUM(C67:E67)*$C$63)+(F67*$F$63))*1.21)*1.05)*1.05</f>
        <v>81167.72483288699</v>
      </c>
    </row>
    <row r="68" spans="1:8" ht="15.75" thickBot="1">
      <c r="A68" s="42">
        <v>1.5</v>
      </c>
      <c r="B68" s="37">
        <v>2</v>
      </c>
      <c r="C68" s="38">
        <f>((((A68*2)+(B68*2))*'MATERIALES (2)'!$C$18)+(((A68*4)+(B68*2))*'MATERIALES (2)'!$C$11)+(A68*'MATERIALES (2)'!$C$19)*'MATERIALES (2)'!$F$1)</f>
        <v>16940.235249999998</v>
      </c>
      <c r="D68" s="38">
        <f>(((4*2)*4)*'MATERIALES (2)'!$C$134)+(4*'MATERIALES (2)'!$C$135)+(((A68*2)+(B68*2))*'MATERIALES (2)'!$C$154)+((4*2)*'MATERIALES (2)'!$C$134)+(2*'MATERIALES (2)'!$C$164)</f>
        <v>4680</v>
      </c>
      <c r="E68" s="75"/>
      <c r="F68" s="39">
        <f>(A68*B68)*'MATERIALES (2)'!$D$85</f>
        <v>22200</v>
      </c>
      <c r="G68" s="38">
        <f>SUM(C68:F68)</f>
        <v>43820.235249999998</v>
      </c>
      <c r="H68" s="49">
        <f t="shared" ref="H68:H72" si="3">((((SUM(C68:E68)*$C$63)+(F68*$F$63))*1.21)*1.05)*1.05</f>
        <v>99609.418061133765</v>
      </c>
    </row>
    <row r="69" spans="1:8" ht="15.75" thickBot="1">
      <c r="A69" s="42">
        <v>1.8</v>
      </c>
      <c r="B69" s="37">
        <v>2</v>
      </c>
      <c r="C69" s="38">
        <f>((((A69*2)+(B69*2))*'MATERIALES (2)'!$C$18)+(((A69*4)+(B69*2))*'MATERIALES (2)'!$C$11)+(A69*'MATERIALES (2)'!$C$19)*'MATERIALES (2)'!$F$1)</f>
        <v>20327.7343</v>
      </c>
      <c r="D69" s="38">
        <f>(((4*2)*4)*'MATERIALES (2)'!$C$134)+(4*'MATERIALES (2)'!$C$135)+(((A69*2)+(B69*2))*'MATERIALES (2)'!$C$154)+((4*2)*'MATERIALES (2)'!$C$134)+(2*'MATERIALES (2)'!$C$164)</f>
        <v>4824</v>
      </c>
      <c r="E69" s="75"/>
      <c r="F69" s="39">
        <f>(A69*B69)*'MATERIALES (2)'!$D$85</f>
        <v>26640</v>
      </c>
      <c r="G69" s="38">
        <f>SUM(C69:F69)</f>
        <v>51791.734299999996</v>
      </c>
      <c r="H69" s="49">
        <f t="shared" si="3"/>
        <v>118051.1112893805</v>
      </c>
    </row>
    <row r="70" spans="1:8" ht="15.75" thickBot="1">
      <c r="A70" s="42">
        <v>2</v>
      </c>
      <c r="B70" s="37">
        <v>2</v>
      </c>
      <c r="C70" s="38">
        <f>((((A70*2)+(B70*2))*'MATERIALES (2)'!$C$18)+(((A70*4)+(B70*2))*'MATERIALES (2)'!$C$11)+(A70*'MATERIALES (2)'!$C$19)*'MATERIALES (2)'!$F$1)</f>
        <v>22586.067000000003</v>
      </c>
      <c r="D70" s="38">
        <f>(((4*2)*4)*'MATERIALES (2)'!$C$134)+(4*'MATERIALES (2)'!$C$135)+(((A70*2)+(B70*2))*'MATERIALES (2)'!$C$154)+((4*2)*'MATERIALES (2)'!$C$134)+(2*'MATERIALES (2)'!$C$164)</f>
        <v>4920</v>
      </c>
      <c r="E70" s="75"/>
      <c r="F70" s="39">
        <f>(A70*B70)*'MATERIALES (2)'!$D$85</f>
        <v>29600</v>
      </c>
      <c r="G70" s="38">
        <f>SUM(C70:F70)</f>
        <v>57106.067000000003</v>
      </c>
      <c r="H70" s="49">
        <f t="shared" si="3"/>
        <v>130345.57344154501</v>
      </c>
    </row>
    <row r="71" spans="1:8" ht="15.75" thickBot="1">
      <c r="A71" s="42">
        <v>2.2000000000000002</v>
      </c>
      <c r="B71" s="37">
        <v>2</v>
      </c>
      <c r="C71" s="38">
        <f>((((A71*2)+(B71*2))*'MATERIALES (2)'!$C$18)+(((A71*4)+(B71*2))*'MATERIALES (2)'!$C$11)+(A71*'MATERIALES (2)'!$C$19)*'MATERIALES (2)'!$F$1)</f>
        <v>24844.399700000002</v>
      </c>
      <c r="D71" s="38">
        <f>(((4*2)*4)*'MATERIALES (2)'!$C$134)+(4*'MATERIALES (2)'!$C$135)+(((A71*2)+(B71*2))*'MATERIALES (2)'!$C$154)+((4*2)*'MATERIALES (2)'!$C$134)+(2*'MATERIALES (2)'!$C$164)</f>
        <v>5016</v>
      </c>
      <c r="E71" s="75"/>
      <c r="F71" s="39">
        <f>(A71*B71)*'MATERIALES (2)'!$D$85</f>
        <v>32560.000000000004</v>
      </c>
      <c r="G71" s="38">
        <f t="shared" ref="G71:G72" si="4">SUM(C71:F71)</f>
        <v>62420.399700000009</v>
      </c>
      <c r="H71" s="49">
        <f t="shared" si="3"/>
        <v>142640.0355937095</v>
      </c>
    </row>
    <row r="72" spans="1:8" ht="15.75" thickBot="1">
      <c r="A72" s="44">
        <v>2.4</v>
      </c>
      <c r="B72" s="45">
        <v>2</v>
      </c>
      <c r="C72" s="50">
        <f>((((A72*2)+(B72*2))*'MATERIALES (2)'!$C$18)+(((A72*4)+(B72*2))*'MATERIALES (2)'!$C$11)+(A72*'MATERIALES (2)'!$C$19)*'MATERIALES (2)'!$F$1)</f>
        <v>27102.732400000001</v>
      </c>
      <c r="D72" s="50">
        <f>(((4*2)*4)*'MATERIALES (2)'!$C$134)+(4*'MATERIALES (2)'!$C$135)+(((A72*2)+(B72*2))*'MATERIALES (2)'!$C$154)+((4*2)*'MATERIALES (2)'!$C$134)+(2*'MATERIALES (2)'!$C$164)</f>
        <v>5112</v>
      </c>
      <c r="E72" s="76"/>
      <c r="F72" s="51">
        <f>(A72*B72)*'MATERIALES (2)'!$D$85</f>
        <v>35520</v>
      </c>
      <c r="G72" s="50">
        <f t="shared" si="4"/>
        <v>67734.732400000008</v>
      </c>
      <c r="H72" s="49">
        <f t="shared" si="3"/>
        <v>154934.49774587399</v>
      </c>
    </row>
  </sheetData>
  <mergeCells count="8">
    <mergeCell ref="R1:R11"/>
    <mergeCell ref="L3:O4"/>
    <mergeCell ref="A66:H66"/>
    <mergeCell ref="C2:E2"/>
    <mergeCell ref="A3:H3"/>
    <mergeCell ref="A5:H5"/>
    <mergeCell ref="C63:E63"/>
    <mergeCell ref="A64:H64"/>
  </mergeCells>
  <pageMargins left="0.70866141732283472" right="0.70866141732283472" top="0.74803149606299213" bottom="0.74803149606299213" header="0.31496062992125984" footer="0.31496062992125984"/>
  <pageSetup scale="85" orientation="portrait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5"/>
  <sheetViews>
    <sheetView zoomScale="90" zoomScaleNormal="90" workbookViewId="0">
      <selection activeCell="A26" sqref="A26:XFD95"/>
    </sheetView>
  </sheetViews>
  <sheetFormatPr baseColWidth="10" defaultRowHeight="15"/>
  <cols>
    <col min="1" max="1" width="4.85546875" customWidth="1"/>
    <col min="2" max="3" width="16.5703125" customWidth="1"/>
    <col min="4" max="4" width="16.42578125" customWidth="1"/>
    <col min="5" max="5" width="16.5703125" customWidth="1"/>
    <col min="6" max="6" width="7.28515625" customWidth="1"/>
    <col min="7" max="7" width="2.140625" customWidth="1"/>
    <col min="8" max="8" width="11.140625" customWidth="1"/>
    <col min="9" max="9" width="12.140625" bestFit="1" customWidth="1"/>
  </cols>
  <sheetData>
    <row r="2" spans="1:9" ht="15" customHeight="1" thickBot="1">
      <c r="C2" s="32"/>
      <c r="D2" s="32"/>
      <c r="E2" s="32"/>
      <c r="F2" s="32"/>
      <c r="G2" s="32"/>
      <c r="H2" s="32"/>
    </row>
    <row r="3" spans="1:9" ht="23.25" customHeight="1" thickBot="1">
      <c r="C3" s="32"/>
      <c r="D3" s="32"/>
      <c r="E3" s="32"/>
      <c r="F3" s="32"/>
      <c r="G3" s="32"/>
      <c r="H3" s="944" t="s">
        <v>664</v>
      </c>
    </row>
    <row r="4" spans="1:9" ht="15" customHeight="1">
      <c r="B4" s="861" t="s">
        <v>927</v>
      </c>
      <c r="C4" s="876"/>
      <c r="D4" s="876"/>
      <c r="E4" s="862"/>
      <c r="F4" s="627"/>
      <c r="G4" s="627"/>
      <c r="H4" s="945"/>
    </row>
    <row r="5" spans="1:9" ht="33" customHeight="1" thickBot="1">
      <c r="A5" s="137"/>
      <c r="B5" s="865"/>
      <c r="C5" s="877"/>
      <c r="D5" s="877"/>
      <c r="E5" s="866"/>
      <c r="F5" s="627"/>
      <c r="G5" s="627"/>
      <c r="H5" s="945"/>
      <c r="I5" s="32"/>
    </row>
    <row r="6" spans="1:9" ht="19.5" thickBot="1">
      <c r="B6" s="240" t="s">
        <v>534</v>
      </c>
      <c r="C6" s="240" t="s">
        <v>860</v>
      </c>
      <c r="D6" s="240" t="s">
        <v>861</v>
      </c>
      <c r="E6" s="382" t="s">
        <v>663</v>
      </c>
      <c r="F6" s="242"/>
      <c r="G6" s="242"/>
      <c r="H6" s="945"/>
    </row>
    <row r="7" spans="1:9" ht="18.75">
      <c r="B7" s="260" t="s">
        <v>546</v>
      </c>
      <c r="C7" s="278" t="s">
        <v>594</v>
      </c>
      <c r="D7" s="281" t="s">
        <v>603</v>
      </c>
      <c r="E7" s="278">
        <f>(I35+D79+I58)</f>
        <v>105857.908088675</v>
      </c>
      <c r="F7" s="242"/>
      <c r="G7" s="242"/>
      <c r="H7" s="945"/>
    </row>
    <row r="8" spans="1:9" ht="15.75">
      <c r="B8" s="262" t="s">
        <v>553</v>
      </c>
      <c r="C8" s="246" t="s">
        <v>594</v>
      </c>
      <c r="D8" s="247" t="s">
        <v>543</v>
      </c>
      <c r="E8" s="246">
        <f>(I36+D79+I59)</f>
        <v>112569.59383867502</v>
      </c>
      <c r="F8" s="248"/>
      <c r="G8" s="248"/>
      <c r="H8" s="945"/>
    </row>
    <row r="9" spans="1:9" ht="15.75">
      <c r="B9" s="262" t="s">
        <v>553</v>
      </c>
      <c r="C9" s="246" t="s">
        <v>603</v>
      </c>
      <c r="D9" s="247" t="s">
        <v>603</v>
      </c>
      <c r="E9" s="246">
        <f>(I37+D79+I60)</f>
        <v>113789.32018867499</v>
      </c>
      <c r="F9" s="248"/>
      <c r="G9" s="248"/>
      <c r="H9" s="945"/>
    </row>
    <row r="10" spans="1:9" ht="15.75">
      <c r="B10" s="262" t="s">
        <v>561</v>
      </c>
      <c r="C10" s="246" t="s">
        <v>599</v>
      </c>
      <c r="D10" s="247" t="s">
        <v>546</v>
      </c>
      <c r="E10" s="246">
        <f>(I38+D79+I61)</f>
        <v>123246.98563867502</v>
      </c>
      <c r="F10" s="248"/>
      <c r="G10" s="248"/>
      <c r="H10" s="945"/>
    </row>
    <row r="11" spans="1:9" ht="15.75">
      <c r="B11" s="262" t="s">
        <v>567</v>
      </c>
      <c r="C11" s="246" t="s">
        <v>603</v>
      </c>
      <c r="D11" s="247" t="s">
        <v>553</v>
      </c>
      <c r="E11" s="246">
        <f>(I39+D79+I62)</f>
        <v>133924.37743867497</v>
      </c>
      <c r="F11" s="248"/>
      <c r="G11" s="248"/>
      <c r="H11" s="945"/>
    </row>
    <row r="12" spans="1:9" ht="15.75">
      <c r="B12" s="262" t="s">
        <v>573</v>
      </c>
      <c r="C12" s="246" t="s">
        <v>599</v>
      </c>
      <c r="D12" s="247" t="s">
        <v>561</v>
      </c>
      <c r="E12" s="246">
        <f>(I40+D79+I63)</f>
        <v>140026.200013675</v>
      </c>
      <c r="F12" s="248"/>
      <c r="G12" s="248"/>
      <c r="H12" s="945"/>
    </row>
    <row r="13" spans="1:9" ht="16.5" thickBot="1">
      <c r="B13" s="262" t="s">
        <v>548</v>
      </c>
      <c r="C13" s="246" t="s">
        <v>651</v>
      </c>
      <c r="D13" s="247" t="s">
        <v>653</v>
      </c>
      <c r="E13" s="246">
        <f>(I41+D80+I64)</f>
        <v>133055.95557817814</v>
      </c>
      <c r="F13" s="248"/>
      <c r="G13" s="248"/>
      <c r="H13" s="946"/>
    </row>
    <row r="14" spans="1:9" ht="15.75">
      <c r="B14" s="263" t="s">
        <v>555</v>
      </c>
      <c r="C14" s="246" t="s">
        <v>651</v>
      </c>
      <c r="D14" s="247" t="s">
        <v>862</v>
      </c>
      <c r="E14" s="246">
        <f>(I42+D80+I65)</f>
        <v>140655.64132817814</v>
      </c>
      <c r="F14" s="248"/>
      <c r="G14" s="248"/>
    </row>
    <row r="15" spans="1:9" ht="15.75">
      <c r="B15" s="263" t="s">
        <v>555</v>
      </c>
      <c r="C15" s="246" t="s">
        <v>653</v>
      </c>
      <c r="D15" s="247" t="s">
        <v>653</v>
      </c>
      <c r="E15" s="246">
        <f>(I43+D80+I66)</f>
        <v>141875.36767817813</v>
      </c>
      <c r="F15" s="252"/>
      <c r="G15" s="252"/>
    </row>
    <row r="16" spans="1:9" ht="15.75">
      <c r="B16" s="263" t="s">
        <v>563</v>
      </c>
      <c r="C16" s="246" t="s">
        <v>652</v>
      </c>
      <c r="D16" s="247" t="s">
        <v>548</v>
      </c>
      <c r="E16" s="246">
        <f>(I44+D80+I67)</f>
        <v>152665.03312817815</v>
      </c>
      <c r="F16" s="252"/>
      <c r="G16" s="252"/>
    </row>
    <row r="17" spans="1:9" ht="15.75">
      <c r="B17" s="263" t="s">
        <v>569</v>
      </c>
      <c r="C17" s="246" t="s">
        <v>653</v>
      </c>
      <c r="D17" s="247" t="s">
        <v>555</v>
      </c>
      <c r="E17" s="246">
        <f>(I45+D80+I68)</f>
        <v>164674.42492817811</v>
      </c>
      <c r="F17" s="252"/>
      <c r="G17" s="252"/>
    </row>
    <row r="18" spans="1:9" ht="15.75">
      <c r="B18" s="263" t="s">
        <v>575</v>
      </c>
      <c r="C18" s="246" t="s">
        <v>652</v>
      </c>
      <c r="D18" s="247" t="s">
        <v>563</v>
      </c>
      <c r="E18" s="246">
        <f>(I46+D80+I69)</f>
        <v>171664.24750317814</v>
      </c>
      <c r="F18" s="252"/>
      <c r="G18" s="252"/>
    </row>
    <row r="19" spans="1:9" ht="15.75">
      <c r="B19" s="263" t="s">
        <v>557</v>
      </c>
      <c r="C19" s="246" t="s">
        <v>597</v>
      </c>
      <c r="D19" s="247" t="s">
        <v>606</v>
      </c>
      <c r="E19" s="246">
        <f>(I47+D81+I70)</f>
        <v>169320.01889751563</v>
      </c>
      <c r="F19" s="252"/>
      <c r="G19" s="252"/>
    </row>
    <row r="20" spans="1:9" ht="15.75">
      <c r="B20" s="263" t="s">
        <v>557</v>
      </c>
      <c r="C20" s="246" t="s">
        <v>606</v>
      </c>
      <c r="D20" s="247" t="s">
        <v>606</v>
      </c>
      <c r="E20" s="246">
        <f>(I48+D81+I71)</f>
        <v>179323.43099751562</v>
      </c>
      <c r="F20" s="252"/>
      <c r="G20" s="252"/>
    </row>
    <row r="21" spans="1:9" ht="15.75">
      <c r="B21" s="263" t="s">
        <v>565</v>
      </c>
      <c r="C21" s="246" t="s">
        <v>602</v>
      </c>
      <c r="D21" s="247" t="s">
        <v>550</v>
      </c>
      <c r="E21" s="246">
        <f>(I49+D81+I72)</f>
        <v>191889.09644751559</v>
      </c>
      <c r="F21" s="252"/>
      <c r="G21" s="252"/>
    </row>
    <row r="22" spans="1:9" ht="15.75">
      <c r="B22" s="263" t="s">
        <v>571</v>
      </c>
      <c r="C22" s="246" t="s">
        <v>606</v>
      </c>
      <c r="D22" s="247" t="s">
        <v>557</v>
      </c>
      <c r="E22" s="246">
        <f>(I50+D81+I73)</f>
        <v>205674.48824751563</v>
      </c>
      <c r="F22" s="252"/>
      <c r="G22" s="252"/>
    </row>
    <row r="23" spans="1:9" ht="16.5" thickBot="1">
      <c r="B23" s="615" t="s">
        <v>577</v>
      </c>
      <c r="C23" s="285" t="s">
        <v>602</v>
      </c>
      <c r="D23" s="625" t="s">
        <v>565</v>
      </c>
      <c r="E23" s="285">
        <f>(I51+D81+I74)</f>
        <v>213848.31082251563</v>
      </c>
      <c r="F23" s="252"/>
      <c r="G23" s="252"/>
    </row>
    <row r="26" spans="1:9" hidden="1"/>
    <row r="27" spans="1:9" hidden="1"/>
    <row r="28" spans="1:9" hidden="1"/>
    <row r="29" spans="1:9" hidden="1"/>
    <row r="30" spans="1:9" ht="15.75" hidden="1" thickBot="1"/>
    <row r="31" spans="1:9" ht="15.75" hidden="1" thickBot="1">
      <c r="A31" s="32"/>
      <c r="B31" s="32"/>
      <c r="C31" s="947">
        <v>1.35</v>
      </c>
      <c r="D31" s="948"/>
      <c r="E31" s="949"/>
      <c r="F31" s="728">
        <v>2</v>
      </c>
      <c r="G31" s="121"/>
      <c r="H31" s="32"/>
      <c r="I31" s="46" t="s">
        <v>163</v>
      </c>
    </row>
    <row r="32" spans="1:9" ht="15.75" hidden="1" thickBot="1">
      <c r="A32" s="792" t="s">
        <v>192</v>
      </c>
      <c r="B32" s="793"/>
      <c r="C32" s="793"/>
      <c r="D32" s="793"/>
      <c r="E32" s="793"/>
      <c r="F32" s="793"/>
      <c r="G32" s="793"/>
      <c r="H32" s="793"/>
      <c r="I32" s="794"/>
    </row>
    <row r="33" spans="1:9" ht="15.75" hidden="1" thickBot="1">
      <c r="A33" s="36" t="s">
        <v>116</v>
      </c>
      <c r="B33" s="36" t="s">
        <v>117</v>
      </c>
      <c r="C33" s="36" t="s">
        <v>162</v>
      </c>
      <c r="D33" s="36" t="s">
        <v>119</v>
      </c>
      <c r="E33" s="36" t="s">
        <v>120</v>
      </c>
      <c r="F33" s="36" t="s">
        <v>118</v>
      </c>
      <c r="G33" s="36"/>
      <c r="H33" s="36" t="s">
        <v>121</v>
      </c>
      <c r="I33" s="36" t="s">
        <v>122</v>
      </c>
    </row>
    <row r="34" spans="1:9" ht="15.75" hidden="1" thickBot="1">
      <c r="A34" s="795"/>
      <c r="B34" s="796"/>
      <c r="C34" s="796"/>
      <c r="D34" s="796"/>
      <c r="E34" s="796"/>
      <c r="F34" s="796"/>
      <c r="G34" s="796"/>
      <c r="H34" s="796"/>
      <c r="I34" s="797"/>
    </row>
    <row r="35" spans="1:9" hidden="1">
      <c r="A35" s="40">
        <v>0.6</v>
      </c>
      <c r="B35" s="41">
        <v>0.8</v>
      </c>
      <c r="C35" s="47">
        <f>((((A35*2)+(B35*2))*'MATERIALES (2)'!$C$18)+(((A35*2)+(B35*2))*'MATERIALES (2)'!$C$11))*'MATERIALES (2)'!$F$1</f>
        <v>21850.814999999999</v>
      </c>
      <c r="D35" s="47">
        <f>(((4*2)*4)*'MATERIALES (2)'!$C$134)+(4*'MATERIALES (2)'!$C$135)+(((A35*2)+(B35*2))*'MATERIALES (2)'!$C$154)</f>
        <v>2312</v>
      </c>
      <c r="E35" s="74"/>
      <c r="F35" s="48">
        <f>(A35*B35)*'MATERIALES (2)'!$D$85</f>
        <v>3552</v>
      </c>
      <c r="G35" s="48"/>
      <c r="H35" s="47">
        <f>SUM(C35:F35)</f>
        <v>27714.814999999999</v>
      </c>
      <c r="I35" s="49">
        <f t="shared" ref="I35:I40" si="0">(SUM(C35:E35)*$C$31)+(F35*$F$31)</f>
        <v>39723.80025</v>
      </c>
    </row>
    <row r="36" spans="1:9" hidden="1">
      <c r="A36" s="42">
        <v>0.8</v>
      </c>
      <c r="B36" s="37">
        <v>0.8</v>
      </c>
      <c r="C36" s="38">
        <f>((((A36*2)+(B36*2))*'MATERIALES (2)'!$C$18)+(((A36*2)+(B36*2))*'MATERIALES (2)'!$C$11))*'MATERIALES (2)'!$F$1</f>
        <v>24972.36</v>
      </c>
      <c r="D36" s="38">
        <f>(((4*2)*4)*'MATERIALES (2)'!$C$134)+(4*'MATERIALES (2)'!$C$135)+(((A36*2)+(B36*2))*'MATERIALES (2)'!$C$154)</f>
        <v>2408</v>
      </c>
      <c r="E36" s="75"/>
      <c r="F36" s="39">
        <f>(A36*B36)*'MATERIALES (2)'!$D$85</f>
        <v>4736.0000000000009</v>
      </c>
      <c r="G36" s="39"/>
      <c r="H36" s="38">
        <f t="shared" ref="H36:H51" si="1">SUM(C36:F36)</f>
        <v>32116.36</v>
      </c>
      <c r="I36" s="43">
        <f t="shared" si="0"/>
        <v>46435.486000000004</v>
      </c>
    </row>
    <row r="37" spans="1:9" hidden="1">
      <c r="A37" s="42">
        <v>0.6</v>
      </c>
      <c r="B37" s="37">
        <v>0.8</v>
      </c>
      <c r="C37" s="38">
        <f>((((A37*2)+(B37*2))*'MATERIALES (2)'!$C$18)+(((A37*2)+(B37*2))*'MATERIALES (2)'!$C$11))*'MATERIALES (2)'!$F$1</f>
        <v>21850.814999999999</v>
      </c>
      <c r="D37" s="38">
        <f>(((4*2)*4)*'MATERIALES (2)'!$C$134)+(4*'MATERIALES (2)'!$C$135)+(((A37*2)+(B37*2))*'MATERIALES (2)'!$C$154)</f>
        <v>2312</v>
      </c>
      <c r="E37" s="75"/>
      <c r="F37" s="39">
        <f>(A37*B37)*'MATERIALES (2)'!$D$85</f>
        <v>3552</v>
      </c>
      <c r="G37" s="39"/>
      <c r="H37" s="38">
        <f t="shared" si="1"/>
        <v>27714.814999999999</v>
      </c>
      <c r="I37" s="43">
        <f t="shared" si="0"/>
        <v>39723.80025</v>
      </c>
    </row>
    <row r="38" spans="1:9" hidden="1">
      <c r="A38" s="42">
        <v>1</v>
      </c>
      <c r="B38" s="37">
        <v>0.8</v>
      </c>
      <c r="C38" s="38">
        <f>((((A38*2)+(B38*2))*'MATERIALES (2)'!$C$18)+(((A38*2)+(B38*2))*'MATERIALES (2)'!$C$11))*'MATERIALES (2)'!$F$1</f>
        <v>28093.905000000002</v>
      </c>
      <c r="D38" s="38">
        <f>(((4*2)*4)*'MATERIALES (2)'!$C$134)+(4*'MATERIALES (2)'!$C$135)+(((A38*2)+(B38*2))*'MATERIALES (2)'!$C$154)</f>
        <v>2504</v>
      </c>
      <c r="E38" s="75"/>
      <c r="F38" s="39">
        <f>(A38*B38)*'MATERIALES (2)'!$D$85</f>
        <v>5920</v>
      </c>
      <c r="G38" s="39"/>
      <c r="H38" s="38">
        <f>SUM(C38:F38)</f>
        <v>36517.904999999999</v>
      </c>
      <c r="I38" s="43">
        <f t="shared" si="0"/>
        <v>53147.171750000009</v>
      </c>
    </row>
    <row r="39" spans="1:9" hidden="1">
      <c r="A39" s="42">
        <v>1.2</v>
      </c>
      <c r="B39" s="37">
        <v>0.8</v>
      </c>
      <c r="C39" s="38">
        <f>((((A39*2)+(B39*2))*'MATERIALES (2)'!$C$18)+(((A39*2)+(B39*2))*'MATERIALES (2)'!$C$11))*'MATERIALES (2)'!$F$1</f>
        <v>31215.45</v>
      </c>
      <c r="D39" s="38">
        <f>(((4*2)*4)*'MATERIALES (2)'!$C$134)+(4*'MATERIALES (2)'!$C$135)+(((A39*2)+(B39*2))*'MATERIALES (2)'!$C$154)</f>
        <v>2600</v>
      </c>
      <c r="E39" s="75"/>
      <c r="F39" s="39">
        <f>(A39*B39)*'MATERIALES (2)'!$D$85</f>
        <v>7104</v>
      </c>
      <c r="G39" s="39"/>
      <c r="H39" s="38">
        <f t="shared" si="1"/>
        <v>40919.449999999997</v>
      </c>
      <c r="I39" s="43">
        <f t="shared" si="0"/>
        <v>59858.857499999998</v>
      </c>
    </row>
    <row r="40" spans="1:9" hidden="1">
      <c r="A40" s="42">
        <v>1.5</v>
      </c>
      <c r="B40" s="37">
        <v>0.8</v>
      </c>
      <c r="C40" s="38">
        <f>((((A40*2)+(B40*2))*'MATERIALES (2)'!$C$18)+(((A40*2)+(B40*2))*'MATERIALES (2)'!$C$11))*'MATERIALES (2)'!$F$1</f>
        <v>35897.767499999994</v>
      </c>
      <c r="D40" s="38">
        <f>(((4*2)*4)*'MATERIALES (2)'!$C$134)+(4*'MATERIALES (2)'!$C$135)+(((A40*2)+(B40*2))*'MATERIALES (2)'!$C$154)</f>
        <v>2744</v>
      </c>
      <c r="E40" s="75"/>
      <c r="F40" s="39">
        <f>(A40*B40)*'MATERIALES (2)'!$D$85</f>
        <v>8880.0000000000018</v>
      </c>
      <c r="G40" s="39"/>
      <c r="H40" s="38">
        <f t="shared" si="1"/>
        <v>47521.767499999994</v>
      </c>
      <c r="I40" s="43">
        <f t="shared" si="0"/>
        <v>69926.386125000005</v>
      </c>
    </row>
    <row r="41" spans="1:9" hidden="1">
      <c r="A41" s="42">
        <v>0.6</v>
      </c>
      <c r="B41" s="37">
        <v>1.1000000000000001</v>
      </c>
      <c r="C41" s="38">
        <f>((((A41*2)+(B41*2))*'MATERIALES (2)'!$C$18)+(((A41*2)+(B41*2))*'MATERIALES (2)'!$C$11))*'MATERIALES (2)'!$F$1</f>
        <v>26533.132500000003</v>
      </c>
      <c r="D41" s="38">
        <f>(((4*2)*4)*'MATERIALES (2)'!$C$134)+(4*'MATERIALES (2)'!$C$135)+(((A41*2)+(B41*2))*'MATERIALES (2)'!$C$154)</f>
        <v>2456</v>
      </c>
      <c r="E41" s="75"/>
      <c r="F41" s="39">
        <f>(A41*B41)*'MATERIALES (2)'!$D$85</f>
        <v>4884</v>
      </c>
      <c r="G41" s="39"/>
      <c r="H41" s="38">
        <f t="shared" si="1"/>
        <v>33873.132500000007</v>
      </c>
      <c r="I41" s="43">
        <f t="shared" ref="I41:I50" si="2">(SUM(C41:E41)*$C$31)+(F41*$F$31)</f>
        <v>48903.328875000007</v>
      </c>
    </row>
    <row r="42" spans="1:9" hidden="1">
      <c r="A42" s="42">
        <v>0.8</v>
      </c>
      <c r="B42" s="37">
        <v>1.1000000000000001</v>
      </c>
      <c r="C42" s="38">
        <f>((((A42*2)+(B42*2))*'MATERIALES (2)'!$C$18)+(((A42*2)+(B42*2))*'MATERIALES (2)'!$C$11))*'MATERIALES (2)'!$F$1</f>
        <v>29654.677500000002</v>
      </c>
      <c r="D42" s="38">
        <f>(((4*2)*4)*'MATERIALES (2)'!$C$134)+(4*'MATERIALES (2)'!$C$135)+(((A42*2)+(B42*2))*'MATERIALES (2)'!$C$154)</f>
        <v>2552</v>
      </c>
      <c r="E42" s="75"/>
      <c r="F42" s="39">
        <f>(A42*B42)*'MATERIALES (2)'!$D$85</f>
        <v>6512.0000000000009</v>
      </c>
      <c r="G42" s="39"/>
      <c r="H42" s="38">
        <f t="shared" si="1"/>
        <v>38718.677500000005</v>
      </c>
      <c r="I42" s="43">
        <f t="shared" si="2"/>
        <v>56503.014625000003</v>
      </c>
    </row>
    <row r="43" spans="1:9" hidden="1">
      <c r="A43" s="42">
        <v>0.6</v>
      </c>
      <c r="B43" s="37">
        <v>1.1000000000000001</v>
      </c>
      <c r="C43" s="38">
        <f>((((A43*2)+(B43*2))*'MATERIALES (2)'!$C$18)+(((A43*2)+(B43*2))*'MATERIALES (2)'!$C$11))*'MATERIALES (2)'!$F$1</f>
        <v>26533.132500000003</v>
      </c>
      <c r="D43" s="38">
        <f>(((4*2)*4)*'MATERIALES (2)'!$C$134)+(4*'MATERIALES (2)'!$C$135)+(((A43*2)+(B43*2))*'MATERIALES (2)'!$C$154)</f>
        <v>2456</v>
      </c>
      <c r="E43" s="75"/>
      <c r="F43" s="39">
        <f>(A43*B43)*'MATERIALES (2)'!$D$85</f>
        <v>4884</v>
      </c>
      <c r="G43" s="39"/>
      <c r="H43" s="38">
        <f t="shared" si="1"/>
        <v>33873.132500000007</v>
      </c>
      <c r="I43" s="43">
        <f t="shared" si="2"/>
        <v>48903.328875000007</v>
      </c>
    </row>
    <row r="44" spans="1:9" hidden="1">
      <c r="A44" s="42">
        <v>1</v>
      </c>
      <c r="B44" s="37">
        <v>1.1000000000000001</v>
      </c>
      <c r="C44" s="38">
        <f>((((A44*2)+(B44*2))*'MATERIALES (2)'!$C$18)+(((A44*2)+(B44*2))*'MATERIALES (2)'!$C$11))*'MATERIALES (2)'!$F$1</f>
        <v>32776.222500000003</v>
      </c>
      <c r="D44" s="38">
        <f>(((4*2)*4)*'MATERIALES (2)'!$C$134)+(4*'MATERIALES (2)'!$C$135)+(((A44*2)+(B44*2))*'MATERIALES (2)'!$C$154)</f>
        <v>2648</v>
      </c>
      <c r="E44" s="75"/>
      <c r="F44" s="39">
        <f>(A44*B44)*'MATERIALES (2)'!$D$85</f>
        <v>8140.0000000000009</v>
      </c>
      <c r="G44" s="39"/>
      <c r="H44" s="38">
        <f t="shared" si="1"/>
        <v>43564.222500000003</v>
      </c>
      <c r="I44" s="43">
        <f t="shared" si="2"/>
        <v>64102.700375000008</v>
      </c>
    </row>
    <row r="45" spans="1:9" hidden="1">
      <c r="A45" s="42">
        <v>1.2</v>
      </c>
      <c r="B45" s="37">
        <v>1.1000000000000001</v>
      </c>
      <c r="C45" s="38">
        <f>((((A45*2)+(B45*2))*'MATERIALES (2)'!$C$18)+(((A45*2)+(B45*2))*'MATERIALES (2)'!$C$11))*'MATERIALES (2)'!$F$1</f>
        <v>35897.767499999994</v>
      </c>
      <c r="D45" s="38">
        <f>(((4*2)*4)*'MATERIALES (2)'!$C$134)+(4*'MATERIALES (2)'!$C$135)+(((A45*2)+(B45*2))*'MATERIALES (2)'!$C$154)</f>
        <v>2744</v>
      </c>
      <c r="E45" s="75"/>
      <c r="F45" s="39">
        <f>(A45*B45)*'MATERIALES (2)'!$D$85</f>
        <v>9768</v>
      </c>
      <c r="G45" s="39"/>
      <c r="H45" s="38">
        <f t="shared" si="1"/>
        <v>48409.767499999994</v>
      </c>
      <c r="I45" s="43">
        <f t="shared" si="2"/>
        <v>71702.38612499999</v>
      </c>
    </row>
    <row r="46" spans="1:9" hidden="1">
      <c r="A46" s="42">
        <v>1.5</v>
      </c>
      <c r="B46" s="37">
        <v>1.1000000000000001</v>
      </c>
      <c r="C46" s="38">
        <f>((((A46*2)+(B46*2))*'MATERIALES (2)'!$C$18)+(((A46*2)+(B46*2))*'MATERIALES (2)'!$C$11))*'MATERIALES (2)'!$F$1</f>
        <v>40580.085000000006</v>
      </c>
      <c r="D46" s="38">
        <f>(((4*2)*4)*'MATERIALES (2)'!$C$134)+(4*'MATERIALES (2)'!$C$135)+(((A46*2)+(B46*2))*'MATERIALES (2)'!$C$154)</f>
        <v>2888</v>
      </c>
      <c r="E46" s="75"/>
      <c r="F46" s="39">
        <f>(A46*B46)*'MATERIALES (2)'!$D$85</f>
        <v>12210.000000000002</v>
      </c>
      <c r="G46" s="39"/>
      <c r="H46" s="38">
        <f t="shared" si="1"/>
        <v>55678.085000000006</v>
      </c>
      <c r="I46" s="43">
        <f t="shared" si="2"/>
        <v>83101.914750000011</v>
      </c>
    </row>
    <row r="47" spans="1:9" hidden="1">
      <c r="A47" s="42">
        <v>0.6</v>
      </c>
      <c r="B47" s="37">
        <v>1.5</v>
      </c>
      <c r="C47" s="38">
        <f>((((A47*2)+(B47*2))*'MATERIALES (2)'!$C$18)+(((A47*2)+(B47*2))*'MATERIALES (2)'!$C$11))*'MATERIALES (2)'!$F$1</f>
        <v>32776.222500000003</v>
      </c>
      <c r="D47" s="38">
        <f>(((4*2)*4)*'MATERIALES (2)'!$C$134)+(4*'MATERIALES (2)'!$C$135)+(((A47*2)+(B47*2))*'MATERIALES (2)'!$C$154)</f>
        <v>2648</v>
      </c>
      <c r="E47" s="75"/>
      <c r="F47" s="39">
        <f>(A47*B47)*'MATERIALES (2)'!$D$85</f>
        <v>6659.9999999999991</v>
      </c>
      <c r="G47" s="39"/>
      <c r="H47" s="38">
        <f t="shared" si="1"/>
        <v>42084.222500000003</v>
      </c>
      <c r="I47" s="43">
        <f t="shared" si="2"/>
        <v>61142.700375000008</v>
      </c>
    </row>
    <row r="48" spans="1:9" hidden="1">
      <c r="A48" s="42">
        <v>0.6</v>
      </c>
      <c r="B48" s="37">
        <v>1.5</v>
      </c>
      <c r="C48" s="38">
        <f>((((A48*2)+(B48*2))*'MATERIALES (2)'!$C$18)+(((A48*2)+(B48*2))*'MATERIALES (2)'!$C$11))*'MATERIALES (2)'!$F$1</f>
        <v>32776.222500000003</v>
      </c>
      <c r="D48" s="38">
        <f>(((4*2)*4)*'MATERIALES (2)'!$C$134)+(4*'MATERIALES (2)'!$C$135)+(((A48*2)+(B48*2))*'MATERIALES (2)'!$C$154)</f>
        <v>2648</v>
      </c>
      <c r="E48" s="75"/>
      <c r="F48" s="39">
        <f>(A48*B48)*'MATERIALES (2)'!$D$85</f>
        <v>6659.9999999999991</v>
      </c>
      <c r="G48" s="39"/>
      <c r="H48" s="38">
        <f t="shared" si="1"/>
        <v>42084.222500000003</v>
      </c>
      <c r="I48" s="43">
        <f t="shared" si="2"/>
        <v>61142.700375000008</v>
      </c>
    </row>
    <row r="49" spans="1:9" hidden="1">
      <c r="A49" s="42">
        <v>1</v>
      </c>
      <c r="B49" s="37">
        <v>1.5</v>
      </c>
      <c r="C49" s="38">
        <f>((((A49*2)+(B49*2))*'MATERIALES (2)'!$C$18)+(((A49*2)+(B49*2))*'MATERIALES (2)'!$C$11))*'MATERIALES (2)'!$F$1</f>
        <v>39019.3125</v>
      </c>
      <c r="D49" s="38">
        <f>(((4*2)*4)*'MATERIALES (2)'!$C$134)+(4*'MATERIALES (2)'!$C$135)+(((A49*2)+(B49*2))*'MATERIALES (2)'!$C$154)</f>
        <v>2840</v>
      </c>
      <c r="E49" s="75"/>
      <c r="F49" s="39">
        <f>(A49*B49)*'MATERIALES (2)'!$D$85</f>
        <v>11100</v>
      </c>
      <c r="G49" s="39"/>
      <c r="H49" s="38">
        <f t="shared" si="1"/>
        <v>52959.3125</v>
      </c>
      <c r="I49" s="43">
        <f t="shared" si="2"/>
        <v>78710.071874999994</v>
      </c>
    </row>
    <row r="50" spans="1:9" hidden="1">
      <c r="A50" s="42">
        <v>1.2</v>
      </c>
      <c r="B50" s="37">
        <v>1.5</v>
      </c>
      <c r="C50" s="38">
        <f>((((A50*2)+(B50*2))*'MATERIALES (2)'!$C$18)+(((A50*2)+(B50*2))*'MATERIALES (2)'!$C$11))*'MATERIALES (2)'!$F$1</f>
        <v>42140.857500000006</v>
      </c>
      <c r="D50" s="38">
        <f>(((4*2)*4)*'MATERIALES (2)'!$C$134)+(4*'MATERIALES (2)'!$C$135)+(((A50*2)+(B50*2))*'MATERIALES (2)'!$C$154)</f>
        <v>2936</v>
      </c>
      <c r="E50" s="75"/>
      <c r="F50" s="39">
        <f>(A50*B50)*'MATERIALES (2)'!$D$85</f>
        <v>13319.999999999998</v>
      </c>
      <c r="G50" s="39"/>
      <c r="H50" s="38">
        <f t="shared" si="1"/>
        <v>58396.857500000006</v>
      </c>
      <c r="I50" s="43">
        <f t="shared" si="2"/>
        <v>87493.757625000013</v>
      </c>
    </row>
    <row r="51" spans="1:9" hidden="1">
      <c r="A51" s="42">
        <v>1.5</v>
      </c>
      <c r="B51" s="37">
        <v>1.5</v>
      </c>
      <c r="C51" s="38">
        <f>((((A51*2)+(B51*2))*'MATERIALES (2)'!$C$18)+(((A51*2)+(B51*2))*'MATERIALES (2)'!$C$11))*'MATERIALES (2)'!$F$1</f>
        <v>46823.175000000003</v>
      </c>
      <c r="D51" s="38">
        <f>(((4*2)*4)*'MATERIALES (2)'!$C$134)+(4*'MATERIALES (2)'!$C$135)+(((A51*2)+(B51*2))*'MATERIALES (2)'!$C$154)</f>
        <v>3080</v>
      </c>
      <c r="E51" s="75"/>
      <c r="F51" s="39">
        <f>(A51*B51)*'MATERIALES (2)'!$D$85</f>
        <v>16650</v>
      </c>
      <c r="G51" s="39"/>
      <c r="H51" s="38">
        <f t="shared" si="1"/>
        <v>66553.175000000003</v>
      </c>
      <c r="I51" s="43">
        <f>(SUM(C51:E51)*$C$31)+(F51*$F$31)</f>
        <v>100669.28625</v>
      </c>
    </row>
    <row r="52" spans="1:9" hidden="1"/>
    <row r="53" spans="1:9" ht="15.75" hidden="1" thickBot="1"/>
    <row r="54" spans="1:9" ht="15.75" hidden="1" thickBot="1">
      <c r="A54" s="32"/>
      <c r="B54" s="32"/>
      <c r="C54" s="807">
        <v>1.35</v>
      </c>
      <c r="D54" s="808"/>
      <c r="E54" s="809"/>
      <c r="F54" s="545">
        <v>2</v>
      </c>
      <c r="G54" s="676"/>
      <c r="H54" s="32"/>
      <c r="I54" s="46" t="s">
        <v>163</v>
      </c>
    </row>
    <row r="55" spans="1:9" ht="15.75" hidden="1" thickBot="1">
      <c r="A55" s="792" t="s">
        <v>183</v>
      </c>
      <c r="B55" s="793"/>
      <c r="C55" s="793"/>
      <c r="D55" s="793"/>
      <c r="E55" s="793"/>
      <c r="F55" s="793"/>
      <c r="G55" s="793"/>
      <c r="H55" s="793"/>
      <c r="I55" s="794"/>
    </row>
    <row r="56" spans="1:9" ht="15.75" hidden="1" thickBot="1">
      <c r="A56" s="36" t="s">
        <v>116</v>
      </c>
      <c r="B56" s="36" t="s">
        <v>117</v>
      </c>
      <c r="C56" s="36" t="s">
        <v>162</v>
      </c>
      <c r="D56" s="36" t="s">
        <v>119</v>
      </c>
      <c r="E56" s="36" t="s">
        <v>120</v>
      </c>
      <c r="F56" s="36" t="s">
        <v>118</v>
      </c>
      <c r="G56" s="36"/>
      <c r="H56" s="36" t="s">
        <v>121</v>
      </c>
      <c r="I56" s="36" t="s">
        <v>122</v>
      </c>
    </row>
    <row r="57" spans="1:9" ht="15.75" hidden="1" thickBot="1">
      <c r="A57" s="795"/>
      <c r="B57" s="796"/>
      <c r="C57" s="796"/>
      <c r="D57" s="796"/>
      <c r="E57" s="796"/>
      <c r="F57" s="796"/>
      <c r="G57" s="796"/>
      <c r="H57" s="796"/>
      <c r="I57" s="797"/>
    </row>
    <row r="58" spans="1:9" ht="15.75" hidden="1" thickBot="1">
      <c r="A58" s="40">
        <v>0.4</v>
      </c>
      <c r="B58" s="41">
        <v>0.8</v>
      </c>
      <c r="C58" s="47">
        <f>((((A58*2)+(B58*2))*'MATERIALES (2)'!$C$13)+((A58*2)*'MATERIALES (2)'!$C$6)+((B58*2)*'MATERIALES (2)'!$C$15))*'MATERIALES (2)'!$F$1</f>
        <v>24079.188000000006</v>
      </c>
      <c r="D58" s="58">
        <f>(4*'MATERIALES (2)'!$C$126)+(4*'MATERIALES (2)'!$C$163)+((8*4)*'MATERIALES (2)'!$C$134)+(((B58*2)+(A58*2))*'MATERIALES (2)'!$C$138)+(4*'MATERIALES (2)'!$C$137)+(((A58*5)*2)*'MATERIALES (2)'!$C$136)+(4*'MATERIALES (2)'!$C$135)+(1*'MATERIALES (2)'!$C$140)+(((A58*2)+(B58*2))*'MATERIALES (2)'!$C$130)+(2*'MATERIALES (2)'!$C$150)</f>
        <v>5874</v>
      </c>
      <c r="E58" s="74"/>
      <c r="F58" s="54">
        <f>(A58*B58)*'MATERIALES (2)'!$D$85</f>
        <v>2368.0000000000005</v>
      </c>
      <c r="G58" s="54"/>
      <c r="H58" s="47">
        <f>SUM(C58:F58)</f>
        <v>32321.188000000006</v>
      </c>
      <c r="I58" s="49">
        <f t="shared" ref="I58:I68" si="3">(SUM(C58:E58)*$C$54)+(F58*$F$54)</f>
        <v>45172.803800000009</v>
      </c>
    </row>
    <row r="59" spans="1:9" ht="15.75" hidden="1" thickBot="1">
      <c r="A59" s="42">
        <v>0.4</v>
      </c>
      <c r="B59" s="37">
        <v>0.8</v>
      </c>
      <c r="C59" s="38">
        <f>((((A59*2)+(B59*2))*'MATERIALES (2)'!$C$13)+((A59*2)*'MATERIALES (2)'!$C$6)+((B59*2)*'MATERIALES (2)'!$C$15))*'MATERIALES (2)'!$F$1</f>
        <v>24079.188000000006</v>
      </c>
      <c r="D59" s="59">
        <f>(4*'MATERIALES (2)'!$C$126)+(4*'MATERIALES (2)'!$C$163)+((8*4)*'MATERIALES (2)'!$C$134)+(((B59*2)+(A59*2))*'MATERIALES (2)'!$C$138)+(4*'MATERIALES (2)'!$C$137)+(((A59*5)*2)*'MATERIALES (2)'!$C$136)+(4*'MATERIALES (2)'!$C$135)+(1*'MATERIALES (2)'!$C$140)+(((A59*2)+(B59*2))*'MATERIALES (2)'!$C$130)+(2*'MATERIALES (2)'!$C$150)</f>
        <v>5874</v>
      </c>
      <c r="E59" s="75"/>
      <c r="F59" s="55">
        <f>(A59*B59)*'MATERIALES (2)'!$D$85</f>
        <v>2368.0000000000005</v>
      </c>
      <c r="G59" s="55"/>
      <c r="H59" s="38">
        <f t="shared" ref="H59:H74" si="4">SUM(C59:F59)</f>
        <v>32321.188000000006</v>
      </c>
      <c r="I59" s="49">
        <f t="shared" si="3"/>
        <v>45172.803800000009</v>
      </c>
    </row>
    <row r="60" spans="1:9" ht="15.75" hidden="1" thickBot="1">
      <c r="A60" s="42">
        <v>0.6</v>
      </c>
      <c r="B60" s="37">
        <v>0.8</v>
      </c>
      <c r="C60" s="38">
        <f>((((A60*2)+(B60*2))*'MATERIALES (2)'!$C$13)+((A60*2)*'MATERIALES (2)'!$C$6)+((B60*2)*'MATERIALES (2)'!$C$15))*'MATERIALES (2)'!$F$1</f>
        <v>28080.234</v>
      </c>
      <c r="D60" s="59">
        <f>(4*'MATERIALES (2)'!$C$126)+(4*'MATERIALES (2)'!$C$163)+((8*4)*'MATERIALES (2)'!$C$134)+(((B60*2)+(A60*2))*'MATERIALES (2)'!$C$138)+(4*'MATERIALES (2)'!$C$137)+(((A60*5)*2)*'MATERIALES (2)'!$C$136)+(4*'MATERIALES (2)'!$C$135)+(1*'MATERIALES (2)'!$C$140)+(((A60*2)+(B60*2))*'MATERIALES (2)'!$C$130)+(2*'MATERIALES (2)'!$C$150)</f>
        <v>5994</v>
      </c>
      <c r="E60" s="75"/>
      <c r="F60" s="55">
        <f>(A60*B60)*'MATERIALES (2)'!$D$85</f>
        <v>3552</v>
      </c>
      <c r="G60" s="55"/>
      <c r="H60" s="38">
        <f t="shared" si="4"/>
        <v>37626.233999999997</v>
      </c>
      <c r="I60" s="49">
        <f t="shared" si="3"/>
        <v>53104.215899999996</v>
      </c>
    </row>
    <row r="61" spans="1:9" ht="15.75" hidden="1" thickBot="1">
      <c r="A61" s="42">
        <v>0.5</v>
      </c>
      <c r="B61" s="37">
        <v>0.8</v>
      </c>
      <c r="C61" s="38">
        <f>((((A61*2)+(B61*2))*'MATERIALES (2)'!$C$13)+((A61*2)*'MATERIALES (2)'!$C$6)+((B61*2)*'MATERIALES (2)'!$C$15))*'MATERIALES (2)'!$F$1</f>
        <v>26079.711000000003</v>
      </c>
      <c r="D61" s="59">
        <f>(4*'MATERIALES (2)'!$C$126)+(4*'MATERIALES (2)'!$C$163)+((8*4)*'MATERIALES (2)'!$C$134)+(((B61*2)+(A61*2))*'MATERIALES (2)'!$C$138)+(4*'MATERIALES (2)'!$C$137)+(((A61*5)*2)*'MATERIALES (2)'!$C$136)+(4*'MATERIALES (2)'!$C$135)+(1*'MATERIALES (2)'!$C$140)+(((A61*2)+(B61*2))*'MATERIALES (2)'!$C$130)+(2*'MATERIALES (2)'!$C$150)</f>
        <v>5934</v>
      </c>
      <c r="E61" s="75"/>
      <c r="F61" s="55">
        <f>(A61*B61)*'MATERIALES (2)'!$D$85</f>
        <v>2960</v>
      </c>
      <c r="G61" s="55"/>
      <c r="H61" s="38">
        <f t="shared" si="4"/>
        <v>34973.711000000003</v>
      </c>
      <c r="I61" s="49">
        <f t="shared" si="3"/>
        <v>49138.509850000009</v>
      </c>
    </row>
    <row r="62" spans="1:9" ht="15.75" hidden="1" thickBot="1">
      <c r="A62" s="42">
        <v>0.6</v>
      </c>
      <c r="B62" s="37">
        <v>0.8</v>
      </c>
      <c r="C62" s="38">
        <f>((((A62*2)+(B62*2))*'MATERIALES (2)'!$C$13)+((A62*2)*'MATERIALES (2)'!$C$6)+((B62*2)*'MATERIALES (2)'!$C$15))*'MATERIALES (2)'!$F$1</f>
        <v>28080.234</v>
      </c>
      <c r="D62" s="59">
        <f>(4*'MATERIALES (2)'!$C$126)+(4*'MATERIALES (2)'!$C$163)+((8*4)*'MATERIALES (2)'!$C$134)+(((B62*2)+(A62*2))*'MATERIALES (2)'!$C$138)+(4*'MATERIALES (2)'!$C$137)+(((A62*5)*2)*'MATERIALES (2)'!$C$136)+(4*'MATERIALES (2)'!$C$135)+(1*'MATERIALES (2)'!$C$140)+(((A62*2)+(B62*2))*'MATERIALES (2)'!$C$130)+(2*'MATERIALES (2)'!$C$150)</f>
        <v>5994</v>
      </c>
      <c r="E62" s="75"/>
      <c r="F62" s="55">
        <f>(A62*B62)*'MATERIALES (2)'!$D$85</f>
        <v>3552</v>
      </c>
      <c r="G62" s="55"/>
      <c r="H62" s="38">
        <f t="shared" si="4"/>
        <v>37626.233999999997</v>
      </c>
      <c r="I62" s="49">
        <f t="shared" si="3"/>
        <v>53104.215899999996</v>
      </c>
    </row>
    <row r="63" spans="1:9" ht="15.75" hidden="1" thickBot="1">
      <c r="A63" s="42">
        <v>0.5</v>
      </c>
      <c r="B63" s="37">
        <v>0.8</v>
      </c>
      <c r="C63" s="38">
        <f>((((A63*2)+(B63*2))*'MATERIALES (2)'!$C$13)+((A63*2)*'MATERIALES (2)'!$C$6)+((B63*2)*'MATERIALES (2)'!$C$15))*'MATERIALES (2)'!$F$1</f>
        <v>26079.711000000003</v>
      </c>
      <c r="D63" s="59">
        <f>(4*'MATERIALES (2)'!$C$126)+(4*'MATERIALES (2)'!$C$163)+((8*4)*'MATERIALES (2)'!$C$134)+(((B63*2)+(A63*2))*'MATERIALES (2)'!$C$138)+(4*'MATERIALES (2)'!$C$137)+(((A63*5)*2)*'MATERIALES (2)'!$C$136)+(4*'MATERIALES (2)'!$C$135)+(1*'MATERIALES (2)'!$C$140)+(((A63*2)+(B63*2))*'MATERIALES (2)'!$C$130)+(2*'MATERIALES (2)'!$C$150)</f>
        <v>5934</v>
      </c>
      <c r="E63" s="75"/>
      <c r="F63" s="55">
        <f>(A63*B63)*'MATERIALES (2)'!$D$85</f>
        <v>2960</v>
      </c>
      <c r="G63" s="55"/>
      <c r="H63" s="38">
        <f t="shared" si="4"/>
        <v>34973.711000000003</v>
      </c>
      <c r="I63" s="49">
        <f t="shared" si="3"/>
        <v>49138.509850000009</v>
      </c>
    </row>
    <row r="64" spans="1:9" ht="15.75" hidden="1" thickBot="1">
      <c r="A64" s="42">
        <v>0.4</v>
      </c>
      <c r="B64" s="37">
        <v>1.1000000000000001</v>
      </c>
      <c r="C64" s="38">
        <f>((((A64*2)+(B64*2))*'MATERIALES (2)'!$C$13)+((A64*2)*'MATERIALES (2)'!$C$6)+((B64*2)*'MATERIALES (2)'!$C$15))*'MATERIALES (2)'!$F$1</f>
        <v>30108.098999999998</v>
      </c>
      <c r="D64" s="59">
        <f>(4*'MATERIALES (2)'!$C$126)+(4*'MATERIALES (2)'!$C$163)+((8*4)*'MATERIALES (2)'!$C$134)+(((B64*2)+(A64*2))*'MATERIALES (2)'!$C$138)+(4*'MATERIALES (2)'!$C$137)+(((A64*5)*2)*'MATERIALES (2)'!$C$136)+(4*'MATERIALES (2)'!$C$135)+(1*'MATERIALES (2)'!$C$140)+(((A64*2)+(B64*2))*'MATERIALES (2)'!$C$130)+(2*'MATERIALES (2)'!$C$150)</f>
        <v>6054</v>
      </c>
      <c r="E64" s="75"/>
      <c r="F64" s="55">
        <f>(A64*B64)*'MATERIALES (2)'!$D$85</f>
        <v>3256.0000000000005</v>
      </c>
      <c r="G64" s="55"/>
      <c r="H64" s="38">
        <f t="shared" si="4"/>
        <v>39418.099000000002</v>
      </c>
      <c r="I64" s="49">
        <f t="shared" si="3"/>
        <v>55330.833650000008</v>
      </c>
    </row>
    <row r="65" spans="1:9" ht="15.75" hidden="1" thickBot="1">
      <c r="A65" s="42">
        <v>0.4</v>
      </c>
      <c r="B65" s="37">
        <v>1.1000000000000001</v>
      </c>
      <c r="C65" s="38">
        <f>((((A65*2)+(B65*2))*'MATERIALES (2)'!$C$13)+((A65*2)*'MATERIALES (2)'!$C$6)+((B65*2)*'MATERIALES (2)'!$C$15))*'MATERIALES (2)'!$F$1</f>
        <v>30108.098999999998</v>
      </c>
      <c r="D65" s="59">
        <f>(4*'MATERIALES (2)'!$C$126)+(4*'MATERIALES (2)'!$C$163)+((8*4)*'MATERIALES (2)'!$C$134)+(((B65*2)+(A65*2))*'MATERIALES (2)'!$C$138)+(4*'MATERIALES (2)'!$C$137)+(((A65*5)*2)*'MATERIALES (2)'!$C$136)+(4*'MATERIALES (2)'!$C$135)+(1*'MATERIALES (2)'!$C$140)+(((A65*2)+(B65*2))*'MATERIALES (2)'!$C$130)+(2*'MATERIALES (2)'!$C$150)</f>
        <v>6054</v>
      </c>
      <c r="E65" s="75"/>
      <c r="F65" s="55">
        <f>(A65*B65)*'MATERIALES (2)'!$D$85</f>
        <v>3256.0000000000005</v>
      </c>
      <c r="G65" s="55"/>
      <c r="H65" s="38">
        <f t="shared" si="4"/>
        <v>39418.099000000002</v>
      </c>
      <c r="I65" s="49">
        <f t="shared" si="3"/>
        <v>55330.833650000008</v>
      </c>
    </row>
    <row r="66" spans="1:9" ht="15.75" hidden="1" thickBot="1">
      <c r="A66" s="42">
        <v>0.6</v>
      </c>
      <c r="B66" s="37">
        <v>1.1000000000000001</v>
      </c>
      <c r="C66" s="38">
        <f>((((A66*2)+(B66*2))*'MATERIALES (2)'!$C$13)+((A66*2)*'MATERIALES (2)'!$C$6)+((B66*2)*'MATERIALES (2)'!$C$15))*'MATERIALES (2)'!$F$1</f>
        <v>34109.144999999997</v>
      </c>
      <c r="D66" s="59">
        <f>(4*'MATERIALES (2)'!$C$126)+(4*'MATERIALES (2)'!$C$163)+((8*4)*'MATERIALES (2)'!$C$134)+(((B66*2)+(A66*2))*'MATERIALES (2)'!$C$138)+(4*'MATERIALES (2)'!$C$137)+(((A66*5)*2)*'MATERIALES (2)'!$C$136)+(4*'MATERIALES (2)'!$C$135)+(1*'MATERIALES (2)'!$C$140)+(((A66*2)+(B66*2))*'MATERIALES (2)'!$C$130)+(2*'MATERIALES (2)'!$C$150)</f>
        <v>6174</v>
      </c>
      <c r="E66" s="75"/>
      <c r="F66" s="55">
        <f>(A66*B66)*'MATERIALES (2)'!$D$85</f>
        <v>4884</v>
      </c>
      <c r="G66" s="55"/>
      <c r="H66" s="38">
        <f t="shared" si="4"/>
        <v>45167.144999999997</v>
      </c>
      <c r="I66" s="49">
        <f t="shared" si="3"/>
        <v>64150.245750000002</v>
      </c>
    </row>
    <row r="67" spans="1:9" ht="15.75" hidden="1" thickBot="1">
      <c r="A67" s="42">
        <v>0.5</v>
      </c>
      <c r="B67" s="37">
        <v>1.1000000000000001</v>
      </c>
      <c r="C67" s="38">
        <f>((((A67*2)+(B67*2))*'MATERIALES (2)'!$C$13)+((A67*2)*'MATERIALES (2)'!$C$6)+((B67*2)*'MATERIALES (2)'!$C$15))*'MATERIALES (2)'!$F$1</f>
        <v>32108.621999999999</v>
      </c>
      <c r="D67" s="59">
        <f>(4*'MATERIALES (2)'!$C$126)+(4*'MATERIALES (2)'!$C$163)+((8*4)*'MATERIALES (2)'!$C$134)+(((B67*2)+(A67*2))*'MATERIALES (2)'!$C$138)+(4*'MATERIALES (2)'!$C$137)+(((A67*5)*2)*'MATERIALES (2)'!$C$136)+(4*'MATERIALES (2)'!$C$135)+(1*'MATERIALES (2)'!$C$140)+(((A67*2)+(B67*2))*'MATERIALES (2)'!$C$130)+(2*'MATERIALES (2)'!$C$150)</f>
        <v>6114</v>
      </c>
      <c r="E67" s="75"/>
      <c r="F67" s="55">
        <f>(A67*B67)*'MATERIALES (2)'!$D$85</f>
        <v>4070.0000000000005</v>
      </c>
      <c r="G67" s="55"/>
      <c r="H67" s="38">
        <f t="shared" si="4"/>
        <v>42292.622000000003</v>
      </c>
      <c r="I67" s="49">
        <f t="shared" si="3"/>
        <v>59740.539700000008</v>
      </c>
    </row>
    <row r="68" spans="1:9" ht="15.75" hidden="1" thickBot="1">
      <c r="A68" s="42">
        <v>0.6</v>
      </c>
      <c r="B68" s="37">
        <v>1.1000000000000001</v>
      </c>
      <c r="C68" s="38">
        <f>((((A68*2)+(B68*2))*'MATERIALES (2)'!$C$13)+((A68*2)*'MATERIALES (2)'!$C$6)+((B68*2)*'MATERIALES (2)'!$C$15))*'MATERIALES (2)'!$F$1</f>
        <v>34109.144999999997</v>
      </c>
      <c r="D68" s="59">
        <f>(4*'MATERIALES (2)'!$C$126)+(4*'MATERIALES (2)'!$C$163)+((8*4)*'MATERIALES (2)'!$C$134)+(((B68*2)+(A68*2))*'MATERIALES (2)'!$C$138)+(4*'MATERIALES (2)'!$C$137)+(((A68*5)*2)*'MATERIALES (2)'!$C$136)+(4*'MATERIALES (2)'!$C$135)+(1*'MATERIALES (2)'!$C$140)+(((A68*2)+(B68*2))*'MATERIALES (2)'!$C$130)+(2*'MATERIALES (2)'!$C$150)</f>
        <v>6174</v>
      </c>
      <c r="E68" s="75"/>
      <c r="F68" s="55">
        <f>(A68*B68)*'MATERIALES (2)'!$D$85</f>
        <v>4884</v>
      </c>
      <c r="G68" s="55"/>
      <c r="H68" s="38">
        <f t="shared" si="4"/>
        <v>45167.144999999997</v>
      </c>
      <c r="I68" s="49">
        <f t="shared" si="3"/>
        <v>64150.245750000002</v>
      </c>
    </row>
    <row r="69" spans="1:9" ht="15.75" hidden="1" thickBot="1">
      <c r="A69" s="42">
        <v>0.5</v>
      </c>
      <c r="B69" s="37">
        <v>1.1000000000000001</v>
      </c>
      <c r="C69" s="38">
        <f>((((A69*2)+(B69*2))*'MATERIALES (2)'!$C$13)+((A69*2)*'MATERIALES (2)'!$C$6)+((B69*2)*'MATERIALES (2)'!$C$15))*'MATERIALES (2)'!$F$1</f>
        <v>32108.621999999999</v>
      </c>
      <c r="D69" s="59">
        <f>(4*'MATERIALES (2)'!$C$126)+(4*'MATERIALES (2)'!$C$163)+((8*4)*'MATERIALES (2)'!$C$134)+(((B69*2)+(A69*2))*'MATERIALES (2)'!$C$138)+(4*'MATERIALES (2)'!$C$137)+(((A69*5)*2)*'MATERIALES (2)'!$C$136)+(4*'MATERIALES (2)'!$C$135)+(1*'MATERIALES (2)'!$C$140)+(((A69*2)+(B69*2))*'MATERIALES (2)'!$C$130)+(2*'MATERIALES (2)'!$C$150)</f>
        <v>6114</v>
      </c>
      <c r="E69" s="75"/>
      <c r="F69" s="55">
        <f>(A69*B69)*'MATERIALES (2)'!$D$85</f>
        <v>4070.0000000000005</v>
      </c>
      <c r="G69" s="55"/>
      <c r="H69" s="38">
        <f t="shared" si="4"/>
        <v>42292.622000000003</v>
      </c>
      <c r="I69" s="49">
        <f t="shared" ref="I69:I73" si="5">(SUM(C69:E69)*$C$54)+(F69*$F$54)</f>
        <v>59740.539700000008</v>
      </c>
    </row>
    <row r="70" spans="1:9" ht="15.75" hidden="1" thickBot="1">
      <c r="A70" s="42">
        <v>0.4</v>
      </c>
      <c r="B70" s="37">
        <v>1.5</v>
      </c>
      <c r="C70" s="38">
        <f>((((A70*2)+(B70*2))*'MATERIALES (2)'!$C$13)+((A70*2)*'MATERIALES (2)'!$C$6)+((B70*2)*'MATERIALES (2)'!$C$15))*'MATERIALES (2)'!$F$1</f>
        <v>38146.647000000004</v>
      </c>
      <c r="D70" s="59">
        <f>(4*'MATERIALES (2)'!$C$126)+(4*'MATERIALES (2)'!$C$163)+((8*4)*'MATERIALES (2)'!$C$134)+(((B70*2)+(A70*2))*'MATERIALES (2)'!$C$138)+(4*'MATERIALES (2)'!$C$137)+(((A70*5)*2)*'MATERIALES (2)'!$C$136)+(4*'MATERIALES (2)'!$C$135)+(1*'MATERIALES (2)'!$C$140)+(((A70*2)+(B70*2))*'MATERIALES (2)'!$C$130)+(2*'MATERIALES (2)'!$C$150)</f>
        <v>6294</v>
      </c>
      <c r="E70" s="75"/>
      <c r="F70" s="55">
        <f>(A70*B70)*'MATERIALES (2)'!$D$85</f>
        <v>4440.0000000000009</v>
      </c>
      <c r="G70" s="55"/>
      <c r="H70" s="38">
        <f t="shared" si="4"/>
        <v>48880.647000000004</v>
      </c>
      <c r="I70" s="49">
        <f t="shared" si="5"/>
        <v>68874.873450000014</v>
      </c>
    </row>
    <row r="71" spans="1:9" ht="15.75" hidden="1" thickBot="1">
      <c r="A71" s="42">
        <v>0.6</v>
      </c>
      <c r="B71" s="37">
        <v>1.5</v>
      </c>
      <c r="C71" s="38">
        <f>((((A71*2)+(B71*2))*'MATERIALES (2)'!$C$13)+((A71*2)*'MATERIALES (2)'!$C$6)+((B71*2)*'MATERIALES (2)'!$C$15))*'MATERIALES (2)'!$F$1</f>
        <v>42147.692999999999</v>
      </c>
      <c r="D71" s="59">
        <f>(4*'MATERIALES (2)'!$C$126)+(4*'MATERIALES (2)'!$C$163)+((8*4)*'MATERIALES (2)'!$C$134)+(((B71*2)+(A71*2))*'MATERIALES (2)'!$C$138)+(4*'MATERIALES (2)'!$C$137)+(((A71*5)*2)*'MATERIALES (2)'!$C$136)+(4*'MATERIALES (2)'!$C$135)+(1*'MATERIALES (2)'!$C$140)+(((A71*2)+(B71*2))*'MATERIALES (2)'!$C$130)+(2*'MATERIALES (2)'!$C$150)</f>
        <v>6414</v>
      </c>
      <c r="E71" s="75"/>
      <c r="F71" s="55">
        <f>(A71*B71)*'MATERIALES (2)'!$D$85</f>
        <v>6659.9999999999991</v>
      </c>
      <c r="G71" s="55"/>
      <c r="H71" s="38">
        <f t="shared" si="4"/>
        <v>55221.692999999999</v>
      </c>
      <c r="I71" s="49">
        <f t="shared" si="5"/>
        <v>78878.285550000001</v>
      </c>
    </row>
    <row r="72" spans="1:9" ht="15.75" hidden="1" thickBot="1">
      <c r="A72" s="42">
        <v>0.5</v>
      </c>
      <c r="B72" s="37">
        <v>1.5</v>
      </c>
      <c r="C72" s="38">
        <f>((((A72*2)+(B72*2))*'MATERIALES (2)'!$C$13)+((A72*2)*'MATERIALES (2)'!$C$6)+((B72*2)*'MATERIALES (2)'!$C$15))*'MATERIALES (2)'!$F$1</f>
        <v>40147.17</v>
      </c>
      <c r="D72" s="59">
        <f>(4*'MATERIALES (2)'!$C$126)+(4*'MATERIALES (2)'!$C$163)+((8*4)*'MATERIALES (2)'!$C$134)+(((B72*2)+(A72*2))*'MATERIALES (2)'!$C$138)+(4*'MATERIALES (2)'!$C$137)+(((A72*5)*2)*'MATERIALES (2)'!$C$136)+(4*'MATERIALES (2)'!$C$135)+(1*'MATERIALES (2)'!$C$140)+(((A72*2)+(B72*2))*'MATERIALES (2)'!$C$130)+(2*'MATERIALES (2)'!$C$150)</f>
        <v>6354</v>
      </c>
      <c r="E72" s="75"/>
      <c r="F72" s="55">
        <f>(A72*B72)*'MATERIALES (2)'!$D$85</f>
        <v>5550</v>
      </c>
      <c r="G72" s="55"/>
      <c r="H72" s="38">
        <f t="shared" si="4"/>
        <v>52051.17</v>
      </c>
      <c r="I72" s="49">
        <f t="shared" si="5"/>
        <v>73876.579499999993</v>
      </c>
    </row>
    <row r="73" spans="1:9" ht="15.75" hidden="1" thickBot="1">
      <c r="A73" s="42">
        <v>0.6</v>
      </c>
      <c r="B73" s="37">
        <v>1.5</v>
      </c>
      <c r="C73" s="38">
        <f>((((A73*2)+(B73*2))*'MATERIALES (2)'!$C$13)+((A73*2)*'MATERIALES (2)'!$C$6)+((B73*2)*'MATERIALES (2)'!$C$15))*'MATERIALES (2)'!$F$1</f>
        <v>42147.692999999999</v>
      </c>
      <c r="D73" s="59">
        <f>(4*'MATERIALES (2)'!$C$126)+(4*'MATERIALES (2)'!$C$163)+((8*4)*'MATERIALES (2)'!$C$134)+(((B73*2)+(A73*2))*'MATERIALES (2)'!$C$138)+(4*'MATERIALES (2)'!$C$137)+(((A73*5)*2)*'MATERIALES (2)'!$C$136)+(4*'MATERIALES (2)'!$C$135)+(1*'MATERIALES (2)'!$C$140)+(((A73*2)+(B73*2))*'MATERIALES (2)'!$C$130)+(2*'MATERIALES (2)'!$C$150)</f>
        <v>6414</v>
      </c>
      <c r="E73" s="75"/>
      <c r="F73" s="55">
        <f>(A73*B73)*'MATERIALES (2)'!$D$85</f>
        <v>6659.9999999999991</v>
      </c>
      <c r="G73" s="55"/>
      <c r="H73" s="38">
        <f t="shared" si="4"/>
        <v>55221.692999999999</v>
      </c>
      <c r="I73" s="49">
        <f t="shared" si="5"/>
        <v>78878.285550000001</v>
      </c>
    </row>
    <row r="74" spans="1:9" hidden="1">
      <c r="A74" s="42">
        <v>0.5</v>
      </c>
      <c r="B74" s="37">
        <v>1.5</v>
      </c>
      <c r="C74" s="38">
        <f>((((A74*2)+(B74*2))*'MATERIALES (2)'!$C$13)+((A74*2)*'MATERIALES (2)'!$C$6)+((B74*2)*'MATERIALES (2)'!$C$15))*'MATERIALES (2)'!$F$1</f>
        <v>40147.17</v>
      </c>
      <c r="D74" s="59">
        <f>(4*'MATERIALES (2)'!$C$126)+(4*'MATERIALES (2)'!$C$163)+((8*4)*'MATERIALES (2)'!$C$134)+(((B74*2)+(A74*2))*'MATERIALES (2)'!$C$138)+(4*'MATERIALES (2)'!$C$137)+(((A74*5)*2)*'MATERIALES (2)'!$C$136)+(4*'MATERIALES (2)'!$C$135)+(1*'MATERIALES (2)'!$C$140)+(((A74*2)+(B74*2))*'MATERIALES (2)'!$C$130)+(2*'MATERIALES (2)'!$C$150)</f>
        <v>6354</v>
      </c>
      <c r="E74" s="75"/>
      <c r="F74" s="55">
        <f>(A74*B74)*'MATERIALES (2)'!$D$85</f>
        <v>5550</v>
      </c>
      <c r="G74" s="55"/>
      <c r="H74" s="38">
        <f t="shared" si="4"/>
        <v>52051.17</v>
      </c>
      <c r="I74" s="49">
        <f>(SUM(C74:E74)*$C$54)+(F74*$F$54)</f>
        <v>73876.579499999993</v>
      </c>
    </row>
    <row r="75" spans="1:9" hidden="1"/>
    <row r="76" spans="1:9" hidden="1"/>
    <row r="77" spans="1:9" ht="15.75" hidden="1" thickBot="1"/>
    <row r="78" spans="1:9" ht="15.75" hidden="1" thickBot="1">
      <c r="B78" s="953" t="s">
        <v>865</v>
      </c>
      <c r="C78" s="954"/>
      <c r="D78" s="955"/>
    </row>
    <row r="79" spans="1:9" hidden="1">
      <c r="B79" s="628">
        <v>0.8</v>
      </c>
      <c r="C79" s="629"/>
      <c r="D79" s="630">
        <f>(B79*'Varios pesado'!D42)</f>
        <v>20961.304038675</v>
      </c>
    </row>
    <row r="80" spans="1:9" hidden="1">
      <c r="B80" s="631">
        <v>1.1000000000000001</v>
      </c>
      <c r="C80" s="632"/>
      <c r="D80" s="633">
        <f>(B80*'Varios pesado'!D42)</f>
        <v>28821.793053178124</v>
      </c>
    </row>
    <row r="81" spans="2:4" ht="15.75" hidden="1" thickBot="1">
      <c r="B81" s="634">
        <v>1.5</v>
      </c>
      <c r="C81" s="635"/>
      <c r="D81" s="636">
        <f>(B81*'Varios pesado'!D42)</f>
        <v>39302.44507251562</v>
      </c>
    </row>
    <row r="82" spans="2:4" hidden="1"/>
    <row r="83" spans="2:4" hidden="1"/>
    <row r="84" spans="2:4" hidden="1"/>
    <row r="85" spans="2:4" hidden="1"/>
    <row r="86" spans="2:4" hidden="1"/>
    <row r="87" spans="2:4" hidden="1"/>
    <row r="88" spans="2:4" hidden="1"/>
    <row r="89" spans="2:4" hidden="1"/>
    <row r="90" spans="2:4" hidden="1"/>
    <row r="91" spans="2:4" hidden="1"/>
    <row r="92" spans="2:4" hidden="1"/>
    <row r="93" spans="2:4" hidden="1"/>
    <row r="94" spans="2:4" hidden="1"/>
    <row r="95" spans="2:4" hidden="1"/>
  </sheetData>
  <mergeCells count="9">
    <mergeCell ref="B4:E5"/>
    <mergeCell ref="H3:H13"/>
    <mergeCell ref="B78:D78"/>
    <mergeCell ref="C31:E31"/>
    <mergeCell ref="A32:I32"/>
    <mergeCell ref="A34:I34"/>
    <mergeCell ref="C54:E54"/>
    <mergeCell ref="A55:I55"/>
    <mergeCell ref="A57:I57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397"/>
  <sheetViews>
    <sheetView topLeftCell="AI1" zoomScale="80" zoomScaleNormal="80" workbookViewId="0">
      <selection activeCell="AO7" sqref="AO7"/>
    </sheetView>
  </sheetViews>
  <sheetFormatPr baseColWidth="10" defaultRowHeight="15"/>
  <cols>
    <col min="1" max="1" width="7.140625" hidden="1" customWidth="1"/>
    <col min="2" max="2" width="4.85546875" hidden="1" customWidth="1"/>
    <col min="3" max="3" width="13.42578125" hidden="1" customWidth="1"/>
    <col min="4" max="4" width="12.28515625" hidden="1" customWidth="1"/>
    <col min="5" max="5" width="8.42578125" hidden="1" customWidth="1"/>
    <col min="6" max="6" width="12.28515625" hidden="1" customWidth="1"/>
    <col min="7" max="8" width="13.42578125" hidden="1" customWidth="1"/>
    <col min="9" max="9" width="29.7109375" hidden="1" customWidth="1"/>
    <col min="10" max="12" width="11.42578125" hidden="1" customWidth="1"/>
    <col min="13" max="13" width="7.140625" hidden="1" customWidth="1"/>
    <col min="14" max="14" width="4.85546875" hidden="1" customWidth="1"/>
    <col min="15" max="15" width="13.42578125" hidden="1" customWidth="1"/>
    <col min="16" max="16" width="12.28515625" hidden="1" customWidth="1"/>
    <col min="17" max="17" width="8.42578125" hidden="1" customWidth="1"/>
    <col min="18" max="20" width="13.42578125" hidden="1" customWidth="1"/>
    <col min="21" max="21" width="29.7109375" hidden="1" customWidth="1"/>
    <col min="22" max="22" width="11.42578125" hidden="1" customWidth="1"/>
    <col min="23" max="23" width="7.140625" hidden="1" customWidth="1"/>
    <col min="24" max="24" width="4.85546875" hidden="1" customWidth="1"/>
    <col min="25" max="25" width="13.42578125" hidden="1" customWidth="1"/>
    <col min="26" max="26" width="12.28515625" hidden="1" customWidth="1"/>
    <col min="27" max="27" width="8.42578125" hidden="1" customWidth="1"/>
    <col min="28" max="28" width="11.28515625" hidden="1" customWidth="1"/>
    <col min="29" max="30" width="13.42578125" hidden="1" customWidth="1"/>
    <col min="31" max="31" width="26.7109375" hidden="1" customWidth="1"/>
    <col min="32" max="32" width="20.85546875" hidden="1" customWidth="1"/>
    <col min="33" max="33" width="15.42578125" hidden="1" customWidth="1"/>
    <col min="34" max="34" width="4.7109375" hidden="1" customWidth="1"/>
    <col min="35" max="35" width="4.5703125" customWidth="1"/>
    <col min="36" max="36" width="17.140625" bestFit="1" customWidth="1"/>
    <col min="37" max="37" width="3.7109375" customWidth="1"/>
    <col min="38" max="38" width="16.28515625" bestFit="1" customWidth="1"/>
    <col min="39" max="39" width="3.7109375" customWidth="1"/>
    <col min="40" max="40" width="15" bestFit="1" customWidth="1"/>
    <col min="41" max="41" width="3.7109375" customWidth="1"/>
    <col min="42" max="42" width="15" bestFit="1" customWidth="1"/>
    <col min="43" max="43" width="3.7109375" customWidth="1"/>
    <col min="44" max="44" width="15" bestFit="1" customWidth="1"/>
    <col min="45" max="45" width="3.7109375" customWidth="1"/>
    <col min="46" max="46" width="12.28515625" bestFit="1" customWidth="1"/>
    <col min="47" max="47" width="7.7109375" customWidth="1"/>
    <col min="48" max="48" width="2" customWidth="1"/>
    <col min="49" max="49" width="14.7109375" customWidth="1"/>
    <col min="50" max="50" width="12.7109375" bestFit="1" customWidth="1"/>
  </cols>
  <sheetData>
    <row r="1" spans="1:49" ht="15" customHeight="1" thickBot="1"/>
    <row r="2" spans="1:49" ht="15" customHeight="1" thickBot="1">
      <c r="A2" s="32"/>
      <c r="B2" s="32"/>
      <c r="C2" s="807">
        <v>1.35</v>
      </c>
      <c r="D2" s="808"/>
      <c r="E2" s="809"/>
      <c r="F2" s="728">
        <v>2</v>
      </c>
      <c r="G2" s="32"/>
      <c r="H2" s="46" t="s">
        <v>163</v>
      </c>
      <c r="M2" s="32"/>
      <c r="N2" s="32"/>
      <c r="O2" s="947">
        <v>1.35</v>
      </c>
      <c r="P2" s="948"/>
      <c r="Q2" s="948"/>
      <c r="R2" s="949"/>
      <c r="S2" s="32"/>
      <c r="T2" s="46" t="s">
        <v>163</v>
      </c>
    </row>
    <row r="3" spans="1:49" ht="15.75" customHeight="1" thickBot="1">
      <c r="A3" s="792" t="s">
        <v>194</v>
      </c>
      <c r="B3" s="793"/>
      <c r="C3" s="793"/>
      <c r="D3" s="793"/>
      <c r="E3" s="793"/>
      <c r="F3" s="793"/>
      <c r="G3" s="793"/>
      <c r="H3" s="794"/>
      <c r="M3" s="792" t="s">
        <v>208</v>
      </c>
      <c r="N3" s="793"/>
      <c r="O3" s="793"/>
      <c r="P3" s="793"/>
      <c r="Q3" s="793"/>
      <c r="R3" s="793"/>
      <c r="S3" s="793"/>
      <c r="T3" s="794"/>
      <c r="AI3" s="387"/>
      <c r="AJ3" s="388" t="s">
        <v>627</v>
      </c>
      <c r="AK3" s="398"/>
      <c r="AL3" s="393" t="s">
        <v>628</v>
      </c>
      <c r="AM3" s="399"/>
      <c r="AN3" s="388" t="s">
        <v>629</v>
      </c>
      <c r="AO3" s="398"/>
      <c r="AP3" s="388" t="s">
        <v>630</v>
      </c>
      <c r="AQ3" s="400"/>
      <c r="AR3" s="393" t="s">
        <v>631</v>
      </c>
      <c r="AS3" s="393"/>
      <c r="AT3" s="77"/>
      <c r="AU3" s="77"/>
      <c r="AV3" s="77"/>
      <c r="AW3" s="944" t="s">
        <v>664</v>
      </c>
    </row>
    <row r="4" spans="1:49" ht="15.75" thickBot="1">
      <c r="A4" s="36" t="s">
        <v>116</v>
      </c>
      <c r="B4" s="36" t="s">
        <v>117</v>
      </c>
      <c r="C4" s="36" t="s">
        <v>162</v>
      </c>
      <c r="D4" s="36" t="s">
        <v>119</v>
      </c>
      <c r="E4" s="36" t="s">
        <v>120</v>
      </c>
      <c r="F4" s="36" t="s">
        <v>118</v>
      </c>
      <c r="G4" s="36" t="s">
        <v>121</v>
      </c>
      <c r="H4" s="36" t="s">
        <v>122</v>
      </c>
      <c r="M4" s="36" t="s">
        <v>116</v>
      </c>
      <c r="N4" s="36" t="s">
        <v>117</v>
      </c>
      <c r="O4" s="36" t="s">
        <v>162</v>
      </c>
      <c r="P4" s="36" t="s">
        <v>119</v>
      </c>
      <c r="Q4" s="36" t="s">
        <v>120</v>
      </c>
      <c r="R4" s="36" t="s">
        <v>207</v>
      </c>
      <c r="S4" s="36" t="s">
        <v>121</v>
      </c>
      <c r="T4" s="36" t="s">
        <v>122</v>
      </c>
      <c r="AW4" s="945"/>
    </row>
    <row r="5" spans="1:49" ht="15.75" thickBot="1">
      <c r="A5" s="795"/>
      <c r="B5" s="796"/>
      <c r="C5" s="796"/>
      <c r="D5" s="796"/>
      <c r="E5" s="796"/>
      <c r="F5" s="796"/>
      <c r="G5" s="796"/>
      <c r="H5" s="797"/>
      <c r="M5" s="795"/>
      <c r="N5" s="796"/>
      <c r="O5" s="796"/>
      <c r="P5" s="796"/>
      <c r="Q5" s="796"/>
      <c r="R5" s="796"/>
      <c r="S5" s="796"/>
      <c r="T5" s="797"/>
      <c r="AL5" s="4"/>
      <c r="AM5" s="32"/>
      <c r="AN5" s="289"/>
      <c r="AP5" s="287"/>
      <c r="AQ5" s="288"/>
      <c r="AR5" s="290"/>
      <c r="AS5" s="290"/>
      <c r="AW5" s="945"/>
    </row>
    <row r="6" spans="1:49" ht="15.75" customHeight="1" thickBot="1">
      <c r="A6" s="40">
        <v>0.6</v>
      </c>
      <c r="B6" s="41">
        <v>2</v>
      </c>
      <c r="C6" s="47">
        <f>((((A6*1)+(B6*2))*'MATERIALES (2)'!$C$26)+((A6*2)*'MATERIALES (2)'!$C$28)+((B6*2)*'MATERIALES (2)'!$C$27))*'MATERIALES (2)'!$F$1</f>
        <v>87396.424500000008</v>
      </c>
      <c r="D6" s="58">
        <f>(2*'MATERIALES (2)'!$C$135)+(8*'MATERIALES (2)'!$C$147)+(8*'MATERIALES (2)'!$C$148)+((8*2)*'MATERIALES (2)'!$C$134)+(3*'MATERIALES (2)'!$C$149)+(((B6*2)+(A6*1))*'MATERIALES (2)'!$C$138)+(((A6*2)+(B6*2))*'MATERIALES (2)'!$C$130)+(1*'MATERIALES (2)'!$C$151)+(((A6*5)*2)*'MATERIALES (2)'!$C$136)+(4*'MATERIALES (2)'!$C$137)</f>
        <v>15964</v>
      </c>
      <c r="E6" s="74"/>
      <c r="F6" s="54">
        <f>(A6*B6)*'MATERIALES (2)'!$D$85</f>
        <v>8880</v>
      </c>
      <c r="G6" s="47">
        <f>SUM(C6:F6)</f>
        <v>112240.42450000001</v>
      </c>
      <c r="H6" s="49">
        <f>((((SUM(C6:E6)*$C$2)+(F6*$F$2))*1.21)*1.05)*1.05</f>
        <v>209837.56089637693</v>
      </c>
      <c r="M6" s="40">
        <v>0.6</v>
      </c>
      <c r="N6" s="41">
        <v>2</v>
      </c>
      <c r="O6" s="47">
        <f>((((M6*1)+(N6*2))*'MATERIALES (2)'!$C$26)+((M6*2)*'MATERIALES (2)'!$C$28)+((N6*2)*'MATERIALES (2)'!$C$27))*'MATERIALES (2)'!$F$1</f>
        <v>87396.424500000008</v>
      </c>
      <c r="P6" s="58">
        <f>(2*'MATERIALES (2)'!$C$135)+(8*'MATERIALES (2)'!$C$147)+(8*'MATERIALES (2)'!$C$148)+((8*2)*'MATERIALES (2)'!$C$134)+(3*'MATERIALES (2)'!$C$149)+(((N6*2)+(M6*1))*'MATERIALES (2)'!$C$138)+(((M6*2)+(N6*2))*'MATERIALES (2)'!$C$154)+(1*'MATERIALES (2)'!$C$151)+(((M6*5)*2)*'MATERIALES (2)'!$C$136)+(4*'MATERIALES (2)'!$C$137)+(0.5*'MATERIALES (2)'!$C$156)</f>
        <v>19964</v>
      </c>
      <c r="Q6" s="74"/>
      <c r="R6" s="54">
        <f>(((M6-0.2)*'MATERIALES (2)'!$C$30)*(N6/0.12))*'MATERIALES (2)'!$F$1</f>
        <v>75038.599999999991</v>
      </c>
      <c r="S6" s="47">
        <f>SUM(O6:R6)</f>
        <v>182399.0245</v>
      </c>
      <c r="T6" s="49">
        <f>(((SUM(O6:R6)*$O$2)*1.21)*1.05)*1.05</f>
        <v>328488.55918912689</v>
      </c>
      <c r="AK6" s="291"/>
      <c r="AL6" s="292"/>
      <c r="AM6" s="293"/>
      <c r="AN6" s="294"/>
      <c r="AO6" s="295"/>
      <c r="AP6" s="296"/>
      <c r="AQ6" s="293"/>
      <c r="AR6" s="297"/>
      <c r="AS6" s="297"/>
      <c r="AT6" s="291"/>
      <c r="AU6" s="291"/>
      <c r="AV6" s="291"/>
      <c r="AW6" s="945"/>
    </row>
    <row r="7" spans="1:49" ht="15.75" customHeight="1" thickBot="1">
      <c r="A7" s="42">
        <v>0.7</v>
      </c>
      <c r="B7" s="37">
        <v>2</v>
      </c>
      <c r="C7" s="38">
        <f>((((A7*1)+(B7*2))*'MATERIALES (2)'!$C$26)+((A7*2)*'MATERIALES (2)'!$C$28)+((B7*2)*'MATERIALES (2)'!$C$27))*'MATERIALES (2)'!$F$1</f>
        <v>90311.765250000011</v>
      </c>
      <c r="D7" s="59">
        <f>(2*'MATERIALES (2)'!$C$135)+(8*'MATERIALES (2)'!$C$147)+(8*'MATERIALES (2)'!$C$148)+((8*2)*'MATERIALES (2)'!$C$134)+(3*'MATERIALES (2)'!$C$149)+(((B7*2)+(A7*1))*'MATERIALES (2)'!$C$138)+(((A7*2)+(B7*2))*'MATERIALES (2)'!$C$130)+(1*'MATERIALES (2)'!$C$151)+(((A7*5)*2)*'MATERIALES (2)'!$C$136)+(4*'MATERIALES (2)'!$C$137)</f>
        <v>16018</v>
      </c>
      <c r="E7" s="75"/>
      <c r="F7" s="55">
        <f>(A7*B7)*'MATERIALES (2)'!$D$85</f>
        <v>10360</v>
      </c>
      <c r="G7" s="38">
        <f t="shared" ref="G7:G13" si="0">SUM(C7:F7)</f>
        <v>116689.76525000001</v>
      </c>
      <c r="H7" s="49">
        <f t="shared" ref="H7:H13" si="1">((((SUM(C7:E7)*$C$2)+(F7*$F$2))*1.21)*1.05)*1.05</f>
        <v>219133.86086830223</v>
      </c>
      <c r="M7" s="42">
        <v>0.7</v>
      </c>
      <c r="N7" s="37">
        <v>2</v>
      </c>
      <c r="O7" s="38">
        <f>((((M7*1)+(N7*2))*'MATERIALES (2)'!$C$26)+((M7*2)*'MATERIALES (2)'!$C$28)+((N7*2)*'MATERIALES (2)'!$C$27))*'MATERIALES (2)'!$F$1</f>
        <v>90311.765250000011</v>
      </c>
      <c r="P7" s="59">
        <f>(2*'MATERIALES (2)'!$C$135)+(8*'MATERIALES (2)'!$C$147)+(8*'MATERIALES (2)'!$C$148)+((8*2)*'MATERIALES (2)'!$C$134)+(3*'MATERIALES (2)'!$C$149)+(((N7*2)+(M7*1))*'MATERIALES (2)'!$C$138)+(((M7*2)+(N7*2))*'MATERIALES (2)'!$C$154)+(1*'MATERIALES (2)'!$C$151)+(((M7*5)*2)*'MATERIALES (2)'!$C$136)+(4*'MATERIALES (2)'!$C$137)+(0.5*'MATERIALES (2)'!$C$156)</f>
        <v>20018</v>
      </c>
      <c r="Q7" s="75"/>
      <c r="R7" s="55">
        <f>(((M7-0.2)*'MATERIALES (2)'!$C$30)*(N7/0.12))*'MATERIALES (2)'!$F$1</f>
        <v>93798.249999999985</v>
      </c>
      <c r="S7" s="38">
        <f t="shared" ref="S7:S13" si="2">SUM(O7:R7)</f>
        <v>204128.01525</v>
      </c>
      <c r="T7" s="49">
        <f t="shared" ref="T7:T13" si="3">(((SUM(O7:R7)*$O$2)*1.21)*1.05)*1.05</f>
        <v>367621.0319842397</v>
      </c>
      <c r="AK7" s="291"/>
      <c r="AL7" s="292"/>
      <c r="AM7" s="293"/>
      <c r="AN7" s="294"/>
      <c r="AO7" s="295"/>
      <c r="AP7" s="296"/>
      <c r="AQ7" s="293"/>
      <c r="AR7" s="297"/>
      <c r="AS7" s="297"/>
      <c r="AT7" s="291"/>
      <c r="AU7" s="291"/>
      <c r="AV7" s="291"/>
      <c r="AW7" s="945"/>
    </row>
    <row r="8" spans="1:49" ht="15.75" customHeight="1" thickBot="1">
      <c r="A8" s="42">
        <v>0.8</v>
      </c>
      <c r="B8" s="37">
        <v>2</v>
      </c>
      <c r="C8" s="38">
        <f>((((A8*1)+(B8*2))*'MATERIALES (2)'!$C$26)+((A8*2)*'MATERIALES (2)'!$C$28)+((B8*2)*'MATERIALES (2)'!$C$27))*'MATERIALES (2)'!$F$1</f>
        <v>93227.106</v>
      </c>
      <c r="D8" s="59">
        <f>(2*'MATERIALES (2)'!$C$135)+(8*'MATERIALES (2)'!$C$147)+(8*'MATERIALES (2)'!$C$148)+((8*2)*'MATERIALES (2)'!$C$134)+(3*'MATERIALES (2)'!$C$149)+(((B8*2)+(A8*1))*'MATERIALES (2)'!$C$138)+(((A8*2)+(B8*2))*'MATERIALES (2)'!$C$130)+(1*'MATERIALES (2)'!$C$151)+(((A8*5)*2)*'MATERIALES (2)'!$C$136)+(4*'MATERIALES (2)'!$C$137)</f>
        <v>16072</v>
      </c>
      <c r="E8" s="75"/>
      <c r="F8" s="55">
        <f>(A8*B8)*'MATERIALES (2)'!$D$85</f>
        <v>11840</v>
      </c>
      <c r="G8" s="38">
        <f t="shared" si="0"/>
        <v>121139.106</v>
      </c>
      <c r="H8" s="49">
        <f t="shared" si="1"/>
        <v>228430.16084022753</v>
      </c>
      <c r="M8" s="42">
        <v>0.8</v>
      </c>
      <c r="N8" s="37">
        <v>2</v>
      </c>
      <c r="O8" s="38">
        <f>((((M8*1)+(N8*2))*'MATERIALES (2)'!$C$26)+((M8*2)*'MATERIALES (2)'!$C$28)+((N8*2)*'MATERIALES (2)'!$C$27))*'MATERIALES (2)'!$F$1</f>
        <v>93227.106</v>
      </c>
      <c r="P8" s="59">
        <f>(2*'MATERIALES (2)'!$C$135)+(8*'MATERIALES (2)'!$C$147)+(8*'MATERIALES (2)'!$C$148)+((8*2)*'MATERIALES (2)'!$C$134)+(3*'MATERIALES (2)'!$C$149)+(((N8*2)+(M8*1))*'MATERIALES (2)'!$C$138)+(((M8*2)+(N8*2))*'MATERIALES (2)'!$C$154)+(1*'MATERIALES (2)'!$C$151)+(((M8*5)*2)*'MATERIALES (2)'!$C$136)+(4*'MATERIALES (2)'!$C$137)+(0.5*'MATERIALES (2)'!$C$156)</f>
        <v>20072</v>
      </c>
      <c r="Q8" s="75"/>
      <c r="R8" s="55">
        <f>(((M8-0.2)*'MATERIALES (2)'!$C$30)*(N8/0.12))*'MATERIALES (2)'!$F$1</f>
        <v>112557.90000000002</v>
      </c>
      <c r="S8" s="38">
        <f t="shared" si="2"/>
        <v>225857.00600000002</v>
      </c>
      <c r="T8" s="49">
        <f t="shared" si="3"/>
        <v>406753.50477935263</v>
      </c>
      <c r="AK8" s="291"/>
      <c r="AL8" s="292"/>
      <c r="AM8" s="298"/>
      <c r="AN8" s="294"/>
      <c r="AO8" s="295"/>
      <c r="AP8" s="296"/>
      <c r="AQ8" s="298"/>
      <c r="AR8" s="297"/>
      <c r="AS8" s="297"/>
      <c r="AT8" s="291"/>
      <c r="AU8" s="291"/>
      <c r="AV8" s="291"/>
      <c r="AW8" s="945"/>
    </row>
    <row r="9" spans="1:49" ht="15.75" customHeight="1" thickBot="1">
      <c r="A9" s="42">
        <v>0.9</v>
      </c>
      <c r="B9" s="37">
        <v>2</v>
      </c>
      <c r="C9" s="38">
        <f>((((A9*1)+(B9*2))*'MATERIALES (2)'!$C$26)+((A9*2)*'MATERIALES (2)'!$C$28)+((B9*2)*'MATERIALES (2)'!$C$27))*'MATERIALES (2)'!$F$1</f>
        <v>96142.446750000003</v>
      </c>
      <c r="D9" s="59">
        <f>(2*'MATERIALES (2)'!$C$135)+(8*'MATERIALES (2)'!$C$147)+(8*'MATERIALES (2)'!$C$148)+((8*2)*'MATERIALES (2)'!$C$134)+(3*'MATERIALES (2)'!$C$149)+(((B9*2)+(A9*1))*'MATERIALES (2)'!$C$138)+(((A9*2)+(B9*2))*'MATERIALES (2)'!$C$130)+(1*'MATERIALES (2)'!$C$151)+(((A9*5)*2)*'MATERIALES (2)'!$C$136)+(4*'MATERIALES (2)'!$C$137)</f>
        <v>16126</v>
      </c>
      <c r="E9" s="75"/>
      <c r="F9" s="55">
        <f>(A9*B9)*'MATERIALES (2)'!$D$85</f>
        <v>13320</v>
      </c>
      <c r="G9" s="38">
        <f t="shared" si="0"/>
        <v>125588.44675</v>
      </c>
      <c r="H9" s="49">
        <f t="shared" si="1"/>
        <v>237726.46081215283</v>
      </c>
      <c r="M9" s="42">
        <v>0.9</v>
      </c>
      <c r="N9" s="37">
        <v>2</v>
      </c>
      <c r="O9" s="38">
        <f>((((M9*1)+(N9*2))*'MATERIALES (2)'!$C$26)+((M9*2)*'MATERIALES (2)'!$C$28)+((N9*2)*'MATERIALES (2)'!$C$27))*'MATERIALES (2)'!$F$1</f>
        <v>96142.446750000003</v>
      </c>
      <c r="P9" s="59">
        <f>(2*'MATERIALES (2)'!$C$135)+(8*'MATERIALES (2)'!$C$147)+(8*'MATERIALES (2)'!$C$148)+((8*2)*'MATERIALES (2)'!$C$134)+(3*'MATERIALES (2)'!$C$149)+(((N9*2)+(M9*1))*'MATERIALES (2)'!$C$138)+(((M9*2)+(N9*2))*'MATERIALES (2)'!$C$154)+(1*'MATERIALES (2)'!$C$151)+(((M9*5)*2)*'MATERIALES (2)'!$C$136)+(4*'MATERIALES (2)'!$C$137)+(0.5*'MATERIALES (2)'!$C$156)</f>
        <v>20126</v>
      </c>
      <c r="Q9" s="75"/>
      <c r="R9" s="55">
        <f>(((M9-0.2)*'MATERIALES (2)'!$C$30)*(N9/0.12))*'MATERIALES (2)'!$F$1</f>
        <v>131317.55000000002</v>
      </c>
      <c r="S9" s="38">
        <f t="shared" si="2"/>
        <v>247585.99675000002</v>
      </c>
      <c r="T9" s="49">
        <f t="shared" si="3"/>
        <v>445885.97757446539</v>
      </c>
      <c r="AL9" s="4"/>
      <c r="AM9" s="298"/>
      <c r="AN9" s="289"/>
      <c r="AO9" s="295"/>
      <c r="AP9" s="287"/>
      <c r="AQ9" s="298"/>
      <c r="AR9" s="297"/>
      <c r="AS9" s="297"/>
      <c r="AW9" s="945"/>
    </row>
    <row r="10" spans="1:49" ht="15.75" thickBot="1">
      <c r="A10" s="42">
        <v>0.6</v>
      </c>
      <c r="B10" s="37">
        <v>2.1</v>
      </c>
      <c r="C10" s="38">
        <f>((((A10*1)+(B10*2))*'MATERIALES (2)'!$C$26)+((A10*2)*'MATERIALES (2)'!$C$28)+((B10*2)*'MATERIALES (2)'!$C$27))*'MATERIALES (2)'!$F$1</f>
        <v>90891.643500000006</v>
      </c>
      <c r="D10" s="59">
        <f>(2*'MATERIALES (2)'!$C$135)+(8*'MATERIALES (2)'!$C$147)+(8*'MATERIALES (2)'!$C$148)+((8*2)*'MATERIALES (2)'!$C$134)+(3*'MATERIALES (2)'!$C$149)+(((B10*2)+(A10*1))*'MATERIALES (2)'!$C$138)+(((A10*2)+(B10*2))*'MATERIALES (2)'!$C$130)+(1*'MATERIALES (2)'!$C$151)+(((A10*5)*2)*'MATERIALES (2)'!$C$136)+(4*'MATERIALES (2)'!$C$137)</f>
        <v>16024</v>
      </c>
      <c r="E10" s="75"/>
      <c r="F10" s="55">
        <f>(A10*B10)*'MATERIALES (2)'!$D$85</f>
        <v>9324</v>
      </c>
      <c r="G10" s="38">
        <f t="shared" si="0"/>
        <v>116239.64350000001</v>
      </c>
      <c r="H10" s="49">
        <f t="shared" si="1"/>
        <v>217424.88898211814</v>
      </c>
      <c r="M10" s="42">
        <v>0.6</v>
      </c>
      <c r="N10" s="37">
        <v>2.1</v>
      </c>
      <c r="O10" s="38">
        <f>((((M10*1)+(N10*2))*'MATERIALES (2)'!$C$26)+((M10*2)*'MATERIALES (2)'!$C$28)+((N10*2)*'MATERIALES (2)'!$C$27))*'MATERIALES (2)'!$F$1</f>
        <v>90891.643500000006</v>
      </c>
      <c r="P10" s="59">
        <f>(2*'MATERIALES (2)'!$C$135)+(8*'MATERIALES (2)'!$C$147)+(8*'MATERIALES (2)'!$C$148)+((8*2)*'MATERIALES (2)'!$C$134)+(3*'MATERIALES (2)'!$C$149)+(((N10*2)+(M10*1))*'MATERIALES (2)'!$C$138)+(((M10*2)+(N10*2))*'MATERIALES (2)'!$C$154)+(1*'MATERIALES (2)'!$C$151)+(((M10*5)*2)*'MATERIALES (2)'!$C$136)+(4*'MATERIALES (2)'!$C$137)+(0.5*'MATERIALES (2)'!$C$156)</f>
        <v>20024</v>
      </c>
      <c r="Q10" s="75"/>
      <c r="R10" s="55">
        <f>(((M10-0.2)*'MATERIALES (2)'!$C$30)*(N10/0.12))*'MATERIALES (2)'!$F$1</f>
        <v>78790.529999999984</v>
      </c>
      <c r="S10" s="38">
        <f t="shared" si="2"/>
        <v>189706.17349999998</v>
      </c>
      <c r="T10" s="49">
        <f t="shared" si="3"/>
        <v>341648.25043950562</v>
      </c>
      <c r="AL10" s="4"/>
      <c r="AM10" s="299"/>
      <c r="AN10" s="289"/>
      <c r="AO10" s="300"/>
      <c r="AP10" s="287"/>
      <c r="AQ10" s="288"/>
      <c r="AW10" s="945"/>
    </row>
    <row r="11" spans="1:49" ht="15.75" thickBot="1">
      <c r="A11" s="42">
        <v>0.7</v>
      </c>
      <c r="B11" s="37">
        <v>2.1</v>
      </c>
      <c r="C11" s="38">
        <f>((((A11*1)+(B11*2))*'MATERIALES (2)'!$C$26)+((A11*2)*'MATERIALES (2)'!$C$28)+((B11*2)*'MATERIALES (2)'!$C$27))*'MATERIALES (2)'!$F$1</f>
        <v>93806.984249999994</v>
      </c>
      <c r="D11" s="59">
        <f>(2*'MATERIALES (2)'!$C$135)+(8*'MATERIALES (2)'!$C$147)+(8*'MATERIALES (2)'!$C$148)+((8*2)*'MATERIALES (2)'!$C$134)+(3*'MATERIALES (2)'!$C$149)+(((B11*2)+(A11*1))*'MATERIALES (2)'!$C$138)+(((A11*2)+(B11*2))*'MATERIALES (2)'!$C$130)+(1*'MATERIALES (2)'!$C$151)+(((A11*5)*2)*'MATERIALES (2)'!$C$136)+(4*'MATERIALES (2)'!$C$137)</f>
        <v>16078</v>
      </c>
      <c r="E11" s="75"/>
      <c r="F11" s="55">
        <f>(A11*B11)*'MATERIALES (2)'!$D$85</f>
        <v>10878</v>
      </c>
      <c r="G11" s="38">
        <f t="shared" si="0"/>
        <v>120762.98424999999</v>
      </c>
      <c r="H11" s="49">
        <f t="shared" si="1"/>
        <v>226918.62465404347</v>
      </c>
      <c r="M11" s="42">
        <v>0.7</v>
      </c>
      <c r="N11" s="37">
        <v>2.1</v>
      </c>
      <c r="O11" s="38">
        <f>((((M11*1)+(N11*2))*'MATERIALES (2)'!$C$26)+((M11*2)*'MATERIALES (2)'!$C$28)+((N11*2)*'MATERIALES (2)'!$C$27))*'MATERIALES (2)'!$F$1</f>
        <v>93806.984249999994</v>
      </c>
      <c r="P11" s="59">
        <f>(2*'MATERIALES (2)'!$C$135)+(8*'MATERIALES (2)'!$C$147)+(8*'MATERIALES (2)'!$C$148)+((8*2)*'MATERIALES (2)'!$C$134)+(3*'MATERIALES (2)'!$C$149)+(((N11*2)+(M11*1))*'MATERIALES (2)'!$C$138)+(((M11*2)+(N11*2))*'MATERIALES (2)'!$C$154)+(1*'MATERIALES (2)'!$C$151)+(((M11*5)*2)*'MATERIALES (2)'!$C$136)+(4*'MATERIALES (2)'!$C$137)+(0.5*'MATERIALES (2)'!$C$156)</f>
        <v>20078</v>
      </c>
      <c r="Q11" s="75"/>
      <c r="R11" s="55">
        <f>(((M11-0.2)*'MATERIALES (2)'!$C$30)*(N11/0.12))*'MATERIALES (2)'!$F$1</f>
        <v>98488.162499999991</v>
      </c>
      <c r="S11" s="38">
        <f t="shared" si="2"/>
        <v>212373.14674999999</v>
      </c>
      <c r="T11" s="49">
        <f t="shared" si="3"/>
        <v>382469.96757577785</v>
      </c>
      <c r="AL11" s="4"/>
      <c r="AM11" s="299"/>
      <c r="AN11" s="289"/>
      <c r="AO11" s="300"/>
      <c r="AP11" s="287"/>
      <c r="AQ11" s="288"/>
      <c r="AW11" s="945"/>
    </row>
    <row r="12" spans="1:49" ht="15" customHeight="1" thickBot="1">
      <c r="A12" s="42">
        <v>0.8</v>
      </c>
      <c r="B12" s="37">
        <v>2.1</v>
      </c>
      <c r="C12" s="38">
        <f>((((A12*1)+(B12*2))*'MATERIALES (2)'!$C$26)+((A12*2)*'MATERIALES (2)'!$C$28)+((B12*2)*'MATERIALES (2)'!$C$27))*'MATERIALES (2)'!$F$1</f>
        <v>96722.324999999997</v>
      </c>
      <c r="D12" s="59">
        <f>(2*'MATERIALES (2)'!$C$135)+(8*'MATERIALES (2)'!$C$147)+(8*'MATERIALES (2)'!$C$148)+((8*2)*'MATERIALES (2)'!$C$134)+(3*'MATERIALES (2)'!$C$149)+(((B12*2)+(A12*1))*'MATERIALES (2)'!$C$138)+(((A12*2)+(B12*2))*'MATERIALES (2)'!$C$130)+(1*'MATERIALES (2)'!$C$151)+(((A12*5)*2)*'MATERIALES (2)'!$C$136)+(4*'MATERIALES (2)'!$C$137)</f>
        <v>16132</v>
      </c>
      <c r="E12" s="75"/>
      <c r="F12" s="55">
        <f>(A12*B12)*'MATERIALES (2)'!$D$85</f>
        <v>12432.000000000002</v>
      </c>
      <c r="G12" s="38">
        <f t="shared" si="0"/>
        <v>125286.325</v>
      </c>
      <c r="H12" s="49">
        <f t="shared" si="1"/>
        <v>236412.36032596877</v>
      </c>
      <c r="M12" s="42">
        <v>0.8</v>
      </c>
      <c r="N12" s="37">
        <v>2.1</v>
      </c>
      <c r="O12" s="38">
        <f>((((M12*1)+(N12*2))*'MATERIALES (2)'!$C$26)+((M12*2)*'MATERIALES (2)'!$C$28)+((N12*2)*'MATERIALES (2)'!$C$27))*'MATERIALES (2)'!$F$1</f>
        <v>96722.324999999997</v>
      </c>
      <c r="P12" s="59">
        <f>(2*'MATERIALES (2)'!$C$135)+(8*'MATERIALES (2)'!$C$147)+(8*'MATERIALES (2)'!$C$148)+((8*2)*'MATERIALES (2)'!$C$134)+(3*'MATERIALES (2)'!$C$149)+(((N12*2)+(M12*1))*'MATERIALES (2)'!$C$138)+(((M12*2)+(N12*2))*'MATERIALES (2)'!$C$154)+(1*'MATERIALES (2)'!$C$151)+(((M12*5)*2)*'MATERIALES (2)'!$C$136)+(4*'MATERIALES (2)'!$C$137)+(0.5*'MATERIALES (2)'!$C$156)</f>
        <v>20132</v>
      </c>
      <c r="Q12" s="75"/>
      <c r="R12" s="55">
        <f>(((M12-0.2)*'MATERIALES (2)'!$C$30)*(N12/0.12))*'MATERIALES (2)'!$F$1</f>
        <v>118185.79500000003</v>
      </c>
      <c r="S12" s="38">
        <f t="shared" si="2"/>
        <v>235040.12000000002</v>
      </c>
      <c r="T12" s="49">
        <f t="shared" si="3"/>
        <v>423291.68471205008</v>
      </c>
      <c r="AL12" s="4"/>
      <c r="AM12" s="299"/>
      <c r="AN12" s="289"/>
      <c r="AO12" s="300"/>
      <c r="AP12" s="287"/>
      <c r="AQ12" s="288"/>
      <c r="AT12" s="4"/>
      <c r="AW12" s="945"/>
    </row>
    <row r="13" spans="1:49" ht="15.75" thickBot="1">
      <c r="A13" s="44">
        <v>0.9</v>
      </c>
      <c r="B13" s="45">
        <v>2.1</v>
      </c>
      <c r="C13" s="50">
        <f>((((A13*1)+(B13*2))*'MATERIALES (2)'!$C$26)+((A13*2)*'MATERIALES (2)'!$C$28)+((B13*2)*'MATERIALES (2)'!$C$27))*'MATERIALES (2)'!$F$1</f>
        <v>99637.665750000015</v>
      </c>
      <c r="D13" s="60">
        <f>(2*'MATERIALES (2)'!$C$135)+(8*'MATERIALES (2)'!$C$147)+(8*'MATERIALES (2)'!$C$148)+((8*2)*'MATERIALES (2)'!$C$134)+(3*'MATERIALES (2)'!$C$149)+(((B13*2)+(A13*1))*'MATERIALES (2)'!$C$138)+(((A13*2)+(B13*2))*'MATERIALES (2)'!$C$130)+(1*'MATERIALES (2)'!$C$151)+(((A13*5)*2)*'MATERIALES (2)'!$C$136)+(4*'MATERIALES (2)'!$C$137)</f>
        <v>16186</v>
      </c>
      <c r="E13" s="76"/>
      <c r="F13" s="56">
        <f>(A13*B13)*'MATERIALES (2)'!$D$85</f>
        <v>13986.000000000002</v>
      </c>
      <c r="G13" s="50">
        <f t="shared" si="0"/>
        <v>129809.66575000001</v>
      </c>
      <c r="H13" s="49">
        <f t="shared" si="1"/>
        <v>245906.0959978941</v>
      </c>
      <c r="M13" s="44">
        <v>0.9</v>
      </c>
      <c r="N13" s="45">
        <v>2.1</v>
      </c>
      <c r="O13" s="50">
        <f>((((M13*1)+(N13*2))*'MATERIALES (2)'!$C$26)+((M13*2)*'MATERIALES (2)'!$C$28)+((N13*2)*'MATERIALES (2)'!$C$27))*'MATERIALES (2)'!$F$1</f>
        <v>99637.665750000015</v>
      </c>
      <c r="P13" s="60">
        <f>(2*'MATERIALES (2)'!$C$135)+(8*'MATERIALES (2)'!$C$147)+(8*'MATERIALES (2)'!$C$148)+((8*2)*'MATERIALES (2)'!$C$134)+(3*'MATERIALES (2)'!$C$149)+(((N13*2)+(M13*1))*'MATERIALES (2)'!$C$138)+(((M13*2)+(N13*2))*'MATERIALES (2)'!$C$154)+(1*'MATERIALES (2)'!$C$151)+(((M13*5)*2)*'MATERIALES (2)'!$C$136)+(4*'MATERIALES (2)'!$C$137)+(0.5*'MATERIALES (2)'!$C$156)</f>
        <v>20186</v>
      </c>
      <c r="Q13" s="76"/>
      <c r="R13" s="56">
        <f>(((M13-0.2)*'MATERIALES (2)'!$C$30)*(N13/0.12))*'MATERIALES (2)'!$F$1</f>
        <v>137883.42749999999</v>
      </c>
      <c r="S13" s="50">
        <f t="shared" si="2"/>
        <v>257707.09325000001</v>
      </c>
      <c r="T13" s="49">
        <f t="shared" si="3"/>
        <v>464113.40184832219</v>
      </c>
      <c r="AM13" s="267"/>
      <c r="AQ13" s="288"/>
      <c r="AT13" s="537"/>
      <c r="AU13" s="533"/>
      <c r="AW13" s="945"/>
    </row>
    <row r="14" spans="1:49" ht="15.75" customHeight="1">
      <c r="AJ14" s="598">
        <f>+H8</f>
        <v>228430.16084022753</v>
      </c>
      <c r="AK14" s="357"/>
      <c r="AL14" s="598">
        <f>+H22</f>
        <v>246116.28115824753</v>
      </c>
      <c r="AM14" s="359"/>
      <c r="AN14" s="598">
        <f>+H36</f>
        <v>312754.63348032755</v>
      </c>
      <c r="AO14" s="357"/>
      <c r="AP14" s="598">
        <f>+AD50</f>
        <v>329571.04980665253</v>
      </c>
      <c r="AQ14" s="358"/>
      <c r="AR14" s="598">
        <f>+T79</f>
        <v>355835.55201968818</v>
      </c>
      <c r="AS14" s="431"/>
      <c r="AT14" s="599" t="s">
        <v>929</v>
      </c>
      <c r="AU14" s="668"/>
      <c r="AW14" s="945"/>
    </row>
    <row r="15" spans="1:49" ht="15.75" customHeight="1" thickBot="1">
      <c r="AJ15" s="598">
        <f>+H138</f>
        <v>198174.91686993002</v>
      </c>
      <c r="AK15" s="359"/>
      <c r="AL15" s="598">
        <f>+H152</f>
        <v>213530.29033990501</v>
      </c>
      <c r="AM15" s="359"/>
      <c r="AN15" s="598">
        <f>+H166</f>
        <v>270845.65526980499</v>
      </c>
      <c r="AO15" s="359"/>
      <c r="AP15" s="598">
        <f>+AD180</f>
        <v>307440.5923841176</v>
      </c>
      <c r="AQ15" s="358"/>
      <c r="AR15" s="598">
        <f>+T209</f>
        <v>312445.23646384134</v>
      </c>
      <c r="AS15" s="431"/>
      <c r="AT15" s="599" t="s">
        <v>930</v>
      </c>
      <c r="AU15" s="668"/>
      <c r="AW15" s="945"/>
    </row>
    <row r="16" spans="1:49" ht="15.75" customHeight="1" thickBot="1">
      <c r="A16" s="32"/>
      <c r="B16" s="32"/>
      <c r="C16" s="947">
        <v>1.35</v>
      </c>
      <c r="D16" s="948"/>
      <c r="E16" s="949"/>
      <c r="F16" s="728">
        <v>2</v>
      </c>
      <c r="G16" s="32"/>
      <c r="H16" s="46" t="s">
        <v>163</v>
      </c>
      <c r="M16" s="32"/>
      <c r="N16" s="32"/>
      <c r="O16" s="947">
        <v>1.35</v>
      </c>
      <c r="P16" s="948"/>
      <c r="Q16" s="949"/>
      <c r="R16" s="728">
        <v>2</v>
      </c>
      <c r="S16" s="32"/>
      <c r="T16" s="46" t="s">
        <v>163</v>
      </c>
      <c r="AI16" s="387"/>
      <c r="AJ16" s="598">
        <f>+H268</f>
        <v>198174.91686993002</v>
      </c>
      <c r="AK16" s="359"/>
      <c r="AL16" s="598">
        <f>+H282</f>
        <v>213530.29033990501</v>
      </c>
      <c r="AM16" s="359"/>
      <c r="AN16" s="598">
        <f>+H296</f>
        <v>270845.65526980499</v>
      </c>
      <c r="AO16" s="359"/>
      <c r="AP16" s="598">
        <f>+AD310</f>
        <v>272151.1154594926</v>
      </c>
      <c r="AQ16" s="358"/>
      <c r="AR16" s="598">
        <f>+T339</f>
        <v>293388.91892454377</v>
      </c>
      <c r="AS16" s="431"/>
      <c r="AT16" s="599" t="s">
        <v>931</v>
      </c>
      <c r="AU16" s="668"/>
      <c r="AV16" s="387"/>
      <c r="AW16" s="945"/>
    </row>
    <row r="17" spans="1:50" ht="15.75" thickBot="1">
      <c r="A17" s="792" t="s">
        <v>203</v>
      </c>
      <c r="B17" s="793"/>
      <c r="C17" s="793"/>
      <c r="D17" s="793"/>
      <c r="E17" s="793"/>
      <c r="F17" s="793"/>
      <c r="G17" s="793"/>
      <c r="H17" s="794"/>
      <c r="M17" s="792" t="s">
        <v>209</v>
      </c>
      <c r="N17" s="793"/>
      <c r="O17" s="793"/>
      <c r="P17" s="793"/>
      <c r="Q17" s="793"/>
      <c r="R17" s="793"/>
      <c r="S17" s="793"/>
      <c r="T17" s="794"/>
      <c r="AM17" s="267"/>
      <c r="AQ17" s="288"/>
      <c r="AT17" s="533"/>
      <c r="AU17" s="533"/>
      <c r="AW17" s="945"/>
    </row>
    <row r="18" spans="1:50" ht="21.75" thickBot="1">
      <c r="A18" s="36" t="s">
        <v>116</v>
      </c>
      <c r="B18" s="36" t="s">
        <v>117</v>
      </c>
      <c r="C18" s="36" t="s">
        <v>162</v>
      </c>
      <c r="D18" s="36" t="s">
        <v>119</v>
      </c>
      <c r="E18" s="36" t="s">
        <v>120</v>
      </c>
      <c r="F18" s="36" t="s">
        <v>118</v>
      </c>
      <c r="G18" s="36" t="s">
        <v>121</v>
      </c>
      <c r="H18" s="36" t="s">
        <v>122</v>
      </c>
      <c r="M18" s="36" t="s">
        <v>116</v>
      </c>
      <c r="N18" s="36" t="s">
        <v>117</v>
      </c>
      <c r="O18" s="36" t="s">
        <v>162</v>
      </c>
      <c r="P18" s="36" t="s">
        <v>119</v>
      </c>
      <c r="Q18" s="36" t="s">
        <v>120</v>
      </c>
      <c r="R18" s="36" t="s">
        <v>118</v>
      </c>
      <c r="S18" s="36" t="s">
        <v>121</v>
      </c>
      <c r="T18" s="36" t="s">
        <v>122</v>
      </c>
      <c r="AJ18" s="388" t="s">
        <v>632</v>
      </c>
      <c r="AK18" s="396"/>
      <c r="AL18" s="388" t="s">
        <v>633</v>
      </c>
      <c r="AM18" s="396"/>
      <c r="AN18" s="393" t="s">
        <v>634</v>
      </c>
      <c r="AO18" s="397"/>
      <c r="AP18" s="388" t="s">
        <v>635</v>
      </c>
      <c r="AQ18" s="397"/>
      <c r="AR18" s="388" t="s">
        <v>636</v>
      </c>
      <c r="AS18" s="388"/>
      <c r="AT18" s="533"/>
      <c r="AU18" s="533"/>
      <c r="AW18" s="946"/>
    </row>
    <row r="19" spans="1:50" ht="15.75" thickBot="1">
      <c r="A19" s="795"/>
      <c r="B19" s="796"/>
      <c r="C19" s="796"/>
      <c r="D19" s="796"/>
      <c r="E19" s="796"/>
      <c r="F19" s="796"/>
      <c r="G19" s="796"/>
      <c r="H19" s="797"/>
      <c r="M19" s="795"/>
      <c r="N19" s="796"/>
      <c r="O19" s="796"/>
      <c r="P19" s="796"/>
      <c r="Q19" s="796"/>
      <c r="R19" s="796"/>
      <c r="S19" s="796"/>
      <c r="T19" s="797"/>
      <c r="AL19" s="301"/>
      <c r="AN19" s="302"/>
      <c r="AO19" s="302"/>
      <c r="AP19" s="302"/>
      <c r="AQ19" s="302"/>
      <c r="AT19" s="533"/>
      <c r="AU19" s="533"/>
    </row>
    <row r="20" spans="1:50" ht="15.75" thickBot="1">
      <c r="A20" s="40">
        <v>0.6</v>
      </c>
      <c r="B20" s="41">
        <v>2</v>
      </c>
      <c r="C20" s="47">
        <f>((((A20*1)+(B20*2))*'MATERIALES (2)'!$C$26)+((A20*3)*'MATERIALES (2)'!$C$28)+((B20*2)*'MATERIALES (2)'!$C$27))*'MATERIALES (2)'!$F$1</f>
        <v>93903.820499999987</v>
      </c>
      <c r="D20" s="58">
        <f>(2*'MATERIALES (2)'!$C$135)+(12*'MATERIALES (2)'!$C$147)+(12*'MATERIALES (2)'!$C$148)+((8*2)*'MATERIALES (2)'!$C$134)+(3*'MATERIALES (2)'!$C$149)+(((B20*2)+(A20*1))*'MATERIALES (2)'!$C$138)+(((A20*4)+(B20*2))*'MATERIALES (2)'!$C$130)+(1*'MATERIALES (2)'!$C$151)+(((A20*5)*2)*'MATERIALES (2)'!$C$136)+(4*'MATERIALES (2)'!$C$137)</f>
        <v>17012</v>
      </c>
      <c r="E20" s="74"/>
      <c r="F20" s="54">
        <f>(A20*B20)*'MATERIALES (2)'!$D$85</f>
        <v>8880</v>
      </c>
      <c r="G20" s="47">
        <f>SUM(C20:F20)</f>
        <v>119795.82049999999</v>
      </c>
      <c r="H20" s="49">
        <f>((((SUM(C20:E20)*$C$16)+(F20*$F$16))*1.21)*1.05)*1.05</f>
        <v>223444.32854739189</v>
      </c>
      <c r="M20" s="40">
        <v>0.6</v>
      </c>
      <c r="N20" s="41">
        <v>2</v>
      </c>
      <c r="O20" s="47">
        <f>((((M20*1)+(N20*2))*'MATERIALES (2)'!$C$26)+((M20*3)*'MATERIALES (2)'!$C$28)+((N20*2)*'MATERIALES (2)'!$C$27)+(((M20-0.2)*'MATERIALES (2)'!$C$30)*((N20/2)/0.12)))*'MATERIALES (2)'!$F$1</f>
        <v>131423.12049999999</v>
      </c>
      <c r="P20" s="58">
        <f>(2*'MATERIALES (2)'!$C$135)+(12*'MATERIALES (2)'!$C$147)+(12*'MATERIALES (2)'!$C$148)+((8*2)*'MATERIALES (2)'!$C$134)+(3*'MATERIALES (2)'!$C$149)+(((N20*2)+(M20*1))*'MATERIALES (2)'!$C$138)+(((M20*2)+((N20/2)*2))*'MATERIALES (2)'!$C$130)+(((M20*2)+((N20/2)*2))*'MATERIALES (2)'!$C$154)+(1*'MATERIALES (2)'!$C$151)+(((M20*5)*2)*'MATERIALES (2)'!$C$136)+(4*'MATERIALES (2)'!$C$137)+(0.25*'MATERIALES (2)'!$C$156)</f>
        <v>19012</v>
      </c>
      <c r="Q20" s="74">
        <v>0</v>
      </c>
      <c r="R20" s="54">
        <f>(M20*(N20/2))*'MATERIALES (2)'!$D$85</f>
        <v>4440</v>
      </c>
      <c r="S20" s="47">
        <f>SUM(O20:R20)</f>
        <v>154875.12049999999</v>
      </c>
      <c r="T20" s="49">
        <f>((((SUM(O20:Q20)*$O$16)+(R20*$R$16))*1.21)*1.05)*1.05</f>
        <v>282769.82769376691</v>
      </c>
      <c r="AM20" s="32"/>
      <c r="AQ20" s="32"/>
      <c r="AT20" s="533"/>
      <c r="AU20" s="533"/>
    </row>
    <row r="21" spans="1:50" ht="15.75" customHeight="1" thickBot="1">
      <c r="A21" s="42">
        <v>0.7</v>
      </c>
      <c r="B21" s="37">
        <v>2</v>
      </c>
      <c r="C21" s="38">
        <f>((((A21*1)+(B21*2))*'MATERIALES (2)'!$C$26)+((A21*3)*'MATERIALES (2)'!$C$28)+((B21*2)*'MATERIALES (2)'!$C$27))*'MATERIALES (2)'!$F$1</f>
        <v>97903.727249999996</v>
      </c>
      <c r="D21" s="59">
        <f>(2*'MATERIALES (2)'!$C$135)+(12*'MATERIALES (2)'!$C$147)+(12*'MATERIALES (2)'!$C$148)+((8*2)*'MATERIALES (2)'!$C$134)+(3*'MATERIALES (2)'!$C$149)+(((B21*2)+(A21*1))*'MATERIALES (2)'!$C$138)+(((A21*4)+(B21*2))*'MATERIALES (2)'!$C$130)+(1*'MATERIALES (2)'!$C$151)+(((A21*5)*2)*'MATERIALES (2)'!$C$136)+(4*'MATERIALES (2)'!$C$137)</f>
        <v>17114</v>
      </c>
      <c r="E21" s="75"/>
      <c r="F21" s="55">
        <f>(A21*B21)*'MATERIALES (2)'!$D$85</f>
        <v>10360</v>
      </c>
      <c r="G21" s="38">
        <f t="shared" ref="G21:G27" si="4">SUM(C21:F21)</f>
        <v>125377.72725</v>
      </c>
      <c r="H21" s="49">
        <f t="shared" ref="H21:H27" si="5">((((SUM(C21:E21)*$C$16)+(F21*$F$16))*1.21)*1.05)*1.05</f>
        <v>234780.30485281974</v>
      </c>
      <c r="M21" s="42">
        <v>0.7</v>
      </c>
      <c r="N21" s="37">
        <v>2</v>
      </c>
      <c r="O21" s="38">
        <f>((((M21*1)+(N21*2))*'MATERIALES (2)'!$C$26)+((M21*3)*'MATERIALES (2)'!$C$28)+((N21*2)*'MATERIALES (2)'!$C$27)+(((M21-0.2)*'MATERIALES (2)'!$C$30)*((N21/2)/0.12)))*'MATERIALES (2)'!$F$1</f>
        <v>144802.85225</v>
      </c>
      <c r="P21" s="59">
        <f>(2*'MATERIALES (2)'!$C$135)+(12*'MATERIALES (2)'!$C$147)+(12*'MATERIALES (2)'!$C$148)+((8*2)*'MATERIALES (2)'!$C$134)+(3*'MATERIALES (2)'!$C$149)+(((N21*2)+(M21*1))*'MATERIALES (2)'!$C$138)+(((M21*2)+((N21/2)*2))*'MATERIALES (2)'!$C$130)+(((M21*2)+((N21/2)*2))*'MATERIALES (2)'!$C$154)+(1*'MATERIALES (2)'!$C$151)+(((M21*5)*2)*'MATERIALES (2)'!$C$136)+(4*'MATERIALES (2)'!$C$137)+(0.25*'MATERIALES (2)'!$C$156)</f>
        <v>19114</v>
      </c>
      <c r="Q21" s="75">
        <v>0</v>
      </c>
      <c r="R21" s="55">
        <f>(M21*(N21/2))*'MATERIALES (2)'!$D$85</f>
        <v>5180</v>
      </c>
      <c r="S21" s="38">
        <f t="shared" ref="S21:S27" si="6">SUM(O21:R21)</f>
        <v>169096.85225</v>
      </c>
      <c r="T21" s="49">
        <f t="shared" ref="T21:T27" si="7">((((SUM(O21:Q21)*$O$16)+(R21*$R$16))*1.21)*1.05)*1.05</f>
        <v>309023.89041078847</v>
      </c>
      <c r="AM21" s="32"/>
      <c r="AQ21" s="32"/>
      <c r="AT21" s="534"/>
      <c r="AU21" s="534"/>
      <c r="AV21" s="291"/>
      <c r="AW21" s="304"/>
    </row>
    <row r="22" spans="1:50" ht="15.75" customHeight="1" thickBot="1">
      <c r="A22" s="42">
        <v>0.8</v>
      </c>
      <c r="B22" s="37">
        <v>2</v>
      </c>
      <c r="C22" s="38">
        <f>((((A22*1)+(B22*2))*'MATERIALES (2)'!$C$26)+((A22*3)*'MATERIALES (2)'!$C$28)+((B22*2)*'MATERIALES (2)'!$C$27))*'MATERIALES (2)'!$F$1</f>
        <v>101903.63400000001</v>
      </c>
      <c r="D22" s="59">
        <f>(2*'MATERIALES (2)'!$C$135)+(12*'MATERIALES (2)'!$C$147)+(12*'MATERIALES (2)'!$C$148)+((8*2)*'MATERIALES (2)'!$C$134)+(3*'MATERIALES (2)'!$C$149)+(((B22*2)+(A22*1))*'MATERIALES (2)'!$C$138)+(((A22*4)+(B22*2))*'MATERIALES (2)'!$C$130)+(1*'MATERIALES (2)'!$C$151)+(((A22*5)*2)*'MATERIALES (2)'!$C$136)+(4*'MATERIALES (2)'!$C$137)</f>
        <v>17216</v>
      </c>
      <c r="E22" s="75"/>
      <c r="F22" s="55">
        <f>(A22*B22)*'MATERIALES (2)'!$D$85</f>
        <v>11840</v>
      </c>
      <c r="G22" s="38">
        <f t="shared" si="4"/>
        <v>130959.63400000001</v>
      </c>
      <c r="H22" s="49">
        <f t="shared" si="5"/>
        <v>246116.28115824753</v>
      </c>
      <c r="M22" s="42">
        <v>0.8</v>
      </c>
      <c r="N22" s="37">
        <v>2</v>
      </c>
      <c r="O22" s="38">
        <f>((((M22*1)+(N22*2))*'MATERIALES (2)'!$C$26)+((M22*3)*'MATERIALES (2)'!$C$28)+((N22*2)*'MATERIALES (2)'!$C$27)+(((M22-0.2)*'MATERIALES (2)'!$C$30)*((N22/2)/0.12)))*'MATERIALES (2)'!$F$1</f>
        <v>158182.58400000003</v>
      </c>
      <c r="P22" s="59">
        <f>(2*'MATERIALES (2)'!$C$135)+(12*'MATERIALES (2)'!$C$147)+(12*'MATERIALES (2)'!$C$148)+((8*2)*'MATERIALES (2)'!$C$134)+(3*'MATERIALES (2)'!$C$149)+(((N22*2)+(M22*1))*'MATERIALES (2)'!$C$138)+(((M22*2)+((N22/2)*2))*'MATERIALES (2)'!$C$130)+(((M22*2)+((N22/2)*2))*'MATERIALES (2)'!$C$154)+(1*'MATERIALES (2)'!$C$151)+(((M22*5)*2)*'MATERIALES (2)'!$C$136)+(4*'MATERIALES (2)'!$C$137)+(0.25*'MATERIALES (2)'!$C$156)</f>
        <v>19216</v>
      </c>
      <c r="Q22" s="75">
        <v>0</v>
      </c>
      <c r="R22" s="55">
        <f>(M22*(N22/2))*'MATERIALES (2)'!$D$85</f>
        <v>5920</v>
      </c>
      <c r="S22" s="38">
        <f t="shared" si="6"/>
        <v>183318.58400000003</v>
      </c>
      <c r="T22" s="49">
        <f t="shared" si="7"/>
        <v>335277.95312781015</v>
      </c>
      <c r="AM22" s="32"/>
      <c r="AQ22" s="32"/>
      <c r="AT22" s="534"/>
      <c r="AU22" s="534"/>
      <c r="AV22" s="291"/>
      <c r="AW22" s="304"/>
    </row>
    <row r="23" spans="1:50" ht="15.75" customHeight="1" thickBot="1">
      <c r="A23" s="42">
        <v>0.9</v>
      </c>
      <c r="B23" s="37">
        <v>2</v>
      </c>
      <c r="C23" s="38">
        <f>((((A23*1)+(B23*2))*'MATERIALES (2)'!$C$26)+((A23*3)*'MATERIALES (2)'!$C$28)+((B23*2)*'MATERIALES (2)'!$C$27))*'MATERIALES (2)'!$F$1</f>
        <v>105903.54075</v>
      </c>
      <c r="D23" s="59">
        <f>(2*'MATERIALES (2)'!$C$135)+(12*'MATERIALES (2)'!$C$147)+(12*'MATERIALES (2)'!$C$148)+((8*2)*'MATERIALES (2)'!$C$134)+(3*'MATERIALES (2)'!$C$149)+(((B23*2)+(A23*1))*'MATERIALES (2)'!$C$138)+(((A23*4)+(B23*2))*'MATERIALES (2)'!$C$130)+(1*'MATERIALES (2)'!$C$151)+(((A23*5)*2)*'MATERIALES (2)'!$C$136)+(4*'MATERIALES (2)'!$C$137)</f>
        <v>17318</v>
      </c>
      <c r="E23" s="75"/>
      <c r="F23" s="55">
        <f>(A23*B23)*'MATERIALES (2)'!$D$85</f>
        <v>13320</v>
      </c>
      <c r="G23" s="38">
        <f t="shared" si="4"/>
        <v>136541.54074999999</v>
      </c>
      <c r="H23" s="49">
        <f t="shared" si="5"/>
        <v>257452.25746367537</v>
      </c>
      <c r="M23" s="42">
        <v>0.9</v>
      </c>
      <c r="N23" s="37">
        <v>2</v>
      </c>
      <c r="O23" s="38">
        <f>((((M23*1)+(N23*2))*'MATERIALES (2)'!$C$26)+((M23*3)*'MATERIALES (2)'!$C$28)+((N23*2)*'MATERIALES (2)'!$C$27)+(((M23-0.2)*'MATERIALES (2)'!$C$30)*((N23/2)/0.12)))*'MATERIALES (2)'!$F$1</f>
        <v>171562.31575000001</v>
      </c>
      <c r="P23" s="59">
        <f>(2*'MATERIALES (2)'!$C$135)+(12*'MATERIALES (2)'!$C$147)+(12*'MATERIALES (2)'!$C$148)+((8*2)*'MATERIALES (2)'!$C$134)+(3*'MATERIALES (2)'!$C$149)+(((N23*2)+(M23*1))*'MATERIALES (2)'!$C$138)+(((M23*2)+((N23/2)*2))*'MATERIALES (2)'!$C$130)+(((M23*2)+((N23/2)*2))*'MATERIALES (2)'!$C$154)+(1*'MATERIALES (2)'!$C$151)+(((M23*5)*2)*'MATERIALES (2)'!$C$136)+(4*'MATERIALES (2)'!$C$137)+(0.25*'MATERIALES (2)'!$C$156)</f>
        <v>19318</v>
      </c>
      <c r="Q23" s="75">
        <v>0</v>
      </c>
      <c r="R23" s="55">
        <f>(M23*(N23/2))*'MATERIALES (2)'!$D$85</f>
        <v>6660</v>
      </c>
      <c r="S23" s="38">
        <f t="shared" si="6"/>
        <v>197540.31575000001</v>
      </c>
      <c r="T23" s="49">
        <f t="shared" si="7"/>
        <v>361532.01584483159</v>
      </c>
      <c r="AT23" s="534"/>
      <c r="AU23" s="534"/>
      <c r="AV23" s="291"/>
      <c r="AW23" s="304"/>
    </row>
    <row r="24" spans="1:50" ht="15.75" customHeight="1" thickBot="1">
      <c r="A24" s="42">
        <v>0.6</v>
      </c>
      <c r="B24" s="37">
        <v>2.1</v>
      </c>
      <c r="C24" s="38">
        <f>((((A24*1)+(B24*2))*'MATERIALES (2)'!$C$26)+((A24*3)*'MATERIALES (2)'!$C$28)+((B24*2)*'MATERIALES (2)'!$C$27))*'MATERIALES (2)'!$F$1</f>
        <v>97399.039499999999</v>
      </c>
      <c r="D24" s="59">
        <f>(2*'MATERIALES (2)'!$C$135)+(12*'MATERIALES (2)'!$C$147)+(12*'MATERIALES (2)'!$C$148)+((8*2)*'MATERIALES (2)'!$C$134)+(3*'MATERIALES (2)'!$C$149)+(((B24*2)+(A24*1))*'MATERIALES (2)'!$C$138)+(((A24*4)+(B24*2))*'MATERIALES (2)'!$C$130)+(1*'MATERIALES (2)'!$C$151)+(((A24*5)*2)*'MATERIALES (2)'!$C$136)+(4*'MATERIALES (2)'!$C$137)</f>
        <v>17072</v>
      </c>
      <c r="E24" s="75"/>
      <c r="F24" s="55">
        <f>(A24*B24)*'MATERIALES (2)'!$D$85</f>
        <v>9324</v>
      </c>
      <c r="G24" s="38">
        <f t="shared" si="4"/>
        <v>123795.0395</v>
      </c>
      <c r="H24" s="49">
        <f t="shared" si="5"/>
        <v>231031.65663313319</v>
      </c>
      <c r="M24" s="42">
        <v>0.6</v>
      </c>
      <c r="N24" s="37">
        <v>2.1</v>
      </c>
      <c r="O24" s="38">
        <f>((((M24*1)+(N24*2))*'MATERIALES (2)'!$C$26)+((M24*3)*'MATERIALES (2)'!$C$28)+((N24*2)*'MATERIALES (2)'!$C$27)+(((M24-0.2)*'MATERIALES (2)'!$C$30)*((N24/2)/0.12)))*'MATERIALES (2)'!$F$1</f>
        <v>136794.3045</v>
      </c>
      <c r="P24" s="59">
        <f>(2*'MATERIALES (2)'!$C$135)+(12*'MATERIALES (2)'!$C$147)+(12*'MATERIALES (2)'!$C$148)+((8*2)*'MATERIALES (2)'!$C$134)+(3*'MATERIALES (2)'!$C$149)+(((N24*2)+(M24*1))*'MATERIALES (2)'!$C$138)+(((M24*2)+((N24/2)*2))*'MATERIALES (2)'!$C$130)+(((M24*2)+((N24/2)*2))*'MATERIALES (2)'!$C$154)+(1*'MATERIALES (2)'!$C$151)+(((M24*5)*2)*'MATERIALES (2)'!$C$136)+(4*'MATERIALES (2)'!$C$137)+(0.25*'MATERIALES (2)'!$C$156)</f>
        <v>19072</v>
      </c>
      <c r="Q24" s="75">
        <v>0</v>
      </c>
      <c r="R24" s="55">
        <f>(M24*(N24/2))*'MATERIALES (2)'!$D$85</f>
        <v>4662</v>
      </c>
      <c r="S24" s="38">
        <f t="shared" si="6"/>
        <v>160528.3045</v>
      </c>
      <c r="T24" s="49">
        <f t="shared" si="7"/>
        <v>293143.33736182691</v>
      </c>
      <c r="AL24" s="289"/>
      <c r="AM24" s="32"/>
      <c r="AN24" s="287"/>
      <c r="AO24" s="4"/>
      <c r="AP24" s="290"/>
      <c r="AQ24" s="267"/>
      <c r="AR24" s="4"/>
      <c r="AS24" s="4"/>
      <c r="AT24" s="534"/>
      <c r="AU24" s="534"/>
      <c r="AV24" s="291"/>
      <c r="AW24" s="294"/>
    </row>
    <row r="25" spans="1:50" ht="15.75" customHeight="1" thickBot="1">
      <c r="A25" s="42">
        <v>0.7</v>
      </c>
      <c r="B25" s="37">
        <v>2.1</v>
      </c>
      <c r="C25" s="38">
        <f>((((A25*1)+(B25*2))*'MATERIALES (2)'!$C$26)+((A25*3)*'MATERIALES (2)'!$C$28)+((B25*2)*'MATERIALES (2)'!$C$27))*'MATERIALES (2)'!$F$1</f>
        <v>101398.94625000001</v>
      </c>
      <c r="D25" s="59">
        <f>(2*'MATERIALES (2)'!$C$135)+(12*'MATERIALES (2)'!$C$147)+(12*'MATERIALES (2)'!$C$148)+((8*2)*'MATERIALES (2)'!$C$134)+(3*'MATERIALES (2)'!$C$149)+(((B25*2)+(A25*1))*'MATERIALES (2)'!$C$138)+(((A25*4)+(B25*2))*'MATERIALES (2)'!$C$130)+(1*'MATERIALES (2)'!$C$151)+(((A25*5)*2)*'MATERIALES (2)'!$C$136)+(4*'MATERIALES (2)'!$C$137)</f>
        <v>17174</v>
      </c>
      <c r="E25" s="75"/>
      <c r="F25" s="55">
        <f>(A25*B25)*'MATERIALES (2)'!$D$85</f>
        <v>10878</v>
      </c>
      <c r="G25" s="38">
        <f t="shared" si="4"/>
        <v>129450.94625000001</v>
      </c>
      <c r="H25" s="49">
        <f t="shared" si="5"/>
        <v>242565.06863856097</v>
      </c>
      <c r="M25" s="42">
        <v>0.7</v>
      </c>
      <c r="N25" s="37">
        <v>2.1</v>
      </c>
      <c r="O25" s="38">
        <f>((((M25*1)+(N25*2))*'MATERIALES (2)'!$C$26)+((M25*3)*'MATERIALES (2)'!$C$28)+((N25*2)*'MATERIALES (2)'!$C$27)+(((M25-0.2)*'MATERIALES (2)'!$C$30)*((N25/2)/0.12)))*'MATERIALES (2)'!$F$1</f>
        <v>150643.0275</v>
      </c>
      <c r="P25" s="59">
        <f>(2*'MATERIALES (2)'!$C$135)+(12*'MATERIALES (2)'!$C$147)+(12*'MATERIALES (2)'!$C$148)+((8*2)*'MATERIALES (2)'!$C$134)+(3*'MATERIALES (2)'!$C$149)+(((N25*2)+(M25*1))*'MATERIALES (2)'!$C$138)+(((M25*2)+((N25/2)*2))*'MATERIALES (2)'!$C$130)+(((M25*2)+((N25/2)*2))*'MATERIALES (2)'!$C$154)+(1*'MATERIALES (2)'!$C$151)+(((M25*5)*2)*'MATERIALES (2)'!$C$136)+(4*'MATERIALES (2)'!$C$137)+(0.25*'MATERIALES (2)'!$C$156)</f>
        <v>19174</v>
      </c>
      <c r="Q25" s="75">
        <v>0</v>
      </c>
      <c r="R25" s="55">
        <f>(M25*(N25/2))*'MATERIALES (2)'!$D$85</f>
        <v>5439</v>
      </c>
      <c r="S25" s="38">
        <f t="shared" si="6"/>
        <v>175256.0275</v>
      </c>
      <c r="T25" s="49">
        <f t="shared" si="7"/>
        <v>320340.74009942816</v>
      </c>
      <c r="AK25" s="291"/>
      <c r="AL25" s="294"/>
      <c r="AM25" s="293"/>
      <c r="AN25" s="296"/>
      <c r="AO25" s="295"/>
      <c r="AP25" s="297"/>
      <c r="AQ25" s="293"/>
      <c r="AR25" s="292"/>
      <c r="AS25" s="292"/>
      <c r="AT25" s="534"/>
      <c r="AU25" s="534"/>
      <c r="AV25" s="291"/>
    </row>
    <row r="26" spans="1:50" ht="15.75" customHeight="1" thickBot="1">
      <c r="A26" s="42">
        <v>0.8</v>
      </c>
      <c r="B26" s="37">
        <v>2.1</v>
      </c>
      <c r="C26" s="38">
        <f>((((A26*1)+(B26*2))*'MATERIALES (2)'!$C$26)+((A26*3)*'MATERIALES (2)'!$C$28)+((B26*2)*'MATERIALES (2)'!$C$27))*'MATERIALES (2)'!$F$1</f>
        <v>105398.85300000002</v>
      </c>
      <c r="D26" s="59">
        <f>(2*'MATERIALES (2)'!$C$135)+(12*'MATERIALES (2)'!$C$147)+(12*'MATERIALES (2)'!$C$148)+((8*2)*'MATERIALES (2)'!$C$134)+(3*'MATERIALES (2)'!$C$149)+(((B26*2)+(A26*1))*'MATERIALES (2)'!$C$138)+(((A26*4)+(B26*2))*'MATERIALES (2)'!$C$130)+(1*'MATERIALES (2)'!$C$151)+(((A26*5)*2)*'MATERIALES (2)'!$C$136)+(4*'MATERIALES (2)'!$C$137)</f>
        <v>17276</v>
      </c>
      <c r="E26" s="75"/>
      <c r="F26" s="55">
        <f>(A26*B26)*'MATERIALES (2)'!$D$85</f>
        <v>12432.000000000002</v>
      </c>
      <c r="G26" s="38">
        <f t="shared" si="4"/>
        <v>135106.85300000003</v>
      </c>
      <c r="H26" s="49">
        <f t="shared" si="5"/>
        <v>254098.48064398882</v>
      </c>
      <c r="M26" s="42">
        <v>0.8</v>
      </c>
      <c r="N26" s="37">
        <v>2.1</v>
      </c>
      <c r="O26" s="38">
        <f>((((M26*1)+(N26*2))*'MATERIALES (2)'!$C$26)+((M26*3)*'MATERIALES (2)'!$C$28)+((N26*2)*'MATERIALES (2)'!$C$27)+(((M26-0.2)*'MATERIALES (2)'!$C$30)*((N26/2)/0.12)))*'MATERIALES (2)'!$F$1</f>
        <v>164491.75050000002</v>
      </c>
      <c r="P26" s="59">
        <f>(2*'MATERIALES (2)'!$C$135)+(12*'MATERIALES (2)'!$C$147)+(12*'MATERIALES (2)'!$C$148)+((8*2)*'MATERIALES (2)'!$C$134)+(3*'MATERIALES (2)'!$C$149)+(((N26*2)+(M26*1))*'MATERIALES (2)'!$C$138)+(((M26*2)+((N26/2)*2))*'MATERIALES (2)'!$C$130)+(((M26*2)+((N26/2)*2))*'MATERIALES (2)'!$C$154)+(1*'MATERIALES (2)'!$C$151)+(((M26*5)*2)*'MATERIALES (2)'!$C$136)+(4*'MATERIALES (2)'!$C$137)+(0.25*'MATERIALES (2)'!$C$156)</f>
        <v>19276</v>
      </c>
      <c r="Q26" s="75">
        <v>0</v>
      </c>
      <c r="R26" s="55">
        <f>(M26*(N26/2))*'MATERIALES (2)'!$D$85</f>
        <v>6216.0000000000009</v>
      </c>
      <c r="S26" s="38">
        <f t="shared" si="6"/>
        <v>189983.75050000002</v>
      </c>
      <c r="T26" s="49">
        <f t="shared" si="7"/>
        <v>347538.14283702942</v>
      </c>
      <c r="AK26" s="291"/>
      <c r="AL26" s="294"/>
      <c r="AM26" s="293"/>
      <c r="AN26" s="296"/>
      <c r="AO26" s="295"/>
      <c r="AP26" s="297"/>
      <c r="AQ26" s="293"/>
      <c r="AR26" s="292"/>
      <c r="AS26" s="292"/>
      <c r="AT26" s="536"/>
      <c r="AU26" s="534"/>
      <c r="AV26" s="291"/>
      <c r="AW26" s="305"/>
    </row>
    <row r="27" spans="1:50" ht="15.75" customHeight="1" thickBot="1">
      <c r="A27" s="44">
        <v>0.9</v>
      </c>
      <c r="B27" s="45">
        <v>2.1</v>
      </c>
      <c r="C27" s="50">
        <f>((((A27*1)+(B27*2))*'MATERIALES (2)'!$C$26)+((A27*3)*'MATERIALES (2)'!$C$28)+((B27*2)*'MATERIALES (2)'!$C$27))*'MATERIALES (2)'!$F$1</f>
        <v>109398.75975000001</v>
      </c>
      <c r="D27" s="60">
        <f>(2*'MATERIALES (2)'!$C$135)+(12*'MATERIALES (2)'!$C$147)+(12*'MATERIALES (2)'!$C$148)+((8*2)*'MATERIALES (2)'!$C$134)+(3*'MATERIALES (2)'!$C$149)+(((B27*2)+(A27*1))*'MATERIALES (2)'!$C$138)+(((A27*4)+(B27*2))*'MATERIALES (2)'!$C$130)+(1*'MATERIALES (2)'!$C$151)+(((A27*5)*2)*'MATERIALES (2)'!$C$136)+(4*'MATERIALES (2)'!$C$137)</f>
        <v>17378</v>
      </c>
      <c r="E27" s="76"/>
      <c r="F27" s="56">
        <f>(A27*B27)*'MATERIALES (2)'!$D$85</f>
        <v>13986.000000000002</v>
      </c>
      <c r="G27" s="50">
        <f t="shared" si="4"/>
        <v>140762.75975000003</v>
      </c>
      <c r="H27" s="49">
        <f t="shared" si="5"/>
        <v>265631.89264941664</v>
      </c>
      <c r="M27" s="44">
        <v>0.9</v>
      </c>
      <c r="N27" s="45">
        <v>2.1</v>
      </c>
      <c r="O27" s="50">
        <f>((((M27*1)+(N27*2))*'MATERIALES (2)'!$C$26)+((M27*3)*'MATERIALES (2)'!$C$28)+((N27*2)*'MATERIALES (2)'!$C$27)+(((M27-0.2)*'MATERIALES (2)'!$C$30)*((N27/2)/0.12)))*'MATERIALES (2)'!$F$1</f>
        <v>178340.47349999999</v>
      </c>
      <c r="P27" s="60">
        <f>(2*'MATERIALES (2)'!$C$135)+(12*'MATERIALES (2)'!$C$147)+(12*'MATERIALES (2)'!$C$148)+((8*2)*'MATERIALES (2)'!$C$134)+(3*'MATERIALES (2)'!$C$149)+(((N27*2)+(M27*1))*'MATERIALES (2)'!$C$138)+(((M27*2)+((N27/2)*2))*'MATERIALES (2)'!$C$130)+(((M27*2)+((N27/2)*2))*'MATERIALES (2)'!$C$154)+(1*'MATERIALES (2)'!$C$151)+(((M27*5)*2)*'MATERIALES (2)'!$C$136)+(4*'MATERIALES (2)'!$C$137)+(0.25*'MATERIALES (2)'!$C$156)</f>
        <v>19378</v>
      </c>
      <c r="Q27" s="76">
        <v>0</v>
      </c>
      <c r="R27" s="56">
        <f>(M27*(N27/2))*'MATERIALES (2)'!$D$85</f>
        <v>6993.0000000000009</v>
      </c>
      <c r="S27" s="50">
        <f t="shared" si="6"/>
        <v>204711.47349999999</v>
      </c>
      <c r="T27" s="49">
        <f t="shared" si="7"/>
        <v>374735.54557463061</v>
      </c>
      <c r="AK27" s="291"/>
      <c r="AL27" s="294"/>
      <c r="AM27" s="293"/>
      <c r="AN27" s="296"/>
      <c r="AO27" s="295"/>
      <c r="AP27" s="297"/>
      <c r="AQ27" s="293"/>
      <c r="AR27" s="292"/>
      <c r="AS27" s="292"/>
      <c r="AT27" s="537"/>
      <c r="AU27" s="533"/>
      <c r="AW27" s="311"/>
      <c r="AX27" s="705"/>
    </row>
    <row r="28" spans="1:50" ht="15.75" customHeight="1">
      <c r="AK28" s="291"/>
      <c r="AL28" s="294"/>
      <c r="AM28" s="293"/>
      <c r="AN28" s="296"/>
      <c r="AO28" s="295"/>
      <c r="AP28" s="297"/>
      <c r="AQ28" s="293"/>
      <c r="AR28" s="292"/>
      <c r="AS28" s="292"/>
      <c r="AT28" s="537"/>
      <c r="AU28" s="533"/>
      <c r="AW28" s="294"/>
    </row>
    <row r="29" spans="1:50" ht="16.5" customHeight="1" thickBot="1">
      <c r="AI29" s="387"/>
      <c r="AJ29" s="598">
        <f>+T64</f>
        <v>382410.76659786003</v>
      </c>
      <c r="AK29" s="360"/>
      <c r="AL29" s="600">
        <f>+H107</f>
        <v>412981.82191035006</v>
      </c>
      <c r="AM29" s="361"/>
      <c r="AN29" s="601">
        <f>+H64</f>
        <v>374252.06126385002</v>
      </c>
      <c r="AO29" s="362"/>
      <c r="AP29" s="601">
        <f>+T8</f>
        <v>406753.50477935263</v>
      </c>
      <c r="AQ29" s="361"/>
      <c r="AR29" s="600">
        <f>+H79</f>
        <v>393926.99194233015</v>
      </c>
      <c r="AS29" s="432"/>
      <c r="AT29" s="599" t="s">
        <v>929</v>
      </c>
      <c r="AU29" s="668"/>
      <c r="AV29" s="387"/>
      <c r="AW29" s="289"/>
    </row>
    <row r="30" spans="1:50" ht="15.75" customHeight="1" thickBot="1">
      <c r="A30" s="32"/>
      <c r="B30" s="32"/>
      <c r="C30" s="947">
        <v>1.35</v>
      </c>
      <c r="D30" s="948"/>
      <c r="E30" s="949"/>
      <c r="F30" s="728">
        <v>2</v>
      </c>
      <c r="G30" s="32"/>
      <c r="H30" s="46" t="s">
        <v>163</v>
      </c>
      <c r="M30" s="32"/>
      <c r="N30" s="32"/>
      <c r="O30" s="947">
        <v>1.35</v>
      </c>
      <c r="P30" s="948"/>
      <c r="Q30" s="949"/>
      <c r="R30" s="728">
        <v>2</v>
      </c>
      <c r="S30" s="32"/>
      <c r="T30" s="46" t="s">
        <v>163</v>
      </c>
      <c r="AJ30" s="598">
        <f>+T194</f>
        <v>343997.90865940513</v>
      </c>
      <c r="AK30" s="735"/>
      <c r="AL30" s="600">
        <f>+H237</f>
        <v>378065.08424396266</v>
      </c>
      <c r="AM30" s="532"/>
      <c r="AN30" s="601">
        <f>+H194</f>
        <v>337004.57674941752</v>
      </c>
      <c r="AO30" s="736"/>
      <c r="AP30" s="600">
        <f>+T138</f>
        <v>376498.26080905506</v>
      </c>
      <c r="AQ30" s="532"/>
      <c r="AR30" s="600">
        <f>+H209</f>
        <v>361341.00112398755</v>
      </c>
      <c r="AS30" s="432"/>
      <c r="AT30" s="599" t="s">
        <v>930</v>
      </c>
      <c r="AU30" s="668"/>
      <c r="AW30" s="294"/>
    </row>
    <row r="31" spans="1:50" ht="15.75" customHeight="1" thickBot="1">
      <c r="A31" s="792" t="s">
        <v>204</v>
      </c>
      <c r="B31" s="793"/>
      <c r="C31" s="793"/>
      <c r="D31" s="793"/>
      <c r="E31" s="793"/>
      <c r="F31" s="793"/>
      <c r="G31" s="793"/>
      <c r="H31" s="794"/>
      <c r="M31" s="792" t="s">
        <v>210</v>
      </c>
      <c r="N31" s="793"/>
      <c r="O31" s="793"/>
      <c r="P31" s="793"/>
      <c r="Q31" s="793"/>
      <c r="R31" s="793"/>
      <c r="S31" s="793"/>
      <c r="T31" s="794"/>
      <c r="U31" s="64" t="s">
        <v>211</v>
      </c>
      <c r="AJ31" s="598">
        <f>+T324</f>
        <v>291063.69327246753</v>
      </c>
      <c r="AK31" s="735"/>
      <c r="AL31" s="600">
        <f>+H367</f>
        <v>291252.97100938507</v>
      </c>
      <c r="AM31" s="532"/>
      <c r="AN31" s="601">
        <f>+H324</f>
        <v>284070.36136248009</v>
      </c>
      <c r="AO31" s="736"/>
      <c r="AP31" s="600">
        <f>+T268</f>
        <v>270629.83003517997</v>
      </c>
      <c r="AQ31" s="532"/>
      <c r="AR31" s="600">
        <f>+H339</f>
        <v>274528.88788941002</v>
      </c>
      <c r="AS31" s="432"/>
      <c r="AT31" s="599" t="s">
        <v>931</v>
      </c>
      <c r="AU31" s="668"/>
    </row>
    <row r="32" spans="1:50" ht="15.75" customHeight="1" thickBot="1">
      <c r="A32" s="36" t="s">
        <v>116</v>
      </c>
      <c r="B32" s="36" t="s">
        <v>117</v>
      </c>
      <c r="C32" s="36" t="s">
        <v>162</v>
      </c>
      <c r="D32" s="36" t="s">
        <v>119</v>
      </c>
      <c r="E32" s="36" t="s">
        <v>120</v>
      </c>
      <c r="F32" s="36" t="s">
        <v>118</v>
      </c>
      <c r="G32" s="36" t="s">
        <v>121</v>
      </c>
      <c r="H32" s="36" t="s">
        <v>122</v>
      </c>
      <c r="M32" s="36" t="s">
        <v>116</v>
      </c>
      <c r="N32" s="36" t="s">
        <v>117</v>
      </c>
      <c r="O32" s="36" t="s">
        <v>162</v>
      </c>
      <c r="P32" s="36" t="s">
        <v>119</v>
      </c>
      <c r="Q32" s="36" t="s">
        <v>120</v>
      </c>
      <c r="R32" s="36" t="s">
        <v>118</v>
      </c>
      <c r="S32" s="36" t="s">
        <v>121</v>
      </c>
      <c r="T32" s="36" t="s">
        <v>122</v>
      </c>
      <c r="AK32" s="291"/>
      <c r="AM32" s="293"/>
      <c r="AO32" s="295"/>
      <c r="AQ32" s="293"/>
      <c r="AT32" s="533"/>
      <c r="AU32" s="533"/>
    </row>
    <row r="33" spans="1:49" ht="15.75" customHeight="1" thickBot="1">
      <c r="A33" s="795"/>
      <c r="B33" s="796"/>
      <c r="C33" s="796"/>
      <c r="D33" s="796"/>
      <c r="E33" s="796"/>
      <c r="F33" s="796"/>
      <c r="G33" s="796"/>
      <c r="H33" s="797"/>
      <c r="M33" s="795"/>
      <c r="N33" s="796"/>
      <c r="O33" s="796"/>
      <c r="P33" s="796"/>
      <c r="Q33" s="796"/>
      <c r="R33" s="796"/>
      <c r="S33" s="796"/>
      <c r="T33" s="797"/>
      <c r="AJ33" s="393" t="s">
        <v>644</v>
      </c>
      <c r="AK33" s="389"/>
      <c r="AL33" s="388" t="s">
        <v>637</v>
      </c>
      <c r="AM33" s="394"/>
      <c r="AN33" s="388" t="s">
        <v>638</v>
      </c>
      <c r="AO33" s="395"/>
      <c r="AP33" s="388" t="s">
        <v>639</v>
      </c>
      <c r="AQ33" s="394"/>
      <c r="AR33" s="388" t="s">
        <v>640</v>
      </c>
      <c r="AS33" s="388"/>
      <c r="AT33" s="533"/>
      <c r="AU33" s="533"/>
    </row>
    <row r="34" spans="1:49" ht="15.75" customHeight="1" thickBot="1">
      <c r="A34" s="40">
        <v>0.6</v>
      </c>
      <c r="B34" s="41">
        <v>2</v>
      </c>
      <c r="C34" s="47">
        <f>((((A34*1)+(B34*2))*'MATERIALES (2)'!$C$26)+((A34*2)*'MATERIALES (2)'!$C$28)+((B34*2)*'MATERIALES (2)'!$C$28)+((B34*2)*'MATERIALES (2)'!$C$27))*'MATERIALES (2)'!$F$1</f>
        <v>130779.06450000001</v>
      </c>
      <c r="D34" s="58">
        <f>(2*'MATERIALES (2)'!$C$135)+(16*'MATERIALES (2)'!$C$147)+(16*'MATERIALES (2)'!$C$148)+((8*2)*'MATERIALES (2)'!$C$134)+(3*'MATERIALES (2)'!$C$149)+(((B34*2)+(A34*1))*'MATERIALES (2)'!$C$138)+(((A34*2)+(B34*6))*'MATERIALES (2)'!$C$130)+(1*'MATERIALES (2)'!$C$151)+(((A34*5)*2)*'MATERIALES (2)'!$C$136)+(4*'MATERIALES (2)'!$C$137)</f>
        <v>19404</v>
      </c>
      <c r="E34" s="74"/>
      <c r="F34" s="54">
        <f>(A34*B34)*'MATERIALES (2)'!$D$85</f>
        <v>8880</v>
      </c>
      <c r="G34" s="47">
        <f>SUM(C34:F34)</f>
        <v>159063.06450000001</v>
      </c>
      <c r="H34" s="49">
        <f>((((SUM(C34:E34)*$C$30)+(F34*$F$30))*1.21)*1.05)*1.05</f>
        <v>294162.03353647696</v>
      </c>
      <c r="M34" s="40">
        <v>0.6</v>
      </c>
      <c r="N34" s="41">
        <v>2</v>
      </c>
      <c r="O34" s="47">
        <f>((((M34*1)+(N34*2))*'MATERIALES (2)'!$C$26)+((M34*5)*'MATERIALES (2)'!$C$28)+((N34*2)*'MATERIALES (2)'!$C$27))*'MATERIALES (2)'!$F$1</f>
        <v>106918.6125</v>
      </c>
      <c r="P34" s="58">
        <f>(2*'MATERIALES (2)'!$C$135)+(12*'MATERIALES (2)'!$C$147)+(12*'MATERIALES (2)'!$C$148)+((8*2)*'MATERIALES (2)'!$C$134)+(3*'MATERIALES (2)'!$C$149)+(((N34*2)+(M34*1))*'MATERIALES (2)'!$C$138)+(((M34*8)+(N34*2))*'MATERIALES (2)'!$C$130)+(1*'MATERIALES (2)'!$C$151)+(((M34*5)*2)*'MATERIALES (2)'!$C$136)+(4*'MATERIALES (2)'!$C$137)</f>
        <v>17588</v>
      </c>
      <c r="Q34" s="74"/>
      <c r="R34" s="54">
        <f>(M34*N34)*'MATERIALES (2)'!$D$85</f>
        <v>8880</v>
      </c>
      <c r="S34" s="47">
        <f>SUM(O34:R34)</f>
        <v>133386.61249999999</v>
      </c>
      <c r="T34" s="49">
        <f>((((SUM(O34:Q34)*$O$30)+(R34*$R$30))*1.21)*1.05)*1.05</f>
        <v>247920.4445494219</v>
      </c>
      <c r="AK34" s="291"/>
      <c r="AL34" s="305"/>
      <c r="AM34" s="298"/>
      <c r="AN34" s="306"/>
      <c r="AO34" s="307"/>
      <c r="AP34" s="308"/>
      <c r="AQ34" s="309"/>
      <c r="AR34" s="310"/>
      <c r="AS34" s="310"/>
      <c r="AT34" s="534"/>
      <c r="AU34" s="534"/>
      <c r="AV34" s="291"/>
      <c r="AW34" s="4"/>
    </row>
    <row r="35" spans="1:49" ht="15.75" customHeight="1" thickBot="1">
      <c r="A35" s="42">
        <v>0.7</v>
      </c>
      <c r="B35" s="37">
        <v>2</v>
      </c>
      <c r="C35" s="38">
        <f>((((A35*1)+(B35*2))*'MATERIALES (2)'!$C$26)+((A35*2)*'MATERIALES (2)'!$C$28)+((B35*2)*'MATERIALES (2)'!$C$28)+((B35*2)*'MATERIALES (2)'!$C$27))*'MATERIALES (2)'!$F$1</f>
        <v>133694.40525000001</v>
      </c>
      <c r="D35" s="59">
        <f>(2*'MATERIALES (2)'!$C$135)+(16*'MATERIALES (2)'!$C$147)+(16*'MATERIALES (2)'!$C$148)+((8*2)*'MATERIALES (2)'!$C$134)+(3*'MATERIALES (2)'!$C$149)+(((B35*2)+(A35*1))*'MATERIALES (2)'!$C$138)+(((A35*2)+(B35*6))*'MATERIALES (2)'!$C$130)+(1*'MATERIALES (2)'!$C$151)+(((A35*5)*2)*'MATERIALES (2)'!$C$136)+(4*'MATERIALES (2)'!$C$137)</f>
        <v>19458</v>
      </c>
      <c r="E35" s="75"/>
      <c r="F35" s="55">
        <f>(A35*B35)*'MATERIALES (2)'!$D$85</f>
        <v>10360</v>
      </c>
      <c r="G35" s="38">
        <f t="shared" ref="G35:G41" si="8">SUM(C35:F35)</f>
        <v>163512.40525000001</v>
      </c>
      <c r="H35" s="49">
        <f t="shared" ref="H35:H41" si="9">((((SUM(C35:E35)*$C$30)+(F35*$F$30))*1.21)*1.05)*1.05</f>
        <v>303458.33350840217</v>
      </c>
      <c r="M35" s="42">
        <v>0.7</v>
      </c>
      <c r="N35" s="37">
        <v>2</v>
      </c>
      <c r="O35" s="38">
        <f>((((M35*1)+(N35*2))*'MATERIALES (2)'!$C$26)+((M35*5)*'MATERIALES (2)'!$C$28)+((N35*2)*'MATERIALES (2)'!$C$27))*'MATERIALES (2)'!$F$1</f>
        <v>113087.65125000001</v>
      </c>
      <c r="P35" s="59">
        <f>(2*'MATERIALES (2)'!$C$135)+(12*'MATERIALES (2)'!$C$147)+(12*'MATERIALES (2)'!$C$148)+((8*2)*'MATERIALES (2)'!$C$134)+(3*'MATERIALES (2)'!$C$149)+(((N35*2)+(M35*1))*'MATERIALES (2)'!$C$138)+(((M35*8)+(N35*2))*'MATERIALES (2)'!$C$130)+(1*'MATERIALES (2)'!$C$151)+(((M35*5)*2)*'MATERIALES (2)'!$C$136)+(4*'MATERIALES (2)'!$C$137)</f>
        <v>17786</v>
      </c>
      <c r="Q35" s="75"/>
      <c r="R35" s="55">
        <f>(M35*N35)*'MATERIALES (2)'!$D$85</f>
        <v>10360</v>
      </c>
      <c r="S35" s="38">
        <f t="shared" ref="S35:S41" si="10">SUM(O35:R35)</f>
        <v>141233.65125</v>
      </c>
      <c r="T35" s="49">
        <f t="shared" ref="T35:T41" si="11">((((SUM(O35:Q35)*$O$30)+(R35*$R$30))*1.21)*1.05)*1.05</f>
        <v>263335.77352185478</v>
      </c>
      <c r="AM35" s="32"/>
      <c r="AN35" s="287"/>
      <c r="AO35" s="295"/>
      <c r="AP35" s="290"/>
      <c r="AQ35" s="293"/>
      <c r="AR35" s="4"/>
      <c r="AS35" s="4"/>
      <c r="AT35" s="534"/>
      <c r="AU35" s="534"/>
      <c r="AV35" s="291"/>
      <c r="AW35" s="292"/>
    </row>
    <row r="36" spans="1:49" ht="15.75" customHeight="1" thickBot="1">
      <c r="A36" s="42">
        <v>0.8</v>
      </c>
      <c r="B36" s="37">
        <v>2</v>
      </c>
      <c r="C36" s="38">
        <f>((((A36*1)+(B36*2))*'MATERIALES (2)'!$C$26)+((A36*2)*'MATERIALES (2)'!$C$28)+((B36*2)*'MATERIALES (2)'!$C$28)+((B36*2)*'MATERIALES (2)'!$C$27))*'MATERIALES (2)'!$F$1</f>
        <v>136609.74600000001</v>
      </c>
      <c r="D36" s="59">
        <f>(2*'MATERIALES (2)'!$C$135)+(16*'MATERIALES (2)'!$C$147)+(16*'MATERIALES (2)'!$C$148)+((8*2)*'MATERIALES (2)'!$C$134)+(3*'MATERIALES (2)'!$C$149)+(((B36*2)+(A36*1))*'MATERIALES (2)'!$C$138)+(((A36*2)+(B36*6))*'MATERIALES (2)'!$C$130)+(1*'MATERIALES (2)'!$C$151)+(((A36*5)*2)*'MATERIALES (2)'!$C$136)+(4*'MATERIALES (2)'!$C$137)</f>
        <v>19512</v>
      </c>
      <c r="E36" s="75"/>
      <c r="F36" s="55">
        <f>(A36*B36)*'MATERIALES (2)'!$D$85</f>
        <v>11840</v>
      </c>
      <c r="G36" s="38">
        <f t="shared" si="8"/>
        <v>167961.74600000001</v>
      </c>
      <c r="H36" s="49">
        <f t="shared" si="9"/>
        <v>312754.63348032755</v>
      </c>
      <c r="M36" s="42">
        <v>0.8</v>
      </c>
      <c r="N36" s="37">
        <v>2</v>
      </c>
      <c r="O36" s="38">
        <f>((((M36*1)+(N36*2))*'MATERIALES (2)'!$C$26)+((M36*5)*'MATERIALES (2)'!$C$28)+((N36*2)*'MATERIALES (2)'!$C$27))*'MATERIALES (2)'!$F$1</f>
        <v>119256.69</v>
      </c>
      <c r="P36" s="59">
        <f>(2*'MATERIALES (2)'!$C$135)+(12*'MATERIALES (2)'!$C$147)+(12*'MATERIALES (2)'!$C$148)+((8*2)*'MATERIALES (2)'!$C$134)+(3*'MATERIALES (2)'!$C$149)+(((N36*2)+(M36*1))*'MATERIALES (2)'!$C$138)+(((M36*8)+(N36*2))*'MATERIALES (2)'!$C$130)+(1*'MATERIALES (2)'!$C$151)+(((M36*5)*2)*'MATERIALES (2)'!$C$136)+(4*'MATERIALES (2)'!$C$137)</f>
        <v>17984</v>
      </c>
      <c r="Q36" s="75"/>
      <c r="R36" s="55">
        <f>(M36*N36)*'MATERIALES (2)'!$D$85</f>
        <v>11840</v>
      </c>
      <c r="S36" s="38">
        <f t="shared" si="10"/>
        <v>149080.69</v>
      </c>
      <c r="T36" s="49">
        <f t="shared" si="11"/>
        <v>278751.10249428754</v>
      </c>
      <c r="AM36" s="32"/>
      <c r="AN36" s="287"/>
      <c r="AO36" s="295"/>
      <c r="AP36" s="290"/>
      <c r="AQ36" s="293"/>
      <c r="AR36" s="4"/>
      <c r="AS36" s="4"/>
      <c r="AT36" s="534"/>
      <c r="AU36" s="534"/>
      <c r="AV36" s="291"/>
      <c r="AW36" s="292"/>
    </row>
    <row r="37" spans="1:49" ht="15.75" customHeight="1" thickBot="1">
      <c r="A37" s="42">
        <v>0.9</v>
      </c>
      <c r="B37" s="37">
        <v>2</v>
      </c>
      <c r="C37" s="38">
        <f>((((A37*1)+(B37*2))*'MATERIALES (2)'!$C$26)+((A37*2)*'MATERIALES (2)'!$C$28)+((B37*2)*'MATERIALES (2)'!$C$28)+((B37*2)*'MATERIALES (2)'!$C$27))*'MATERIALES (2)'!$F$1</f>
        <v>139525.08674999999</v>
      </c>
      <c r="D37" s="59">
        <f>(2*'MATERIALES (2)'!$C$135)+(16*'MATERIALES (2)'!$C$147)+(16*'MATERIALES (2)'!$C$148)+((8*2)*'MATERIALES (2)'!$C$134)+(3*'MATERIALES (2)'!$C$149)+(((B37*2)+(A37*1))*'MATERIALES (2)'!$C$138)+(((A37*2)+(B37*6))*'MATERIALES (2)'!$C$130)+(1*'MATERIALES (2)'!$C$151)+(((A37*5)*2)*'MATERIALES (2)'!$C$136)+(4*'MATERIALES (2)'!$C$137)</f>
        <v>19566</v>
      </c>
      <c r="E37" s="75"/>
      <c r="F37" s="55">
        <f>(A37*B37)*'MATERIALES (2)'!$D$85</f>
        <v>13320</v>
      </c>
      <c r="G37" s="38">
        <f t="shared" si="8"/>
        <v>172411.08674999999</v>
      </c>
      <c r="H37" s="49">
        <f t="shared" si="9"/>
        <v>322050.93345225282</v>
      </c>
      <c r="M37" s="42">
        <v>0.9</v>
      </c>
      <c r="N37" s="37">
        <v>2</v>
      </c>
      <c r="O37" s="38">
        <f>((((M37*1)+(N37*2))*'MATERIALES (2)'!$C$26)+((M37*5)*'MATERIALES (2)'!$C$28)+((N37*2)*'MATERIALES (2)'!$C$27))*'MATERIALES (2)'!$F$1</f>
        <v>125425.72874999999</v>
      </c>
      <c r="P37" s="59">
        <f>(2*'MATERIALES (2)'!$C$135)+(12*'MATERIALES (2)'!$C$147)+(12*'MATERIALES (2)'!$C$148)+((8*2)*'MATERIALES (2)'!$C$134)+(3*'MATERIALES (2)'!$C$149)+(((N37*2)+(M37*1))*'MATERIALES (2)'!$C$138)+(((M37*8)+(N37*2))*'MATERIALES (2)'!$C$130)+(1*'MATERIALES (2)'!$C$151)+(((M37*5)*2)*'MATERIALES (2)'!$C$136)+(4*'MATERIALES (2)'!$C$137)</f>
        <v>18182</v>
      </c>
      <c r="Q37" s="75"/>
      <c r="R37" s="55">
        <f>(M37*N37)*'MATERIALES (2)'!$D$85</f>
        <v>13320</v>
      </c>
      <c r="S37" s="38">
        <f t="shared" si="10"/>
        <v>156927.72875000001</v>
      </c>
      <c r="T37" s="49">
        <f t="shared" si="11"/>
        <v>294166.43146672036</v>
      </c>
      <c r="AM37" s="32"/>
      <c r="AO37" s="295"/>
      <c r="AQ37" s="298"/>
      <c r="AT37" s="534"/>
      <c r="AU37" s="534"/>
      <c r="AV37" s="291"/>
      <c r="AW37" s="310"/>
    </row>
    <row r="38" spans="1:49" ht="15.75" customHeight="1" thickBot="1">
      <c r="A38" s="42">
        <v>0.6</v>
      </c>
      <c r="B38" s="37">
        <v>2.1</v>
      </c>
      <c r="C38" s="38">
        <f>((((A38*1)+(B38*2))*'MATERIALES (2)'!$C$26)+((A38*2)*'MATERIALES (2)'!$C$28)+((B38*2)*'MATERIALES (2)'!$C$28)+((B38*2)*'MATERIALES (2)'!$C$27))*'MATERIALES (2)'!$F$1</f>
        <v>136443.4155</v>
      </c>
      <c r="D38" s="59">
        <f>(2*'MATERIALES (2)'!$C$135)+(16*'MATERIALES (2)'!$C$147)+(16*'MATERIALES (2)'!$C$148)+((8*2)*'MATERIALES (2)'!$C$134)+(3*'MATERIALES (2)'!$C$149)+(((B38*2)+(A38*1))*'MATERIALES (2)'!$C$138)+(((A38*2)+(B38*6))*'MATERIALES (2)'!$C$130)+(1*'MATERIALES (2)'!$C$151)+(((A38*5)*2)*'MATERIALES (2)'!$C$136)+(4*'MATERIALES (2)'!$C$137)</f>
        <v>19560</v>
      </c>
      <c r="E38" s="75"/>
      <c r="F38" s="55">
        <f>(A38*B38)*'MATERIALES (2)'!$D$85</f>
        <v>9324</v>
      </c>
      <c r="G38" s="38">
        <f t="shared" si="8"/>
        <v>165327.4155</v>
      </c>
      <c r="H38" s="49">
        <f t="shared" si="9"/>
        <v>305828.71428922319</v>
      </c>
      <c r="M38" s="42">
        <v>0.6</v>
      </c>
      <c r="N38" s="37">
        <v>2.1</v>
      </c>
      <c r="O38" s="38">
        <f>((((M38*1)+(N38*2))*'MATERIALES (2)'!$C$26)+((M38*5)*'MATERIALES (2)'!$C$28)+((N38*2)*'MATERIALES (2)'!$C$27))*'MATERIALES (2)'!$F$1</f>
        <v>110413.8315</v>
      </c>
      <c r="P38" s="59">
        <f>(2*'MATERIALES (2)'!$C$135)+(12*'MATERIALES (2)'!$C$147)+(12*'MATERIALES (2)'!$C$148)+((8*2)*'MATERIALES (2)'!$C$134)+(3*'MATERIALES (2)'!$C$149)+(((N38*2)+(M38*1))*'MATERIALES (2)'!$C$138)+(((M38*8)+(N38*2))*'MATERIALES (2)'!$C$130)+(1*'MATERIALES (2)'!$C$151)+(((M38*5)*2)*'MATERIALES (2)'!$C$136)+(4*'MATERIALES (2)'!$C$137)</f>
        <v>17648</v>
      </c>
      <c r="Q38" s="75"/>
      <c r="R38" s="55">
        <f>(M38*N38)*'MATERIALES (2)'!$D$85</f>
        <v>9324</v>
      </c>
      <c r="S38" s="38">
        <f t="shared" si="10"/>
        <v>137385.8315</v>
      </c>
      <c r="T38" s="49">
        <f t="shared" si="11"/>
        <v>255507.77263516319</v>
      </c>
      <c r="AM38" s="32"/>
      <c r="AO38" s="295"/>
      <c r="AQ38" s="298"/>
      <c r="AT38" s="533"/>
      <c r="AU38" s="533"/>
      <c r="AW38" s="310"/>
    </row>
    <row r="39" spans="1:49" ht="15.75" customHeight="1" thickBot="1">
      <c r="A39" s="42">
        <v>0.7</v>
      </c>
      <c r="B39" s="37">
        <v>2.1</v>
      </c>
      <c r="C39" s="38">
        <f>((((A39*1)+(B39*2))*'MATERIALES (2)'!$C$26)+((A39*2)*'MATERIALES (2)'!$C$28)+((B39*2)*'MATERIALES (2)'!$C$28)+((B39*2)*'MATERIALES (2)'!$C$27))*'MATERIALES (2)'!$F$1</f>
        <v>139358.75625000001</v>
      </c>
      <c r="D39" s="59">
        <f>(2*'MATERIALES (2)'!$C$135)+(16*'MATERIALES (2)'!$C$147)+(16*'MATERIALES (2)'!$C$148)+((8*2)*'MATERIALES (2)'!$C$134)+(3*'MATERIALES (2)'!$C$149)+(((B39*2)+(A39*1))*'MATERIALES (2)'!$C$138)+(((A39*2)+(B39*6))*'MATERIALES (2)'!$C$130)+(1*'MATERIALES (2)'!$C$151)+(((A39*5)*2)*'MATERIALES (2)'!$C$136)+(4*'MATERIALES (2)'!$C$137)</f>
        <v>19614</v>
      </c>
      <c r="E39" s="75"/>
      <c r="F39" s="55">
        <f>(A39*B39)*'MATERIALES (2)'!$D$85</f>
        <v>10878</v>
      </c>
      <c r="G39" s="38">
        <f t="shared" si="8"/>
        <v>169850.75625000001</v>
      </c>
      <c r="H39" s="49">
        <f t="shared" si="9"/>
        <v>315322.44996114844</v>
      </c>
      <c r="M39" s="42">
        <v>0.7</v>
      </c>
      <c r="N39" s="37">
        <v>2.1</v>
      </c>
      <c r="O39" s="38">
        <f>((((M39*1)+(N39*2))*'MATERIALES (2)'!$C$26)+((M39*5)*'MATERIALES (2)'!$C$28)+((N39*2)*'MATERIALES (2)'!$C$27))*'MATERIALES (2)'!$F$1</f>
        <v>116582.87024999999</v>
      </c>
      <c r="P39" s="59">
        <f>(2*'MATERIALES (2)'!$C$135)+(12*'MATERIALES (2)'!$C$147)+(12*'MATERIALES (2)'!$C$148)+((8*2)*'MATERIALES (2)'!$C$134)+(3*'MATERIALES (2)'!$C$149)+(((N39*2)+(M39*1))*'MATERIALES (2)'!$C$138)+(((M39*8)+(N39*2))*'MATERIALES (2)'!$C$130)+(1*'MATERIALES (2)'!$C$151)+(((M39*5)*2)*'MATERIALES (2)'!$C$136)+(4*'MATERIALES (2)'!$C$137)</f>
        <v>17846</v>
      </c>
      <c r="Q39" s="75"/>
      <c r="R39" s="55">
        <f>(M39*N39)*'MATERIALES (2)'!$D$85</f>
        <v>10878</v>
      </c>
      <c r="S39" s="38">
        <f t="shared" si="10"/>
        <v>145306.87024999998</v>
      </c>
      <c r="T39" s="49">
        <f t="shared" si="11"/>
        <v>271120.53730759595</v>
      </c>
      <c r="AM39" s="32"/>
      <c r="AO39" s="312"/>
      <c r="AQ39" s="32"/>
      <c r="AT39" s="533"/>
      <c r="AU39" s="533"/>
      <c r="AW39" s="4"/>
    </row>
    <row r="40" spans="1:49" ht="15" customHeight="1" thickBot="1">
      <c r="A40" s="42">
        <v>0.8</v>
      </c>
      <c r="B40" s="37">
        <v>2.1</v>
      </c>
      <c r="C40" s="38">
        <f>((((A40*1)+(B40*2))*'MATERIALES (2)'!$C$26)+((A40*2)*'MATERIALES (2)'!$C$28)+((B40*2)*'MATERIALES (2)'!$C$28)+((B40*2)*'MATERIALES (2)'!$C$27))*'MATERIALES (2)'!$F$1</f>
        <v>142274.09700000004</v>
      </c>
      <c r="D40" s="59">
        <f>(2*'MATERIALES (2)'!$C$135)+(16*'MATERIALES (2)'!$C$147)+(16*'MATERIALES (2)'!$C$148)+((8*2)*'MATERIALES (2)'!$C$134)+(3*'MATERIALES (2)'!$C$149)+(((B40*2)+(A40*1))*'MATERIALES (2)'!$C$138)+(((A40*2)+(B40*6))*'MATERIALES (2)'!$C$130)+(1*'MATERIALES (2)'!$C$151)+(((A40*5)*2)*'MATERIALES (2)'!$C$136)+(4*'MATERIALES (2)'!$C$137)</f>
        <v>19668</v>
      </c>
      <c r="E40" s="75"/>
      <c r="F40" s="55">
        <f>(A40*B40)*'MATERIALES (2)'!$D$85</f>
        <v>12432.000000000002</v>
      </c>
      <c r="G40" s="38">
        <f t="shared" si="8"/>
        <v>174374.09700000004</v>
      </c>
      <c r="H40" s="49">
        <f t="shared" si="9"/>
        <v>324816.18563307385</v>
      </c>
      <c r="M40" s="42">
        <v>0.8</v>
      </c>
      <c r="N40" s="37">
        <v>2.1</v>
      </c>
      <c r="O40" s="38">
        <f>((((M40*1)+(N40*2))*'MATERIALES (2)'!$C$26)+((M40*5)*'MATERIALES (2)'!$C$28)+((N40*2)*'MATERIALES (2)'!$C$27))*'MATERIALES (2)'!$F$1</f>
        <v>122751.90900000001</v>
      </c>
      <c r="P40" s="59">
        <f>(2*'MATERIALES (2)'!$C$135)+(12*'MATERIALES (2)'!$C$147)+(12*'MATERIALES (2)'!$C$148)+((8*2)*'MATERIALES (2)'!$C$134)+(3*'MATERIALES (2)'!$C$149)+(((N40*2)+(M40*1))*'MATERIALES (2)'!$C$138)+(((M40*8)+(N40*2))*'MATERIALES (2)'!$C$130)+(1*'MATERIALES (2)'!$C$151)+(((M40*5)*2)*'MATERIALES (2)'!$C$136)+(4*'MATERIALES (2)'!$C$137)</f>
        <v>18044</v>
      </c>
      <c r="Q40" s="75"/>
      <c r="R40" s="55">
        <f>(M40*N40)*'MATERIALES (2)'!$D$85</f>
        <v>12432.000000000002</v>
      </c>
      <c r="S40" s="38">
        <f t="shared" si="10"/>
        <v>153227.90900000001</v>
      </c>
      <c r="T40" s="49">
        <f t="shared" si="11"/>
        <v>286733.3019800288</v>
      </c>
      <c r="AT40" s="533"/>
      <c r="AU40" s="533"/>
      <c r="AW40" s="4"/>
    </row>
    <row r="41" spans="1:49" ht="15.75" customHeight="1" thickBot="1">
      <c r="A41" s="44">
        <v>0.9</v>
      </c>
      <c r="B41" s="45">
        <v>2.1</v>
      </c>
      <c r="C41" s="50">
        <f>((((A41*1)+(B41*2))*'MATERIALES (2)'!$C$26)+((A41*2)*'MATERIALES (2)'!$C$28)+((B41*2)*'MATERIALES (2)'!$C$28)+((B41*2)*'MATERIALES (2)'!$C$27))*'MATERIALES (2)'!$F$1</f>
        <v>145189.43775000001</v>
      </c>
      <c r="D41" s="60">
        <f>(2*'MATERIALES (2)'!$C$135)+(16*'MATERIALES (2)'!$C$147)+(16*'MATERIALES (2)'!$C$148)+((8*2)*'MATERIALES (2)'!$C$134)+(3*'MATERIALES (2)'!$C$149)+(((B41*2)+(A41*1))*'MATERIALES (2)'!$C$138)+(((A41*2)+(B41*6))*'MATERIALES (2)'!$C$130)+(1*'MATERIALES (2)'!$C$151)+(((A41*5)*2)*'MATERIALES (2)'!$C$136)+(4*'MATERIALES (2)'!$C$137)</f>
        <v>19722</v>
      </c>
      <c r="E41" s="76"/>
      <c r="F41" s="56">
        <f>(A41*B41)*'MATERIALES (2)'!$D$85</f>
        <v>13986.000000000002</v>
      </c>
      <c r="G41" s="50">
        <f t="shared" si="8"/>
        <v>178897.43775000001</v>
      </c>
      <c r="H41" s="49">
        <f t="shared" si="9"/>
        <v>334309.92130499909</v>
      </c>
      <c r="M41" s="44">
        <v>0.9</v>
      </c>
      <c r="N41" s="45">
        <v>2.1</v>
      </c>
      <c r="O41" s="50">
        <f>((((M41*1)+(N41*2))*'MATERIALES (2)'!$C$26)+((M41*5)*'MATERIALES (2)'!$C$28)+((N41*2)*'MATERIALES (2)'!$C$27))*'MATERIALES (2)'!$F$1</f>
        <v>128920.94775000001</v>
      </c>
      <c r="P41" s="60">
        <f>(2*'MATERIALES (2)'!$C$135)+(12*'MATERIALES (2)'!$C$147)+(12*'MATERIALES (2)'!$C$148)+((8*2)*'MATERIALES (2)'!$C$134)+(3*'MATERIALES (2)'!$C$149)+(((N41*2)+(M41*1))*'MATERIALES (2)'!$C$138)+(((M41*8)+(N41*2))*'MATERIALES (2)'!$C$130)+(1*'MATERIALES (2)'!$C$151)+(((M41*5)*2)*'MATERIALES (2)'!$C$136)+(4*'MATERIALES (2)'!$C$137)</f>
        <v>18242</v>
      </c>
      <c r="Q41" s="76"/>
      <c r="R41" s="56">
        <f>(M41*N41)*'MATERIALES (2)'!$D$85</f>
        <v>13986.000000000002</v>
      </c>
      <c r="S41" s="50">
        <f t="shared" si="10"/>
        <v>161148.94774999999</v>
      </c>
      <c r="T41" s="49">
        <f t="shared" si="11"/>
        <v>302346.06665246154</v>
      </c>
      <c r="AL41" s="313"/>
      <c r="AM41" s="288"/>
      <c r="AN41" s="314"/>
      <c r="AP41" s="315"/>
      <c r="AQ41" s="267"/>
      <c r="AR41" s="316"/>
      <c r="AS41" s="316"/>
      <c r="AT41" s="533"/>
      <c r="AU41" s="533"/>
      <c r="AW41" s="4"/>
    </row>
    <row r="42" spans="1:49" ht="15.75" customHeight="1">
      <c r="AI42" s="387"/>
      <c r="AL42" s="313"/>
      <c r="AM42" s="288"/>
      <c r="AN42" s="314"/>
      <c r="AP42" s="315"/>
      <c r="AQ42" s="267"/>
      <c r="AR42" s="316"/>
      <c r="AS42" s="316"/>
      <c r="AT42" s="537"/>
      <c r="AU42" s="533"/>
      <c r="AW42" s="4"/>
    </row>
    <row r="43" spans="1:49" ht="15.75" customHeight="1" thickBot="1">
      <c r="C43" s="878" t="s">
        <v>221</v>
      </c>
      <c r="D43" s="878"/>
      <c r="E43" s="878"/>
      <c r="F43" s="878"/>
      <c r="O43" s="878" t="s">
        <v>221</v>
      </c>
      <c r="P43" s="878"/>
      <c r="Q43" s="878"/>
      <c r="R43" s="878"/>
      <c r="Y43" s="878" t="s">
        <v>403</v>
      </c>
      <c r="Z43" s="878"/>
      <c r="AA43" s="878"/>
      <c r="AB43" s="878"/>
      <c r="AL43" s="313"/>
      <c r="AM43" s="288"/>
      <c r="AN43" s="314"/>
      <c r="AP43" s="315"/>
      <c r="AQ43" s="267"/>
      <c r="AR43" s="316"/>
      <c r="AS43" s="316"/>
      <c r="AT43" s="737"/>
      <c r="AU43" s="535"/>
      <c r="AV43" s="303"/>
      <c r="AW43" s="4"/>
    </row>
    <row r="44" spans="1:49" ht="15.75" customHeight="1" thickBot="1">
      <c r="A44" s="32"/>
      <c r="B44" s="32"/>
      <c r="C44" s="947">
        <v>1.35</v>
      </c>
      <c r="D44" s="948"/>
      <c r="E44" s="949"/>
      <c r="F44" s="728">
        <v>2</v>
      </c>
      <c r="G44" s="32"/>
      <c r="H44" s="46" t="s">
        <v>163</v>
      </c>
      <c r="M44" s="32"/>
      <c r="N44" s="32"/>
      <c r="O44" s="947">
        <v>1.35</v>
      </c>
      <c r="P44" s="948"/>
      <c r="Q44" s="948"/>
      <c r="R44" s="949"/>
      <c r="S44" s="32"/>
      <c r="T44" s="46" t="s">
        <v>163</v>
      </c>
      <c r="W44" s="32"/>
      <c r="X44" s="32"/>
      <c r="Y44" s="947">
        <v>1.35</v>
      </c>
      <c r="Z44" s="948"/>
      <c r="AA44" s="949"/>
      <c r="AB44" s="728">
        <v>2</v>
      </c>
      <c r="AC44" s="32"/>
      <c r="AD44" s="46" t="s">
        <v>163</v>
      </c>
      <c r="AJ44" s="598">
        <f>+H93</f>
        <v>432087.70101304509</v>
      </c>
      <c r="AK44" s="357"/>
      <c r="AL44" s="601">
        <f>+T22</f>
        <v>335277.95312781015</v>
      </c>
      <c r="AM44" s="358"/>
      <c r="AN44" s="600">
        <f>+T36</f>
        <v>278751.10249428754</v>
      </c>
      <c r="AO44" s="357"/>
      <c r="AP44" s="600">
        <f>+T93</f>
        <v>305846.41189843125</v>
      </c>
      <c r="AQ44" s="359"/>
      <c r="AR44" s="600">
        <f>+T107</f>
        <v>388465.86491818883</v>
      </c>
      <c r="AS44" s="432"/>
      <c r="AT44" s="599" t="s">
        <v>929</v>
      </c>
      <c r="AU44" s="668"/>
      <c r="AV44" s="324"/>
      <c r="AW44" s="323"/>
    </row>
    <row r="45" spans="1:49" ht="15" customHeight="1" thickBot="1">
      <c r="A45" s="792" t="s">
        <v>212</v>
      </c>
      <c r="B45" s="793"/>
      <c r="C45" s="793"/>
      <c r="D45" s="793"/>
      <c r="E45" s="793"/>
      <c r="F45" s="793"/>
      <c r="G45" s="793"/>
      <c r="H45" s="794"/>
      <c r="M45" s="792" t="s">
        <v>219</v>
      </c>
      <c r="N45" s="793"/>
      <c r="O45" s="793"/>
      <c r="P45" s="793"/>
      <c r="Q45" s="793"/>
      <c r="R45" s="793"/>
      <c r="S45" s="793"/>
      <c r="T45" s="794"/>
      <c r="W45" s="792" t="s">
        <v>402</v>
      </c>
      <c r="X45" s="793"/>
      <c r="Y45" s="793"/>
      <c r="Z45" s="793"/>
      <c r="AA45" s="793"/>
      <c r="AB45" s="793"/>
      <c r="AC45" s="793"/>
      <c r="AD45" s="794"/>
      <c r="AJ45" s="598">
        <f>+H223</f>
        <v>397170.96334665769</v>
      </c>
      <c r="AK45" s="735"/>
      <c r="AL45" s="600">
        <f>+T152</f>
        <v>302691.96230946755</v>
      </c>
      <c r="AM45" s="532"/>
      <c r="AN45" s="601">
        <f>+T166</f>
        <v>241503.61797985501</v>
      </c>
      <c r="AO45" s="736"/>
      <c r="AP45" s="600">
        <f>+T223</f>
        <v>275591.1679281338</v>
      </c>
      <c r="AQ45" s="532"/>
      <c r="AR45" s="600">
        <f>+T237</f>
        <v>355879.87409984629</v>
      </c>
      <c r="AS45" s="432"/>
      <c r="AT45" s="599" t="s">
        <v>930</v>
      </c>
      <c r="AU45" s="668"/>
      <c r="AV45" s="329"/>
      <c r="AW45" s="324"/>
    </row>
    <row r="46" spans="1:49" ht="15" customHeight="1" thickBot="1">
      <c r="A46" s="36" t="s">
        <v>116</v>
      </c>
      <c r="B46" s="36" t="s">
        <v>117</v>
      </c>
      <c r="C46" s="36" t="s">
        <v>162</v>
      </c>
      <c r="D46" s="36" t="s">
        <v>119</v>
      </c>
      <c r="E46" s="36" t="s">
        <v>120</v>
      </c>
      <c r="F46" s="36" t="s">
        <v>118</v>
      </c>
      <c r="G46" s="36" t="s">
        <v>121</v>
      </c>
      <c r="H46" s="36" t="s">
        <v>122</v>
      </c>
      <c r="M46" s="36" t="s">
        <v>116</v>
      </c>
      <c r="N46" s="36" t="s">
        <v>117</v>
      </c>
      <c r="O46" s="36" t="s">
        <v>162</v>
      </c>
      <c r="P46" s="36" t="s">
        <v>119</v>
      </c>
      <c r="Q46" s="36" t="s">
        <v>120</v>
      </c>
      <c r="R46" s="36" t="s">
        <v>217</v>
      </c>
      <c r="S46" s="36" t="s">
        <v>121</v>
      </c>
      <c r="T46" s="36" t="s">
        <v>122</v>
      </c>
      <c r="W46" s="36" t="s">
        <v>116</v>
      </c>
      <c r="X46" s="36" t="s">
        <v>117</v>
      </c>
      <c r="Y46" s="36" t="s">
        <v>162</v>
      </c>
      <c r="Z46" s="36" t="s">
        <v>119</v>
      </c>
      <c r="AA46" s="36" t="s">
        <v>120</v>
      </c>
      <c r="AB46" s="36" t="s">
        <v>118</v>
      </c>
      <c r="AC46" s="36" t="s">
        <v>121</v>
      </c>
      <c r="AD46" s="36" t="s">
        <v>122</v>
      </c>
      <c r="AJ46" s="598">
        <f>+H353</f>
        <v>297654.63841921504</v>
      </c>
      <c r="AK46" s="735"/>
      <c r="AL46" s="600">
        <f>+T282</f>
        <v>249757.74692253</v>
      </c>
      <c r="AM46" s="532"/>
      <c r="AN46" s="601">
        <f>+T296</f>
        <v>241503.61797985501</v>
      </c>
      <c r="AO46" s="736"/>
      <c r="AP46" s="600">
        <f>+T353</f>
        <v>275591.1679281338</v>
      </c>
      <c r="AQ46" s="532"/>
      <c r="AR46" s="600">
        <f>+T367</f>
        <v>324119.34486768383</v>
      </c>
      <c r="AS46" s="432"/>
      <c r="AT46" s="599" t="s">
        <v>931</v>
      </c>
      <c r="AU46" s="668"/>
      <c r="AV46" s="292"/>
      <c r="AW46" s="315"/>
    </row>
    <row r="47" spans="1:49" ht="15" customHeight="1" thickBot="1">
      <c r="A47" s="795"/>
      <c r="B47" s="796"/>
      <c r="C47" s="796"/>
      <c r="D47" s="796"/>
      <c r="E47" s="796"/>
      <c r="F47" s="796"/>
      <c r="G47" s="796"/>
      <c r="H47" s="797"/>
      <c r="M47" s="795"/>
      <c r="N47" s="796"/>
      <c r="O47" s="796"/>
      <c r="P47" s="796"/>
      <c r="Q47" s="796"/>
      <c r="R47" s="796"/>
      <c r="S47" s="796"/>
      <c r="T47" s="797"/>
      <c r="W47" s="795"/>
      <c r="X47" s="796"/>
      <c r="Y47" s="796"/>
      <c r="Z47" s="796"/>
      <c r="AA47" s="796"/>
      <c r="AB47" s="796"/>
      <c r="AC47" s="796"/>
      <c r="AD47" s="797"/>
      <c r="AL47" s="313"/>
      <c r="AM47" s="288"/>
      <c r="AN47" s="314"/>
      <c r="AP47" s="315"/>
      <c r="AQ47" s="267"/>
      <c r="AR47" s="316"/>
      <c r="AS47" s="316"/>
      <c r="AT47" s="536"/>
      <c r="AU47" s="536"/>
      <c r="AV47" s="292"/>
      <c r="AW47" s="291"/>
    </row>
    <row r="48" spans="1:49" ht="15" customHeight="1" thickBot="1">
      <c r="A48" s="158">
        <v>0.6</v>
      </c>
      <c r="B48" s="159">
        <v>2</v>
      </c>
      <c r="C48" s="74">
        <f>(((((A48*1)+(B48*2))*'MATERIALES (2)'!$C$26)+((A48*2)*'MATERIALES (2)'!$C$28)+((B48*1)*'MATERIALES (2)'!$C$28)+((B48*2)*'MATERIALES (2)'!$C$27))*'MATERIALES (2)'!$F$1)+'MATERIALES (2)'!$D$233</f>
        <v>113987.7445</v>
      </c>
      <c r="D48" s="74">
        <f>(2*'MATERIALES (2)'!$C$135)+(12*'MATERIALES (2)'!$C$147)+(12*'MATERIALES (2)'!$C$148)+((8*2)*'MATERIALES (2)'!$C$134)+(3*'MATERIALES (2)'!$C$149)+(((B48*2)+(A48*1))*'MATERIALES (2)'!$C$138)+(((A48)+(B48*2))*'MATERIALES (2)'!$C$130)+(((A48)+(B48*2))*'MATERIALES (2)'!$C$154)+(1*'MATERIALES (2)'!$C$151)+(((A48*5)*2)*'MATERIALES (2)'!$C$136)+(4*'MATERIALES (2)'!$C$137)+(0.5*'MATERIALES (2)'!$C$156)</f>
        <v>21684</v>
      </c>
      <c r="E48" s="74"/>
      <c r="F48" s="111">
        <f>((A48/2)*B48)*'MATERIALES (2)'!$D$85</f>
        <v>4440</v>
      </c>
      <c r="G48" s="74">
        <f>SUM(C48:F48)</f>
        <v>140111.7445</v>
      </c>
      <c r="H48" s="160">
        <f>((((SUM(C48:E48)*$C$44)+(F48*$F$44))*1.21)*1.05)*1.05</f>
        <v>256181.96559142691</v>
      </c>
      <c r="M48" s="40">
        <v>0.6</v>
      </c>
      <c r="N48" s="41">
        <v>2</v>
      </c>
      <c r="O48" s="47">
        <f>((((M48*1)+(N48*2))*'MATERIALES (2)'!$C$26)+((M48*2)*'MATERIALES (2)'!$C$28)+((N48*2)*'MATERIALES (2)'!$C$27))*'MATERIALES (2)'!$F$1</f>
        <v>87396.424500000008</v>
      </c>
      <c r="P48" s="58">
        <f>(2*'MATERIALES (2)'!$C$135)+(8*'MATERIALES (2)'!$C$147)+(8*'MATERIALES (2)'!$C$148)+((8*2)*'MATERIALES (2)'!$C$134)+(3*'MATERIALES (2)'!$C$149)+(((N48*2)+(M48*1))*'MATERIALES (2)'!$C$138)+(1*'MATERIALES (2)'!$C$151)+(((M48*5)*2)*'MATERIALES (2)'!$C$136)+(4*'MATERIALES (2)'!$C$137)+(0.5*'MATERIALES (2)'!$C$156)+(((M48*2)+(N48*2))*'MATERIALES (2)'!$C$154)</f>
        <v>19964</v>
      </c>
      <c r="Q48" s="74"/>
      <c r="R48" s="54">
        <f>'MATERIALES (2)'!$D$233</f>
        <v>4900</v>
      </c>
      <c r="S48" s="47">
        <f>SUM(O48:R48)</f>
        <v>112260.42450000001</v>
      </c>
      <c r="T48" s="49">
        <f>(((SUM(O48:R48)*$O$44)*1.21)*1.05)*1.05</f>
        <v>202173.58727137692</v>
      </c>
      <c r="W48" s="65">
        <v>0.6</v>
      </c>
      <c r="X48" s="66">
        <v>2</v>
      </c>
      <c r="Y48" s="58">
        <f>((((W48*1)+(X48*2))*'MATERIALES (2)'!$C$26)+((W48*2)*'MATERIALES (2)'!$C$28)+((X48*1)*'MATERIALES (2)'!$C$28)+((X48*2)*'MATERIALES (2)'!$C$27)+((((W48/2)-0.2)*'MATERIALES (2)'!$C$30)*(X48/0.12)))*'MATERIALES (2)'!$F$1</f>
        <v>127847.39449999999</v>
      </c>
      <c r="Z48" s="58">
        <f>(2*'MATERIALES (2)'!$C$135)+(12*'MATERIALES (2)'!$C$147)+(12*'MATERIALES (2)'!$C$148)+((8*2)*'MATERIALES (2)'!$C$134)+(3*'MATERIALES (2)'!$C$149)+(((X48*2)+(W48*1))*'MATERIALES (2)'!$C$138)+(((W48)+(X48*2))*'MATERIALES (2)'!$C$130)+(((W48)+(X48*2))*'MATERIALES (2)'!$C$154)+(1*'MATERIALES (2)'!$C$151)+(((W48*5)*2)*'MATERIALES (2)'!$C$136)+(4*'MATERIALES (2)'!$C$137)+(0.5*'MATERIALES (2)'!$C$156)</f>
        <v>21684</v>
      </c>
      <c r="AA48" s="58">
        <f>(0.5*'MATERIALES (2)'!$D$243)</f>
        <v>0</v>
      </c>
      <c r="AB48" s="54">
        <f>((W48/2)*X48)*'MATERIALES (2)'!$D$85</f>
        <v>4440</v>
      </c>
      <c r="AC48" s="58">
        <f>SUM(Y48:AB48)</f>
        <v>153971.39449999999</v>
      </c>
      <c r="AD48" s="67">
        <f>((((SUM(Y48:AA48)*$Y$44)+(AB48*$AB$44))*1.21)*1.05)*1.05</f>
        <v>281142.27703961439</v>
      </c>
      <c r="AJ48" s="388" t="s">
        <v>641</v>
      </c>
      <c r="AK48" s="389"/>
      <c r="AL48" s="388" t="s">
        <v>642</v>
      </c>
      <c r="AM48" s="390"/>
      <c r="AN48" s="388"/>
      <c r="AO48" s="391"/>
      <c r="AS48" s="392"/>
      <c r="AT48" s="4"/>
      <c r="AV48" s="292"/>
      <c r="AW48" s="291"/>
    </row>
    <row r="49" spans="1:49" ht="15" customHeight="1" thickBot="1">
      <c r="A49" s="161">
        <v>0.7</v>
      </c>
      <c r="B49" s="162">
        <v>2</v>
      </c>
      <c r="C49" s="75">
        <f>(((((A49*1)+(B49*2))*'MATERIALES (2)'!$C$26)+((A49*2)*'MATERIALES (2)'!$C$28)+((B49*1)*'MATERIALES (2)'!$C$28)+((B49*2)*'MATERIALES (2)'!$C$27))*'MATERIALES (2)'!$F$1)+'MATERIALES (2)'!$D$233</f>
        <v>116903.08525</v>
      </c>
      <c r="D49" s="75">
        <f>(2*'MATERIALES (2)'!$C$135)+(12*'MATERIALES (2)'!$C$147)+(12*'MATERIALES (2)'!$C$148)+((8*2)*'MATERIALES (2)'!$C$134)+(3*'MATERIALES (2)'!$C$149)+(((B49*2)+(A49*1))*'MATERIALES (2)'!$C$138)+(((A49)+(B49*2))*'MATERIALES (2)'!$C$130)+(((A49)+(B49*2))*'MATERIALES (2)'!$C$154)+(1*'MATERIALES (2)'!$C$151)+(((A49*5)*2)*'MATERIALES (2)'!$C$136)+(4*'MATERIALES (2)'!$C$137)+(0.5*'MATERIALES (2)'!$C$156)</f>
        <v>21738</v>
      </c>
      <c r="E49" s="75"/>
      <c r="F49" s="112">
        <f>((A49/2)*B49)*'MATERIALES (2)'!$D$85</f>
        <v>5180</v>
      </c>
      <c r="G49" s="75">
        <f t="shared" ref="G49:G55" si="12">SUM(C49:F49)</f>
        <v>143821.08525</v>
      </c>
      <c r="H49" s="160">
        <f t="shared" ref="H49:H55" si="13">((((SUM(C49:E49)*$C$44)+(F49*$F$44))*1.21)*1.05)*1.05</f>
        <v>263503.90856335225</v>
      </c>
      <c r="M49" s="42">
        <v>0.7</v>
      </c>
      <c r="N49" s="37">
        <v>2</v>
      </c>
      <c r="O49" s="38">
        <f>((((M49*1)+(N49*2))*'MATERIALES (2)'!$C$26)+((M49*2)*'MATERIALES (2)'!$C$28)+((N49*2)*'MATERIALES (2)'!$C$27))*'MATERIALES (2)'!$F$1</f>
        <v>90311.765250000011</v>
      </c>
      <c r="P49" s="59">
        <f>(2*'MATERIALES (2)'!$C$135)+(8*'MATERIALES (2)'!$C$147)+(8*'MATERIALES (2)'!$C$148)+((8*2)*'MATERIALES (2)'!$C$134)+(3*'MATERIALES (2)'!$C$149)+(((N49*2)+(M49*1))*'MATERIALES (2)'!$C$138)+(1*'MATERIALES (2)'!$C$151)+(((M49*5)*2)*'MATERIALES (2)'!$C$136)+(4*'MATERIALES (2)'!$C$137)+(0.5*'MATERIALES (2)'!$C$156)+(((M49*2)+(N49*2))*'MATERIALES (2)'!$C$154)</f>
        <v>20018</v>
      </c>
      <c r="Q49" s="75"/>
      <c r="R49" s="55">
        <f>'MATERIALES (2)'!$D$233</f>
        <v>4900</v>
      </c>
      <c r="S49" s="38">
        <f t="shared" ref="S49:S55" si="14">SUM(O49:R49)</f>
        <v>115229.76525000001</v>
      </c>
      <c r="T49" s="49">
        <f t="shared" ref="T49:T55" si="15">(((SUM(O49:R49)*$O$44)*1.21)*1.05)*1.05</f>
        <v>207521.17324330221</v>
      </c>
      <c r="W49" s="68">
        <v>0.7</v>
      </c>
      <c r="X49" s="69">
        <v>2</v>
      </c>
      <c r="Y49" s="59">
        <f>((((W49*1)+(X49*2))*'MATERIALES (2)'!$C$26)+((W49*2)*'MATERIALES (2)'!$C$28)+((X49*1)*'MATERIALES (2)'!$C$28)+((X49*2)*'MATERIALES (2)'!$C$27)+((((W49/2)-0.2)*'MATERIALES (2)'!$C$30)*(X49/0.12)))*'MATERIALES (2)'!$F$1</f>
        <v>140142.56025000001</v>
      </c>
      <c r="Z49" s="59">
        <f>(2*'MATERIALES (2)'!$C$135)+(12*'MATERIALES (2)'!$C$147)+(12*'MATERIALES (2)'!$C$148)+((8*2)*'MATERIALES (2)'!$C$134)+(3*'MATERIALES (2)'!$C$149)+(((X49*2)+(W49*1))*'MATERIALES (2)'!$C$138)+(((W49)+(X49*2))*'MATERIALES (2)'!$C$130)+(((W49)+(X49*2))*'MATERIALES (2)'!$C$154)+(1*'MATERIALES (2)'!$C$151)+(((W49*5)*2)*'MATERIALES (2)'!$C$136)+(4*'MATERIALES (2)'!$C$137)+(0.5*'MATERIALES (2)'!$C$156)</f>
        <v>21738</v>
      </c>
      <c r="AA49" s="59">
        <f>(0.5*'MATERIALES (2)'!$D$243)</f>
        <v>0</v>
      </c>
      <c r="AB49" s="55">
        <f>((W49/2)*X49)*'MATERIALES (2)'!$D$85</f>
        <v>5180</v>
      </c>
      <c r="AC49" s="59">
        <f t="shared" ref="AC49:AC55" si="16">SUM(Y49:AB49)</f>
        <v>167060.56025000001</v>
      </c>
      <c r="AD49" s="67">
        <f t="shared" ref="AD49:AD55" si="17">((((SUM(Y49:AA49)*$Y$44)+(AB49*$AB$44))*1.21)*1.05)*1.05</f>
        <v>305356.66342313349</v>
      </c>
      <c r="AK49" s="291"/>
      <c r="AM49" s="293"/>
      <c r="AO49" s="295"/>
      <c r="AP49" s="317"/>
      <c r="AQ49" s="293"/>
      <c r="AR49" s="318"/>
      <c r="AS49" s="318"/>
      <c r="AT49" s="536"/>
      <c r="AU49" s="536"/>
      <c r="AV49" s="292"/>
      <c r="AW49" s="291"/>
    </row>
    <row r="50" spans="1:49" ht="15" customHeight="1" thickBot="1">
      <c r="A50" s="161">
        <v>0.8</v>
      </c>
      <c r="B50" s="162">
        <v>2</v>
      </c>
      <c r="C50" s="75">
        <f>(((((A50*1)+(B50*2))*'MATERIALES (2)'!$C$26)+((A50*2)*'MATERIALES (2)'!$C$28)+((B50*1)*'MATERIALES (2)'!$C$28)+((B50*2)*'MATERIALES (2)'!$C$27))*'MATERIALES (2)'!$F$1)+'MATERIALES (2)'!$D$233</f>
        <v>119818.42599999999</v>
      </c>
      <c r="D50" s="75">
        <f>(2*'MATERIALES (2)'!$C$135)+(12*'MATERIALES (2)'!$C$147)+(12*'MATERIALES (2)'!$C$148)+((8*2)*'MATERIALES (2)'!$C$134)+(3*'MATERIALES (2)'!$C$149)+(((B50*2)+(A50*1))*'MATERIALES (2)'!$C$138)+(((A50)+(B50*2))*'MATERIALES (2)'!$C$130)+(((A50)+(B50*2))*'MATERIALES (2)'!$C$154)+(1*'MATERIALES (2)'!$C$151)+(((A50*5)*2)*'MATERIALES (2)'!$C$136)+(4*'MATERIALES (2)'!$C$137)+(0.5*'MATERIALES (2)'!$C$156)</f>
        <v>21792</v>
      </c>
      <c r="E50" s="75"/>
      <c r="F50" s="112">
        <f>((A50/2)*B50)*'MATERIALES (2)'!$D$85</f>
        <v>5920</v>
      </c>
      <c r="G50" s="75">
        <f t="shared" si="12"/>
        <v>147530.42599999998</v>
      </c>
      <c r="H50" s="160">
        <f t="shared" si="13"/>
        <v>270825.8515352775</v>
      </c>
      <c r="M50" s="42">
        <v>0.8</v>
      </c>
      <c r="N50" s="37">
        <v>2</v>
      </c>
      <c r="O50" s="38">
        <f>((((M50*1)+(N50*2))*'MATERIALES (2)'!$C$26)+((M50*2)*'MATERIALES (2)'!$C$28)+((N50*2)*'MATERIALES (2)'!$C$27))*'MATERIALES (2)'!$F$1</f>
        <v>93227.106</v>
      </c>
      <c r="P50" s="59">
        <f>(2*'MATERIALES (2)'!$C$135)+(8*'MATERIALES (2)'!$C$147)+(8*'MATERIALES (2)'!$C$148)+((8*2)*'MATERIALES (2)'!$C$134)+(3*'MATERIALES (2)'!$C$149)+(((N50*2)+(M50*1))*'MATERIALES (2)'!$C$138)+(1*'MATERIALES (2)'!$C$151)+(((M50*5)*2)*'MATERIALES (2)'!$C$136)+(4*'MATERIALES (2)'!$C$137)+(0.5*'MATERIALES (2)'!$C$156)+(((M50*2)+(N50*2))*'MATERIALES (2)'!$C$154)</f>
        <v>20072</v>
      </c>
      <c r="Q50" s="75"/>
      <c r="R50" s="55">
        <f>'MATERIALES (2)'!$D$233</f>
        <v>4900</v>
      </c>
      <c r="S50" s="38">
        <f t="shared" si="14"/>
        <v>118199.106</v>
      </c>
      <c r="T50" s="49">
        <f t="shared" si="15"/>
        <v>212868.7592152275</v>
      </c>
      <c r="W50" s="68">
        <v>0.8</v>
      </c>
      <c r="X50" s="69">
        <v>2</v>
      </c>
      <c r="Y50" s="59">
        <f>((((W50*1)+(X50*2))*'MATERIALES (2)'!$C$26)+((W50*2)*'MATERIALES (2)'!$C$28)+((X50*1)*'MATERIALES (2)'!$C$28)+((X50*2)*'MATERIALES (2)'!$C$27)+((((W50/2)-0.2)*'MATERIALES (2)'!$C$30)*(X50/0.12)))*'MATERIALES (2)'!$F$1</f>
        <v>152437.726</v>
      </c>
      <c r="Z50" s="59">
        <f>(2*'MATERIALES (2)'!$C$135)+(12*'MATERIALES (2)'!$C$147)+(12*'MATERIALES (2)'!$C$148)+((8*2)*'MATERIALES (2)'!$C$134)+(3*'MATERIALES (2)'!$C$149)+(((X50*2)+(W50*1))*'MATERIALES (2)'!$C$138)+(((W50)+(X50*2))*'MATERIALES (2)'!$C$130)+(((W50)+(X50*2))*'MATERIALES (2)'!$C$154)+(1*'MATERIALES (2)'!$C$151)+(((W50*5)*2)*'MATERIALES (2)'!$C$136)+(4*'MATERIALES (2)'!$C$137)+(0.5*'MATERIALES (2)'!$C$156)</f>
        <v>21792</v>
      </c>
      <c r="AA50" s="59">
        <f>(0.5*'MATERIALES (2)'!$D$243)</f>
        <v>0</v>
      </c>
      <c r="AB50" s="55">
        <f>((W50/2)*X50)*'MATERIALES (2)'!$D$85</f>
        <v>5920</v>
      </c>
      <c r="AC50" s="59">
        <f t="shared" si="16"/>
        <v>180149.726</v>
      </c>
      <c r="AD50" s="67">
        <f t="shared" si="17"/>
        <v>329571.04980665253</v>
      </c>
      <c r="AK50" s="319"/>
      <c r="AM50" s="309"/>
      <c r="AO50" s="307"/>
      <c r="AP50" s="317"/>
      <c r="AQ50" s="309"/>
      <c r="AR50" s="320"/>
      <c r="AS50" s="320"/>
      <c r="AT50" s="537"/>
      <c r="AU50" s="537"/>
      <c r="AV50" s="4"/>
      <c r="AW50" s="291"/>
    </row>
    <row r="51" spans="1:49" ht="15" customHeight="1" thickBot="1">
      <c r="A51" s="161">
        <v>0.9</v>
      </c>
      <c r="B51" s="162">
        <v>2</v>
      </c>
      <c r="C51" s="75">
        <f>(((((A51*1)+(B51*2))*'MATERIALES (2)'!$C$26)+((A51*2)*'MATERIALES (2)'!$C$28)+((B51*1)*'MATERIALES (2)'!$C$28)+((B51*2)*'MATERIALES (2)'!$C$27))*'MATERIALES (2)'!$F$1)+'MATERIALES (2)'!$D$233</f>
        <v>122733.76675</v>
      </c>
      <c r="D51" s="75">
        <f>(2*'MATERIALES (2)'!$C$135)+(12*'MATERIALES (2)'!$C$147)+(12*'MATERIALES (2)'!$C$148)+((8*2)*'MATERIALES (2)'!$C$134)+(3*'MATERIALES (2)'!$C$149)+(((B51*2)+(A51*1))*'MATERIALES (2)'!$C$138)+(((A51)+(B51*2))*'MATERIALES (2)'!$C$130)+(((A51)+(B51*2))*'MATERIALES (2)'!$C$154)+(1*'MATERIALES (2)'!$C$151)+(((A51*5)*2)*'MATERIALES (2)'!$C$136)+(4*'MATERIALES (2)'!$C$137)+(0.5*'MATERIALES (2)'!$C$156)</f>
        <v>21846</v>
      </c>
      <c r="E51" s="75"/>
      <c r="F51" s="112">
        <f>((A51/2)*B51)*'MATERIALES (2)'!$D$85</f>
        <v>6660</v>
      </c>
      <c r="G51" s="75">
        <f t="shared" si="12"/>
        <v>151239.76675000001</v>
      </c>
      <c r="H51" s="160">
        <f t="shared" si="13"/>
        <v>278147.79450720293</v>
      </c>
      <c r="M51" s="42">
        <v>0.9</v>
      </c>
      <c r="N51" s="37">
        <v>2</v>
      </c>
      <c r="O51" s="38">
        <f>((((M51*1)+(N51*2))*'MATERIALES (2)'!$C$26)+((M51*2)*'MATERIALES (2)'!$C$28)+((N51*2)*'MATERIALES (2)'!$C$27))*'MATERIALES (2)'!$F$1</f>
        <v>96142.446750000003</v>
      </c>
      <c r="P51" s="59">
        <f>(2*'MATERIALES (2)'!$C$135)+(8*'MATERIALES (2)'!$C$147)+(8*'MATERIALES (2)'!$C$148)+((8*2)*'MATERIALES (2)'!$C$134)+(3*'MATERIALES (2)'!$C$149)+(((N51*2)+(M51*1))*'MATERIALES (2)'!$C$138)+(1*'MATERIALES (2)'!$C$151)+(((M51*5)*2)*'MATERIALES (2)'!$C$136)+(4*'MATERIALES (2)'!$C$137)+(0.5*'MATERIALES (2)'!$C$156)+(((M51*2)+(N51*2))*'MATERIALES (2)'!$C$154)</f>
        <v>20126</v>
      </c>
      <c r="Q51" s="75"/>
      <c r="R51" s="55">
        <f>'MATERIALES (2)'!$D$233</f>
        <v>4900</v>
      </c>
      <c r="S51" s="38">
        <f t="shared" si="14"/>
        <v>121168.44675</v>
      </c>
      <c r="T51" s="49">
        <f t="shared" si="15"/>
        <v>218216.34518715282</v>
      </c>
      <c r="W51" s="68">
        <v>0.9</v>
      </c>
      <c r="X51" s="69">
        <v>2</v>
      </c>
      <c r="Y51" s="59">
        <f>((((W51*1)+(X51*2))*'MATERIALES (2)'!$C$26)+((W51*2)*'MATERIALES (2)'!$C$28)+((X51*1)*'MATERIALES (2)'!$C$28)+((X51*2)*'MATERIALES (2)'!$C$27)+((((W51/2)-0.2)*'MATERIALES (2)'!$C$30)*(X51/0.12)))*'MATERIALES (2)'!$F$1</f>
        <v>164732.89175000001</v>
      </c>
      <c r="Z51" s="59">
        <f>(2*'MATERIALES (2)'!$C$135)+(12*'MATERIALES (2)'!$C$147)+(12*'MATERIALES (2)'!$C$148)+((8*2)*'MATERIALES (2)'!$C$134)+(3*'MATERIALES (2)'!$C$149)+(((X51*2)+(W51*1))*'MATERIALES (2)'!$C$138)+(((W51)+(X51*2))*'MATERIALES (2)'!$C$130)+(((W51)+(X51*2))*'MATERIALES (2)'!$C$154)+(1*'MATERIALES (2)'!$C$151)+(((W51*5)*2)*'MATERIALES (2)'!$C$136)+(4*'MATERIALES (2)'!$C$137)+(0.5*'MATERIALES (2)'!$C$156)</f>
        <v>21846</v>
      </c>
      <c r="AA51" s="59">
        <f>(0.5*'MATERIALES (2)'!$D$243)</f>
        <v>0</v>
      </c>
      <c r="AB51" s="55">
        <f>((W51/2)*X51)*'MATERIALES (2)'!$D$85</f>
        <v>6660</v>
      </c>
      <c r="AC51" s="59">
        <f t="shared" si="16"/>
        <v>193238.89175000001</v>
      </c>
      <c r="AD51" s="67">
        <f t="shared" si="17"/>
        <v>353785.43619017157</v>
      </c>
      <c r="AK51" s="319"/>
      <c r="AL51" s="311"/>
      <c r="AM51" s="309"/>
      <c r="AN51" s="311"/>
      <c r="AO51" s="307"/>
      <c r="AP51" s="317"/>
      <c r="AQ51" s="309"/>
      <c r="AR51" s="320"/>
      <c r="AS51" s="320"/>
      <c r="AT51" s="537"/>
      <c r="AU51" s="537"/>
      <c r="AV51" s="4"/>
    </row>
    <row r="52" spans="1:49" ht="15.75" customHeight="1" thickBot="1">
      <c r="A52" s="161">
        <v>0.6</v>
      </c>
      <c r="B52" s="162">
        <v>2.1</v>
      </c>
      <c r="C52" s="75">
        <f>(((((A52*1)+(B52*2))*'MATERIALES (2)'!$C$26)+((A52*2)*'MATERIALES (2)'!$C$28)+((B52*1)*'MATERIALES (2)'!$C$28)+((B52*2)*'MATERIALES (2)'!$C$27))*'MATERIALES (2)'!$F$1)+'MATERIALES (2)'!$D$233</f>
        <v>118567.52950000002</v>
      </c>
      <c r="D52" s="75">
        <f>(2*'MATERIALES (2)'!$C$135)+(12*'MATERIALES (2)'!$C$147)+(12*'MATERIALES (2)'!$C$148)+((8*2)*'MATERIALES (2)'!$C$134)+(3*'MATERIALES (2)'!$C$149)+(((B52*2)+(A52*1))*'MATERIALES (2)'!$C$138)+(((A52)+(B52*2))*'MATERIALES (2)'!$C$130)+(((A52)+(B52*2))*'MATERIALES (2)'!$C$154)+(1*'MATERIALES (2)'!$C$151)+(((A52*5)*2)*'MATERIALES (2)'!$C$136)+(4*'MATERIALES (2)'!$C$137)+(0.5*'MATERIALES (2)'!$C$156)</f>
        <v>21792</v>
      </c>
      <c r="E52" s="75"/>
      <c r="F52" s="112">
        <f>((A52/2)*B52)*'MATERIALES (2)'!$D$85</f>
        <v>4662</v>
      </c>
      <c r="G52" s="75">
        <f t="shared" si="12"/>
        <v>145021.5295</v>
      </c>
      <c r="H52" s="160">
        <f t="shared" si="13"/>
        <v>265216.66291067068</v>
      </c>
      <c r="M52" s="42">
        <v>0.6</v>
      </c>
      <c r="N52" s="37">
        <v>2.1</v>
      </c>
      <c r="O52" s="38">
        <f>((((M52*1)+(N52*2))*'MATERIALES (2)'!$C$26)+((M52*2)*'MATERIALES (2)'!$C$28)+((N52*2)*'MATERIALES (2)'!$C$27))*'MATERIALES (2)'!$F$1</f>
        <v>90891.643500000006</v>
      </c>
      <c r="P52" s="59">
        <f>(2*'MATERIALES (2)'!$C$135)+(8*'MATERIALES (2)'!$C$147)+(8*'MATERIALES (2)'!$C$148)+((8*2)*'MATERIALES (2)'!$C$134)+(3*'MATERIALES (2)'!$C$149)+(((N52*2)+(M52*1))*'MATERIALES (2)'!$C$138)+(1*'MATERIALES (2)'!$C$151)+(((M52*5)*2)*'MATERIALES (2)'!$C$136)+(4*'MATERIALES (2)'!$C$137)+(0.5*'MATERIALES (2)'!$C$156)+(((M52*2)+(N52*2))*'MATERIALES (2)'!$C$154)</f>
        <v>20024</v>
      </c>
      <c r="Q52" s="75"/>
      <c r="R52" s="55">
        <f>'MATERIALES (2)'!$D$233</f>
        <v>4900</v>
      </c>
      <c r="S52" s="38">
        <f t="shared" si="14"/>
        <v>115815.64350000001</v>
      </c>
      <c r="T52" s="49">
        <f t="shared" si="15"/>
        <v>208576.30115711814</v>
      </c>
      <c r="W52" s="68">
        <v>0.6</v>
      </c>
      <c r="X52" s="69">
        <v>2.1</v>
      </c>
      <c r="Y52" s="59">
        <f>((((W52*1)+(X52*2))*'MATERIALES (2)'!$C$26)+((W52*2)*'MATERIALES (2)'!$C$28)+((X52*1)*'MATERIALES (2)'!$C$28)+((X52*2)*'MATERIALES (2)'!$C$27)+((((W52/2)-0.2)*'MATERIALES (2)'!$C$30)*(X52/0.12)))*'MATERIALES (2)'!$F$1</f>
        <v>133365.16200000001</v>
      </c>
      <c r="Z52" s="59">
        <f>(2*'MATERIALES (2)'!$C$135)+(12*'MATERIALES (2)'!$C$147)+(12*'MATERIALES (2)'!$C$148)+((8*2)*'MATERIALES (2)'!$C$134)+(3*'MATERIALES (2)'!$C$149)+(((X52*2)+(W52*1))*'MATERIALES (2)'!$C$138)+(((W52)+(X52*2))*'MATERIALES (2)'!$C$130)+(((W52)+(X52*2))*'MATERIALES (2)'!$C$154)+(1*'MATERIALES (2)'!$C$151)+(((W52*5)*2)*'MATERIALES (2)'!$C$136)+(4*'MATERIALES (2)'!$C$137)+(0.5*'MATERIALES (2)'!$C$156)</f>
        <v>21792</v>
      </c>
      <c r="AA52" s="59">
        <f>(0.5*'MATERIALES (2)'!$D$243)</f>
        <v>0</v>
      </c>
      <c r="AB52" s="55">
        <f>((W52/2)*X52)*'MATERIALES (2)'!$D$85</f>
        <v>4662</v>
      </c>
      <c r="AC52" s="59">
        <f t="shared" si="16"/>
        <v>159819.16200000001</v>
      </c>
      <c r="AD52" s="67">
        <f t="shared" si="17"/>
        <v>291866.21870001761</v>
      </c>
      <c r="AL52" s="296"/>
      <c r="AM52" s="293"/>
      <c r="AN52" s="297"/>
      <c r="AO52" s="295"/>
      <c r="AP52" s="317"/>
      <c r="AQ52" s="293"/>
      <c r="AR52" s="316"/>
      <c r="AS52" s="316"/>
      <c r="AT52" s="537"/>
      <c r="AU52" s="537"/>
      <c r="AV52" s="4"/>
    </row>
    <row r="53" spans="1:49" ht="15" customHeight="1" thickBot="1">
      <c r="A53" s="161">
        <v>0.7</v>
      </c>
      <c r="B53" s="162">
        <v>2.1</v>
      </c>
      <c r="C53" s="75">
        <f>(((((A53*1)+(B53*2))*'MATERIALES (2)'!$C$26)+((A53*2)*'MATERIALES (2)'!$C$28)+((B53*1)*'MATERIALES (2)'!$C$28)+((B53*2)*'MATERIALES (2)'!$C$27))*'MATERIALES (2)'!$F$1)+'MATERIALES (2)'!$D$233</f>
        <v>121482.87024999999</v>
      </c>
      <c r="D53" s="75">
        <f>(2*'MATERIALES (2)'!$C$135)+(12*'MATERIALES (2)'!$C$147)+(12*'MATERIALES (2)'!$C$148)+((8*2)*'MATERIALES (2)'!$C$134)+(3*'MATERIALES (2)'!$C$149)+(((B53*2)+(A53*1))*'MATERIALES (2)'!$C$138)+(((A53)+(B53*2))*'MATERIALES (2)'!$C$130)+(((A53)+(B53*2))*'MATERIALES (2)'!$C$154)+(1*'MATERIALES (2)'!$C$151)+(((A53*5)*2)*'MATERIALES (2)'!$C$136)+(4*'MATERIALES (2)'!$C$137)+(0.5*'MATERIALES (2)'!$C$156)</f>
        <v>21846</v>
      </c>
      <c r="E53" s="75"/>
      <c r="F53" s="112">
        <f>((A53/2)*B53)*'MATERIALES (2)'!$D$85</f>
        <v>5439</v>
      </c>
      <c r="G53" s="75">
        <f t="shared" si="12"/>
        <v>148767.87024999998</v>
      </c>
      <c r="H53" s="160">
        <f t="shared" si="13"/>
        <v>272637.32373259595</v>
      </c>
      <c r="M53" s="42">
        <v>0.7</v>
      </c>
      <c r="N53" s="37">
        <v>2.1</v>
      </c>
      <c r="O53" s="38">
        <f>((((M53*1)+(N53*2))*'MATERIALES (2)'!$C$26)+((M53*2)*'MATERIALES (2)'!$C$28)+((N53*2)*'MATERIALES (2)'!$C$27))*'MATERIALES (2)'!$F$1</f>
        <v>93806.984249999994</v>
      </c>
      <c r="P53" s="59">
        <f>(2*'MATERIALES (2)'!$C$135)+(8*'MATERIALES (2)'!$C$147)+(8*'MATERIALES (2)'!$C$148)+((8*2)*'MATERIALES (2)'!$C$134)+(3*'MATERIALES (2)'!$C$149)+(((N53*2)+(M53*1))*'MATERIALES (2)'!$C$138)+(1*'MATERIALES (2)'!$C$151)+(((M53*5)*2)*'MATERIALES (2)'!$C$136)+(4*'MATERIALES (2)'!$C$137)+(0.5*'MATERIALES (2)'!$C$156)+(((M53*2)+(N53*2))*'MATERIALES (2)'!$C$154)</f>
        <v>20078</v>
      </c>
      <c r="Q53" s="75"/>
      <c r="R53" s="55">
        <f>'MATERIALES (2)'!$D$233</f>
        <v>4900</v>
      </c>
      <c r="S53" s="38">
        <f t="shared" si="14"/>
        <v>118784.98424999999</v>
      </c>
      <c r="T53" s="49">
        <f t="shared" si="15"/>
        <v>213923.88712904346</v>
      </c>
      <c r="W53" s="68">
        <v>0.7</v>
      </c>
      <c r="X53" s="69">
        <v>2.1</v>
      </c>
      <c r="Y53" s="59">
        <f>((((W53*1)+(X53*2))*'MATERIALES (2)'!$C$26)+((W53*2)*'MATERIALES (2)'!$C$28)+((X53*1)*'MATERIALES (2)'!$C$28)+((X53*2)*'MATERIALES (2)'!$C$27)+((((W53/2)-0.2)*'MATERIALES (2)'!$C$30)*(X53/0.12)))*'MATERIALES (2)'!$F$1</f>
        <v>146129.31899999999</v>
      </c>
      <c r="Z53" s="59">
        <f>(2*'MATERIALES (2)'!$C$135)+(12*'MATERIALES (2)'!$C$147)+(12*'MATERIALES (2)'!$C$148)+((8*2)*'MATERIALES (2)'!$C$134)+(3*'MATERIALES (2)'!$C$149)+(((X53*2)+(W53*1))*'MATERIALES (2)'!$C$138)+(((W53)+(X53*2))*'MATERIALES (2)'!$C$130)+(((W53)+(X53*2))*'MATERIALES (2)'!$C$154)+(1*'MATERIALES (2)'!$C$151)+(((W53*5)*2)*'MATERIALES (2)'!$C$136)+(4*'MATERIALES (2)'!$C$137)+(0.5*'MATERIALES (2)'!$C$156)</f>
        <v>21846</v>
      </c>
      <c r="AA53" s="59">
        <f>(0.5*'MATERIALES (2)'!$D$243)</f>
        <v>0</v>
      </c>
      <c r="AB53" s="55">
        <f>((W53/2)*X53)*'MATERIALES (2)'!$D$85</f>
        <v>5439</v>
      </c>
      <c r="AC53" s="59">
        <f t="shared" si="16"/>
        <v>173414.31899999999</v>
      </c>
      <c r="AD53" s="67">
        <f t="shared" si="17"/>
        <v>317023.94510411628</v>
      </c>
      <c r="AL53" s="287"/>
      <c r="AM53" s="293"/>
      <c r="AN53" s="290"/>
      <c r="AO53" s="295"/>
      <c r="AP53" s="317"/>
      <c r="AQ53" s="293"/>
      <c r="AR53" s="316"/>
      <c r="AS53" s="316"/>
      <c r="AT53" s="537"/>
      <c r="AU53" s="537"/>
      <c r="AV53" s="4"/>
    </row>
    <row r="54" spans="1:49" ht="15.75" customHeight="1" thickBot="1">
      <c r="A54" s="161">
        <v>0.8</v>
      </c>
      <c r="B54" s="162">
        <v>2.1</v>
      </c>
      <c r="C54" s="75">
        <f>(((((A54*1)+(B54*2))*'MATERIALES (2)'!$C$26)+((A54*2)*'MATERIALES (2)'!$C$28)+((B54*1)*'MATERIALES (2)'!$C$28)+((B54*2)*'MATERIALES (2)'!$C$27))*'MATERIALES (2)'!$F$1)+'MATERIALES (2)'!$D$233</f>
        <v>124398.21100000001</v>
      </c>
      <c r="D54" s="75">
        <f>(2*'MATERIALES (2)'!$C$135)+(12*'MATERIALES (2)'!$C$147)+(12*'MATERIALES (2)'!$C$148)+((8*2)*'MATERIALES (2)'!$C$134)+(3*'MATERIALES (2)'!$C$149)+(((B54*2)+(A54*1))*'MATERIALES (2)'!$C$138)+(((A54)+(B54*2))*'MATERIALES (2)'!$C$130)+(((A54)+(B54*2))*'MATERIALES (2)'!$C$154)+(1*'MATERIALES (2)'!$C$151)+(((A54*5)*2)*'MATERIALES (2)'!$C$136)+(4*'MATERIALES (2)'!$C$137)+(0.5*'MATERIALES (2)'!$C$156)</f>
        <v>21900</v>
      </c>
      <c r="E54" s="75"/>
      <c r="F54" s="112">
        <f>((A54/2)*B54)*'MATERIALES (2)'!$D$85</f>
        <v>6216.0000000000009</v>
      </c>
      <c r="G54" s="75">
        <f t="shared" si="12"/>
        <v>152514.21100000001</v>
      </c>
      <c r="H54" s="160">
        <f t="shared" si="13"/>
        <v>280057.98455452127</v>
      </c>
      <c r="M54" s="42">
        <v>0.8</v>
      </c>
      <c r="N54" s="37">
        <v>2.1</v>
      </c>
      <c r="O54" s="38">
        <f>((((M54*1)+(N54*2))*'MATERIALES (2)'!$C$26)+((M54*2)*'MATERIALES (2)'!$C$28)+((N54*2)*'MATERIALES (2)'!$C$27))*'MATERIALES (2)'!$F$1</f>
        <v>96722.324999999997</v>
      </c>
      <c r="P54" s="59">
        <f>(2*'MATERIALES (2)'!$C$135)+(8*'MATERIALES (2)'!$C$147)+(8*'MATERIALES (2)'!$C$148)+((8*2)*'MATERIALES (2)'!$C$134)+(3*'MATERIALES (2)'!$C$149)+(((N54*2)+(M54*1))*'MATERIALES (2)'!$C$138)+(1*'MATERIALES (2)'!$C$151)+(((M54*5)*2)*'MATERIALES (2)'!$C$136)+(4*'MATERIALES (2)'!$C$137)+(0.5*'MATERIALES (2)'!$C$156)+(((M54*2)+(N54*2))*'MATERIALES (2)'!$C$154)</f>
        <v>20132</v>
      </c>
      <c r="Q54" s="75"/>
      <c r="R54" s="55">
        <f>'MATERIALES (2)'!$D$233</f>
        <v>4900</v>
      </c>
      <c r="S54" s="38">
        <f t="shared" si="14"/>
        <v>121754.325</v>
      </c>
      <c r="T54" s="49">
        <f t="shared" si="15"/>
        <v>219271.47310096875</v>
      </c>
      <c r="W54" s="68">
        <v>0.8</v>
      </c>
      <c r="X54" s="69">
        <v>2.1</v>
      </c>
      <c r="Y54" s="59">
        <f>((((W54*1)+(X54*2))*'MATERIALES (2)'!$C$26)+((W54*2)*'MATERIALES (2)'!$C$28)+((X54*1)*'MATERIALES (2)'!$C$28)+((X54*2)*'MATERIALES (2)'!$C$27)+((((W54/2)-0.2)*'MATERIALES (2)'!$C$30)*(X54/0.12)))*'MATERIALES (2)'!$F$1</f>
        <v>158893.476</v>
      </c>
      <c r="Z54" s="59">
        <f>(2*'MATERIALES (2)'!$C$135)+(12*'MATERIALES (2)'!$C$147)+(12*'MATERIALES (2)'!$C$148)+((8*2)*'MATERIALES (2)'!$C$134)+(3*'MATERIALES (2)'!$C$149)+(((X54*2)+(W54*1))*'MATERIALES (2)'!$C$138)+(((W54)+(X54*2))*'MATERIALES (2)'!$C$130)+(((W54)+(X54*2))*'MATERIALES (2)'!$C$154)+(1*'MATERIALES (2)'!$C$151)+(((W54*5)*2)*'MATERIALES (2)'!$C$136)+(4*'MATERIALES (2)'!$C$137)+(0.5*'MATERIALES (2)'!$C$156)</f>
        <v>21900</v>
      </c>
      <c r="AA54" s="59">
        <f>(0.5*'MATERIALES (2)'!$D$243)</f>
        <v>0</v>
      </c>
      <c r="AB54" s="55">
        <f>((W54/2)*X54)*'MATERIALES (2)'!$D$85</f>
        <v>6216.0000000000009</v>
      </c>
      <c r="AC54" s="59">
        <f t="shared" si="16"/>
        <v>187009.476</v>
      </c>
      <c r="AD54" s="67">
        <f t="shared" si="17"/>
        <v>342181.67150821508</v>
      </c>
      <c r="AL54" s="296"/>
      <c r="AM54" s="298"/>
      <c r="AN54" s="297"/>
      <c r="AO54" s="295"/>
      <c r="AP54" s="317"/>
      <c r="AQ54" s="298"/>
      <c r="AR54" s="4"/>
      <c r="AS54" s="4"/>
      <c r="AT54" s="538"/>
      <c r="AU54" s="538"/>
      <c r="AV54" s="334"/>
    </row>
    <row r="55" spans="1:49" ht="15.75" customHeight="1" thickBot="1">
      <c r="A55" s="164">
        <v>0.9</v>
      </c>
      <c r="B55" s="165">
        <v>2.1</v>
      </c>
      <c r="C55" s="76">
        <f>(((((A55*1)+(B55*2))*'MATERIALES (2)'!$C$26)+((A55*2)*'MATERIALES (2)'!$C$28)+((B55*1)*'MATERIALES (2)'!$C$28)+((B55*2)*'MATERIALES (2)'!$C$27))*'MATERIALES (2)'!$F$1)+'MATERIALES (2)'!$D$233</f>
        <v>127313.55175000001</v>
      </c>
      <c r="D55" s="76">
        <f>(2*'MATERIALES (2)'!$C$135)+(12*'MATERIALES (2)'!$C$147)+(12*'MATERIALES (2)'!$C$148)+((8*2)*'MATERIALES (2)'!$C$134)+(3*'MATERIALES (2)'!$C$149)+(((B55*2)+(A55*1))*'MATERIALES (2)'!$C$138)+(((A55)+(B55*2))*'MATERIALES (2)'!$C$130)+(((A55)+(B55*2))*'MATERIALES (2)'!$C$154)+(1*'MATERIALES (2)'!$C$151)+(((A55*5)*2)*'MATERIALES (2)'!$C$136)+(4*'MATERIALES (2)'!$C$137)+(0.5*'MATERIALES (2)'!$C$156)</f>
        <v>21954</v>
      </c>
      <c r="E55" s="76"/>
      <c r="F55" s="113">
        <f>((A55/2)*B55)*'MATERIALES (2)'!$D$85</f>
        <v>6993.0000000000009</v>
      </c>
      <c r="G55" s="76">
        <f t="shared" si="12"/>
        <v>156260.55175000001</v>
      </c>
      <c r="H55" s="160">
        <f t="shared" si="13"/>
        <v>287478.64537644666</v>
      </c>
      <c r="M55" s="44">
        <v>0.9</v>
      </c>
      <c r="N55" s="45">
        <v>2.1</v>
      </c>
      <c r="O55" s="50">
        <f>((((M55*1)+(N55*2))*'MATERIALES (2)'!$C$26)+((M55*2)*'MATERIALES (2)'!$C$28)+((N55*2)*'MATERIALES (2)'!$C$27))*'MATERIALES (2)'!$F$1</f>
        <v>99637.665750000015</v>
      </c>
      <c r="P55" s="60">
        <f>(2*'MATERIALES (2)'!$C$135)+(8*'MATERIALES (2)'!$C$147)+(8*'MATERIALES (2)'!$C$148)+((8*2)*'MATERIALES (2)'!$C$134)+(3*'MATERIALES (2)'!$C$149)+(((N55*2)+(M55*1))*'MATERIALES (2)'!$C$138)+(1*'MATERIALES (2)'!$C$151)+(((M55*5)*2)*'MATERIALES (2)'!$C$136)+(4*'MATERIALES (2)'!$C$137)+(0.5*'MATERIALES (2)'!$C$156)+(((M55*2)+(N55*2))*'MATERIALES (2)'!$C$154)</f>
        <v>20186</v>
      </c>
      <c r="Q55" s="76"/>
      <c r="R55" s="56">
        <f>'MATERIALES (2)'!$D$233</f>
        <v>4900</v>
      </c>
      <c r="S55" s="50">
        <f t="shared" si="14"/>
        <v>124723.66575000001</v>
      </c>
      <c r="T55" s="49">
        <f t="shared" si="15"/>
        <v>224619.05907289413</v>
      </c>
      <c r="W55" s="71">
        <v>0.9</v>
      </c>
      <c r="X55" s="72">
        <v>2.1</v>
      </c>
      <c r="Y55" s="60">
        <f>((((W55*1)+(X55*2))*'MATERIALES (2)'!$C$26)+((W55*2)*'MATERIALES (2)'!$C$28)+((X55*1)*'MATERIALES (2)'!$C$28)+((X55*2)*'MATERIALES (2)'!$C$27)+((((W55/2)-0.2)*'MATERIALES (2)'!$C$30)*(X55/0.12)))*'MATERIALES (2)'!$F$1</f>
        <v>171657.633</v>
      </c>
      <c r="Z55" s="60">
        <f>(2*'MATERIALES (2)'!$C$135)+(12*'MATERIALES (2)'!$C$147)+(12*'MATERIALES (2)'!$C$148)+((8*2)*'MATERIALES (2)'!$C$134)+(3*'MATERIALES (2)'!$C$149)+(((X55*2)+(W55*1))*'MATERIALES (2)'!$C$138)+(((W55)+(X55*2))*'MATERIALES (2)'!$C$130)+(((W55)+(X55*2))*'MATERIALES (2)'!$C$154)+(1*'MATERIALES (2)'!$C$151)+(((W55*5)*2)*'MATERIALES (2)'!$C$136)+(4*'MATERIALES (2)'!$C$137)+(0.5*'MATERIALES (2)'!$C$156)</f>
        <v>21954</v>
      </c>
      <c r="AA55" s="60">
        <f>(0.5*'MATERIALES (2)'!$D$243)</f>
        <v>0</v>
      </c>
      <c r="AB55" s="56">
        <f>((W55/2)*X55)*'MATERIALES (2)'!$D$85</f>
        <v>6993.0000000000009</v>
      </c>
      <c r="AC55" s="60">
        <f t="shared" si="16"/>
        <v>200604.633</v>
      </c>
      <c r="AD55" s="67">
        <f t="shared" si="17"/>
        <v>367339.39791231381</v>
      </c>
      <c r="AM55" s="298"/>
      <c r="AO55" s="295"/>
      <c r="AP55" s="317"/>
      <c r="AQ55" s="298"/>
      <c r="AR55" s="4"/>
      <c r="AS55" s="4"/>
      <c r="AT55" s="537"/>
      <c r="AU55" s="533"/>
    </row>
    <row r="56" spans="1:49">
      <c r="AM56" s="32"/>
      <c r="AO56" s="321"/>
      <c r="AQ56" s="32"/>
      <c r="AR56" s="4"/>
      <c r="AS56" s="4"/>
      <c r="AT56" s="537"/>
      <c r="AU56" s="533"/>
    </row>
    <row r="57" spans="1:49" ht="15.75" customHeight="1" thickBot="1">
      <c r="AQ57" s="322"/>
      <c r="AR57" s="323"/>
      <c r="AS57" s="323"/>
      <c r="AT57" s="537"/>
      <c r="AU57" s="533"/>
    </row>
    <row r="58" spans="1:49" ht="15.75" customHeight="1" thickBot="1">
      <c r="A58" s="32"/>
      <c r="B58" s="32"/>
      <c r="C58" s="947">
        <v>1.35</v>
      </c>
      <c r="D58" s="948"/>
      <c r="E58" s="949"/>
      <c r="F58" s="728">
        <v>2</v>
      </c>
      <c r="G58" s="32"/>
      <c r="H58" s="46" t="s">
        <v>163</v>
      </c>
      <c r="M58" s="32"/>
      <c r="N58" s="32"/>
      <c r="O58" s="947">
        <v>1.35</v>
      </c>
      <c r="P58" s="948"/>
      <c r="Q58" s="949"/>
      <c r="R58" s="728">
        <v>2</v>
      </c>
      <c r="S58" s="32"/>
      <c r="T58" s="46" t="s">
        <v>163</v>
      </c>
      <c r="AK58" s="324"/>
      <c r="AL58" s="304"/>
      <c r="AM58" s="325"/>
      <c r="AN58" s="313"/>
      <c r="AO58" s="326"/>
      <c r="AP58" s="4"/>
      <c r="AQ58" s="327"/>
      <c r="AR58" s="324"/>
      <c r="AS58" s="324"/>
      <c r="AT58" s="537"/>
      <c r="AU58" s="533"/>
    </row>
    <row r="59" spans="1:49" ht="15.75" customHeight="1" thickBot="1">
      <c r="A59" s="792" t="s">
        <v>223</v>
      </c>
      <c r="B59" s="793"/>
      <c r="C59" s="793"/>
      <c r="D59" s="793"/>
      <c r="E59" s="793"/>
      <c r="F59" s="793"/>
      <c r="G59" s="793"/>
      <c r="H59" s="794"/>
      <c r="M59" s="792" t="s">
        <v>220</v>
      </c>
      <c r="N59" s="793"/>
      <c r="O59" s="793"/>
      <c r="P59" s="793"/>
      <c r="Q59" s="793"/>
      <c r="R59" s="793"/>
      <c r="S59" s="793"/>
      <c r="T59" s="794"/>
      <c r="AJ59" s="598">
        <f>+T121</f>
        <v>369899.09003080695</v>
      </c>
      <c r="AK59" s="356"/>
      <c r="AL59" s="598">
        <f>+H121</f>
        <v>416183.13486374635</v>
      </c>
      <c r="AM59" s="356"/>
      <c r="AN59" s="431"/>
      <c r="AO59" s="4"/>
      <c r="AQ59" s="267"/>
      <c r="AS59" s="328"/>
      <c r="AT59" s="599" t="s">
        <v>929</v>
      </c>
      <c r="AU59" s="668"/>
    </row>
    <row r="60" spans="1:49" ht="16.5" thickBot="1">
      <c r="A60" s="36" t="s">
        <v>116</v>
      </c>
      <c r="B60" s="36" t="s">
        <v>117</v>
      </c>
      <c r="C60" s="36" t="s">
        <v>162</v>
      </c>
      <c r="D60" s="36" t="s">
        <v>119</v>
      </c>
      <c r="E60" s="36" t="s">
        <v>120</v>
      </c>
      <c r="F60" s="36" t="s">
        <v>118</v>
      </c>
      <c r="G60" s="36" t="s">
        <v>121</v>
      </c>
      <c r="H60" s="36" t="s">
        <v>122</v>
      </c>
      <c r="M60" s="36" t="s">
        <v>116</v>
      </c>
      <c r="N60" s="36" t="s">
        <v>117</v>
      </c>
      <c r="O60" s="36" t="s">
        <v>162</v>
      </c>
      <c r="P60" s="36" t="s">
        <v>119</v>
      </c>
      <c r="Q60" s="36" t="s">
        <v>120</v>
      </c>
      <c r="R60" s="36" t="s">
        <v>118</v>
      </c>
      <c r="S60" s="36" t="s">
        <v>121</v>
      </c>
      <c r="T60" s="36" t="s">
        <v>122</v>
      </c>
      <c r="AJ60" s="598">
        <f>+T251</f>
        <v>337313.09921246441</v>
      </c>
      <c r="AK60" s="735"/>
      <c r="AL60" s="600">
        <f>+H251</f>
        <v>383597.14404540375</v>
      </c>
      <c r="AM60" s="532"/>
      <c r="AN60" s="433"/>
      <c r="AO60" s="736"/>
      <c r="AP60" s="4"/>
      <c r="AQ60" s="532"/>
      <c r="AR60" s="4"/>
      <c r="AS60" s="432"/>
      <c r="AT60" s="599" t="s">
        <v>930</v>
      </c>
      <c r="AU60" s="668"/>
    </row>
    <row r="61" spans="1:49" ht="16.5" thickBot="1">
      <c r="A61" s="795"/>
      <c r="B61" s="796"/>
      <c r="C61" s="796"/>
      <c r="D61" s="796"/>
      <c r="E61" s="796"/>
      <c r="F61" s="796"/>
      <c r="G61" s="796"/>
      <c r="H61" s="797"/>
      <c r="M61" s="795"/>
      <c r="N61" s="796"/>
      <c r="O61" s="796"/>
      <c r="P61" s="796"/>
      <c r="Q61" s="796"/>
      <c r="R61" s="796"/>
      <c r="S61" s="796"/>
      <c r="T61" s="797"/>
      <c r="AJ61" s="598">
        <f>+T381</f>
        <v>284378.88382552692</v>
      </c>
      <c r="AK61" s="735"/>
      <c r="AL61" s="600">
        <f>+H381</f>
        <v>296785.03081082628</v>
      </c>
      <c r="AM61" s="532"/>
      <c r="AN61" s="433"/>
      <c r="AO61" s="736"/>
      <c r="AP61" s="4"/>
      <c r="AQ61" s="532"/>
      <c r="AR61" s="4"/>
      <c r="AS61" s="432"/>
      <c r="AT61" s="599" t="s">
        <v>931</v>
      </c>
      <c r="AU61" s="668"/>
    </row>
    <row r="62" spans="1:49" ht="15.75" thickBot="1">
      <c r="A62" s="65">
        <v>0.6</v>
      </c>
      <c r="B62" s="66">
        <v>2</v>
      </c>
      <c r="C62" s="58">
        <f>((((A62*1)+(B62*2))*'MATERIALES (2)'!$C$26)+((A62*5)*'MATERIALES (2)'!$C$28)+((B62*2)*'MATERIALES (2)'!$C$27)+(((A62-0.2)*'MATERIALES (2)'!$C$30)*((B62/2)/0.12)))*'MATERIALES (2)'!$F$1</f>
        <v>144437.91250000001</v>
      </c>
      <c r="D62" s="58">
        <f>(2*'MATERIALES (2)'!$C$135)+(20*'MATERIALES (2)'!$C$147)+(20*'MATERIALES (2)'!$C$148)+((8*2)*'MATERIALES (2)'!$C$134)+(3*'MATERIALES (2)'!$C$149)+(((B62*2)+(A62*1))*'MATERIALES (2)'!$C$138)+(((A62*6)+((B62/2)*2))*'MATERIALES (2)'!$C$130)+(((A62*2)+(B62/2)*2)*'MATERIALES (2)'!$C$154)+(0.5*'MATERIALES (2)'!$C$156)+(1*'MATERIALES (2)'!$C$151)+(((A62*5)*2)*'MATERIALES (2)'!$C$136)+(4*'MATERIALES (2)'!$C$137)</f>
        <v>23108</v>
      </c>
      <c r="E62" s="74"/>
      <c r="F62" s="54">
        <f>(A62*(B62/2))*'MATERIALES (2)'!$D$85</f>
        <v>4440</v>
      </c>
      <c r="G62" s="58">
        <f>SUM(C62:F62)</f>
        <v>171985.91250000001</v>
      </c>
      <c r="H62" s="67">
        <f>((((SUM(C62:E62)*$C$58)+(F62*$F$58))*1.21)*1.05)*1.05</f>
        <v>313585.23049579689</v>
      </c>
      <c r="M62" s="65">
        <v>0.6</v>
      </c>
      <c r="N62" s="66">
        <v>2</v>
      </c>
      <c r="O62" s="58">
        <f>((((M62*1)+(N62*2))*'MATERIALES (2)'!$C$26)+((M62*3)*'MATERIALES (2)'!$C$28)+(((N62/2)*2)*'MATERIALES (2)'!$C$28)+((N62*2)*'MATERIALES (2)'!$C$27)+(((M62-0.2)*'MATERIALES (2)'!$C$30)*((N62/2)/0.12)))*'MATERIALES (2)'!$F$1</f>
        <v>153114.4405</v>
      </c>
      <c r="P62" s="58">
        <f>(2*'MATERIALES (2)'!$C$135)+(20*'MATERIALES (2)'!$C$147)+(20*'MATERIALES (2)'!$C$148)+((8*2)*'MATERIALES (2)'!$C$134)+(3*'MATERIALES (2)'!$C$149)+(((N62*2)+(M62*1))*'MATERIALES (2)'!$C$138)+(((M62*2)+((N62/2)*6))*'MATERIALES (2)'!$C$130)+(((M62*2)+(N62/2)*2)*'MATERIALES (2)'!$C$154)+(0.5*'MATERIALES (2)'!$C$156)+(1*'MATERIALES (2)'!$C$151)+(((M62*5)*2)*'MATERIALES (2)'!$C$136)+(4*'MATERIALES (2)'!$C$137)</f>
        <v>23492</v>
      </c>
      <c r="Q62" s="74"/>
      <c r="R62" s="54">
        <f>(M62*(N62/2))*'MATERIALES (2)'!$D$85</f>
        <v>4440</v>
      </c>
      <c r="S62" s="58">
        <f>SUM(O62:R62)</f>
        <v>181046.4405</v>
      </c>
      <c r="T62" s="67">
        <f>((((SUM(O62:Q62)*$O$58)+(R62*$R$58))*1.21)*1.05)*1.05</f>
        <v>329902.64116381691</v>
      </c>
      <c r="AP62" s="533"/>
      <c r="AQ62" s="4"/>
      <c r="AR62" s="4"/>
      <c r="AT62" s="4"/>
    </row>
    <row r="63" spans="1:49" ht="21.75" thickBot="1">
      <c r="A63" s="68">
        <v>0.7</v>
      </c>
      <c r="B63" s="69">
        <v>2</v>
      </c>
      <c r="C63" s="59">
        <f>((((A63*1)+(B63*2))*'MATERIALES (2)'!$C$26)+((A63*5)*'MATERIALES (2)'!$C$28)+((B63*2)*'MATERIALES (2)'!$C$27)+(((A63-0.2)*'MATERIALES (2)'!$C$30)*((B63/2)/0.12)))*'MATERIALES (2)'!$F$1</f>
        <v>159986.77625000002</v>
      </c>
      <c r="D63" s="59">
        <f>(2*'MATERIALES (2)'!$C$135)+(20*'MATERIALES (2)'!$C$147)+(20*'MATERIALES (2)'!$C$148)+((8*2)*'MATERIALES (2)'!$C$134)+(3*'MATERIALES (2)'!$C$149)+(((B63*2)+(A63*1))*'MATERIALES (2)'!$C$138)+(((A63*6)+((B63/2)*2))*'MATERIALES (2)'!$C$130)+(((A63*2)+(B63/2)*2)*'MATERIALES (2)'!$C$154)+(0.5*'MATERIALES (2)'!$C$156)+(1*'MATERIALES (2)'!$C$151)+(((A63*5)*2)*'MATERIALES (2)'!$C$136)+(4*'MATERIALES (2)'!$C$137)</f>
        <v>23306</v>
      </c>
      <c r="E63" s="75"/>
      <c r="F63" s="55">
        <f>(A63*(B63/2))*'MATERIALES (2)'!$D$85</f>
        <v>5180</v>
      </c>
      <c r="G63" s="59">
        <f t="shared" ref="G63:G69" si="18">SUM(C63:F63)</f>
        <v>188472.77625000002</v>
      </c>
      <c r="H63" s="67">
        <f t="shared" ref="H63:H69" si="19">((((SUM(C63:E63)*$C$58)+(F63*$F$58))*1.21)*1.05)*1.05</f>
        <v>343918.64587982354</v>
      </c>
      <c r="M63" s="68">
        <v>0.7</v>
      </c>
      <c r="N63" s="69">
        <v>2</v>
      </c>
      <c r="O63" s="59">
        <f>((((M63*1)+(N63*2))*'MATERIALES (2)'!$C$26)+((M63*3)*'MATERIALES (2)'!$C$28)+(((N63/2)*2)*'MATERIALES (2)'!$C$28)+((N63*2)*'MATERIALES (2)'!$C$27)+(((M63-0.2)*'MATERIALES (2)'!$C$30)*((N63/2)/0.12)))*'MATERIALES (2)'!$F$1</f>
        <v>166494.17224999997</v>
      </c>
      <c r="P63" s="59">
        <f>(2*'MATERIALES (2)'!$C$135)+(20*'MATERIALES (2)'!$C$147)+(20*'MATERIALES (2)'!$C$148)+((8*2)*'MATERIALES (2)'!$C$134)+(3*'MATERIALES (2)'!$C$149)+(((N63*2)+(M63*1))*'MATERIALES (2)'!$C$138)+(((M63*2)+((N63/2)*6))*'MATERIALES (2)'!$C$130)+(((M63*2)+(N63/2)*2)*'MATERIALES (2)'!$C$154)+(0.5*'MATERIALES (2)'!$C$156)+(1*'MATERIALES (2)'!$C$151)+(((M63*5)*2)*'MATERIALES (2)'!$C$136)+(4*'MATERIALES (2)'!$C$137)</f>
        <v>23594</v>
      </c>
      <c r="Q63" s="75"/>
      <c r="R63" s="55">
        <f>(M63*(N63/2))*'MATERIALES (2)'!$D$85</f>
        <v>5180</v>
      </c>
      <c r="S63" s="59">
        <f t="shared" ref="S63:S69" si="20">SUM(O63:R63)</f>
        <v>195268.17224999997</v>
      </c>
      <c r="T63" s="67">
        <f t="shared" ref="T63:T69" si="21">((((SUM(O63:Q63)*$O$58)+(R63*$R$58))*1.21)*1.05)*1.05</f>
        <v>356156.70388083853</v>
      </c>
      <c r="AL63" s="388" t="s">
        <v>868</v>
      </c>
      <c r="AO63" s="657" t="s">
        <v>867</v>
      </c>
      <c r="AP63" s="657"/>
      <c r="AQ63" s="657"/>
      <c r="AR63" s="4"/>
    </row>
    <row r="64" spans="1:49" ht="15.75" thickBot="1">
      <c r="A64" s="68">
        <v>0.8</v>
      </c>
      <c r="B64" s="69">
        <v>2</v>
      </c>
      <c r="C64" s="59">
        <f>((((A64*1)+(B64*2))*'MATERIALES (2)'!$C$26)+((A64*5)*'MATERIALES (2)'!$C$28)+((B64*2)*'MATERIALES (2)'!$C$27)+(((A64-0.2)*'MATERIALES (2)'!$C$30)*((B64/2)/0.12)))*'MATERIALES (2)'!$F$1</f>
        <v>175535.64</v>
      </c>
      <c r="D64" s="59">
        <f>(2*'MATERIALES (2)'!$C$135)+(20*'MATERIALES (2)'!$C$147)+(20*'MATERIALES (2)'!$C$148)+((8*2)*'MATERIALES (2)'!$C$134)+(3*'MATERIALES (2)'!$C$149)+(((B64*2)+(A64*1))*'MATERIALES (2)'!$C$138)+(((A64*6)+((B64/2)*2))*'MATERIALES (2)'!$C$130)+(((A64*2)+(B64/2)*2)*'MATERIALES (2)'!$C$154)+(0.5*'MATERIALES (2)'!$C$156)+(1*'MATERIALES (2)'!$C$151)+(((A64*5)*2)*'MATERIALES (2)'!$C$136)+(4*'MATERIALES (2)'!$C$137)</f>
        <v>23504</v>
      </c>
      <c r="E64" s="75"/>
      <c r="F64" s="55">
        <f>(A64*(B64/2))*'MATERIALES (2)'!$D$85</f>
        <v>5920</v>
      </c>
      <c r="G64" s="59">
        <f t="shared" si="18"/>
        <v>204959.64</v>
      </c>
      <c r="H64" s="67">
        <f t="shared" si="19"/>
        <v>374252.06126385002</v>
      </c>
      <c r="M64" s="68">
        <v>0.8</v>
      </c>
      <c r="N64" s="69">
        <v>2</v>
      </c>
      <c r="O64" s="59">
        <f>((((M64*1)+(N64*2))*'MATERIALES (2)'!$C$26)+((M64*3)*'MATERIALES (2)'!$C$28)+(((N64/2)*2)*'MATERIALES (2)'!$C$28)+((N64*2)*'MATERIALES (2)'!$C$27)+(((M64-0.2)*'MATERIALES (2)'!$C$30)*((N64/2)/0.12)))*'MATERIALES (2)'!$F$1</f>
        <v>179873.90400000001</v>
      </c>
      <c r="P64" s="59">
        <f>(2*'MATERIALES (2)'!$C$135)+(20*'MATERIALES (2)'!$C$147)+(20*'MATERIALES (2)'!$C$148)+((8*2)*'MATERIALES (2)'!$C$134)+(3*'MATERIALES (2)'!$C$149)+(((N64*2)+(M64*1))*'MATERIALES (2)'!$C$138)+(((M64*2)+((N64/2)*6))*'MATERIALES (2)'!$C$130)+(((M64*2)+(N64/2)*2)*'MATERIALES (2)'!$C$154)+(0.5*'MATERIALES (2)'!$C$156)+(1*'MATERIALES (2)'!$C$151)+(((M64*5)*2)*'MATERIALES (2)'!$C$136)+(4*'MATERIALES (2)'!$C$137)</f>
        <v>23696</v>
      </c>
      <c r="Q64" s="75"/>
      <c r="R64" s="55">
        <f>(M64*(N64/2))*'MATERIALES (2)'!$D$85</f>
        <v>5920</v>
      </c>
      <c r="S64" s="59">
        <f t="shared" si="20"/>
        <v>209489.90400000001</v>
      </c>
      <c r="T64" s="67">
        <f t="shared" si="21"/>
        <v>382410.76659786003</v>
      </c>
    </row>
    <row r="65" spans="1:47" ht="15.75" thickBot="1">
      <c r="A65" s="68">
        <v>0.9</v>
      </c>
      <c r="B65" s="69">
        <v>2</v>
      </c>
      <c r="C65" s="59">
        <f>((((A65*1)+(B65*2))*'MATERIALES (2)'!$C$26)+((A65*5)*'MATERIALES (2)'!$C$28)+((B65*2)*'MATERIALES (2)'!$C$27)+(((A65-0.2)*'MATERIALES (2)'!$C$30)*((B65/2)/0.12)))*'MATERIALES (2)'!$F$1</f>
        <v>191084.50374999997</v>
      </c>
      <c r="D65" s="59">
        <f>(2*'MATERIALES (2)'!$C$135)+(20*'MATERIALES (2)'!$C$147)+(20*'MATERIALES (2)'!$C$148)+((8*2)*'MATERIALES (2)'!$C$134)+(3*'MATERIALES (2)'!$C$149)+(((B65*2)+(A65*1))*'MATERIALES (2)'!$C$138)+(((A65*6)+((B65/2)*2))*'MATERIALES (2)'!$C$130)+(((A65*2)+(B65/2)*2)*'MATERIALES (2)'!$C$154)+(0.5*'MATERIALES (2)'!$C$156)+(1*'MATERIALES (2)'!$C$151)+(((A65*5)*2)*'MATERIALES (2)'!$C$136)+(4*'MATERIALES (2)'!$C$137)</f>
        <v>23702</v>
      </c>
      <c r="E65" s="75"/>
      <c r="F65" s="55">
        <f>(A65*(B65/2))*'MATERIALES (2)'!$D$85</f>
        <v>6660</v>
      </c>
      <c r="G65" s="59">
        <f t="shared" si="18"/>
        <v>221446.50374999997</v>
      </c>
      <c r="H65" s="67">
        <f t="shared" si="19"/>
        <v>404585.47664787655</v>
      </c>
      <c r="M65" s="68">
        <v>0.9</v>
      </c>
      <c r="N65" s="69">
        <v>2</v>
      </c>
      <c r="O65" s="59">
        <f>((((M65*1)+(N65*2))*'MATERIALES (2)'!$C$26)+((M65*3)*'MATERIALES (2)'!$C$28)+(((N65/2)*2)*'MATERIALES (2)'!$C$28)+((N65*2)*'MATERIALES (2)'!$C$27)+(((M65-0.2)*'MATERIALES (2)'!$C$30)*((N65/2)/0.12)))*'MATERIALES (2)'!$F$1</f>
        <v>193253.63575000002</v>
      </c>
      <c r="P65" s="59">
        <f>(2*'MATERIALES (2)'!$C$135)+(20*'MATERIALES (2)'!$C$147)+(20*'MATERIALES (2)'!$C$148)+((8*2)*'MATERIALES (2)'!$C$134)+(3*'MATERIALES (2)'!$C$149)+(((N65*2)+(M65*1))*'MATERIALES (2)'!$C$138)+(((M65*2)+((N65/2)*6))*'MATERIALES (2)'!$C$130)+(((M65*2)+(N65/2)*2)*'MATERIALES (2)'!$C$154)+(0.5*'MATERIALES (2)'!$C$156)+(1*'MATERIALES (2)'!$C$151)+(((M65*5)*2)*'MATERIALES (2)'!$C$136)+(4*'MATERIALES (2)'!$C$137)</f>
        <v>23798</v>
      </c>
      <c r="Q65" s="75"/>
      <c r="R65" s="55">
        <f>(M65*(N65/2))*'MATERIALES (2)'!$D$85</f>
        <v>6660</v>
      </c>
      <c r="S65" s="59">
        <f t="shared" si="20"/>
        <v>223711.63575000002</v>
      </c>
      <c r="T65" s="67">
        <f t="shared" si="21"/>
        <v>408664.8293148817</v>
      </c>
    </row>
    <row r="66" spans="1:47" ht="15.75" thickBot="1">
      <c r="A66" s="68">
        <v>0.6</v>
      </c>
      <c r="B66" s="69">
        <v>2.1</v>
      </c>
      <c r="C66" s="59">
        <f>((((A66*1)+(B66*2))*'MATERIALES (2)'!$C$26)+((A66*5)*'MATERIALES (2)'!$C$28)+((B66*2)*'MATERIALES (2)'!$C$27)+(((A66-0.2)*'MATERIALES (2)'!$C$30)*((B66/2)/0.12)))*'MATERIALES (2)'!$F$1</f>
        <v>149809.09649999999</v>
      </c>
      <c r="D66" s="59">
        <f>(2*'MATERIALES (2)'!$C$135)+(20*'MATERIALES (2)'!$C$147)+(20*'MATERIALES (2)'!$C$148)+((8*2)*'MATERIALES (2)'!$C$134)+(3*'MATERIALES (2)'!$C$149)+(((B66*2)+(A66*1))*'MATERIALES (2)'!$C$138)+(((A66*6)+((B66/2)*2))*'MATERIALES (2)'!$C$130)+(((A66*2)+(B66/2)*2)*'MATERIALES (2)'!$C$154)+(0.5*'MATERIALES (2)'!$C$156)+(1*'MATERIALES (2)'!$C$151)+(((A66*5)*2)*'MATERIALES (2)'!$C$136)+(4*'MATERIALES (2)'!$C$137)</f>
        <v>23168</v>
      </c>
      <c r="E66" s="75"/>
      <c r="F66" s="55">
        <f>(A66*(B66/2))*'MATERIALES (2)'!$D$85</f>
        <v>4662</v>
      </c>
      <c r="G66" s="59">
        <f t="shared" si="18"/>
        <v>177639.09649999999</v>
      </c>
      <c r="H66" s="67">
        <f t="shared" si="19"/>
        <v>323958.74016385688</v>
      </c>
      <c r="M66" s="68">
        <v>0.6</v>
      </c>
      <c r="N66" s="69">
        <v>2.1</v>
      </c>
      <c r="O66" s="59">
        <f>((((M66*1)+(N66*2))*'MATERIALES (2)'!$C$26)+((M66*3)*'MATERIALES (2)'!$C$28)+(((N66/2)*2)*'MATERIALES (2)'!$C$28)+((N66*2)*'MATERIALES (2)'!$C$27)+(((M66-0.2)*'MATERIALES (2)'!$C$30)*((N66/2)/0.12)))*'MATERIALES (2)'!$F$1</f>
        <v>159570.1905</v>
      </c>
      <c r="P66" s="59">
        <f>(2*'MATERIALES (2)'!$C$135)+(20*'MATERIALES (2)'!$C$147)+(20*'MATERIALES (2)'!$C$148)+((8*2)*'MATERIALES (2)'!$C$134)+(3*'MATERIALES (2)'!$C$149)+(((N66*2)+(M66*1))*'MATERIALES (2)'!$C$138)+(((M66*2)+((N66/2)*6))*'MATERIALES (2)'!$C$130)+(((M66*2)+(N66/2)*2)*'MATERIALES (2)'!$C$154)+(0.5*'MATERIALES (2)'!$C$156)+(1*'MATERIALES (2)'!$C$151)+(((M66*5)*2)*'MATERIALES (2)'!$C$136)+(4*'MATERIALES (2)'!$C$137)</f>
        <v>23600</v>
      </c>
      <c r="Q66" s="75"/>
      <c r="R66" s="55">
        <f>(M66*(N66/2))*'MATERIALES (2)'!$D$85</f>
        <v>4662</v>
      </c>
      <c r="S66" s="59">
        <f t="shared" si="20"/>
        <v>187832.1905</v>
      </c>
      <c r="T66" s="67">
        <f t="shared" si="21"/>
        <v>342315.82716537942</v>
      </c>
    </row>
    <row r="67" spans="1:47" ht="15.75" thickBot="1">
      <c r="A67" s="68">
        <v>0.7</v>
      </c>
      <c r="B67" s="69">
        <v>2.1</v>
      </c>
      <c r="C67" s="59">
        <f>((((A67*1)+(B67*2))*'MATERIALES (2)'!$C$26)+((A67*5)*'MATERIALES (2)'!$C$28)+((B67*2)*'MATERIALES (2)'!$C$27)+(((A67-0.2)*'MATERIALES (2)'!$C$30)*((B67/2)/0.12)))*'MATERIALES (2)'!$F$1</f>
        <v>165826.9515</v>
      </c>
      <c r="D67" s="59">
        <f>(2*'MATERIALES (2)'!$C$135)+(20*'MATERIALES (2)'!$C$147)+(20*'MATERIALES (2)'!$C$148)+((8*2)*'MATERIALES (2)'!$C$134)+(3*'MATERIALES (2)'!$C$149)+(((B67*2)+(A67*1))*'MATERIALES (2)'!$C$138)+(((A67*6)+((B67/2)*2))*'MATERIALES (2)'!$C$130)+(((A67*2)+(B67/2)*2)*'MATERIALES (2)'!$C$154)+(0.5*'MATERIALES (2)'!$C$156)+(1*'MATERIALES (2)'!$C$151)+(((A67*5)*2)*'MATERIALES (2)'!$C$136)+(4*'MATERIALES (2)'!$C$137)</f>
        <v>23366</v>
      </c>
      <c r="E67" s="75"/>
      <c r="F67" s="55">
        <f>(A67*(B67/2))*'MATERIALES (2)'!$D$85</f>
        <v>5439</v>
      </c>
      <c r="G67" s="59">
        <f t="shared" si="18"/>
        <v>194631.9515</v>
      </c>
      <c r="H67" s="67">
        <f t="shared" si="19"/>
        <v>355235.49556846311</v>
      </c>
      <c r="M67" s="68">
        <v>0.7</v>
      </c>
      <c r="N67" s="69">
        <v>2.1</v>
      </c>
      <c r="O67" s="59">
        <f>((((M67*1)+(N67*2))*'MATERIALES (2)'!$C$26)+((M67*3)*'MATERIALES (2)'!$C$28)+(((N67/2)*2)*'MATERIALES (2)'!$C$28)+((N67*2)*'MATERIALES (2)'!$C$27)+(((M67-0.2)*'MATERIALES (2)'!$C$30)*((N67/2)/0.12)))*'MATERIALES (2)'!$F$1</f>
        <v>173418.9135</v>
      </c>
      <c r="P67" s="59">
        <f>(2*'MATERIALES (2)'!$C$135)+(20*'MATERIALES (2)'!$C$147)+(20*'MATERIALES (2)'!$C$148)+((8*2)*'MATERIALES (2)'!$C$134)+(3*'MATERIALES (2)'!$C$149)+(((N67*2)+(M67*1))*'MATERIALES (2)'!$C$138)+(((M67*2)+((N67/2)*6))*'MATERIALES (2)'!$C$130)+(((M67*2)+(N67/2)*2)*'MATERIALES (2)'!$C$154)+(0.5*'MATERIALES (2)'!$C$156)+(1*'MATERIALES (2)'!$C$151)+(((M67*5)*2)*'MATERIALES (2)'!$C$136)+(4*'MATERIALES (2)'!$C$137)</f>
        <v>23702</v>
      </c>
      <c r="Q67" s="75"/>
      <c r="R67" s="55">
        <f>(M67*(N67/2))*'MATERIALES (2)'!$D$85</f>
        <v>5439</v>
      </c>
      <c r="S67" s="59">
        <f t="shared" si="20"/>
        <v>202559.9135</v>
      </c>
      <c r="T67" s="67">
        <f t="shared" si="21"/>
        <v>369513.22990298073</v>
      </c>
    </row>
    <row r="68" spans="1:47" ht="15.75" thickBot="1">
      <c r="A68" s="68">
        <v>0.8</v>
      </c>
      <c r="B68" s="69">
        <v>2.1</v>
      </c>
      <c r="C68" s="59">
        <f>((((A68*1)+(B68*2))*'MATERIALES (2)'!$C$26)+((A68*5)*'MATERIALES (2)'!$C$28)+((B68*2)*'MATERIALES (2)'!$C$27)+(((A68-0.2)*'MATERIALES (2)'!$C$30)*((B68/2)/0.12)))*'MATERIALES (2)'!$F$1</f>
        <v>181844.80650000004</v>
      </c>
      <c r="D68" s="59">
        <f>(2*'MATERIALES (2)'!$C$135)+(20*'MATERIALES (2)'!$C$147)+(20*'MATERIALES (2)'!$C$148)+((8*2)*'MATERIALES (2)'!$C$134)+(3*'MATERIALES (2)'!$C$149)+(((B68*2)+(A68*1))*'MATERIALES (2)'!$C$138)+(((A68*6)+((B68/2)*2))*'MATERIALES (2)'!$C$130)+(((A68*2)+(B68/2)*2)*'MATERIALES (2)'!$C$154)+(0.5*'MATERIALES (2)'!$C$156)+(1*'MATERIALES (2)'!$C$151)+(((A68*5)*2)*'MATERIALES (2)'!$C$136)+(4*'MATERIALES (2)'!$C$137)</f>
        <v>23564</v>
      </c>
      <c r="E68" s="75"/>
      <c r="F68" s="55">
        <f>(A68*(B68/2))*'MATERIALES (2)'!$D$85</f>
        <v>6216.0000000000009</v>
      </c>
      <c r="G68" s="59">
        <f t="shared" si="18"/>
        <v>211624.80650000004</v>
      </c>
      <c r="H68" s="67">
        <f t="shared" si="19"/>
        <v>386512.25097306946</v>
      </c>
      <c r="M68" s="68">
        <v>0.8</v>
      </c>
      <c r="N68" s="69">
        <v>2.1</v>
      </c>
      <c r="O68" s="59">
        <f>((((M68*1)+(N68*2))*'MATERIALES (2)'!$C$26)+((M68*3)*'MATERIALES (2)'!$C$28)+(((N68/2)*2)*'MATERIALES (2)'!$C$28)+((N68*2)*'MATERIALES (2)'!$C$27)+(((M68-0.2)*'MATERIALES (2)'!$C$30)*((N68/2)/0.12)))*'MATERIALES (2)'!$F$1</f>
        <v>187267.63650000002</v>
      </c>
      <c r="P68" s="59">
        <f>(2*'MATERIALES (2)'!$C$135)+(20*'MATERIALES (2)'!$C$147)+(20*'MATERIALES (2)'!$C$148)+((8*2)*'MATERIALES (2)'!$C$134)+(3*'MATERIALES (2)'!$C$149)+(((N68*2)+(M68*1))*'MATERIALES (2)'!$C$138)+(((M68*2)+((N68/2)*6))*'MATERIALES (2)'!$C$130)+(((M68*2)+(N68/2)*2)*'MATERIALES (2)'!$C$154)+(0.5*'MATERIALES (2)'!$C$156)+(1*'MATERIALES (2)'!$C$151)+(((M68*5)*2)*'MATERIALES (2)'!$C$136)+(4*'MATERIALES (2)'!$C$137)</f>
        <v>23804</v>
      </c>
      <c r="Q68" s="75"/>
      <c r="R68" s="55">
        <f>(M68*(N68/2))*'MATERIALES (2)'!$D$85</f>
        <v>6216.0000000000009</v>
      </c>
      <c r="S68" s="59">
        <f t="shared" si="20"/>
        <v>217287.63650000002</v>
      </c>
      <c r="T68" s="67">
        <f t="shared" si="21"/>
        <v>396710.63264058193</v>
      </c>
    </row>
    <row r="69" spans="1:47" ht="15.75" thickBot="1">
      <c r="A69" s="71">
        <v>0.9</v>
      </c>
      <c r="B69" s="72">
        <v>2.1</v>
      </c>
      <c r="C69" s="60">
        <f>((((A69*1)+(B69*2))*'MATERIALES (2)'!$C$26)+((A69*5)*'MATERIALES (2)'!$C$28)+((B69*2)*'MATERIALES (2)'!$C$27)+(((A69-0.2)*'MATERIALES (2)'!$C$30)*((B69/2)/0.12)))*'MATERIALES (2)'!$F$1</f>
        <v>197862.66149999999</v>
      </c>
      <c r="D69" s="60">
        <f>(2*'MATERIALES (2)'!$C$135)+(20*'MATERIALES (2)'!$C$147)+(20*'MATERIALES (2)'!$C$148)+((8*2)*'MATERIALES (2)'!$C$134)+(3*'MATERIALES (2)'!$C$149)+(((B69*2)+(A69*1))*'MATERIALES (2)'!$C$138)+(((A69*6)+((B69/2)*2))*'MATERIALES (2)'!$C$130)+(((A69*2)+(B69/2)*2)*'MATERIALES (2)'!$C$154)+(0.5*'MATERIALES (2)'!$C$156)+(1*'MATERIALES (2)'!$C$151)+(((A69*5)*2)*'MATERIALES (2)'!$C$136)+(4*'MATERIALES (2)'!$C$137)</f>
        <v>23762</v>
      </c>
      <c r="E69" s="76"/>
      <c r="F69" s="56">
        <f>(A69*(B69/2))*'MATERIALES (2)'!$D$85</f>
        <v>6993.0000000000009</v>
      </c>
      <c r="G69" s="60">
        <f t="shared" si="18"/>
        <v>228617.66149999999</v>
      </c>
      <c r="H69" s="67">
        <f t="shared" si="19"/>
        <v>417789.00637767569</v>
      </c>
      <c r="M69" s="71">
        <v>0.9</v>
      </c>
      <c r="N69" s="72">
        <v>2.1</v>
      </c>
      <c r="O69" s="60">
        <f>((((M69*1)+(N69*2))*'MATERIALES (2)'!$C$26)+((M69*3)*'MATERIALES (2)'!$C$28)+(((N69/2)*2)*'MATERIALES (2)'!$C$28)+((N69*2)*'MATERIALES (2)'!$C$27)+(((M69-0.2)*'MATERIALES (2)'!$C$30)*((N69/2)/0.12)))*'MATERIALES (2)'!$F$1</f>
        <v>201116.35950000002</v>
      </c>
      <c r="P69" s="60">
        <f>(2*'MATERIALES (2)'!$C$135)+(20*'MATERIALES (2)'!$C$147)+(20*'MATERIALES (2)'!$C$148)+((8*2)*'MATERIALES (2)'!$C$134)+(3*'MATERIALES (2)'!$C$149)+(((N69*2)+(M69*1))*'MATERIALES (2)'!$C$138)+(((M69*2)+((N69/2)*6))*'MATERIALES (2)'!$C$130)+(((M69*2)+(N69/2)*2)*'MATERIALES (2)'!$C$154)+(0.5*'MATERIALES (2)'!$C$156)+(1*'MATERIALES (2)'!$C$151)+(((M69*5)*2)*'MATERIALES (2)'!$C$136)+(4*'MATERIALES (2)'!$C$137)</f>
        <v>23906</v>
      </c>
      <c r="Q69" s="76"/>
      <c r="R69" s="56">
        <f>(M69*(N69/2))*'MATERIALES (2)'!$D$85</f>
        <v>6993.0000000000009</v>
      </c>
      <c r="S69" s="60">
        <f t="shared" si="20"/>
        <v>232015.35950000002</v>
      </c>
      <c r="T69" s="67">
        <f t="shared" si="21"/>
        <v>423908.03537818318</v>
      </c>
    </row>
    <row r="72" spans="1:47" ht="15.75" thickBot="1"/>
    <row r="73" spans="1:47" ht="15.75" thickBot="1">
      <c r="A73" s="32"/>
      <c r="B73" s="32"/>
      <c r="C73" s="947">
        <v>1.35</v>
      </c>
      <c r="D73" s="948"/>
      <c r="E73" s="949"/>
      <c r="F73" s="728">
        <v>2</v>
      </c>
      <c r="G73" s="32"/>
      <c r="H73" s="46" t="s">
        <v>163</v>
      </c>
      <c r="M73" s="32"/>
      <c r="N73" s="32"/>
      <c r="O73" s="947">
        <v>1.35</v>
      </c>
      <c r="P73" s="948"/>
      <c r="Q73" s="949"/>
      <c r="R73" s="728">
        <v>2</v>
      </c>
      <c r="S73" s="32"/>
      <c r="T73" s="46" t="s">
        <v>163</v>
      </c>
    </row>
    <row r="74" spans="1:47" ht="16.5" thickBot="1">
      <c r="A74" s="792" t="s">
        <v>225</v>
      </c>
      <c r="B74" s="793"/>
      <c r="C74" s="793"/>
      <c r="D74" s="793"/>
      <c r="E74" s="793"/>
      <c r="F74" s="793"/>
      <c r="G74" s="793"/>
      <c r="H74" s="794"/>
      <c r="M74" s="792" t="s">
        <v>227</v>
      </c>
      <c r="N74" s="793"/>
      <c r="O74" s="793"/>
      <c r="P74" s="793"/>
      <c r="Q74" s="793"/>
      <c r="R74" s="793"/>
      <c r="S74" s="793"/>
      <c r="T74" s="794"/>
      <c r="AL74" s="598">
        <f>Rejas!N18</f>
        <v>78000</v>
      </c>
      <c r="AP74" s="598">
        <f>+H395</f>
        <v>196119.17020426498</v>
      </c>
      <c r="AT74" s="599" t="s">
        <v>875</v>
      </c>
      <c r="AU74" s="668"/>
    </row>
    <row r="75" spans="1:47" ht="16.5" thickBot="1">
      <c r="A75" s="36" t="s">
        <v>116</v>
      </c>
      <c r="B75" s="36" t="s">
        <v>117</v>
      </c>
      <c r="C75" s="36" t="s">
        <v>162</v>
      </c>
      <c r="D75" s="36" t="s">
        <v>119</v>
      </c>
      <c r="E75" s="36" t="s">
        <v>120</v>
      </c>
      <c r="F75" s="36" t="s">
        <v>118</v>
      </c>
      <c r="G75" s="36" t="s">
        <v>121</v>
      </c>
      <c r="H75" s="36" t="s">
        <v>122</v>
      </c>
      <c r="M75" s="36" t="s">
        <v>116</v>
      </c>
      <c r="N75" s="36" t="s">
        <v>117</v>
      </c>
      <c r="O75" s="36" t="s">
        <v>162</v>
      </c>
      <c r="P75" s="36" t="s">
        <v>119</v>
      </c>
      <c r="Q75" s="36" t="s">
        <v>120</v>
      </c>
      <c r="R75" s="36" t="s">
        <v>118</v>
      </c>
      <c r="S75" s="36" t="s">
        <v>121</v>
      </c>
      <c r="T75" s="36" t="s">
        <v>122</v>
      </c>
      <c r="AP75" s="601">
        <f>+H397</f>
        <v>212936.53608958499</v>
      </c>
      <c r="AT75" s="599" t="s">
        <v>876</v>
      </c>
      <c r="AU75" s="668"/>
    </row>
    <row r="76" spans="1:47" ht="16.5" thickBot="1">
      <c r="A76" s="795"/>
      <c r="B76" s="796"/>
      <c r="C76" s="796"/>
      <c r="D76" s="796"/>
      <c r="E76" s="796"/>
      <c r="F76" s="796"/>
      <c r="G76" s="796"/>
      <c r="H76" s="797"/>
      <c r="M76" s="795"/>
      <c r="N76" s="796"/>
      <c r="O76" s="796"/>
      <c r="P76" s="796"/>
      <c r="Q76" s="796"/>
      <c r="R76" s="796"/>
      <c r="S76" s="796"/>
      <c r="T76" s="797"/>
      <c r="AN76" s="4"/>
      <c r="AO76" s="4"/>
      <c r="AP76" s="433"/>
      <c r="AQ76" s="4"/>
      <c r="AR76" s="4"/>
      <c r="AS76" s="4"/>
      <c r="AT76" s="668"/>
      <c r="AU76" s="668"/>
    </row>
    <row r="77" spans="1:47" ht="15.75" thickBot="1">
      <c r="A77" s="40">
        <v>0.6</v>
      </c>
      <c r="B77" s="41">
        <v>2</v>
      </c>
      <c r="C77" s="47">
        <f>((((A77*1)+(B77*2))*'MATERIALES (2)'!$C$26)+((A77*3)*'MATERIALES (2)'!$C$28)+((B77*2)*'MATERIALES (2)'!$C$27)+(((A77-0.2)*'MATERIALES (2)'!$C$30)*((B77-0.36)/0.12)))*'MATERIALES (2)'!$F$1</f>
        <v>155435.47249999997</v>
      </c>
      <c r="D77" s="58">
        <f>(2*'MATERIALES (2)'!$C$135)+(12*'MATERIALES (2)'!$C$147)+(12*'MATERIALES (2)'!$C$148)+((8*2)*'MATERIALES (2)'!$C$134)+(3*'MATERIALES (2)'!$C$149)+(((B77*2)+(A77*1))*'MATERIALES (2)'!$C$138)+(((A77*2)+(0.4*2))*'MATERIALES (2)'!$C$130)+((A77*2)+(B77*2)*'MATERIALES (2)'!$C$154)+(0.5*'MATERIALES (2)'!$C$156)+(1*'MATERIALES (2)'!$C$151)+(((A77*5)*2)*'MATERIALES (2)'!$C$136)+(4*'MATERIALES (2)'!$C$137)</f>
        <v>20917.2</v>
      </c>
      <c r="E77" s="74"/>
      <c r="F77" s="54">
        <f>(A77*0.4)*'MATERIALES (2)'!$D$85</f>
        <v>1776</v>
      </c>
      <c r="G77" s="47">
        <f>SUM(C77:F77)</f>
        <v>178128.67249999999</v>
      </c>
      <c r="H77" s="49">
        <f>((((SUM(C77:E77)*$C$73)+(F77*$F$73))*1.21)*1.05)*1.05</f>
        <v>322337.93660794687</v>
      </c>
      <c r="M77" s="65">
        <v>0.6</v>
      </c>
      <c r="N77" s="66">
        <v>2</v>
      </c>
      <c r="O77" s="58">
        <f>((((M77*1)+(N77*2))*'MATERIALES (2)'!$C$26)+((M77*3)*'MATERIALES (2)'!$C$28)+((N77*2)*'MATERIALES (2)'!$C$28)+(((N77-0.3)*2)*'MATERIALES (2)'!$C$27)+(((M77-0.2)*'MATERIALES (2)'!$C$30)*3))*'MATERIALES (2)'!$F$1</f>
        <v>144785.00399999999</v>
      </c>
      <c r="P77" s="58">
        <f>(2*'MATERIALES (2)'!$C$135)+(20*'MATERIALES (2)'!$C$147)+(20*'MATERIALES (2)'!$C$148)+((8*2)*'MATERIALES (2)'!$C$134)+(3*'MATERIALES (2)'!$C$149)+(((N77*2)+(M77*1))*'MATERIALES (2)'!$C$138)+(((M77*2)+(N77*6))*'MATERIALES (2)'!$C$130)+(((M77*2)+(N77/2)*2)*'MATERIALES (2)'!$C$154)+(0.25*'MATERIALES (2)'!$C$156)+(1*'MATERIALES (2)'!$C$151)+(((M77*5)*2)*'MATERIALES (2)'!$C$136)+(4*'MATERIALES (2)'!$C$137)</f>
        <v>22932</v>
      </c>
      <c r="Q77" s="74"/>
      <c r="R77" s="54">
        <f>(M77*(N77-0.3))*'MATERIALES (2)'!$D$85</f>
        <v>7548</v>
      </c>
      <c r="S77" s="58">
        <f>SUM(O77:R77)</f>
        <v>175265.00399999999</v>
      </c>
      <c r="T77" s="67">
        <f>((((SUM(O77:Q77)*$O$73)+(R77*$R$73))*1.21)*1.05)*1.05</f>
        <v>322185.65435248503</v>
      </c>
      <c r="AN77" s="4"/>
      <c r="AO77" s="4"/>
      <c r="AP77" s="4"/>
      <c r="AQ77" s="4"/>
      <c r="AR77" s="4"/>
      <c r="AS77" s="4"/>
      <c r="AT77" s="4"/>
    </row>
    <row r="78" spans="1:47" ht="15.75" thickBot="1">
      <c r="A78" s="42">
        <v>0.7</v>
      </c>
      <c r="B78" s="37">
        <v>2</v>
      </c>
      <c r="C78" s="38">
        <f>((((A78*1)+(B78*2))*'MATERIALES (2)'!$C$26)+((A78*3)*'MATERIALES (2)'!$C$28)+((B78*2)*'MATERIALES (2)'!$C$27)+(((A78-0.2)*'MATERIALES (2)'!$C$30)*((B78-0.36)/0.12)))*'MATERIALES (2)'!$F$1</f>
        <v>174818.29225</v>
      </c>
      <c r="D78" s="59">
        <f>(2*'MATERIALES (2)'!$C$135)+(12*'MATERIALES (2)'!$C$147)+(12*'MATERIALES (2)'!$C$148)+((8*2)*'MATERIALES (2)'!$C$134)+(3*'MATERIALES (2)'!$C$149)+(((B78*2)+(A78*1))*'MATERIALES (2)'!$C$138)+(((A78*2)+(0.4*2))*'MATERIALES (2)'!$C$130)+((A78*2)+(B78*2)*'MATERIALES (2)'!$C$154)+(0.5*'MATERIALES (2)'!$C$156)+(1*'MATERIALES (2)'!$C$151)+(((A78*5)*2)*'MATERIALES (2)'!$C$136)+(4*'MATERIALES (2)'!$C$137)</f>
        <v>20971.400000000001</v>
      </c>
      <c r="E78" s="75"/>
      <c r="F78" s="55">
        <f>(A78*0.4)*'MATERIALES (2)'!$D$85</f>
        <v>2072</v>
      </c>
      <c r="G78" s="38">
        <f t="shared" ref="G78:G84" si="22">SUM(C78:F78)</f>
        <v>197861.69224999999</v>
      </c>
      <c r="H78" s="49">
        <f t="shared" ref="H78:H84" si="23">((((SUM(C78:E78)*$C$73)+(F78*$F$73))*1.21)*1.05)*1.05</f>
        <v>358132.46427513845</v>
      </c>
      <c r="M78" s="68">
        <v>0.7</v>
      </c>
      <c r="N78" s="69">
        <v>2</v>
      </c>
      <c r="O78" s="59">
        <f>((((M78*1)+(N78*2))*'MATERIALES (2)'!$C$26)+((M78*3)*'MATERIALES (2)'!$C$28)+((N78*2)*'MATERIALES (2)'!$C$28)+(((N78-0.3)*2)*'MATERIALES (2)'!$C$27)+(((M78-0.2)*'MATERIALES (2)'!$C$30)*3))*'MATERIALES (2)'!$F$1</f>
        <v>152161.64775</v>
      </c>
      <c r="P78" s="59">
        <f>(2*'MATERIALES (2)'!$C$135)+(20*'MATERIALES (2)'!$C$147)+(20*'MATERIALES (2)'!$C$148)+((8*2)*'MATERIALES (2)'!$C$134)+(3*'MATERIALES (2)'!$C$149)+(((N78*2)+(M78*1))*'MATERIALES (2)'!$C$138)+(((M78*2)+(N78*6))*'MATERIALES (2)'!$C$130)+(((M78*2)+(N78/2)*2)*'MATERIALES (2)'!$C$154)+(0.25*'MATERIALES (2)'!$C$156)+(1*'MATERIALES (2)'!$C$151)+(((M78*5)*2)*'MATERIALES (2)'!$C$136)+(4*'MATERIALES (2)'!$C$137)</f>
        <v>23034</v>
      </c>
      <c r="Q78" s="75"/>
      <c r="R78" s="55">
        <f>(M78*(N78-0.3))*'MATERIALES (2)'!$D$85</f>
        <v>8806</v>
      </c>
      <c r="S78" s="59">
        <f t="shared" ref="S78:S84" si="24">SUM(O78:R78)</f>
        <v>184001.64775</v>
      </c>
      <c r="T78" s="67">
        <f t="shared" ref="T78:T84" si="25">((((SUM(O78:Q78)*$O$73)+(R78*$R$73))*1.21)*1.05)*1.05</f>
        <v>339010.60318608658</v>
      </c>
    </row>
    <row r="79" spans="1:47" ht="15.75" thickBot="1">
      <c r="A79" s="42">
        <v>0.8</v>
      </c>
      <c r="B79" s="37">
        <v>2</v>
      </c>
      <c r="C79" s="38">
        <f>((((A79*1)+(B79*2))*'MATERIALES (2)'!$C$26)+((A79*3)*'MATERIALES (2)'!$C$28)+((B79*2)*'MATERIALES (2)'!$C$27)+(((A79-0.2)*'MATERIALES (2)'!$C$30)*((B79-0.36)/0.12)))*'MATERIALES (2)'!$F$1</f>
        <v>194201.11200000002</v>
      </c>
      <c r="D79" s="59">
        <f>(2*'MATERIALES (2)'!$C$135)+(12*'MATERIALES (2)'!$C$147)+(12*'MATERIALES (2)'!$C$148)+((8*2)*'MATERIALES (2)'!$C$134)+(3*'MATERIALES (2)'!$C$149)+(((B79*2)+(A79*1))*'MATERIALES (2)'!$C$138)+(((A79*2)+(0.4*2))*'MATERIALES (2)'!$C$130)+((A79*2)+(B79*2)*'MATERIALES (2)'!$C$154)+(0.5*'MATERIALES (2)'!$C$156)+(1*'MATERIALES (2)'!$C$151)+(((A79*5)*2)*'MATERIALES (2)'!$C$136)+(4*'MATERIALES (2)'!$C$137)</f>
        <v>21025.599999999999</v>
      </c>
      <c r="E79" s="75"/>
      <c r="F79" s="55">
        <f>(A79*0.4)*'MATERIALES (2)'!$D$85</f>
        <v>2368.0000000000005</v>
      </c>
      <c r="G79" s="38">
        <f t="shared" si="22"/>
        <v>217594.71200000003</v>
      </c>
      <c r="H79" s="49">
        <f t="shared" si="23"/>
        <v>393926.99194233015</v>
      </c>
      <c r="M79" s="68">
        <v>0.8</v>
      </c>
      <c r="N79" s="69">
        <v>2</v>
      </c>
      <c r="O79" s="59">
        <f>((((M79*1)+(N79*2))*'MATERIALES (2)'!$C$26)+((M79*3)*'MATERIALES (2)'!$C$28)+((N79*2)*'MATERIALES (2)'!$C$28)+(((N79-0.3)*2)*'MATERIALES (2)'!$C$27)+(((M79-0.2)*'MATERIALES (2)'!$C$30)*3))*'MATERIALES (2)'!$F$1</f>
        <v>159538.29150000002</v>
      </c>
      <c r="P79" s="59">
        <f>(2*'MATERIALES (2)'!$C$135)+(20*'MATERIALES (2)'!$C$147)+(20*'MATERIALES (2)'!$C$148)+((8*2)*'MATERIALES (2)'!$C$134)+(3*'MATERIALES (2)'!$C$149)+(((N79*2)+(M79*1))*'MATERIALES (2)'!$C$138)+(((M79*2)+(N79*6))*'MATERIALES (2)'!$C$130)+(((M79*2)+(N79/2)*2)*'MATERIALES (2)'!$C$154)+(0.25*'MATERIALES (2)'!$C$156)+(1*'MATERIALES (2)'!$C$151)+(((M79*5)*2)*'MATERIALES (2)'!$C$136)+(4*'MATERIALES (2)'!$C$137)</f>
        <v>23136</v>
      </c>
      <c r="Q79" s="75"/>
      <c r="R79" s="55">
        <f>(M79*(N79-0.3))*'MATERIALES (2)'!$D$85</f>
        <v>10064</v>
      </c>
      <c r="S79" s="59">
        <f t="shared" si="24"/>
        <v>192738.29150000002</v>
      </c>
      <c r="T79" s="67">
        <f t="shared" si="25"/>
        <v>355835.55201968818</v>
      </c>
    </row>
    <row r="80" spans="1:47" ht="15.75" thickBot="1">
      <c r="A80" s="42">
        <v>0.9</v>
      </c>
      <c r="B80" s="37">
        <v>2</v>
      </c>
      <c r="C80" s="38">
        <f>((((A80*1)+(B80*2))*'MATERIALES (2)'!$C$26)+((A80*3)*'MATERIALES (2)'!$C$28)+((B80*2)*'MATERIALES (2)'!$C$27)+(((A80-0.2)*'MATERIALES (2)'!$C$30)*((B80-0.36)/0.12)))*'MATERIALES (2)'!$F$1</f>
        <v>213583.93175000002</v>
      </c>
      <c r="D80" s="59">
        <f>(2*'MATERIALES (2)'!$C$135)+(12*'MATERIALES (2)'!$C$147)+(12*'MATERIALES (2)'!$C$148)+((8*2)*'MATERIALES (2)'!$C$134)+(3*'MATERIALES (2)'!$C$149)+(((B80*2)+(A80*1))*'MATERIALES (2)'!$C$138)+(((A80*2)+(0.4*2))*'MATERIALES (2)'!$C$130)+((A80*2)+(B80*2)*'MATERIALES (2)'!$C$154)+(0.5*'MATERIALES (2)'!$C$156)+(1*'MATERIALES (2)'!$C$151)+(((A80*5)*2)*'MATERIALES (2)'!$C$136)+(4*'MATERIALES (2)'!$C$137)</f>
        <v>21079.8</v>
      </c>
      <c r="E80" s="75"/>
      <c r="F80" s="55">
        <f>(A80*0.4)*'MATERIALES (2)'!$D$85</f>
        <v>2664.0000000000005</v>
      </c>
      <c r="G80" s="38">
        <f t="shared" si="22"/>
        <v>237327.73175000001</v>
      </c>
      <c r="H80" s="49">
        <f t="shared" si="23"/>
        <v>429721.51960952161</v>
      </c>
      <c r="M80" s="68">
        <v>0.9</v>
      </c>
      <c r="N80" s="69">
        <v>2</v>
      </c>
      <c r="O80" s="59">
        <f>((((M80*1)+(N80*2))*'MATERIALES (2)'!$C$26)+((M80*3)*'MATERIALES (2)'!$C$28)+((N80*2)*'MATERIALES (2)'!$C$28)+(((N80-0.3)*2)*'MATERIALES (2)'!$C$27)+(((M80-0.2)*'MATERIALES (2)'!$C$30)*3))*'MATERIALES (2)'!$F$1</f>
        <v>166914.93525000001</v>
      </c>
      <c r="P80" s="59">
        <f>(2*'MATERIALES (2)'!$C$135)+(20*'MATERIALES (2)'!$C$147)+(20*'MATERIALES (2)'!$C$148)+((8*2)*'MATERIALES (2)'!$C$134)+(3*'MATERIALES (2)'!$C$149)+(((N80*2)+(M80*1))*'MATERIALES (2)'!$C$138)+(((M80*2)+(N80*6))*'MATERIALES (2)'!$C$130)+(((M80*2)+(N80/2)*2)*'MATERIALES (2)'!$C$154)+(0.25*'MATERIALES (2)'!$C$156)+(1*'MATERIALES (2)'!$C$151)+(((M80*5)*2)*'MATERIALES (2)'!$C$136)+(4*'MATERIALES (2)'!$C$137)</f>
        <v>23238</v>
      </c>
      <c r="Q80" s="75"/>
      <c r="R80" s="55">
        <f>(M80*(N80-0.3))*'MATERIALES (2)'!$D$85</f>
        <v>11322</v>
      </c>
      <c r="S80" s="59">
        <f t="shared" si="24"/>
        <v>201474.93525000001</v>
      </c>
      <c r="T80" s="67">
        <f t="shared" si="25"/>
        <v>372660.50085328968</v>
      </c>
    </row>
    <row r="81" spans="1:21" ht="15.75" thickBot="1">
      <c r="A81" s="42">
        <v>0.6</v>
      </c>
      <c r="B81" s="37">
        <v>2.1</v>
      </c>
      <c r="C81" s="38">
        <f>((((A81*1)+(B81*2))*'MATERIALES (2)'!$C$26)+((A81*3)*'MATERIALES (2)'!$C$28)+((B81*2)*'MATERIALES (2)'!$C$27)+(((A81-0.2)*'MATERIALES (2)'!$C$30)*((B81-0.36)/0.12)))*'MATERIALES (2)'!$F$1</f>
        <v>162682.62150000001</v>
      </c>
      <c r="D81" s="59">
        <f>(2*'MATERIALES (2)'!$C$135)+(12*'MATERIALES (2)'!$C$147)+(12*'MATERIALES (2)'!$C$148)+((8*2)*'MATERIALES (2)'!$C$134)+(3*'MATERIALES (2)'!$C$149)+(((B81*2)+(A81*1))*'MATERIALES (2)'!$C$138)+(((A81*2)+(0.4*2))*'MATERIALES (2)'!$C$130)+((A81*2)+(B81*2)*'MATERIALES (2)'!$C$154)+(0.5*'MATERIALES (2)'!$C$156)+(1*'MATERIALES (2)'!$C$151)+(((A81*5)*2)*'MATERIALES (2)'!$C$136)+(4*'MATERIALES (2)'!$C$137)</f>
        <v>20977.200000000001</v>
      </c>
      <c r="E81" s="75"/>
      <c r="F81" s="55">
        <f>(A81*0.4)*'MATERIALES (2)'!$D$85</f>
        <v>1776</v>
      </c>
      <c r="G81" s="38">
        <f t="shared" si="22"/>
        <v>185435.82150000002</v>
      </c>
      <c r="H81" s="49">
        <f t="shared" si="23"/>
        <v>335497.62785832566</v>
      </c>
      <c r="M81" s="68">
        <v>0.6</v>
      </c>
      <c r="N81" s="69">
        <v>2.1</v>
      </c>
      <c r="O81" s="59">
        <f>((((M81*1)+(N81*2))*'MATERIALES (2)'!$C$26)+((M81*3)*'MATERIALES (2)'!$C$28)+((N81*2)*'MATERIALES (2)'!$C$28)+(((N81-0.3)*2)*'MATERIALES (2)'!$C$27)+(((M81-0.2)*'MATERIALES (2)'!$C$30)*3))*'MATERIALES (2)'!$F$1</f>
        <v>150449.35499999998</v>
      </c>
      <c r="P81" s="59">
        <f>(2*'MATERIALES (2)'!$C$135)+(20*'MATERIALES (2)'!$C$147)+(20*'MATERIALES (2)'!$C$148)+((8*2)*'MATERIALES (2)'!$C$134)+(3*'MATERIALES (2)'!$C$149)+(((N81*2)+(M81*1))*'MATERIALES (2)'!$C$138)+(((M81*2)+(N81*6))*'MATERIALES (2)'!$C$130)+(((M81*2)+(N81/2)*2)*'MATERIALES (2)'!$C$154)+(0.25*'MATERIALES (2)'!$C$156)+(1*'MATERIALES (2)'!$C$151)+(((M81*5)*2)*'MATERIALES (2)'!$C$136)+(4*'MATERIALES (2)'!$C$137)</f>
        <v>23112</v>
      </c>
      <c r="Q81" s="75"/>
      <c r="R81" s="55">
        <f>(M81*(N81-0.3))*'MATERIALES (2)'!$D$85</f>
        <v>7992.0000000000009</v>
      </c>
      <c r="S81" s="59">
        <f t="shared" si="24"/>
        <v>181553.35499999998</v>
      </c>
      <c r="T81" s="67">
        <f t="shared" si="25"/>
        <v>333895.55751523125</v>
      </c>
    </row>
    <row r="82" spans="1:21" ht="15.75" thickBot="1">
      <c r="A82" s="42">
        <v>0.7</v>
      </c>
      <c r="B82" s="37">
        <v>2.1</v>
      </c>
      <c r="C82" s="38">
        <f>((((A82*1)+(B82*2))*'MATERIALES (2)'!$C$26)+((A82*3)*'MATERIALES (2)'!$C$28)+((B82*2)*'MATERIALES (2)'!$C$27)+(((A82-0.2)*'MATERIALES (2)'!$C$30)*((B82-0.36)/0.12)))*'MATERIALES (2)'!$F$1</f>
        <v>183003.42375000002</v>
      </c>
      <c r="D82" s="59">
        <f>(2*'MATERIALES (2)'!$C$135)+(12*'MATERIALES (2)'!$C$147)+(12*'MATERIALES (2)'!$C$148)+((8*2)*'MATERIALES (2)'!$C$134)+(3*'MATERIALES (2)'!$C$149)+(((B82*2)+(A82*1))*'MATERIALES (2)'!$C$138)+(((A82*2)+(0.4*2))*'MATERIALES (2)'!$C$130)+((A82*2)+(B82*2)*'MATERIALES (2)'!$C$154)+(0.5*'MATERIALES (2)'!$C$156)+(1*'MATERIALES (2)'!$C$151)+(((A82*5)*2)*'MATERIALES (2)'!$C$136)+(4*'MATERIALES (2)'!$C$137)</f>
        <v>21031.4</v>
      </c>
      <c r="E82" s="75"/>
      <c r="F82" s="55">
        <f>(A82*0.4)*'MATERIALES (2)'!$D$85</f>
        <v>2072</v>
      </c>
      <c r="G82" s="38">
        <f t="shared" si="22"/>
        <v>206106.82375000001</v>
      </c>
      <c r="H82" s="49">
        <f t="shared" si="23"/>
        <v>372981.3998666766</v>
      </c>
      <c r="M82" s="68">
        <v>0.7</v>
      </c>
      <c r="N82" s="69">
        <v>2.1</v>
      </c>
      <c r="O82" s="59">
        <f>((((M82*1)+(N82*2))*'MATERIALES (2)'!$C$26)+((M82*3)*'MATERIALES (2)'!$C$28)+((N82*2)*'MATERIALES (2)'!$C$28)+(((N82-0.3)*2)*'MATERIALES (2)'!$C$27)+(((M82-0.2)*'MATERIALES (2)'!$C$30)*3))*'MATERIALES (2)'!$F$1</f>
        <v>157825.99875</v>
      </c>
      <c r="P82" s="59">
        <f>(2*'MATERIALES (2)'!$C$135)+(20*'MATERIALES (2)'!$C$147)+(20*'MATERIALES (2)'!$C$148)+((8*2)*'MATERIALES (2)'!$C$134)+(3*'MATERIALES (2)'!$C$149)+(((N82*2)+(M82*1))*'MATERIALES (2)'!$C$138)+(((M82*2)+(N82*6))*'MATERIALES (2)'!$C$130)+(((M82*2)+(N82/2)*2)*'MATERIALES (2)'!$C$154)+(0.25*'MATERIALES (2)'!$C$156)+(1*'MATERIALES (2)'!$C$151)+(((M82*5)*2)*'MATERIALES (2)'!$C$136)+(4*'MATERIALES (2)'!$C$137)</f>
        <v>23214</v>
      </c>
      <c r="Q82" s="75"/>
      <c r="R82" s="55">
        <f>(M82*(N82-0.3))*'MATERIALES (2)'!$D$85</f>
        <v>9324</v>
      </c>
      <c r="S82" s="59">
        <f t="shared" si="24"/>
        <v>190363.99875</v>
      </c>
      <c r="T82" s="67">
        <f t="shared" si="25"/>
        <v>350917.94204883283</v>
      </c>
    </row>
    <row r="83" spans="1:21" ht="15.75" thickBot="1">
      <c r="A83" s="42">
        <v>0.8</v>
      </c>
      <c r="B83" s="37">
        <v>2.1</v>
      </c>
      <c r="C83" s="38">
        <f>((((A83*1)+(B83*2))*'MATERIALES (2)'!$C$26)+((A83*3)*'MATERIALES (2)'!$C$28)+((B83*2)*'MATERIALES (2)'!$C$27)+(((A83-0.2)*'MATERIALES (2)'!$C$30)*((B83-0.36)/0.12)))*'MATERIALES (2)'!$F$1</f>
        <v>203324.22600000005</v>
      </c>
      <c r="D83" s="59">
        <f>(2*'MATERIALES (2)'!$C$135)+(12*'MATERIALES (2)'!$C$147)+(12*'MATERIALES (2)'!$C$148)+((8*2)*'MATERIALES (2)'!$C$134)+(3*'MATERIALES (2)'!$C$149)+(((B83*2)+(A83*1))*'MATERIALES (2)'!$C$138)+(((A83*2)+(0.4*2))*'MATERIALES (2)'!$C$130)+((A83*2)+(B83*2)*'MATERIALES (2)'!$C$154)+(0.5*'MATERIALES (2)'!$C$156)+(1*'MATERIALES (2)'!$C$151)+(((A83*5)*2)*'MATERIALES (2)'!$C$136)+(4*'MATERIALES (2)'!$C$137)</f>
        <v>21085.599999999999</v>
      </c>
      <c r="E83" s="75"/>
      <c r="F83" s="55">
        <f>(A83*0.4)*'MATERIALES (2)'!$D$85</f>
        <v>2368.0000000000005</v>
      </c>
      <c r="G83" s="38">
        <f t="shared" si="22"/>
        <v>226777.82600000006</v>
      </c>
      <c r="H83" s="49">
        <f t="shared" si="23"/>
        <v>410465.17187502759</v>
      </c>
      <c r="M83" s="68">
        <v>0.8</v>
      </c>
      <c r="N83" s="69">
        <v>2.1</v>
      </c>
      <c r="O83" s="59">
        <f>((((M83*1)+(N83*2))*'MATERIALES (2)'!$C$26)+((M83*3)*'MATERIALES (2)'!$C$28)+((N83*2)*'MATERIALES (2)'!$C$28)+(((N83-0.3)*2)*'MATERIALES (2)'!$C$27)+(((M83-0.2)*'MATERIALES (2)'!$C$30)*3))*'MATERIALES (2)'!$F$1</f>
        <v>165202.64250000002</v>
      </c>
      <c r="P83" s="59">
        <f>(2*'MATERIALES (2)'!$C$135)+(20*'MATERIALES (2)'!$C$147)+(20*'MATERIALES (2)'!$C$148)+((8*2)*'MATERIALES (2)'!$C$134)+(3*'MATERIALES (2)'!$C$149)+(((N83*2)+(M83*1))*'MATERIALES (2)'!$C$138)+(((M83*2)+(N83*6))*'MATERIALES (2)'!$C$130)+(((M83*2)+(N83/2)*2)*'MATERIALES (2)'!$C$154)+(0.25*'MATERIALES (2)'!$C$156)+(1*'MATERIALES (2)'!$C$151)+(((M83*5)*2)*'MATERIALES (2)'!$C$136)+(4*'MATERIALES (2)'!$C$137)</f>
        <v>23316</v>
      </c>
      <c r="Q83" s="75"/>
      <c r="R83" s="55">
        <f>(M83*(N83-0.3))*'MATERIALES (2)'!$D$85</f>
        <v>10656.000000000002</v>
      </c>
      <c r="S83" s="59">
        <f t="shared" si="24"/>
        <v>199174.64250000002</v>
      </c>
      <c r="T83" s="67">
        <f t="shared" si="25"/>
        <v>367940.32658243453</v>
      </c>
    </row>
    <row r="84" spans="1:21" ht="15.75" thickBot="1">
      <c r="A84" s="44">
        <v>0.9</v>
      </c>
      <c r="B84" s="45">
        <v>2.1</v>
      </c>
      <c r="C84" s="50">
        <f>((((A84*1)+(B84*2))*'MATERIALES (2)'!$C$26)+((A84*3)*'MATERIALES (2)'!$C$28)+((B84*2)*'MATERIALES (2)'!$C$27)+(((A84-0.2)*'MATERIALES (2)'!$C$30)*((B84-0.36)/0.12)))*'MATERIALES (2)'!$F$1</f>
        <v>223645.02825000003</v>
      </c>
      <c r="D84" s="60">
        <f>(2*'MATERIALES (2)'!$C$135)+(12*'MATERIALES (2)'!$C$147)+(12*'MATERIALES (2)'!$C$148)+((8*2)*'MATERIALES (2)'!$C$134)+(3*'MATERIALES (2)'!$C$149)+(((B84*2)+(A84*1))*'MATERIALES (2)'!$C$138)+(((A84*2)+(0.4*2))*'MATERIALES (2)'!$C$130)+((A84*2)+(B84*2)*'MATERIALES (2)'!$C$154)+(0.5*'MATERIALES (2)'!$C$156)+(1*'MATERIALES (2)'!$C$151)+(((A84*5)*2)*'MATERIALES (2)'!$C$136)+(4*'MATERIALES (2)'!$C$137)</f>
        <v>21139.8</v>
      </c>
      <c r="E84" s="76"/>
      <c r="F84" s="56">
        <f>(A84*0.4)*'MATERIALES (2)'!$D$85</f>
        <v>2664.0000000000005</v>
      </c>
      <c r="G84" s="50">
        <f t="shared" si="22"/>
        <v>247448.82825000002</v>
      </c>
      <c r="H84" s="49">
        <f t="shared" si="23"/>
        <v>447948.94388337852</v>
      </c>
      <c r="M84" s="71">
        <v>0.9</v>
      </c>
      <c r="N84" s="72">
        <v>2.1</v>
      </c>
      <c r="O84" s="60">
        <f>((((M84*1)+(N84*2))*'MATERIALES (2)'!$C$26)+((M84*3)*'MATERIALES (2)'!$C$28)+((N84*2)*'MATERIALES (2)'!$C$28)+(((N84-0.3)*2)*'MATERIALES (2)'!$C$27)+(((M84-0.2)*'MATERIALES (2)'!$C$30)*3))*'MATERIALES (2)'!$F$1</f>
        <v>172579.28625000003</v>
      </c>
      <c r="P84" s="60">
        <f>(2*'MATERIALES (2)'!$C$135)+(20*'MATERIALES (2)'!$C$147)+(20*'MATERIALES (2)'!$C$148)+((8*2)*'MATERIALES (2)'!$C$134)+(3*'MATERIALES (2)'!$C$149)+(((N84*2)+(M84*1))*'MATERIALES (2)'!$C$138)+(((M84*2)+(N84*6))*'MATERIALES (2)'!$C$130)+(((M84*2)+(N84/2)*2)*'MATERIALES (2)'!$C$154)+(0.25*'MATERIALES (2)'!$C$156)+(1*'MATERIALES (2)'!$C$151)+(((M84*5)*2)*'MATERIALES (2)'!$C$136)+(4*'MATERIALES (2)'!$C$137)</f>
        <v>23418</v>
      </c>
      <c r="Q84" s="76"/>
      <c r="R84" s="56">
        <f>(M84*(N84-0.3))*'MATERIALES (2)'!$D$85</f>
        <v>11988</v>
      </c>
      <c r="S84" s="60">
        <f t="shared" si="24"/>
        <v>207985.28625000003</v>
      </c>
      <c r="T84" s="67">
        <f t="shared" si="25"/>
        <v>384962.71111603605</v>
      </c>
    </row>
    <row r="86" spans="1:21" ht="15.75" thickBot="1">
      <c r="O86" s="78"/>
    </row>
    <row r="87" spans="1:21" ht="15.75" thickBot="1">
      <c r="A87" s="32"/>
      <c r="B87" s="32"/>
      <c r="C87" s="947">
        <v>1.35</v>
      </c>
      <c r="D87" s="948"/>
      <c r="E87" s="949"/>
      <c r="F87" s="728">
        <v>2</v>
      </c>
      <c r="G87" s="32"/>
      <c r="H87" s="46" t="s">
        <v>163</v>
      </c>
      <c r="M87" s="32"/>
      <c r="N87" s="32"/>
      <c r="O87" s="947">
        <v>1.35</v>
      </c>
      <c r="P87" s="948"/>
      <c r="Q87" s="949"/>
      <c r="R87" s="728">
        <v>2</v>
      </c>
      <c r="S87" s="32"/>
      <c r="T87" s="46" t="s">
        <v>163</v>
      </c>
    </row>
    <row r="88" spans="1:21" ht="15.75" thickBot="1">
      <c r="A88" s="792" t="s">
        <v>224</v>
      </c>
      <c r="B88" s="793"/>
      <c r="C88" s="793"/>
      <c r="D88" s="793"/>
      <c r="E88" s="793"/>
      <c r="F88" s="793"/>
      <c r="G88" s="793"/>
      <c r="H88" s="794"/>
      <c r="M88" s="792" t="s">
        <v>222</v>
      </c>
      <c r="N88" s="793"/>
      <c r="O88" s="793"/>
      <c r="P88" s="793"/>
      <c r="Q88" s="793"/>
      <c r="R88" s="793"/>
      <c r="S88" s="793"/>
      <c r="T88" s="794"/>
      <c r="U88" s="882" t="s">
        <v>254</v>
      </c>
    </row>
    <row r="89" spans="1:21" ht="15.75" thickBot="1">
      <c r="A89" s="36" t="s">
        <v>116</v>
      </c>
      <c r="B89" s="36" t="s">
        <v>117</v>
      </c>
      <c r="C89" s="36" t="s">
        <v>162</v>
      </c>
      <c r="D89" s="36" t="s">
        <v>119</v>
      </c>
      <c r="E89" s="36" t="s">
        <v>120</v>
      </c>
      <c r="F89" s="36" t="s">
        <v>118</v>
      </c>
      <c r="G89" s="36" t="s">
        <v>121</v>
      </c>
      <c r="H89" s="36" t="s">
        <v>122</v>
      </c>
      <c r="M89" s="36" t="s">
        <v>116</v>
      </c>
      <c r="N89" s="36" t="s">
        <v>117</v>
      </c>
      <c r="O89" s="36" t="s">
        <v>162</v>
      </c>
      <c r="P89" s="36" t="s">
        <v>119</v>
      </c>
      <c r="Q89" s="36" t="s">
        <v>120</v>
      </c>
      <c r="R89" s="36" t="s">
        <v>118</v>
      </c>
      <c r="S89" s="36" t="s">
        <v>121</v>
      </c>
      <c r="T89" s="36" t="s">
        <v>122</v>
      </c>
      <c r="U89" s="883"/>
    </row>
    <row r="90" spans="1:21" ht="15.75" thickBot="1">
      <c r="A90" s="795"/>
      <c r="B90" s="796"/>
      <c r="C90" s="796"/>
      <c r="D90" s="796"/>
      <c r="E90" s="796"/>
      <c r="F90" s="796"/>
      <c r="G90" s="796"/>
      <c r="H90" s="797"/>
      <c r="M90" s="795"/>
      <c r="N90" s="796"/>
      <c r="O90" s="796"/>
      <c r="P90" s="796"/>
      <c r="Q90" s="796"/>
      <c r="R90" s="796"/>
      <c r="S90" s="796"/>
      <c r="T90" s="797"/>
      <c r="U90" s="883"/>
    </row>
    <row r="91" spans="1:21" ht="15.75" thickBot="1">
      <c r="A91" s="40">
        <v>0.6</v>
      </c>
      <c r="B91" s="41">
        <v>2</v>
      </c>
      <c r="C91" s="47">
        <f>((((A91*1)+(B91*2))*'MATERIALES (2)'!$C$26)+((A91*4)*'MATERIALES (2)'!$C$28)+((B91*2)*'MATERIALES (2)'!$C$27)+(((A91-0.2)*'MATERIALES (2)'!$C$30)*((B91-0.12)/0.12)))*'MATERIALES (2)'!$F$1</f>
        <v>170947.50049999999</v>
      </c>
      <c r="D91" s="58">
        <f>(2*'MATERIALES (2)'!$C$135)+(16*'MATERIALES (2)'!$C$147)+(16*'MATERIALES (2)'!$C$148)+((8*2)*'MATERIALES (2)'!$C$134)+(3*'MATERIALES (2)'!$C$149)+(((B91*2)+(A91*1))*'MATERIALES (2)'!$C$138)+(((A91*2)+(0.2*4))*'MATERIALES (2)'!$C$130)+((A91*2)+(B91*2)*'MATERIALES (2)'!$C$154)+(0.5*'MATERIALES (2)'!$C$156)+(1*'MATERIALES (2)'!$C$151)+(((A91*5)*2)*'MATERIALES (2)'!$C$136)+(4*'MATERIALES (2)'!$C$137)</f>
        <v>21677.200000000001</v>
      </c>
      <c r="E91" s="74"/>
      <c r="F91" s="54">
        <f>(A91*0.2)*'MATERIALES (2)'!$D$85</f>
        <v>888</v>
      </c>
      <c r="G91" s="47">
        <f>SUM(C91:F91)</f>
        <v>193512.70050000001</v>
      </c>
      <c r="H91" s="49">
        <f>((((SUM(C91:E91)*$C$87)+(F91*$F$87))*1.21)*1.05)*1.05</f>
        <v>349273.5526140919</v>
      </c>
      <c r="M91" s="96">
        <v>0.6</v>
      </c>
      <c r="N91" s="97">
        <v>2</v>
      </c>
      <c r="O91" s="99">
        <f>((((M91*1)+(N91*2))*'MATERIALES (2)'!$C$26)+((M91*2)*'MATERIALES (2)'!$C$28)+((N91*2)*'MATERIALES (2)'!$C$27)+(((M91*2)+(N91*2))*'MATERIALES (2)'!$C$31)+((M91*2)+(N91)*'MATERIALES (2)'!$C$32))*'MATERIALES (2)'!$F$1</f>
        <v>123642.80249999999</v>
      </c>
      <c r="P91" s="99">
        <f>(2*'MATERIALES (2)'!$C$135)+(14*'MATERIALES (2)'!$C$147)+(14*'MATERIALES (2)'!$C$148)+((8*2)*'MATERIALES (2)'!$C$134)+(3*'MATERIALES (2)'!$C$149)+(((N91*2)+(M91*1))*'MATERIALES (2)'!$C$138)+(((M91*6)+(N91*4))*'MATERIALES (2)'!$C$155)+(1*'MATERIALES (2)'!$C$151)+(((M91*5)*2)*'MATERIALES (2)'!$C$136)+(4*'MATERIALES (2)'!$C$137)</f>
        <v>17016</v>
      </c>
      <c r="Q91" s="229"/>
      <c r="R91" s="100">
        <f>(M91*N91)*'MATERIALES (2)'!$D$85</f>
        <v>8880</v>
      </c>
      <c r="S91" s="99">
        <f>SUM(O91:R91)</f>
        <v>149538.80249999999</v>
      </c>
      <c r="T91" s="101">
        <f>(((((SUM(O91:Q91)*$O$87)+(R91*$R$87)))*1.21)*1.05)*1.05</f>
        <v>277009.46865683439</v>
      </c>
      <c r="U91" s="787"/>
    </row>
    <row r="92" spans="1:21" ht="15.75" thickBot="1">
      <c r="A92" s="42">
        <v>0.7</v>
      </c>
      <c r="B92" s="37">
        <v>2</v>
      </c>
      <c r="C92" s="38">
        <f>((((A92*1)+(B92*2))*'MATERIALES (2)'!$C$26)+((A92*4)*'MATERIALES (2)'!$C$28)+((B92*2)*'MATERIALES (2)'!$C$27)+(((A92-0.2)*'MATERIALES (2)'!$C$30)*((B92-0.12)/0.12)))*'MATERIALES (2)'!$F$1</f>
        <v>193666.04424999998</v>
      </c>
      <c r="D92" s="59">
        <f>(2*'MATERIALES (2)'!$C$135)+(16*'MATERIALES (2)'!$C$147)+(16*'MATERIALES (2)'!$C$148)+((8*2)*'MATERIALES (2)'!$C$134)+(3*'MATERIALES (2)'!$C$149)+(((B92*2)+(A92*1))*'MATERIALES (2)'!$C$138)+(((A92*2)+(0.2*4))*'MATERIALES (2)'!$C$130)+((A92*2)+(B92*2)*'MATERIALES (2)'!$C$154)+(0.5*'MATERIALES (2)'!$C$156)+(1*'MATERIALES (2)'!$C$151)+(((A92*5)*2)*'MATERIALES (2)'!$C$136)+(4*'MATERIALES (2)'!$C$137)</f>
        <v>21731.4</v>
      </c>
      <c r="E92" s="75"/>
      <c r="F92" s="55">
        <f>(A92*0.2)*'MATERIALES (2)'!$D$85</f>
        <v>1036</v>
      </c>
      <c r="G92" s="38">
        <f t="shared" ref="G92:G98" si="26">SUM(C92:F92)</f>
        <v>216433.44424999997</v>
      </c>
      <c r="H92" s="49">
        <f t="shared" ref="H92:H98" si="27">((((SUM(C92:E92)*$C$87)+(F92*$F$87))*1.21)*1.05)*1.05</f>
        <v>390680.62681356841</v>
      </c>
      <c r="M92" s="102">
        <v>0.7</v>
      </c>
      <c r="N92" s="103">
        <v>2</v>
      </c>
      <c r="O92" s="98">
        <f>((((M92*1)+(N92*2))*'MATERIALES (2)'!$C$26)+((M92*2)*'MATERIALES (2)'!$C$28)+((N92*2)*'MATERIALES (2)'!$C$27)+(((M92*2)+(N92*2))*'MATERIALES (2)'!$C$31)+((M92*2)+(N92)*'MATERIALES (2)'!$C$32))*'MATERIALES (2)'!$F$1</f>
        <v>129390.31875000002</v>
      </c>
      <c r="P92" s="98">
        <f>(2*'MATERIALES (2)'!$C$135)+(14*'MATERIALES (2)'!$C$147)+(14*'MATERIALES (2)'!$C$148)+((8*2)*'MATERIALES (2)'!$C$134)+(3*'MATERIALES (2)'!$C$149)+(((N92*2)+(M92*1))*'MATERIALES (2)'!$C$138)+(((M92*6)+(N92*4))*'MATERIALES (2)'!$C$155)+(1*'MATERIALES (2)'!$C$151)+(((M92*5)*2)*'MATERIALES (2)'!$C$136)+(4*'MATERIALES (2)'!$C$137)</f>
        <v>17082</v>
      </c>
      <c r="Q92" s="230"/>
      <c r="R92" s="104">
        <f>(M92*N92)*'MATERIALES (2)'!$D$85</f>
        <v>10360</v>
      </c>
      <c r="S92" s="98">
        <f t="shared" ref="S92:S98" si="28">SUM(O92:R92)</f>
        <v>156832.31875000003</v>
      </c>
      <c r="T92" s="101">
        <f t="shared" ref="T92:T98" si="29">(((((SUM(O92:Q92)*$O$87)+(R92*$R$87)))*1.21)*1.05)*1.05</f>
        <v>291427.94027763297</v>
      </c>
      <c r="U92" s="787"/>
    </row>
    <row r="93" spans="1:21" ht="15.75" thickBot="1">
      <c r="A93" s="42">
        <v>0.8</v>
      </c>
      <c r="B93" s="37">
        <v>2</v>
      </c>
      <c r="C93" s="38">
        <f>((((A93*1)+(B93*2))*'MATERIALES (2)'!$C$26)+((A93*4)*'MATERIALES (2)'!$C$28)+((B93*2)*'MATERIALES (2)'!$C$27)+(((A93-0.2)*'MATERIALES (2)'!$C$30)*((B93-0.12)/0.12)))*'MATERIALES (2)'!$F$1</f>
        <v>216384.58800000002</v>
      </c>
      <c r="D93" s="59">
        <f>(2*'MATERIALES (2)'!$C$135)+(16*'MATERIALES (2)'!$C$147)+(16*'MATERIALES (2)'!$C$148)+((8*2)*'MATERIALES (2)'!$C$134)+(3*'MATERIALES (2)'!$C$149)+(((B93*2)+(A93*1))*'MATERIALES (2)'!$C$138)+(((A93*2)+(0.2*4))*'MATERIALES (2)'!$C$130)+((A93*2)+(B93*2)*'MATERIALES (2)'!$C$154)+(0.5*'MATERIALES (2)'!$C$156)+(1*'MATERIALES (2)'!$C$151)+(((A93*5)*2)*'MATERIALES (2)'!$C$136)+(4*'MATERIALES (2)'!$C$137)</f>
        <v>21785.599999999999</v>
      </c>
      <c r="E93" s="75"/>
      <c r="F93" s="55">
        <f>(A93*0.2)*'MATERIALES (2)'!$D$85</f>
        <v>1184.0000000000002</v>
      </c>
      <c r="G93" s="38">
        <f t="shared" si="26"/>
        <v>239354.18800000002</v>
      </c>
      <c r="H93" s="49">
        <f t="shared" si="27"/>
        <v>432087.70101304509</v>
      </c>
      <c r="M93" s="102">
        <v>0.8</v>
      </c>
      <c r="N93" s="103">
        <v>2</v>
      </c>
      <c r="O93" s="98">
        <f>((((M93*1)+(N93*2))*'MATERIALES (2)'!$C$26)+((M93*2)*'MATERIALES (2)'!$C$28)+((N93*2)*'MATERIALES (2)'!$C$27)+(((M93*2)+(N93*2))*'MATERIALES (2)'!$C$31)+((M93*2)+(N93)*'MATERIALES (2)'!$C$32))*'MATERIALES (2)'!$F$1</f>
        <v>135137.83499999999</v>
      </c>
      <c r="P93" s="98">
        <f>(2*'MATERIALES (2)'!$C$135)+(14*'MATERIALES (2)'!$C$147)+(14*'MATERIALES (2)'!$C$148)+((8*2)*'MATERIALES (2)'!$C$134)+(3*'MATERIALES (2)'!$C$149)+(((N93*2)+(M93*1))*'MATERIALES (2)'!$C$138)+(((M93*6)+(N93*4))*'MATERIALES (2)'!$C$155)+(1*'MATERIALES (2)'!$C$151)+(((M93*5)*2)*'MATERIALES (2)'!$C$136)+(4*'MATERIALES (2)'!$C$137)</f>
        <v>17148</v>
      </c>
      <c r="Q93" s="230"/>
      <c r="R93" s="104">
        <f>(M93*N93)*'MATERIALES (2)'!$D$85</f>
        <v>11840</v>
      </c>
      <c r="S93" s="98">
        <f t="shared" si="28"/>
        <v>164125.83499999999</v>
      </c>
      <c r="T93" s="101">
        <f t="shared" si="29"/>
        <v>305846.41189843125</v>
      </c>
      <c r="U93" s="787"/>
    </row>
    <row r="94" spans="1:21" ht="15.75" thickBot="1">
      <c r="A94" s="42">
        <v>0.9</v>
      </c>
      <c r="B94" s="37">
        <v>2</v>
      </c>
      <c r="C94" s="38">
        <f>((((A94*1)+(B94*2))*'MATERIALES (2)'!$C$26)+((A94*4)*'MATERIALES (2)'!$C$28)+((B94*2)*'MATERIALES (2)'!$C$27)+(((A94-0.2)*'MATERIALES (2)'!$C$30)*((B94-0.12)/0.12)))*'MATERIALES (2)'!$F$1</f>
        <v>239103.13175</v>
      </c>
      <c r="D94" s="59">
        <f>(2*'MATERIALES (2)'!$C$135)+(16*'MATERIALES (2)'!$C$147)+(16*'MATERIALES (2)'!$C$148)+((8*2)*'MATERIALES (2)'!$C$134)+(3*'MATERIALES (2)'!$C$149)+(((B94*2)+(A94*1))*'MATERIALES (2)'!$C$138)+(((A94*2)+(0.2*4))*'MATERIALES (2)'!$C$130)+((A94*2)+(B94*2)*'MATERIALES (2)'!$C$154)+(0.5*'MATERIALES (2)'!$C$156)+(1*'MATERIALES (2)'!$C$151)+(((A94*5)*2)*'MATERIALES (2)'!$C$136)+(4*'MATERIALES (2)'!$C$137)</f>
        <v>21839.8</v>
      </c>
      <c r="E94" s="75"/>
      <c r="F94" s="55">
        <f>(A94*0.2)*'MATERIALES (2)'!$D$85</f>
        <v>1332.0000000000002</v>
      </c>
      <c r="G94" s="38">
        <f t="shared" si="26"/>
        <v>262274.93174999999</v>
      </c>
      <c r="H94" s="49">
        <f t="shared" si="27"/>
        <v>473494.77521252155</v>
      </c>
      <c r="M94" s="102">
        <v>0.9</v>
      </c>
      <c r="N94" s="103">
        <v>2</v>
      </c>
      <c r="O94" s="98">
        <f>((((M94*1)+(N94*2))*'MATERIALES (2)'!$C$26)+((M94*2)*'MATERIALES (2)'!$C$28)+((N94*2)*'MATERIALES (2)'!$C$27)+(((M94*2)+(N94*2))*'MATERIALES (2)'!$C$31)+((M94*2)+(N94)*'MATERIALES (2)'!$C$32))*'MATERIALES (2)'!$F$1</f>
        <v>140885.35124999998</v>
      </c>
      <c r="P94" s="98">
        <f>(2*'MATERIALES (2)'!$C$135)+(14*'MATERIALES (2)'!$C$147)+(14*'MATERIALES (2)'!$C$148)+((8*2)*'MATERIALES (2)'!$C$134)+(3*'MATERIALES (2)'!$C$149)+(((N94*2)+(M94*1))*'MATERIALES (2)'!$C$138)+(((M94*6)+(N94*4))*'MATERIALES (2)'!$C$155)+(1*'MATERIALES (2)'!$C$151)+(((M94*5)*2)*'MATERIALES (2)'!$C$136)+(4*'MATERIALES (2)'!$C$137)</f>
        <v>17214</v>
      </c>
      <c r="Q94" s="230"/>
      <c r="R94" s="104">
        <f>(M94*N94)*'MATERIALES (2)'!$D$85</f>
        <v>13320</v>
      </c>
      <c r="S94" s="98">
        <f t="shared" si="28"/>
        <v>171419.35124999998</v>
      </c>
      <c r="T94" s="101">
        <f t="shared" si="29"/>
        <v>320264.88351922971</v>
      </c>
      <c r="U94" s="787"/>
    </row>
    <row r="95" spans="1:21" ht="15.75" thickBot="1">
      <c r="A95" s="42">
        <v>0.6</v>
      </c>
      <c r="B95" s="37">
        <v>2.1</v>
      </c>
      <c r="C95" s="38">
        <f>((((A95*1)+(B95*2))*'MATERIALES (2)'!$C$26)+((A95*4)*'MATERIALES (2)'!$C$28)+((B95*2)*'MATERIALES (2)'!$C$27)+(((A95-0.2)*'MATERIALES (2)'!$C$30)*((B95-0.12)/0.12)))*'MATERIALES (2)'!$F$1</f>
        <v>178194.64949999997</v>
      </c>
      <c r="D95" s="59">
        <f>(2*'MATERIALES (2)'!$C$135)+(16*'MATERIALES (2)'!$C$147)+(16*'MATERIALES (2)'!$C$148)+((8*2)*'MATERIALES (2)'!$C$134)+(3*'MATERIALES (2)'!$C$149)+(((B95*2)+(A95*1))*'MATERIALES (2)'!$C$138)+(((A95*2)+(0.2*4))*'MATERIALES (2)'!$C$130)+((A95*2)+(B95*2)*'MATERIALES (2)'!$C$154)+(0.5*'MATERIALES (2)'!$C$156)+(1*'MATERIALES (2)'!$C$151)+(((A95*5)*2)*'MATERIALES (2)'!$C$136)+(4*'MATERIALES (2)'!$C$137)</f>
        <v>21737.200000000001</v>
      </c>
      <c r="E95" s="75"/>
      <c r="F95" s="55">
        <f>(A95*0.2)*'MATERIALES (2)'!$D$85</f>
        <v>888</v>
      </c>
      <c r="G95" s="38">
        <f t="shared" si="26"/>
        <v>200819.84949999998</v>
      </c>
      <c r="H95" s="49">
        <f t="shared" si="27"/>
        <v>362433.24386447063</v>
      </c>
      <c r="M95" s="102">
        <v>0.6</v>
      </c>
      <c r="N95" s="103">
        <v>2.1</v>
      </c>
      <c r="O95" s="98">
        <f>((((M95*1)+(N95*2))*'MATERIALES (2)'!$C$26)+((M95*2)*'MATERIALES (2)'!$C$28)+((N95*2)*'MATERIALES (2)'!$C$27)+(((M95*2)+(N95*2))*'MATERIALES (2)'!$C$31)+((M95*2)+(N95)*'MATERIALES (2)'!$C$32))*'MATERIALES (2)'!$F$1</f>
        <v>128100.68775000003</v>
      </c>
      <c r="P95" s="98">
        <f>(2*'MATERIALES (2)'!$C$135)+(14*'MATERIALES (2)'!$C$147)+(14*'MATERIALES (2)'!$C$148)+((8*2)*'MATERIALES (2)'!$C$134)+(3*'MATERIALES (2)'!$C$149)+(((N95*2)+(M95*1))*'MATERIALES (2)'!$C$138)+(((M95*6)+(N95*4))*'MATERIALES (2)'!$C$155)+(1*'MATERIALES (2)'!$C$151)+(((M95*5)*2)*'MATERIALES (2)'!$C$136)+(4*'MATERIALES (2)'!$C$137)</f>
        <v>17068</v>
      </c>
      <c r="Q95" s="230"/>
      <c r="R95" s="104">
        <f>(M95*N95)*'MATERIALES (2)'!$D$85</f>
        <v>9324</v>
      </c>
      <c r="S95" s="98">
        <f t="shared" si="28"/>
        <v>154492.68775000004</v>
      </c>
      <c r="T95" s="101">
        <f t="shared" si="29"/>
        <v>286316.08741218667</v>
      </c>
      <c r="U95" s="787"/>
    </row>
    <row r="96" spans="1:21" ht="15.75" thickBot="1">
      <c r="A96" s="42">
        <v>0.7</v>
      </c>
      <c r="B96" s="37">
        <v>2.1</v>
      </c>
      <c r="C96" s="38">
        <f>((((A96*1)+(B96*2))*'MATERIALES (2)'!$C$26)+((A96*4)*'MATERIALES (2)'!$C$28)+((B96*2)*'MATERIALES (2)'!$C$27)+(((A96-0.2)*'MATERIALES (2)'!$C$30)*((B96-0.12)/0.12)))*'MATERIALES (2)'!$F$1</f>
        <v>201851.17574999999</v>
      </c>
      <c r="D96" s="59">
        <f>(2*'MATERIALES (2)'!$C$135)+(16*'MATERIALES (2)'!$C$147)+(16*'MATERIALES (2)'!$C$148)+((8*2)*'MATERIALES (2)'!$C$134)+(3*'MATERIALES (2)'!$C$149)+(((B96*2)+(A96*1))*'MATERIALES (2)'!$C$138)+(((A96*2)+(0.2*4))*'MATERIALES (2)'!$C$130)+((A96*2)+(B96*2)*'MATERIALES (2)'!$C$154)+(0.5*'MATERIALES (2)'!$C$156)+(1*'MATERIALES (2)'!$C$151)+(((A96*5)*2)*'MATERIALES (2)'!$C$136)+(4*'MATERIALES (2)'!$C$137)</f>
        <v>21791.4</v>
      </c>
      <c r="E96" s="75"/>
      <c r="F96" s="55">
        <f>(A96*0.2)*'MATERIALES (2)'!$D$85</f>
        <v>1036</v>
      </c>
      <c r="G96" s="38">
        <f t="shared" si="26"/>
        <v>224678.57574999999</v>
      </c>
      <c r="H96" s="49">
        <f t="shared" si="27"/>
        <v>405529.56240510661</v>
      </c>
      <c r="M96" s="102">
        <v>0.7</v>
      </c>
      <c r="N96" s="103">
        <v>2.1</v>
      </c>
      <c r="O96" s="98">
        <f>((((M96*1)+(N96*2))*'MATERIALES (2)'!$C$26)+((M96*2)*'MATERIALES (2)'!$C$28)+((N96*2)*'MATERIALES (2)'!$C$27)+(((M96*2)+(N96*2))*'MATERIALES (2)'!$C$31)+((M96*2)+(N96)*'MATERIALES (2)'!$C$32))*'MATERIALES (2)'!$F$1</f>
        <v>133848.204</v>
      </c>
      <c r="P96" s="98">
        <f>(2*'MATERIALES (2)'!$C$135)+(14*'MATERIALES (2)'!$C$147)+(14*'MATERIALES (2)'!$C$148)+((8*2)*'MATERIALES (2)'!$C$134)+(3*'MATERIALES (2)'!$C$149)+(((N96*2)+(M96*1))*'MATERIALES (2)'!$C$138)+(((M96*6)+(N96*4))*'MATERIALES (2)'!$C$155)+(1*'MATERIALES (2)'!$C$151)+(((M96*5)*2)*'MATERIALES (2)'!$C$136)+(4*'MATERIALES (2)'!$C$137)</f>
        <v>17134</v>
      </c>
      <c r="Q96" s="230"/>
      <c r="R96" s="104">
        <f>(M96*N96)*'MATERIALES (2)'!$D$85</f>
        <v>10878</v>
      </c>
      <c r="S96" s="98">
        <f t="shared" si="28"/>
        <v>161860.204</v>
      </c>
      <c r="T96" s="101">
        <f t="shared" si="29"/>
        <v>300931.9947329851</v>
      </c>
      <c r="U96" s="787"/>
    </row>
    <row r="97" spans="1:21" ht="15.75" thickBot="1">
      <c r="A97" s="42">
        <v>0.8</v>
      </c>
      <c r="B97" s="37">
        <v>2.1</v>
      </c>
      <c r="C97" s="38">
        <f>((((A97*1)+(B97*2))*'MATERIALES (2)'!$C$26)+((A97*4)*'MATERIALES (2)'!$C$28)+((B97*2)*'MATERIALES (2)'!$C$27)+(((A97-0.2)*'MATERIALES (2)'!$C$30)*((B97-0.12)/0.12)))*'MATERIALES (2)'!$F$1</f>
        <v>225507.70200000005</v>
      </c>
      <c r="D97" s="59">
        <f>(2*'MATERIALES (2)'!$C$135)+(16*'MATERIALES (2)'!$C$147)+(16*'MATERIALES (2)'!$C$148)+((8*2)*'MATERIALES (2)'!$C$134)+(3*'MATERIALES (2)'!$C$149)+(((B97*2)+(A97*1))*'MATERIALES (2)'!$C$138)+(((A97*2)+(0.2*4))*'MATERIALES (2)'!$C$130)+((A97*2)+(B97*2)*'MATERIALES (2)'!$C$154)+(0.5*'MATERIALES (2)'!$C$156)+(1*'MATERIALES (2)'!$C$151)+(((A97*5)*2)*'MATERIALES (2)'!$C$136)+(4*'MATERIALES (2)'!$C$137)</f>
        <v>21845.599999999999</v>
      </c>
      <c r="E97" s="75"/>
      <c r="F97" s="55">
        <f>(A97*0.2)*'MATERIALES (2)'!$D$85</f>
        <v>1184.0000000000002</v>
      </c>
      <c r="G97" s="38">
        <f t="shared" si="26"/>
        <v>248537.30200000005</v>
      </c>
      <c r="H97" s="49">
        <f t="shared" si="27"/>
        <v>448625.88094574265</v>
      </c>
      <c r="M97" s="102">
        <v>0.8</v>
      </c>
      <c r="N97" s="103">
        <v>2.1</v>
      </c>
      <c r="O97" s="98">
        <f>((((M97*1)+(N97*2))*'MATERIALES (2)'!$C$26)+((M97*2)*'MATERIALES (2)'!$C$28)+((N97*2)*'MATERIALES (2)'!$C$27)+(((M97*2)+(N97*2))*'MATERIALES (2)'!$C$31)+((M97*2)+(N97)*'MATERIALES (2)'!$C$32))*'MATERIALES (2)'!$F$1</f>
        <v>139595.72024999998</v>
      </c>
      <c r="P97" s="98">
        <f>(2*'MATERIALES (2)'!$C$135)+(14*'MATERIALES (2)'!$C$147)+(14*'MATERIALES (2)'!$C$148)+((8*2)*'MATERIALES (2)'!$C$134)+(3*'MATERIALES (2)'!$C$149)+(((N97*2)+(M97*1))*'MATERIALES (2)'!$C$138)+(((M97*6)+(N97*4))*'MATERIALES (2)'!$C$155)+(1*'MATERIALES (2)'!$C$151)+(((M97*5)*2)*'MATERIALES (2)'!$C$136)+(4*'MATERIALES (2)'!$C$137)</f>
        <v>17200</v>
      </c>
      <c r="Q97" s="230"/>
      <c r="R97" s="104">
        <f>(M97*N97)*'MATERIALES (2)'!$D$85</f>
        <v>12432.000000000002</v>
      </c>
      <c r="S97" s="98">
        <f t="shared" si="28"/>
        <v>169227.72024999998</v>
      </c>
      <c r="T97" s="101">
        <f t="shared" si="29"/>
        <v>315547.90205378347</v>
      </c>
      <c r="U97" s="787"/>
    </row>
    <row r="98" spans="1:21" ht="15.75" thickBot="1">
      <c r="A98" s="44">
        <v>0.9</v>
      </c>
      <c r="B98" s="45">
        <v>2.1</v>
      </c>
      <c r="C98" s="50">
        <f>((((A98*1)+(B98*2))*'MATERIALES (2)'!$C$26)+((A98*4)*'MATERIALES (2)'!$C$28)+((B98*2)*'MATERIALES (2)'!$C$27)+(((A98-0.2)*'MATERIALES (2)'!$C$30)*((B98-0.12)/0.12)))*'MATERIALES (2)'!$F$1</f>
        <v>249164.22824999999</v>
      </c>
      <c r="D98" s="60">
        <f>(2*'MATERIALES (2)'!$C$135)+(16*'MATERIALES (2)'!$C$147)+(16*'MATERIALES (2)'!$C$148)+((8*2)*'MATERIALES (2)'!$C$134)+(3*'MATERIALES (2)'!$C$149)+(((B98*2)+(A98*1))*'MATERIALES (2)'!$C$138)+(((A98*2)+(0.2*4))*'MATERIALES (2)'!$C$130)+((A98*2)+(B98*2)*'MATERIALES (2)'!$C$154)+(0.5*'MATERIALES (2)'!$C$156)+(1*'MATERIALES (2)'!$C$151)+(((A98*5)*2)*'MATERIALES (2)'!$C$136)+(4*'MATERIALES (2)'!$C$137)</f>
        <v>21899.8</v>
      </c>
      <c r="E98" s="76"/>
      <c r="F98" s="56">
        <f>(A98*0.2)*'MATERIALES (2)'!$D$85</f>
        <v>1332.0000000000002</v>
      </c>
      <c r="G98" s="50">
        <f t="shared" si="26"/>
        <v>272396.02824999997</v>
      </c>
      <c r="H98" s="49">
        <f t="shared" si="27"/>
        <v>491722.19948637841</v>
      </c>
      <c r="M98" s="106">
        <v>0.9</v>
      </c>
      <c r="N98" s="107">
        <v>2.1</v>
      </c>
      <c r="O98" s="108">
        <f>((((M98*1)+(N98*2))*'MATERIALES (2)'!$C$26)+((M98*2)*'MATERIALES (2)'!$C$28)+((N98*2)*'MATERIALES (2)'!$C$27)+(((M98*2)+(N98*2))*'MATERIALES (2)'!$C$31)+((M98*2)+(N98)*'MATERIALES (2)'!$C$32))*'MATERIALES (2)'!$F$1</f>
        <v>145343.23650000003</v>
      </c>
      <c r="P98" s="108">
        <f>(2*'MATERIALES (2)'!$C$135)+(14*'MATERIALES (2)'!$C$147)+(14*'MATERIALES (2)'!$C$148)+((8*2)*'MATERIALES (2)'!$C$134)+(3*'MATERIALES (2)'!$C$149)+(((N98*2)+(M98*1))*'MATERIALES (2)'!$C$138)+(((M98*6)+(N98*4))*'MATERIALES (2)'!$C$155)+(1*'MATERIALES (2)'!$C$151)+(((M98*5)*2)*'MATERIALES (2)'!$C$136)+(4*'MATERIALES (2)'!$C$137)</f>
        <v>17266</v>
      </c>
      <c r="Q98" s="231"/>
      <c r="R98" s="109">
        <f>(M98*N98)*'MATERIALES (2)'!$D$85</f>
        <v>13986.000000000002</v>
      </c>
      <c r="S98" s="108">
        <f t="shared" si="28"/>
        <v>176595.23650000003</v>
      </c>
      <c r="T98" s="101">
        <f t="shared" si="29"/>
        <v>330163.80937458196</v>
      </c>
      <c r="U98" s="788"/>
    </row>
    <row r="100" spans="1:21" ht="15.75" thickBot="1">
      <c r="O100" s="78"/>
    </row>
    <row r="101" spans="1:21" ht="15.75" thickBot="1">
      <c r="A101" s="32"/>
      <c r="B101" s="32"/>
      <c r="C101" s="947">
        <v>1.35</v>
      </c>
      <c r="D101" s="948"/>
      <c r="E101" s="949"/>
      <c r="F101" s="728">
        <v>2</v>
      </c>
      <c r="G101" s="32"/>
      <c r="H101" s="46" t="s">
        <v>163</v>
      </c>
      <c r="M101" s="32"/>
      <c r="N101" s="32"/>
      <c r="O101" s="947">
        <v>1.35</v>
      </c>
      <c r="P101" s="948"/>
      <c r="Q101" s="949"/>
      <c r="R101" s="728">
        <v>2</v>
      </c>
      <c r="S101" s="32"/>
      <c r="T101" s="46" t="s">
        <v>163</v>
      </c>
    </row>
    <row r="102" spans="1:21" ht="15.75" thickBot="1">
      <c r="A102" s="792" t="s">
        <v>226</v>
      </c>
      <c r="B102" s="793"/>
      <c r="C102" s="793"/>
      <c r="D102" s="793"/>
      <c r="E102" s="793"/>
      <c r="F102" s="793"/>
      <c r="G102" s="793"/>
      <c r="H102" s="794"/>
      <c r="M102" s="792" t="s">
        <v>228</v>
      </c>
      <c r="N102" s="793"/>
      <c r="O102" s="793"/>
      <c r="P102" s="793"/>
      <c r="Q102" s="793"/>
      <c r="R102" s="793"/>
      <c r="S102" s="793"/>
      <c r="T102" s="794"/>
      <c r="U102" s="882" t="s">
        <v>254</v>
      </c>
    </row>
    <row r="103" spans="1:21" ht="15.75" thickBot="1">
      <c r="A103" s="36" t="s">
        <v>116</v>
      </c>
      <c r="B103" s="36" t="s">
        <v>117</v>
      </c>
      <c r="C103" s="36" t="s">
        <v>162</v>
      </c>
      <c r="D103" s="36" t="s">
        <v>119</v>
      </c>
      <c r="E103" s="36" t="s">
        <v>120</v>
      </c>
      <c r="F103" s="36" t="s">
        <v>118</v>
      </c>
      <c r="G103" s="36" t="s">
        <v>121</v>
      </c>
      <c r="H103" s="36" t="s">
        <v>122</v>
      </c>
      <c r="M103" s="36" t="s">
        <v>116</v>
      </c>
      <c r="N103" s="36" t="s">
        <v>117</v>
      </c>
      <c r="O103" s="36" t="s">
        <v>162</v>
      </c>
      <c r="P103" s="36" t="s">
        <v>119</v>
      </c>
      <c r="Q103" s="36" t="s">
        <v>120</v>
      </c>
      <c r="R103" s="36" t="s">
        <v>118</v>
      </c>
      <c r="S103" s="36" t="s">
        <v>121</v>
      </c>
      <c r="T103" s="36" t="s">
        <v>122</v>
      </c>
      <c r="U103" s="883"/>
    </row>
    <row r="104" spans="1:21" ht="15.75" thickBot="1">
      <c r="A104" s="795"/>
      <c r="B104" s="796"/>
      <c r="C104" s="796"/>
      <c r="D104" s="796"/>
      <c r="E104" s="796"/>
      <c r="F104" s="796"/>
      <c r="G104" s="796"/>
      <c r="H104" s="797"/>
      <c r="M104" s="795"/>
      <c r="N104" s="796"/>
      <c r="O104" s="796"/>
      <c r="P104" s="796"/>
      <c r="Q104" s="796"/>
      <c r="R104" s="796"/>
      <c r="S104" s="796"/>
      <c r="T104" s="797"/>
      <c r="U104" s="883"/>
    </row>
    <row r="105" spans="1:21" ht="15.75" thickBot="1">
      <c r="A105" s="40">
        <v>0.6</v>
      </c>
      <c r="B105" s="41">
        <v>2</v>
      </c>
      <c r="C105" s="47">
        <f>((((A105*1)+(B105*2))*'MATERIALES (2)'!$C$26)+((A105*3)*'MATERIALES (2)'!$C$28)+((0.4*2)*'MATERIALES (2)'!$C$28)+((B105*2)*'MATERIALES (2)'!$C$27)+(((A105-0.2)*'MATERIALES (2)'!$C$30)*((B105-0.36)/0.12)))*'MATERIALES (2)'!$F$1</f>
        <v>164112.00049999999</v>
      </c>
      <c r="D105" s="58">
        <f>(2*'MATERIALES (2)'!$C$135)+(20*'MATERIALES (2)'!$C$147)+(20*'MATERIALES (2)'!$C$148)+((8*2)*'MATERIALES (2)'!$C$134)+(3*'MATERIALES (2)'!$C$149)+(((B105*2)+(A105*1))*'MATERIALES (2)'!$C$138)+(((A105*2)+(0.4*6))*'MATERIALES (2)'!$C$130)+((A105*2)+(B105*2)*'MATERIALES (2)'!$C$154)+(0.5*'MATERIALES (2)'!$C$156)+(1*'MATERIALES (2)'!$C$151)+(((A105*5)*2)*'MATERIALES (2)'!$C$136)+(4*'MATERIALES (2)'!$C$137)</f>
        <v>22821.200000000001</v>
      </c>
      <c r="E105" s="74"/>
      <c r="F105" s="54">
        <f>(A105*0.4)*'MATERIALES (2)'!$D$85</f>
        <v>1776</v>
      </c>
      <c r="G105" s="47">
        <f>SUM(C105:F105)</f>
        <v>188709.20050000001</v>
      </c>
      <c r="H105" s="49">
        <f>(((((SUM(C105:E105)*$C$101)+(F105*$F$101)))*1.21)*1.05)*1.05</f>
        <v>341392.7665759669</v>
      </c>
      <c r="M105" s="65">
        <v>0.6</v>
      </c>
      <c r="N105" s="66">
        <v>2</v>
      </c>
      <c r="O105" s="58">
        <f>((((M105*1)+(N105*2))*'MATERIALES (2)'!$C$26)+((M105*3)*'MATERIALES (2)'!$C$28)+((N105*2)*'MATERIALES (2)'!$C$27)+((((M105-0.2))*'MATERIALES (2)'!$C$30)*(0.6/0.12))+(((M105*2)+(N105*2))*'MATERIALES (2)'!$C$31)+((M105*2)+(N105)*'MATERIALES (2)'!$C$32))*'MATERIALES (2)'!$F$1</f>
        <v>152661.77849999999</v>
      </c>
      <c r="P105" s="58">
        <f>(2*'MATERIALES (2)'!$C$135)+(18*'MATERIALES (2)'!$C$147)+(18*'MATERIALES (2)'!$C$148)+((8*2)*'MATERIALES (2)'!$C$134)+(3*'MATERIALES (2)'!$C$149)+(((N105*2)+(M105*1))*'MATERIALES (2)'!$C$138)+(((M105*6)+(N105*4))*'MATERIALES (2)'!$C$155)+(0.25*'MATERIALES (2)'!$C$156)+(((M105*2)+(0.6*2))*'MATERIALES (2)'!$C$154)+(1*'MATERIALES (2)'!$C$151)+(((M105*5)*2)*'MATERIALES (2)'!$C$136)+(4*'MATERIALES (2)'!$C$137)</f>
        <v>20352</v>
      </c>
      <c r="Q105" s="74"/>
      <c r="R105" s="54">
        <f>(M105*N105)*'MATERIALES (2)'!$D$85</f>
        <v>8880</v>
      </c>
      <c r="S105" s="58">
        <f>SUM(O105:R105)</f>
        <v>181893.77849999999</v>
      </c>
      <c r="T105" s="67">
        <f>((((SUM(O105:Q105)*$O$101)+(R105*$R$101))*1.21)*1.05)*1.05</f>
        <v>335278.63691567437</v>
      </c>
      <c r="U105" s="787"/>
    </row>
    <row r="106" spans="1:21" ht="15.75" thickBot="1">
      <c r="A106" s="42">
        <v>0.7</v>
      </c>
      <c r="B106" s="37">
        <v>2</v>
      </c>
      <c r="C106" s="38">
        <f>((((A106*1)+(B106*2))*'MATERIALES (2)'!$C$26)+((A106*3)*'MATERIALES (2)'!$C$28)+((0.4*2)*'MATERIALES (2)'!$C$28)+((B106*2)*'MATERIALES (2)'!$C$27)+(((A106-0.2)*'MATERIALES (2)'!$C$30)*((B106-0.36)/0.12)))*'MATERIALES (2)'!$F$1</f>
        <v>183494.82025000002</v>
      </c>
      <c r="D106" s="59">
        <f>(2*'MATERIALES (2)'!$C$135)+(20*'MATERIALES (2)'!$C$147)+(20*'MATERIALES (2)'!$C$148)+((8*2)*'MATERIALES (2)'!$C$134)+(3*'MATERIALES (2)'!$C$149)+(((B106*2)+(A106*1))*'MATERIALES (2)'!$C$138)+(((A106*2)+(0.4*6))*'MATERIALES (2)'!$C$130)+((A106*2)+(B106*2)*'MATERIALES (2)'!$C$154)+(0.5*'MATERIALES (2)'!$C$156)+(1*'MATERIALES (2)'!$C$151)+(((A106*5)*2)*'MATERIALES (2)'!$C$136)+(4*'MATERIALES (2)'!$C$137)</f>
        <v>22875.4</v>
      </c>
      <c r="E106" s="75"/>
      <c r="F106" s="55">
        <f>(A106*0.4)*'MATERIALES (2)'!$D$85</f>
        <v>2072</v>
      </c>
      <c r="G106" s="38">
        <f t="shared" ref="G106:G112" si="30">SUM(C106:F106)</f>
        <v>208442.22025000001</v>
      </c>
      <c r="H106" s="49">
        <f t="shared" ref="H106:H112" si="31">(((((SUM(C106:E106)*$C$101)+(F106*$F$101)))*1.21)*1.05)*1.05</f>
        <v>377187.29424315854</v>
      </c>
      <c r="M106" s="68">
        <v>0.7</v>
      </c>
      <c r="N106" s="69">
        <v>2</v>
      </c>
      <c r="O106" s="59">
        <f>((((M106*1)+(N106*2))*'MATERIALES (2)'!$C$26)+((M106*3)*'MATERIALES (2)'!$C$28)+((N106*2)*'MATERIALES (2)'!$C$27)+((((M106-0.2))*'MATERIALES (2)'!$C$30)*(0.6/0.12))+(((M106*2)+(N106*2))*'MATERIALES (2)'!$C$31)+((M106*2)+(N106)*'MATERIALES (2)'!$C$32))*'MATERIALES (2)'!$F$1</f>
        <v>165121.75575000001</v>
      </c>
      <c r="P106" s="59">
        <f>(2*'MATERIALES (2)'!$C$135)+(18*'MATERIALES (2)'!$C$147)+(18*'MATERIALES (2)'!$C$148)+((8*2)*'MATERIALES (2)'!$C$134)+(3*'MATERIALES (2)'!$C$149)+(((N106*2)+(M106*1))*'MATERIALES (2)'!$C$138)+(((M106*6)+(N106*4))*'MATERIALES (2)'!$C$155)+(0.25*'MATERIALES (2)'!$C$156)+(((M106*2)+(0.6*2))*'MATERIALES (2)'!$C$154)+(1*'MATERIALES (2)'!$C$151)+(((M106*5)*2)*'MATERIALES (2)'!$C$136)+(4*'MATERIALES (2)'!$C$137)</f>
        <v>20466</v>
      </c>
      <c r="Q106" s="75"/>
      <c r="R106" s="55">
        <f>(M106*N106)*'MATERIALES (2)'!$D$85</f>
        <v>10360</v>
      </c>
      <c r="S106" s="59">
        <f t="shared" ref="S106:S112" si="32">SUM(O106:R106)</f>
        <v>195947.75575000001</v>
      </c>
      <c r="T106" s="67">
        <f t="shared" ref="T106:T112" si="33">((((SUM(O106:Q106)*$O$101)+(R106*$R$101))*1.21)*1.05)*1.05</f>
        <v>361872.2509169316</v>
      </c>
      <c r="U106" s="787"/>
    </row>
    <row r="107" spans="1:21" ht="15.75" thickBot="1">
      <c r="A107" s="42">
        <v>0.8</v>
      </c>
      <c r="B107" s="37">
        <v>2</v>
      </c>
      <c r="C107" s="38">
        <f>((((A107*1)+(B107*2))*'MATERIALES (2)'!$C$26)+((A107*3)*'MATERIALES (2)'!$C$28)+((0.4*2)*'MATERIALES (2)'!$C$28)+((B107*2)*'MATERIALES (2)'!$C$27)+(((A107-0.2)*'MATERIALES (2)'!$C$30)*((B107-0.36)/0.12)))*'MATERIALES (2)'!$F$1</f>
        <v>202877.63999999998</v>
      </c>
      <c r="D107" s="59">
        <f>(2*'MATERIALES (2)'!$C$135)+(20*'MATERIALES (2)'!$C$147)+(20*'MATERIALES (2)'!$C$148)+((8*2)*'MATERIALES (2)'!$C$134)+(3*'MATERIALES (2)'!$C$149)+(((B107*2)+(A107*1))*'MATERIALES (2)'!$C$138)+(((A107*2)+(0.4*6))*'MATERIALES (2)'!$C$130)+((A107*2)+(B107*2)*'MATERIALES (2)'!$C$154)+(0.5*'MATERIALES (2)'!$C$156)+(1*'MATERIALES (2)'!$C$151)+(((A107*5)*2)*'MATERIALES (2)'!$C$136)+(4*'MATERIALES (2)'!$C$137)</f>
        <v>22929.599999999999</v>
      </c>
      <c r="E107" s="75"/>
      <c r="F107" s="55">
        <f>(A107*0.4)*'MATERIALES (2)'!$D$85</f>
        <v>2368.0000000000005</v>
      </c>
      <c r="G107" s="38">
        <f t="shared" si="30"/>
        <v>228175.24</v>
      </c>
      <c r="H107" s="49">
        <f t="shared" si="31"/>
        <v>412981.82191035006</v>
      </c>
      <c r="M107" s="68">
        <v>0.8</v>
      </c>
      <c r="N107" s="69">
        <v>2</v>
      </c>
      <c r="O107" s="59">
        <f>((((M107*1)+(N107*2))*'MATERIALES (2)'!$C$26)+((M107*3)*'MATERIALES (2)'!$C$28)+((N107*2)*'MATERIALES (2)'!$C$27)+((((M107-0.2))*'MATERIALES (2)'!$C$30)*(0.6/0.12))+(((M107*2)+(N107*2))*'MATERIALES (2)'!$C$31)+((M107*2)+(N107)*'MATERIALES (2)'!$C$32))*'MATERIALES (2)'!$F$1</f>
        <v>177581.73300000001</v>
      </c>
      <c r="P107" s="59">
        <f>(2*'MATERIALES (2)'!$C$135)+(18*'MATERIALES (2)'!$C$147)+(18*'MATERIALES (2)'!$C$148)+((8*2)*'MATERIALES (2)'!$C$134)+(3*'MATERIALES (2)'!$C$149)+(((N107*2)+(M107*1))*'MATERIALES (2)'!$C$138)+(((M107*6)+(N107*4))*'MATERIALES (2)'!$C$155)+(0.25*'MATERIALES (2)'!$C$156)+(((M107*2)+(0.6*2))*'MATERIALES (2)'!$C$154)+(1*'MATERIALES (2)'!$C$151)+(((M107*5)*2)*'MATERIALES (2)'!$C$136)+(4*'MATERIALES (2)'!$C$137)</f>
        <v>20580</v>
      </c>
      <c r="Q107" s="75"/>
      <c r="R107" s="55">
        <f>(M107*N107)*'MATERIALES (2)'!$D$85</f>
        <v>11840</v>
      </c>
      <c r="S107" s="59">
        <f t="shared" si="32"/>
        <v>210001.73300000001</v>
      </c>
      <c r="T107" s="67">
        <f t="shared" si="33"/>
        <v>388465.86491818883</v>
      </c>
      <c r="U107" s="787"/>
    </row>
    <row r="108" spans="1:21" ht="15.75" thickBot="1">
      <c r="A108" s="42">
        <v>0.9</v>
      </c>
      <c r="B108" s="37">
        <v>2</v>
      </c>
      <c r="C108" s="38">
        <f>((((A108*1)+(B108*2))*'MATERIALES (2)'!$C$26)+((A108*3)*'MATERIALES (2)'!$C$28)+((0.4*2)*'MATERIALES (2)'!$C$28)+((B108*2)*'MATERIALES (2)'!$C$27)+(((A108-0.2)*'MATERIALES (2)'!$C$30)*((B108-0.36)/0.12)))*'MATERIALES (2)'!$F$1</f>
        <v>222260.45975000001</v>
      </c>
      <c r="D108" s="59">
        <f>(2*'MATERIALES (2)'!$C$135)+(20*'MATERIALES (2)'!$C$147)+(20*'MATERIALES (2)'!$C$148)+((8*2)*'MATERIALES (2)'!$C$134)+(3*'MATERIALES (2)'!$C$149)+(((B108*2)+(A108*1))*'MATERIALES (2)'!$C$138)+(((A108*2)+(0.4*6))*'MATERIALES (2)'!$C$130)+((A108*2)+(B108*2)*'MATERIALES (2)'!$C$154)+(0.5*'MATERIALES (2)'!$C$156)+(1*'MATERIALES (2)'!$C$151)+(((A108*5)*2)*'MATERIALES (2)'!$C$136)+(4*'MATERIALES (2)'!$C$137)</f>
        <v>22983.8</v>
      </c>
      <c r="E108" s="75"/>
      <c r="F108" s="55">
        <f>(A108*0.4)*'MATERIALES (2)'!$D$85</f>
        <v>2664.0000000000005</v>
      </c>
      <c r="G108" s="38">
        <f t="shared" si="30"/>
        <v>247908.25975</v>
      </c>
      <c r="H108" s="49">
        <f t="shared" si="31"/>
        <v>448776.34957754158</v>
      </c>
      <c r="M108" s="68">
        <v>0.9</v>
      </c>
      <c r="N108" s="69">
        <v>2</v>
      </c>
      <c r="O108" s="59">
        <f>((((M108*1)+(N108*2))*'MATERIALES (2)'!$C$26)+((M108*3)*'MATERIALES (2)'!$C$28)+((N108*2)*'MATERIALES (2)'!$C$27)+((((M108-0.2))*'MATERIALES (2)'!$C$30)*(0.6/0.12))+(((M108*2)+(N108*2))*'MATERIALES (2)'!$C$31)+((M108*2)+(N108)*'MATERIALES (2)'!$C$32))*'MATERIALES (2)'!$F$1</f>
        <v>190041.71025</v>
      </c>
      <c r="P108" s="59">
        <f>(2*'MATERIALES (2)'!$C$135)+(18*'MATERIALES (2)'!$C$147)+(18*'MATERIALES (2)'!$C$148)+((8*2)*'MATERIALES (2)'!$C$134)+(3*'MATERIALES (2)'!$C$149)+(((N108*2)+(M108*1))*'MATERIALES (2)'!$C$138)+(((M108*6)+(N108*4))*'MATERIALES (2)'!$C$155)+(0.25*'MATERIALES (2)'!$C$156)+(((M108*2)+(0.6*2))*'MATERIALES (2)'!$C$154)+(1*'MATERIALES (2)'!$C$151)+(((M108*5)*2)*'MATERIALES (2)'!$C$136)+(4*'MATERIALES (2)'!$C$137)</f>
        <v>20694</v>
      </c>
      <c r="Q108" s="75"/>
      <c r="R108" s="55">
        <f>(M108*N108)*'MATERIALES (2)'!$D$85</f>
        <v>13320</v>
      </c>
      <c r="S108" s="59">
        <f t="shared" si="32"/>
        <v>224055.71025</v>
      </c>
      <c r="T108" s="67">
        <f t="shared" si="33"/>
        <v>415059.478919446</v>
      </c>
      <c r="U108" s="787"/>
    </row>
    <row r="109" spans="1:21" ht="15.75" thickBot="1">
      <c r="A109" s="42">
        <v>0.6</v>
      </c>
      <c r="B109" s="37">
        <v>2.1</v>
      </c>
      <c r="C109" s="38">
        <f>((((A109*1)+(B109*2))*'MATERIALES (2)'!$C$26)+((A109*3)*'MATERIALES (2)'!$C$28)+((0.4*2)*'MATERIALES (2)'!$C$28)+((B109*2)*'MATERIALES (2)'!$C$27)+(((A109-0.2)*'MATERIALES (2)'!$C$30)*((B109-0.36)/0.12)))*'MATERIALES (2)'!$F$1</f>
        <v>171359.1495</v>
      </c>
      <c r="D109" s="59">
        <f>(2*'MATERIALES (2)'!$C$135)+(20*'MATERIALES (2)'!$C$147)+(20*'MATERIALES (2)'!$C$148)+((8*2)*'MATERIALES (2)'!$C$134)+(3*'MATERIALES (2)'!$C$149)+(((B109*2)+(A109*1))*'MATERIALES (2)'!$C$138)+(((A109*2)+(0.4*6))*'MATERIALES (2)'!$C$130)+((A109*2)+(B109*2)*'MATERIALES (2)'!$C$154)+(0.5*'MATERIALES (2)'!$C$156)+(1*'MATERIALES (2)'!$C$151)+(((A109*5)*2)*'MATERIALES (2)'!$C$136)+(4*'MATERIALES (2)'!$C$137)</f>
        <v>22881.200000000001</v>
      </c>
      <c r="E109" s="75"/>
      <c r="F109" s="55">
        <f>(A109*0.4)*'MATERIALES (2)'!$D$85</f>
        <v>1776</v>
      </c>
      <c r="G109" s="38">
        <f t="shared" si="30"/>
        <v>196016.34950000001</v>
      </c>
      <c r="H109" s="49">
        <f t="shared" si="31"/>
        <v>354552.45782634564</v>
      </c>
      <c r="M109" s="68">
        <v>0.6</v>
      </c>
      <c r="N109" s="69">
        <v>2.1</v>
      </c>
      <c r="O109" s="59">
        <f>((((M109*1)+(N109*2))*'MATERIALES (2)'!$C$26)+((M109*3)*'MATERIALES (2)'!$C$28)+((N109*2)*'MATERIALES (2)'!$C$27)+((((M109-0.2))*'MATERIALES (2)'!$C$30)*(0.6/0.12))+(((M109*2)+(N109*2))*'MATERIALES (2)'!$C$31)+((M109*2)+(N109)*'MATERIALES (2)'!$C$32))*'MATERIALES (2)'!$F$1</f>
        <v>157119.66374999998</v>
      </c>
      <c r="P109" s="59">
        <f>(2*'MATERIALES (2)'!$C$135)+(18*'MATERIALES (2)'!$C$147)+(18*'MATERIALES (2)'!$C$148)+((8*2)*'MATERIALES (2)'!$C$134)+(3*'MATERIALES (2)'!$C$149)+(((N109*2)+(M109*1))*'MATERIALES (2)'!$C$138)+(((M109*6)+(N109*4))*'MATERIALES (2)'!$C$155)+(0.25*'MATERIALES (2)'!$C$156)+(((M109*2)+(0.6*2))*'MATERIALES (2)'!$C$154)+(1*'MATERIALES (2)'!$C$151)+(((M109*5)*2)*'MATERIALES (2)'!$C$136)+(4*'MATERIALES (2)'!$C$137)</f>
        <v>20404</v>
      </c>
      <c r="Q109" s="75"/>
      <c r="R109" s="55">
        <f>(M109*N109)*'MATERIALES (2)'!$D$85</f>
        <v>9324</v>
      </c>
      <c r="S109" s="59">
        <f t="shared" si="32"/>
        <v>186847.66374999998</v>
      </c>
      <c r="T109" s="67">
        <f t="shared" si="33"/>
        <v>344585.25567102659</v>
      </c>
      <c r="U109" s="787"/>
    </row>
    <row r="110" spans="1:21" ht="15.75" thickBot="1">
      <c r="A110" s="42">
        <v>0.7</v>
      </c>
      <c r="B110" s="37">
        <v>2.1</v>
      </c>
      <c r="C110" s="38">
        <f>((((A110*1)+(B110*2))*'MATERIALES (2)'!$C$26)+((A110*3)*'MATERIALES (2)'!$C$28)+((0.4*2)*'MATERIALES (2)'!$C$28)+((B110*2)*'MATERIALES (2)'!$C$27)+(((A110-0.2)*'MATERIALES (2)'!$C$30)*((B110-0.36)/0.12)))*'MATERIALES (2)'!$F$1</f>
        <v>191679.95174999998</v>
      </c>
      <c r="D110" s="59">
        <f>(2*'MATERIALES (2)'!$C$135)+(20*'MATERIALES (2)'!$C$147)+(20*'MATERIALES (2)'!$C$148)+((8*2)*'MATERIALES (2)'!$C$134)+(3*'MATERIALES (2)'!$C$149)+(((B110*2)+(A110*1))*'MATERIALES (2)'!$C$138)+(((A110*2)+(0.4*6))*'MATERIALES (2)'!$C$130)+((A110*2)+(B110*2)*'MATERIALES (2)'!$C$154)+(0.5*'MATERIALES (2)'!$C$156)+(1*'MATERIALES (2)'!$C$151)+(((A110*5)*2)*'MATERIALES (2)'!$C$136)+(4*'MATERIALES (2)'!$C$137)</f>
        <v>22935.4</v>
      </c>
      <c r="E110" s="75"/>
      <c r="F110" s="55">
        <f>(A110*0.4)*'MATERIALES (2)'!$D$85</f>
        <v>2072</v>
      </c>
      <c r="G110" s="38">
        <f t="shared" si="30"/>
        <v>216687.35174999997</v>
      </c>
      <c r="H110" s="49">
        <f t="shared" si="31"/>
        <v>392036.22983469657</v>
      </c>
      <c r="M110" s="68">
        <v>0.7</v>
      </c>
      <c r="N110" s="69">
        <v>2.1</v>
      </c>
      <c r="O110" s="59">
        <f>((((M110*1)+(N110*2))*'MATERIALES (2)'!$C$26)+((M110*3)*'MATERIALES (2)'!$C$28)+((N110*2)*'MATERIALES (2)'!$C$27)+((((M110-0.2))*'MATERIALES (2)'!$C$30)*(0.6/0.12))+(((M110*2)+(N110*2))*'MATERIALES (2)'!$C$31)+((M110*2)+(N110)*'MATERIALES (2)'!$C$32))*'MATERIALES (2)'!$F$1</f>
        <v>169579.641</v>
      </c>
      <c r="P110" s="59">
        <f>(2*'MATERIALES (2)'!$C$135)+(18*'MATERIALES (2)'!$C$147)+(18*'MATERIALES (2)'!$C$148)+((8*2)*'MATERIALES (2)'!$C$134)+(3*'MATERIALES (2)'!$C$149)+(((N110*2)+(M110*1))*'MATERIALES (2)'!$C$138)+(((M110*6)+(N110*4))*'MATERIALES (2)'!$C$155)+(0.25*'MATERIALES (2)'!$C$156)+(((M110*2)+(0.6*2))*'MATERIALES (2)'!$C$154)+(1*'MATERIALES (2)'!$C$151)+(((M110*5)*2)*'MATERIALES (2)'!$C$136)+(4*'MATERIALES (2)'!$C$137)</f>
        <v>20518</v>
      </c>
      <c r="Q110" s="75"/>
      <c r="R110" s="55">
        <f>(M110*N110)*'MATERIALES (2)'!$D$85</f>
        <v>10878</v>
      </c>
      <c r="S110" s="59">
        <f t="shared" si="32"/>
        <v>200975.641</v>
      </c>
      <c r="T110" s="67">
        <f>((((SUM(O110:Q110)*$O$101)+(R110*$R$101))*1.21)*1.05)*1.05</f>
        <v>371376.30537228379</v>
      </c>
      <c r="U110" s="787"/>
    </row>
    <row r="111" spans="1:21" ht="15.75" thickBot="1">
      <c r="A111" s="42">
        <v>0.8</v>
      </c>
      <c r="B111" s="37">
        <v>2.1</v>
      </c>
      <c r="C111" s="38">
        <f>((((A111*1)+(B111*2))*'MATERIALES (2)'!$C$26)+((A111*3)*'MATERIALES (2)'!$C$28)+((0.4*2)*'MATERIALES (2)'!$C$28)+((B111*2)*'MATERIALES (2)'!$C$27)+(((A111-0.2)*'MATERIALES (2)'!$C$30)*((B111-0.36)/0.12)))*'MATERIALES (2)'!$F$1</f>
        <v>212000.75400000002</v>
      </c>
      <c r="D111" s="59">
        <f>(2*'MATERIALES (2)'!$C$135)+(20*'MATERIALES (2)'!$C$147)+(20*'MATERIALES (2)'!$C$148)+((8*2)*'MATERIALES (2)'!$C$134)+(3*'MATERIALES (2)'!$C$149)+(((B111*2)+(A111*1))*'MATERIALES (2)'!$C$138)+(((A111*2)+(0.4*6))*'MATERIALES (2)'!$C$130)+((A111*2)+(B111*2)*'MATERIALES (2)'!$C$154)+(0.5*'MATERIALES (2)'!$C$156)+(1*'MATERIALES (2)'!$C$151)+(((A111*5)*2)*'MATERIALES (2)'!$C$136)+(4*'MATERIALES (2)'!$C$137)</f>
        <v>22989.599999999999</v>
      </c>
      <c r="E111" s="75"/>
      <c r="F111" s="55">
        <f>(A111*0.4)*'MATERIALES (2)'!$D$85</f>
        <v>2368.0000000000005</v>
      </c>
      <c r="G111" s="38">
        <f t="shared" si="30"/>
        <v>237358.35400000002</v>
      </c>
      <c r="H111" s="49">
        <f t="shared" si="31"/>
        <v>429520.00184304762</v>
      </c>
      <c r="M111" s="68">
        <v>0.8</v>
      </c>
      <c r="N111" s="69">
        <v>2.1</v>
      </c>
      <c r="O111" s="59">
        <f>((((M111*1)+(N111*2))*'MATERIALES (2)'!$C$26)+((M111*3)*'MATERIALES (2)'!$C$28)+((N111*2)*'MATERIALES (2)'!$C$27)+((((M111-0.2))*'MATERIALES (2)'!$C$30)*(0.6/0.12))+(((M111*2)+(N111*2))*'MATERIALES (2)'!$C$31)+((M111*2)+(N111)*'MATERIALES (2)'!$C$32))*'MATERIALES (2)'!$F$1</f>
        <v>182039.61825000003</v>
      </c>
      <c r="P111" s="59">
        <f>(2*'MATERIALES (2)'!$C$135)+(18*'MATERIALES (2)'!$C$147)+(18*'MATERIALES (2)'!$C$148)+((8*2)*'MATERIALES (2)'!$C$134)+(3*'MATERIALES (2)'!$C$149)+(((N111*2)+(M111*1))*'MATERIALES (2)'!$C$138)+(((M111*6)+(N111*4))*'MATERIALES (2)'!$C$155)+(0.25*'MATERIALES (2)'!$C$156)+(((M111*2)+(0.6*2))*'MATERIALES (2)'!$C$154)+(1*'MATERIALES (2)'!$C$151)+(((M111*5)*2)*'MATERIALES (2)'!$C$136)+(4*'MATERIALES (2)'!$C$137)</f>
        <v>20632</v>
      </c>
      <c r="Q111" s="75"/>
      <c r="R111" s="55">
        <f>(M111*N111)*'MATERIALES (2)'!$D$85</f>
        <v>12432.000000000002</v>
      </c>
      <c r="S111" s="59">
        <f t="shared" si="32"/>
        <v>215103.61825000003</v>
      </c>
      <c r="T111" s="67">
        <f t="shared" si="33"/>
        <v>398167.355073541</v>
      </c>
      <c r="U111" s="787"/>
    </row>
    <row r="112" spans="1:21" ht="15.75" thickBot="1">
      <c r="A112" s="44">
        <v>0.9</v>
      </c>
      <c r="B112" s="45">
        <v>2.1</v>
      </c>
      <c r="C112" s="50">
        <f>((((A112*1)+(B112*2))*'MATERIALES (2)'!$C$26)+((A112*3)*'MATERIALES (2)'!$C$28)+((0.4*2)*'MATERIALES (2)'!$C$28)+((B112*2)*'MATERIALES (2)'!$C$27)+(((A112-0.2)*'MATERIALES (2)'!$C$30)*((B112-0.36)/0.12)))*'MATERIALES (2)'!$F$1</f>
        <v>232321.55625000005</v>
      </c>
      <c r="D112" s="60">
        <f>(2*'MATERIALES (2)'!$C$135)+(20*'MATERIALES (2)'!$C$147)+(20*'MATERIALES (2)'!$C$148)+((8*2)*'MATERIALES (2)'!$C$134)+(3*'MATERIALES (2)'!$C$149)+(((B112*2)+(A112*1))*'MATERIALES (2)'!$C$138)+(((A112*2)+(0.4*6))*'MATERIALES (2)'!$C$130)+((A112*2)+(B112*2)*'MATERIALES (2)'!$C$154)+(0.5*'MATERIALES (2)'!$C$156)+(1*'MATERIALES (2)'!$C$151)+(((A112*5)*2)*'MATERIALES (2)'!$C$136)+(4*'MATERIALES (2)'!$C$137)</f>
        <v>23043.8</v>
      </c>
      <c r="E112" s="76"/>
      <c r="F112" s="56">
        <f>(A112*0.4)*'MATERIALES (2)'!$D$85</f>
        <v>2664.0000000000005</v>
      </c>
      <c r="G112" s="50">
        <f t="shared" si="30"/>
        <v>258029.35625000004</v>
      </c>
      <c r="H112" s="49">
        <f t="shared" si="31"/>
        <v>467003.77385139861</v>
      </c>
      <c r="M112" s="71">
        <v>0.9</v>
      </c>
      <c r="N112" s="72">
        <v>2.1</v>
      </c>
      <c r="O112" s="60">
        <f>((((M112*1)+(N112*2))*'MATERIALES (2)'!$C$26)+((M112*3)*'MATERIALES (2)'!$C$28)+((N112*2)*'MATERIALES (2)'!$C$27)+((((M112-0.2))*'MATERIALES (2)'!$C$30)*(0.6/0.12))+(((M112*2)+(N112*2))*'MATERIALES (2)'!$C$31)+((M112*2)+(N112)*'MATERIALES (2)'!$C$32))*'MATERIALES (2)'!$F$1</f>
        <v>194499.59550000002</v>
      </c>
      <c r="P112" s="60">
        <f>(2*'MATERIALES (2)'!$C$135)+(18*'MATERIALES (2)'!$C$147)+(18*'MATERIALES (2)'!$C$148)+((8*2)*'MATERIALES (2)'!$C$134)+(3*'MATERIALES (2)'!$C$149)+(((N112*2)+(M112*1))*'MATERIALES (2)'!$C$138)+(((M112*6)+(N112*4))*'MATERIALES (2)'!$C$155)+(0.25*'MATERIALES (2)'!$C$156)+(((M112*2)+(0.6*2))*'MATERIALES (2)'!$C$154)+(1*'MATERIALES (2)'!$C$151)+(((M112*5)*2)*'MATERIALES (2)'!$C$136)+(4*'MATERIALES (2)'!$C$137)</f>
        <v>20746</v>
      </c>
      <c r="Q112" s="76"/>
      <c r="R112" s="56">
        <f>(M112*N112)*'MATERIALES (2)'!$D$85</f>
        <v>13986.000000000002</v>
      </c>
      <c r="S112" s="60">
        <f t="shared" si="32"/>
        <v>229231.59550000002</v>
      </c>
      <c r="T112" s="67">
        <f t="shared" si="33"/>
        <v>424958.40477479825</v>
      </c>
      <c r="U112" s="788"/>
    </row>
    <row r="114" spans="1:21" ht="15.75" thickBot="1">
      <c r="C114" s="78"/>
      <c r="O114" s="78"/>
    </row>
    <row r="115" spans="1:21" ht="15.75" thickBot="1">
      <c r="A115" s="32"/>
      <c r="B115" s="32"/>
      <c r="C115" s="947">
        <v>1.35</v>
      </c>
      <c r="D115" s="948"/>
      <c r="E115" s="949"/>
      <c r="F115" s="728">
        <v>2</v>
      </c>
      <c r="G115" s="32"/>
      <c r="H115" s="46" t="s">
        <v>163</v>
      </c>
      <c r="M115" s="32"/>
      <c r="N115" s="32"/>
      <c r="O115" s="947">
        <v>1.35</v>
      </c>
      <c r="P115" s="948"/>
      <c r="Q115" s="949"/>
      <c r="R115" s="728">
        <v>2</v>
      </c>
      <c r="S115" s="32"/>
      <c r="T115" s="46" t="s">
        <v>163</v>
      </c>
    </row>
    <row r="116" spans="1:21" ht="15.75" thickBot="1">
      <c r="A116" s="792" t="s">
        <v>230</v>
      </c>
      <c r="B116" s="793"/>
      <c r="C116" s="793"/>
      <c r="D116" s="793"/>
      <c r="E116" s="793"/>
      <c r="F116" s="793"/>
      <c r="G116" s="793"/>
      <c r="H116" s="794"/>
      <c r="I116" s="882" t="s">
        <v>255</v>
      </c>
      <c r="M116" s="792" t="s">
        <v>229</v>
      </c>
      <c r="N116" s="793"/>
      <c r="O116" s="793"/>
      <c r="P116" s="793"/>
      <c r="Q116" s="793"/>
      <c r="R116" s="793"/>
      <c r="S116" s="793"/>
      <c r="T116" s="794"/>
      <c r="U116" s="882" t="s">
        <v>255</v>
      </c>
    </row>
    <row r="117" spans="1:21" ht="15.75" thickBot="1">
      <c r="A117" s="36" t="s">
        <v>116</v>
      </c>
      <c r="B117" s="36" t="s">
        <v>117</v>
      </c>
      <c r="C117" s="36" t="s">
        <v>162</v>
      </c>
      <c r="D117" s="36" t="s">
        <v>119</v>
      </c>
      <c r="E117" s="36" t="s">
        <v>120</v>
      </c>
      <c r="F117" s="36" t="s">
        <v>118</v>
      </c>
      <c r="G117" s="36" t="s">
        <v>121</v>
      </c>
      <c r="H117" s="36" t="s">
        <v>122</v>
      </c>
      <c r="I117" s="883"/>
      <c r="M117" s="36" t="s">
        <v>116</v>
      </c>
      <c r="N117" s="36" t="s">
        <v>117</v>
      </c>
      <c r="O117" s="36" t="s">
        <v>162</v>
      </c>
      <c r="P117" s="36" t="s">
        <v>119</v>
      </c>
      <c r="Q117" s="36" t="s">
        <v>120</v>
      </c>
      <c r="R117" s="36" t="s">
        <v>118</v>
      </c>
      <c r="S117" s="36" t="s">
        <v>121</v>
      </c>
      <c r="T117" s="36" t="s">
        <v>122</v>
      </c>
      <c r="U117" s="883"/>
    </row>
    <row r="118" spans="1:21" ht="15.75" thickBot="1">
      <c r="A118" s="795"/>
      <c r="B118" s="796"/>
      <c r="C118" s="796"/>
      <c r="D118" s="796"/>
      <c r="E118" s="796"/>
      <c r="F118" s="796"/>
      <c r="G118" s="796"/>
      <c r="H118" s="797"/>
      <c r="I118" s="883"/>
      <c r="M118" s="795"/>
      <c r="N118" s="796"/>
      <c r="O118" s="796"/>
      <c r="P118" s="796"/>
      <c r="Q118" s="796"/>
      <c r="R118" s="796"/>
      <c r="S118" s="796"/>
      <c r="T118" s="797"/>
      <c r="U118" s="883"/>
    </row>
    <row r="119" spans="1:21" ht="15.75" thickBot="1">
      <c r="A119" s="65">
        <v>0.6</v>
      </c>
      <c r="B119" s="66">
        <v>2</v>
      </c>
      <c r="C119" s="58">
        <f>((((A119*1)+(B119*2))*'MATERIALES (2)'!$C$26)+((A119*3)*'MATERIALES (2)'!$C$28)+((B119*2)*'MATERIALES (2)'!$C$27)+(((A119-0.2)*'MATERIALES (2)'!$C$30)*((B119-0.36)/0.12))+(((A119*2)+(0.6*2))*'MATERIALES (2)'!$C$31)+((A119+0.6)*'MATERIALES (2)'!$C$32))*'MATERIALES (2)'!$F$1</f>
        <v>166987.46749999997</v>
      </c>
      <c r="D119" s="58">
        <f>(2*'MATERIALES (2)'!$C$135)+(16*'MATERIALES (2)'!$C$147)+(16*'MATERIALES (2)'!$C$148)+((8*2)*'MATERIALES (2)'!$C$134)+(3*'MATERIALES (2)'!$C$149)+(((B119*2)+(A119*1))*'MATERIALES (2)'!$C$138)+(((A119*4)+(0.6*4))*'MATERIALES (2)'!$C$155)+(0.5*'MATERIALES (2)'!$C$55)+(((A119*2)+(B119*2))*'MATERIALES (2)'!$C$154)+(1*'MATERIALES (2)'!$C$151)+(((A119*5)*2)*'MATERIALES (2)'!$C$136)+(4*'MATERIALES (2)'!$C$137)</f>
        <v>17964.3115</v>
      </c>
      <c r="E119" s="74"/>
      <c r="F119" s="54">
        <f>(A119*0.6)*'MATERIALES (2)'!$D$85</f>
        <v>2664</v>
      </c>
      <c r="G119" s="58">
        <f>SUM(C119:F119)</f>
        <v>187615.77899999998</v>
      </c>
      <c r="H119" s="67">
        <f>(((((SUM(C119:E119)*$C$115)+(F119*$F$115)))*1.21)*1.05)*1.05</f>
        <v>340193.58612364123</v>
      </c>
      <c r="I119" s="787"/>
      <c r="M119" s="65">
        <v>0.6</v>
      </c>
      <c r="N119" s="66">
        <v>2</v>
      </c>
      <c r="O119" s="58">
        <f>((((M119*1)+(N119*2))*'MATERIALES (2)'!$C$26)+((M119*3)*'MATERIALES (2)'!$C$28)+((N119*2)*'MATERIALES (2)'!$C$27)+(((M119-0.2)*'MATERIALES (2)'!$C$30)*((N119/2)/0.12))+(((M119*2)+((N119/2)*2))*'MATERIALES (2)'!$C$31)+((M119+(N119/2))*'MATERIALES (2)'!$C$32))*'MATERIALES (2)'!$F$1</f>
        <v>146825.78049999999</v>
      </c>
      <c r="P119" s="58">
        <f>(2*'MATERIALES (2)'!$C$135)+(16*'MATERIALES (2)'!$C$147)+(16*'MATERIALES (2)'!$C$148)+((8*2)*'MATERIALES (2)'!$C$134)+(3*'MATERIALES (2)'!$C$149)+(((N119*2)+(M119*1))*'MATERIALES (2)'!$C$138)+(((M119*2)+((N119/2)*2))*'MATERIALES (2)'!$C$154)+(1*'MATERIALES (2)'!$C$151)+(0.5*'MATERIALES (2)'!$C$156)+(((M119*5)*2)*'MATERIALES (2)'!$C$136)+(4*'MATERIALES (2)'!$C$137)</f>
        <v>21004</v>
      </c>
      <c r="Q119" s="74"/>
      <c r="R119" s="54">
        <f>(M119*(N119/2))*'MATERIALES (2)'!$D$85</f>
        <v>4440</v>
      </c>
      <c r="S119" s="58">
        <f>SUM(O119:R119)</f>
        <v>172269.78049999999</v>
      </c>
      <c r="T119" s="67">
        <f>((((SUM(O119:Q119)*$O$115)+(R119*$R$115))*1.21)*1.05)*1.05</f>
        <v>314096.45795754192</v>
      </c>
      <c r="U119" s="787"/>
    </row>
    <row r="120" spans="1:21" ht="15.75" thickBot="1">
      <c r="A120" s="68">
        <v>0.7</v>
      </c>
      <c r="B120" s="69">
        <v>2</v>
      </c>
      <c r="C120" s="59">
        <f>((((A120*1)+(B120*2))*'MATERIALES (2)'!$C$26)+((A120*3)*'MATERIALES (2)'!$C$28)+((B120*2)*'MATERIALES (2)'!$C$27)+(((A120-0.2)*'MATERIALES (2)'!$C$30)*((B120-0.36)/0.12))+(((A120*2)+(0.6*2))*'MATERIALES (2)'!$C$31)+((A120+0.6)*'MATERIALES (2)'!$C$32))*'MATERIALES (2)'!$F$1</f>
        <v>187332.9535</v>
      </c>
      <c r="D120" s="59">
        <f>(2*'MATERIALES (2)'!$C$135)+(16*'MATERIALES (2)'!$C$147)+(16*'MATERIALES (2)'!$C$148)+((8*2)*'MATERIALES (2)'!$C$134)+(3*'MATERIALES (2)'!$C$149)+(((B120*2)+(A120*1))*'MATERIALES (2)'!$C$138)+(((A120*4)+(0.6*4))*'MATERIALES (2)'!$C$155)+(0.5*'MATERIALES (2)'!$C$55)+(((A120*2)+(B120*2))*'MATERIALES (2)'!$C$154)+(1*'MATERIALES (2)'!$C$151)+(((A120*5)*2)*'MATERIALES (2)'!$C$136)+(4*'MATERIALES (2)'!$C$137)</f>
        <v>18058.3115</v>
      </c>
      <c r="E120" s="75"/>
      <c r="F120" s="55">
        <f>(A120*0.6)*'MATERIALES (2)'!$D$85</f>
        <v>3108</v>
      </c>
      <c r="G120" s="59">
        <f t="shared" ref="G120:G126" si="34">SUM(C120:F120)</f>
        <v>208499.26500000001</v>
      </c>
      <c r="H120" s="67">
        <f t="shared" ref="H120:H126" si="35">(((((SUM(C120:E120)*$C$115)+(F120*$F$115)))*1.21)*1.05)*1.05</f>
        <v>378188.36049369385</v>
      </c>
      <c r="I120" s="787"/>
      <c r="M120" s="68">
        <v>0.7</v>
      </c>
      <c r="N120" s="69">
        <v>2</v>
      </c>
      <c r="O120" s="59">
        <f>((((M120*1)+(N120*2))*'MATERIALES (2)'!$C$26)+((M120*3)*'MATERIALES (2)'!$C$28)+((N120*2)*'MATERIALES (2)'!$C$27)+(((M120-0.2)*'MATERIALES (2)'!$C$30)*((N120/2)/0.12))+(((M120*2)+((N120/2)*2))*'MATERIALES (2)'!$C$31)+((M120+(N120/2))*'MATERIALES (2)'!$C$32))*'MATERIALES (2)'!$F$1</f>
        <v>161168.17849999998</v>
      </c>
      <c r="P120" s="59">
        <f>(2*'MATERIALES (2)'!$C$135)+(16*'MATERIALES (2)'!$C$147)+(16*'MATERIALES (2)'!$C$148)+((8*2)*'MATERIALES (2)'!$C$134)+(3*'MATERIALES (2)'!$C$149)+(((N120*2)+(M120*1))*'MATERIALES (2)'!$C$138)+(((M120*2)+((N120/2)*2))*'MATERIALES (2)'!$C$154)+(1*'MATERIALES (2)'!$C$151)+(0.5*'MATERIALES (2)'!$C$156)+(((M120*5)*2)*'MATERIALES (2)'!$C$136)+(4*'MATERIALES (2)'!$C$137)</f>
        <v>21058</v>
      </c>
      <c r="Q120" s="75"/>
      <c r="R120" s="55">
        <f>(M120*(N120/2))*'MATERIALES (2)'!$D$85</f>
        <v>5180</v>
      </c>
      <c r="S120" s="59">
        <f t="shared" ref="S120:S126" si="36">SUM(O120:R120)</f>
        <v>187406.17849999998</v>
      </c>
      <c r="T120" s="67">
        <f t="shared" ref="T120:T126" si="37">((((SUM(O120:Q120)*$O$115)+(R120*$R$115))*1.21)*1.05)*1.05</f>
        <v>341997.77399417438</v>
      </c>
      <c r="U120" s="787"/>
    </row>
    <row r="121" spans="1:21" ht="15.75" thickBot="1">
      <c r="A121" s="68">
        <v>0.8</v>
      </c>
      <c r="B121" s="69">
        <v>2</v>
      </c>
      <c r="C121" s="59">
        <f>((((A121*1)+(B121*2))*'MATERIALES (2)'!$C$26)+((A121*3)*'MATERIALES (2)'!$C$28)+((B121*2)*'MATERIALES (2)'!$C$27)+(((A121-0.2)*'MATERIALES (2)'!$C$30)*((B121-0.36)/0.12))+(((A121*2)+(0.6*2))*'MATERIALES (2)'!$C$31)+((A121+0.6)*'MATERIALES (2)'!$C$32))*'MATERIALES (2)'!$F$1</f>
        <v>207678.43950000001</v>
      </c>
      <c r="D121" s="59">
        <f>(2*'MATERIALES (2)'!$C$135)+(16*'MATERIALES (2)'!$C$147)+(16*'MATERIALES (2)'!$C$148)+((8*2)*'MATERIALES (2)'!$C$134)+(3*'MATERIALES (2)'!$C$149)+(((B121*2)+(A121*1))*'MATERIALES (2)'!$C$138)+(((A121*4)+(0.6*4))*'MATERIALES (2)'!$C$155)+(0.5*'MATERIALES (2)'!$C$55)+(((A121*2)+(B121*2))*'MATERIALES (2)'!$C$154)+(1*'MATERIALES (2)'!$C$151)+(((A121*5)*2)*'MATERIALES (2)'!$C$136)+(4*'MATERIALES (2)'!$C$137)</f>
        <v>18152.3115</v>
      </c>
      <c r="E121" s="75"/>
      <c r="F121" s="55">
        <f>(A121*0.6)*'MATERIALES (2)'!$D$85</f>
        <v>3552</v>
      </c>
      <c r="G121" s="59">
        <f t="shared" si="34"/>
        <v>229382.75100000002</v>
      </c>
      <c r="H121" s="67">
        <f t="shared" si="35"/>
        <v>416183.13486374635</v>
      </c>
      <c r="I121" s="787"/>
      <c r="M121" s="68">
        <v>0.8</v>
      </c>
      <c r="N121" s="69">
        <v>2</v>
      </c>
      <c r="O121" s="59">
        <f>((((M121*1)+(N121*2))*'MATERIALES (2)'!$C$26)+((M121*3)*'MATERIALES (2)'!$C$28)+((N121*2)*'MATERIALES (2)'!$C$27)+(((M121-0.2)*'MATERIALES (2)'!$C$30)*((N121/2)/0.12))+(((M121*2)+((N121/2)*2))*'MATERIALES (2)'!$C$31)+((M121+(N121/2))*'MATERIALES (2)'!$C$32))*'MATERIALES (2)'!$F$1</f>
        <v>175510.57650000002</v>
      </c>
      <c r="P121" s="59">
        <f>(2*'MATERIALES (2)'!$C$135)+(16*'MATERIALES (2)'!$C$147)+(16*'MATERIALES (2)'!$C$148)+((8*2)*'MATERIALES (2)'!$C$134)+(3*'MATERIALES (2)'!$C$149)+(((N121*2)+(M121*1))*'MATERIALES (2)'!$C$138)+(((M121*2)+((N121/2)*2))*'MATERIALES (2)'!$C$154)+(1*'MATERIALES (2)'!$C$151)+(0.5*'MATERIALES (2)'!$C$156)+(((M121*5)*2)*'MATERIALES (2)'!$C$136)+(4*'MATERIALES (2)'!$C$137)</f>
        <v>21112</v>
      </c>
      <c r="Q121" s="75"/>
      <c r="R121" s="55">
        <f>(M121*(N121/2))*'MATERIALES (2)'!$D$85</f>
        <v>5920</v>
      </c>
      <c r="S121" s="59">
        <f t="shared" si="36"/>
        <v>202542.57650000002</v>
      </c>
      <c r="T121" s="67">
        <f t="shared" si="37"/>
        <v>369899.09003080695</v>
      </c>
      <c r="U121" s="787"/>
    </row>
    <row r="122" spans="1:21" ht="15" customHeight="1" thickBot="1">
      <c r="A122" s="68">
        <v>0.9</v>
      </c>
      <c r="B122" s="69">
        <v>2</v>
      </c>
      <c r="C122" s="59">
        <f>((((A122*1)+(B122*2))*'MATERIALES (2)'!$C$26)+((A122*3)*'MATERIALES (2)'!$C$28)+((B122*2)*'MATERIALES (2)'!$C$27)+(((A122-0.2)*'MATERIALES (2)'!$C$30)*((B122-0.36)/0.12))+(((A122*2)+(0.6*2))*'MATERIALES (2)'!$C$31)+((A122+0.6)*'MATERIALES (2)'!$C$32))*'MATERIALES (2)'!$F$1</f>
        <v>228023.92549999998</v>
      </c>
      <c r="D122" s="59">
        <f>(2*'MATERIALES (2)'!$C$135)+(16*'MATERIALES (2)'!$C$147)+(16*'MATERIALES (2)'!$C$148)+((8*2)*'MATERIALES (2)'!$C$134)+(3*'MATERIALES (2)'!$C$149)+(((B122*2)+(A122*1))*'MATERIALES (2)'!$C$138)+(((A122*4)+(0.6*4))*'MATERIALES (2)'!$C$155)+(0.5*'MATERIALES (2)'!$C$55)+(((A122*2)+(B122*2))*'MATERIALES (2)'!$C$154)+(1*'MATERIALES (2)'!$C$151)+(((A122*5)*2)*'MATERIALES (2)'!$C$136)+(4*'MATERIALES (2)'!$C$137)</f>
        <v>18246.3115</v>
      </c>
      <c r="E122" s="75"/>
      <c r="F122" s="55">
        <f>(A122*0.6)*'MATERIALES (2)'!$D$85</f>
        <v>3996.0000000000005</v>
      </c>
      <c r="G122" s="59">
        <f t="shared" si="34"/>
        <v>250266.23699999999</v>
      </c>
      <c r="H122" s="67">
        <f t="shared" si="35"/>
        <v>454177.90923379885</v>
      </c>
      <c r="I122" s="787"/>
      <c r="M122" s="68">
        <v>0.9</v>
      </c>
      <c r="N122" s="69">
        <v>2</v>
      </c>
      <c r="O122" s="59">
        <f>((((M122*1)+(N122*2))*'MATERIALES (2)'!$C$26)+((M122*3)*'MATERIALES (2)'!$C$28)+((N122*2)*'MATERIALES (2)'!$C$27)+(((M122-0.2)*'MATERIALES (2)'!$C$30)*((N122/2)/0.12))+(((M122*2)+((N122/2)*2))*'MATERIALES (2)'!$C$31)+((M122+(N122/2))*'MATERIALES (2)'!$C$32))*'MATERIALES (2)'!$F$1</f>
        <v>189852.97449999998</v>
      </c>
      <c r="P122" s="59">
        <f>(2*'MATERIALES (2)'!$C$135)+(16*'MATERIALES (2)'!$C$147)+(16*'MATERIALES (2)'!$C$148)+((8*2)*'MATERIALES (2)'!$C$134)+(3*'MATERIALES (2)'!$C$149)+(((N122*2)+(M122*1))*'MATERIALES (2)'!$C$138)+(((M122*2)+((N122/2)*2))*'MATERIALES (2)'!$C$154)+(1*'MATERIALES (2)'!$C$151)+(0.5*'MATERIALES (2)'!$C$156)+(((M122*5)*2)*'MATERIALES (2)'!$C$136)+(4*'MATERIALES (2)'!$C$137)</f>
        <v>21166</v>
      </c>
      <c r="Q122" s="75"/>
      <c r="R122" s="55">
        <f>(M122*(N122/2))*'MATERIALES (2)'!$D$85</f>
        <v>6660</v>
      </c>
      <c r="S122" s="59">
        <f t="shared" si="36"/>
        <v>217678.97449999998</v>
      </c>
      <c r="T122" s="67">
        <f t="shared" si="37"/>
        <v>397800.40606743941</v>
      </c>
      <c r="U122" s="787"/>
    </row>
    <row r="123" spans="1:21" ht="15.75" thickBot="1">
      <c r="A123" s="68">
        <v>0.6</v>
      </c>
      <c r="B123" s="69">
        <v>2.1</v>
      </c>
      <c r="C123" s="59">
        <f>((((A123*1)+(B123*2))*'MATERIALES (2)'!$C$26)+((A123*3)*'MATERIALES (2)'!$C$28)+((B123*2)*'MATERIALES (2)'!$C$27)+(((A123-0.2)*'MATERIALES (2)'!$C$30)*((B123-0.36)/0.12))+(((A123*2)+(0.6*2))*'MATERIALES (2)'!$C$31)+((A123+0.6)*'MATERIALES (2)'!$C$32))*'MATERIALES (2)'!$F$1</f>
        <v>174234.6165</v>
      </c>
      <c r="D123" s="59">
        <f>(2*'MATERIALES (2)'!$C$135)+(16*'MATERIALES (2)'!$C$147)+(16*'MATERIALES (2)'!$C$148)+((8*2)*'MATERIALES (2)'!$C$134)+(3*'MATERIALES (2)'!$C$149)+(((B123*2)+(A123*1))*'MATERIALES (2)'!$C$138)+(((A123*4)+(0.6*4))*'MATERIALES (2)'!$C$155)+(0.5*'MATERIALES (2)'!$C$55)+(((A123*2)+(B123*2))*'MATERIALES (2)'!$C$154)+(1*'MATERIALES (2)'!$C$151)+(((A123*5)*2)*'MATERIALES (2)'!$C$136)+(4*'MATERIALES (2)'!$C$137)</f>
        <v>18024.3115</v>
      </c>
      <c r="E123" s="75"/>
      <c r="F123" s="55">
        <f>(A123*0.6)*'MATERIALES (2)'!$D$85</f>
        <v>2664</v>
      </c>
      <c r="G123" s="59">
        <f t="shared" si="34"/>
        <v>194922.92800000001</v>
      </c>
      <c r="H123" s="67">
        <f t="shared" si="35"/>
        <v>353353.27737402008</v>
      </c>
      <c r="I123" s="787"/>
      <c r="M123" s="68">
        <v>0.6</v>
      </c>
      <c r="N123" s="69">
        <v>2.1</v>
      </c>
      <c r="O123" s="59">
        <f>((((M123*1)+(N123*2))*'MATERIALES (2)'!$C$26)+((M123*3)*'MATERIALES (2)'!$C$28)+((N123*2)*'MATERIALES (2)'!$C$27)+(((M123-0.2)*'MATERIALES (2)'!$C$30)*((N123/2)/0.12))+(((M123*2)+((N123/2)*2))*'MATERIALES (2)'!$C$31)+((M123+(N123/2))*'MATERIALES (2)'!$C$32))*'MATERIALES (2)'!$F$1</f>
        <v>152678.29762500001</v>
      </c>
      <c r="P123" s="59">
        <f>(2*'MATERIALES (2)'!$C$135)+(16*'MATERIALES (2)'!$C$147)+(16*'MATERIALES (2)'!$C$148)+((8*2)*'MATERIALES (2)'!$C$134)+(3*'MATERIALES (2)'!$C$149)+(((N123*2)+(M123*1))*'MATERIALES (2)'!$C$138)+(((M123*2)+((N123/2)*2))*'MATERIALES (2)'!$C$154)+(1*'MATERIALES (2)'!$C$151)+(0.5*'MATERIALES (2)'!$C$156)+(((M123*5)*2)*'MATERIALES (2)'!$C$136)+(4*'MATERIALES (2)'!$C$137)</f>
        <v>21040</v>
      </c>
      <c r="Q123" s="75"/>
      <c r="R123" s="55">
        <f>(M123*(N123/2))*'MATERIALES (2)'!$D$85</f>
        <v>4662</v>
      </c>
      <c r="S123" s="59">
        <f t="shared" si="36"/>
        <v>178380.29762500001</v>
      </c>
      <c r="T123" s="67">
        <f t="shared" si="37"/>
        <v>325293.59428540739</v>
      </c>
      <c r="U123" s="787"/>
    </row>
    <row r="124" spans="1:21" ht="15.75" thickBot="1">
      <c r="A124" s="68">
        <v>0.7</v>
      </c>
      <c r="B124" s="69">
        <v>2.1</v>
      </c>
      <c r="C124" s="59">
        <f>((((A124*1)+(B124*2))*'MATERIALES (2)'!$C$26)+((A124*3)*'MATERIALES (2)'!$C$28)+((B124*2)*'MATERIALES (2)'!$C$27)+(((A124-0.2)*'MATERIALES (2)'!$C$30)*((B124-0.36)/0.12))+(((A124*2)+(0.6*2))*'MATERIALES (2)'!$C$31)+((A124+0.6)*'MATERIALES (2)'!$C$32))*'MATERIALES (2)'!$F$1</f>
        <v>195518.08499999999</v>
      </c>
      <c r="D124" s="59">
        <f>(2*'MATERIALES (2)'!$C$135)+(16*'MATERIALES (2)'!$C$147)+(16*'MATERIALES (2)'!$C$148)+((8*2)*'MATERIALES (2)'!$C$134)+(3*'MATERIALES (2)'!$C$149)+(((B124*2)+(A124*1))*'MATERIALES (2)'!$C$138)+(((A124*4)+(0.6*4))*'MATERIALES (2)'!$C$155)+(0.5*'MATERIALES (2)'!$C$55)+(((A124*2)+(B124*2))*'MATERIALES (2)'!$C$154)+(1*'MATERIALES (2)'!$C$151)+(((A124*5)*2)*'MATERIALES (2)'!$C$136)+(4*'MATERIALES (2)'!$C$137)</f>
        <v>18118.3115</v>
      </c>
      <c r="E124" s="75"/>
      <c r="F124" s="55">
        <f>(A124*0.6)*'MATERIALES (2)'!$D$85</f>
        <v>3108</v>
      </c>
      <c r="G124" s="59">
        <f t="shared" si="34"/>
        <v>216744.3965</v>
      </c>
      <c r="H124" s="67">
        <f t="shared" si="35"/>
        <v>393037.29608523194</v>
      </c>
      <c r="I124" s="787"/>
      <c r="M124" s="68">
        <v>0.7</v>
      </c>
      <c r="N124" s="69">
        <v>2.1</v>
      </c>
      <c r="O124" s="59">
        <f>((((M124*1)+(N124*2))*'MATERIALES (2)'!$C$26)+((M124*3)*'MATERIALES (2)'!$C$28)+((N124*2)*'MATERIALES (2)'!$C$27)+(((M124-0.2)*'MATERIALES (2)'!$C$30)*((N124/2)/0.12))+(((M124*2)+((N124/2)*2))*'MATERIALES (2)'!$C$31)+((M124+(N124/2))*'MATERIALES (2)'!$C$32))*'MATERIALES (2)'!$F$1</f>
        <v>167489.68687500001</v>
      </c>
      <c r="P124" s="59">
        <f>(2*'MATERIALES (2)'!$C$135)+(16*'MATERIALES (2)'!$C$147)+(16*'MATERIALES (2)'!$C$148)+((8*2)*'MATERIALES (2)'!$C$134)+(3*'MATERIALES (2)'!$C$149)+(((N124*2)+(M124*1))*'MATERIALES (2)'!$C$138)+(((M124*2)+((N124/2)*2))*'MATERIALES (2)'!$C$154)+(1*'MATERIALES (2)'!$C$151)+(0.5*'MATERIALES (2)'!$C$156)+(((M124*5)*2)*'MATERIALES (2)'!$C$136)+(4*'MATERIALES (2)'!$C$137)</f>
        <v>21094</v>
      </c>
      <c r="Q124" s="75"/>
      <c r="R124" s="55">
        <f>(M124*(N124/2))*'MATERIALES (2)'!$D$85</f>
        <v>5439</v>
      </c>
      <c r="S124" s="59">
        <f t="shared" si="36"/>
        <v>194022.68687500001</v>
      </c>
      <c r="T124" s="67">
        <f t="shared" si="37"/>
        <v>354138.25034261961</v>
      </c>
      <c r="U124" s="787"/>
    </row>
    <row r="125" spans="1:21" ht="15.75" thickBot="1">
      <c r="A125" s="68">
        <v>0.8</v>
      </c>
      <c r="B125" s="69">
        <v>2.1</v>
      </c>
      <c r="C125" s="59">
        <f>((((A125*1)+(B125*2))*'MATERIALES (2)'!$C$26)+((A125*3)*'MATERIALES (2)'!$C$28)+((B125*2)*'MATERIALES (2)'!$C$27)+(((A125-0.2)*'MATERIALES (2)'!$C$30)*((B125-0.36)/0.12))+(((A125*2)+(0.6*2))*'MATERIALES (2)'!$C$31)+((A125+0.6)*'MATERIALES (2)'!$C$32))*'MATERIALES (2)'!$F$1</f>
        <v>216801.55350000004</v>
      </c>
      <c r="D125" s="59">
        <f>(2*'MATERIALES (2)'!$C$135)+(16*'MATERIALES (2)'!$C$147)+(16*'MATERIALES (2)'!$C$148)+((8*2)*'MATERIALES (2)'!$C$134)+(3*'MATERIALES (2)'!$C$149)+(((B125*2)+(A125*1))*'MATERIALES (2)'!$C$138)+(((A125*4)+(0.6*4))*'MATERIALES (2)'!$C$155)+(0.5*'MATERIALES (2)'!$C$55)+(((A125*2)+(B125*2))*'MATERIALES (2)'!$C$154)+(1*'MATERIALES (2)'!$C$151)+(((A125*5)*2)*'MATERIALES (2)'!$C$136)+(4*'MATERIALES (2)'!$C$137)</f>
        <v>18212.3115</v>
      </c>
      <c r="E125" s="75"/>
      <c r="F125" s="55">
        <f>(A125*0.6)*'MATERIALES (2)'!$D$85</f>
        <v>3552</v>
      </c>
      <c r="G125" s="59">
        <f t="shared" si="34"/>
        <v>238565.86500000005</v>
      </c>
      <c r="H125" s="67">
        <f t="shared" si="35"/>
        <v>432721.31479644385</v>
      </c>
      <c r="I125" s="787"/>
      <c r="M125" s="68">
        <v>0.8</v>
      </c>
      <c r="N125" s="69">
        <v>2.1</v>
      </c>
      <c r="O125" s="59">
        <f>((((M125*1)+(N125*2))*'MATERIALES (2)'!$C$26)+((M125*3)*'MATERIALES (2)'!$C$28)+((N125*2)*'MATERIALES (2)'!$C$27)+(((M125-0.2)*'MATERIALES (2)'!$C$30)*((N125/2)/0.12))+(((M125*2)+((N125/2)*2))*'MATERIALES (2)'!$C$31)+((M125+(N125/2))*'MATERIALES (2)'!$C$32))*'MATERIALES (2)'!$F$1</f>
        <v>182301.07612500005</v>
      </c>
      <c r="P125" s="59">
        <f>(2*'MATERIALES (2)'!$C$135)+(16*'MATERIALES (2)'!$C$147)+(16*'MATERIALES (2)'!$C$148)+((8*2)*'MATERIALES (2)'!$C$134)+(3*'MATERIALES (2)'!$C$149)+(((N125*2)+(M125*1))*'MATERIALES (2)'!$C$138)+(((M125*2)+((N125/2)*2))*'MATERIALES (2)'!$C$154)+(1*'MATERIALES (2)'!$C$151)+(0.5*'MATERIALES (2)'!$C$156)+(((M125*5)*2)*'MATERIALES (2)'!$C$136)+(4*'MATERIALES (2)'!$C$137)</f>
        <v>21148</v>
      </c>
      <c r="Q125" s="75"/>
      <c r="R125" s="55">
        <f>(M125*(N125/2))*'MATERIALES (2)'!$D$85</f>
        <v>6216.0000000000009</v>
      </c>
      <c r="S125" s="59">
        <f t="shared" si="36"/>
        <v>209665.07612500005</v>
      </c>
      <c r="T125" s="67">
        <f t="shared" si="37"/>
        <v>382982.90639983187</v>
      </c>
      <c r="U125" s="787"/>
    </row>
    <row r="126" spans="1:21" ht="15.75" thickBot="1">
      <c r="A126" s="71">
        <v>0.9</v>
      </c>
      <c r="B126" s="72">
        <v>2.1</v>
      </c>
      <c r="C126" s="60">
        <f>((((A126*1)+(B126*2))*'MATERIALES (2)'!$C$26)+((A126*3)*'MATERIALES (2)'!$C$28)+((B126*2)*'MATERIALES (2)'!$C$27)+(((A126-0.2)*'MATERIALES (2)'!$C$30)*((B126-0.36)/0.12))+(((A126*2)+(0.6*2))*'MATERIALES (2)'!$C$31)+((A126+0.6)*'MATERIALES (2)'!$C$32))*'MATERIALES (2)'!$F$1</f>
        <v>238085.02200000003</v>
      </c>
      <c r="D126" s="60">
        <f>(2*'MATERIALES (2)'!$C$135)+(16*'MATERIALES (2)'!$C$147)+(16*'MATERIALES (2)'!$C$148)+((8*2)*'MATERIALES (2)'!$C$134)+(3*'MATERIALES (2)'!$C$149)+(((B126*2)+(A126*1))*'MATERIALES (2)'!$C$138)+(((A126*4)+(0.6*4))*'MATERIALES (2)'!$C$155)+(0.5*'MATERIALES (2)'!$C$55)+(((A126*2)+(B126*2))*'MATERIALES (2)'!$C$154)+(1*'MATERIALES (2)'!$C$151)+(((A126*5)*2)*'MATERIALES (2)'!$C$136)+(4*'MATERIALES (2)'!$C$137)</f>
        <v>18306.3115</v>
      </c>
      <c r="E126" s="76"/>
      <c r="F126" s="56">
        <f>(A126*0.6)*'MATERIALES (2)'!$D$85</f>
        <v>3996.0000000000005</v>
      </c>
      <c r="G126" s="60">
        <f t="shared" si="34"/>
        <v>260387.33350000004</v>
      </c>
      <c r="H126" s="67">
        <f t="shared" si="35"/>
        <v>472405.33350765571</v>
      </c>
      <c r="I126" s="788"/>
      <c r="M126" s="71">
        <v>0.9</v>
      </c>
      <c r="N126" s="72">
        <v>2.1</v>
      </c>
      <c r="O126" s="60">
        <f>((((M126*1)+(N126*2))*'MATERIALES (2)'!$C$26)+((M126*3)*'MATERIALES (2)'!$C$28)+((N126*2)*'MATERIALES (2)'!$C$27)+(((M126-0.2)*'MATERIALES (2)'!$C$30)*((N126/2)/0.12))+(((M126*2)+((N126/2)*2))*'MATERIALES (2)'!$C$31)+((M126+(N126/2))*'MATERIALES (2)'!$C$32))*'MATERIALES (2)'!$F$1</f>
        <v>197112.46537500003</v>
      </c>
      <c r="P126" s="60">
        <f>(2*'MATERIALES (2)'!$C$135)+(16*'MATERIALES (2)'!$C$147)+(16*'MATERIALES (2)'!$C$148)+((8*2)*'MATERIALES (2)'!$C$134)+(3*'MATERIALES (2)'!$C$149)+(((N126*2)+(M126*1))*'MATERIALES (2)'!$C$138)+(((M126*2)+((N126/2)*2))*'MATERIALES (2)'!$C$154)+(1*'MATERIALES (2)'!$C$151)+(0.5*'MATERIALES (2)'!$C$156)+(((M126*5)*2)*'MATERIALES (2)'!$C$136)+(4*'MATERIALES (2)'!$C$137)</f>
        <v>21202</v>
      </c>
      <c r="Q126" s="76"/>
      <c r="R126" s="56">
        <f>(M126*(N126/2))*'MATERIALES (2)'!$D$85</f>
        <v>6993.0000000000009</v>
      </c>
      <c r="S126" s="60">
        <f t="shared" si="36"/>
        <v>225307.46537500003</v>
      </c>
      <c r="T126" s="67">
        <f t="shared" si="37"/>
        <v>411827.56245704403</v>
      </c>
      <c r="U126" s="788"/>
    </row>
    <row r="127" spans="1:21">
      <c r="U127" s="95"/>
    </row>
    <row r="129" spans="1:20" s="430" customFormat="1"/>
    <row r="131" spans="1:20" ht="15.75" thickBot="1"/>
    <row r="132" spans="1:20" ht="15.75" thickBot="1">
      <c r="A132" s="32"/>
      <c r="B132" s="32"/>
      <c r="C132" s="947">
        <v>1.35</v>
      </c>
      <c r="D132" s="948"/>
      <c r="E132" s="949"/>
      <c r="F132" s="728">
        <v>2</v>
      </c>
      <c r="G132" s="32"/>
      <c r="H132" s="46" t="s">
        <v>163</v>
      </c>
      <c r="M132" s="32"/>
      <c r="N132" s="32"/>
      <c r="O132" s="947">
        <v>1.35</v>
      </c>
      <c r="P132" s="948"/>
      <c r="Q132" s="948"/>
      <c r="R132" s="949"/>
      <c r="S132" s="32"/>
      <c r="T132" s="46" t="s">
        <v>163</v>
      </c>
    </row>
    <row r="133" spans="1:20" ht="15.75" thickBot="1">
      <c r="A133" s="792" t="s">
        <v>772</v>
      </c>
      <c r="B133" s="793"/>
      <c r="C133" s="793"/>
      <c r="D133" s="793"/>
      <c r="E133" s="793"/>
      <c r="F133" s="793"/>
      <c r="G133" s="793"/>
      <c r="H133" s="794"/>
      <c r="M133" s="792" t="s">
        <v>773</v>
      </c>
      <c r="N133" s="793"/>
      <c r="O133" s="793"/>
      <c r="P133" s="793"/>
      <c r="Q133" s="793"/>
      <c r="R133" s="793"/>
      <c r="S133" s="793"/>
      <c r="T133" s="794"/>
    </row>
    <row r="134" spans="1:20" ht="15.75" thickBot="1">
      <c r="A134" s="36" t="s">
        <v>116</v>
      </c>
      <c r="B134" s="36" t="s">
        <v>117</v>
      </c>
      <c r="C134" s="36" t="s">
        <v>162</v>
      </c>
      <c r="D134" s="36" t="s">
        <v>119</v>
      </c>
      <c r="E134" s="36" t="s">
        <v>120</v>
      </c>
      <c r="F134" s="36" t="s">
        <v>118</v>
      </c>
      <c r="G134" s="36" t="s">
        <v>121</v>
      </c>
      <c r="H134" s="36" t="s">
        <v>122</v>
      </c>
      <c r="M134" s="36" t="s">
        <v>116</v>
      </c>
      <c r="N134" s="36" t="s">
        <v>117</v>
      </c>
      <c r="O134" s="36" t="s">
        <v>162</v>
      </c>
      <c r="P134" s="36" t="s">
        <v>119</v>
      </c>
      <c r="Q134" s="36" t="s">
        <v>120</v>
      </c>
      <c r="R134" s="36" t="s">
        <v>207</v>
      </c>
      <c r="S134" s="36" t="s">
        <v>121</v>
      </c>
      <c r="T134" s="36" t="s">
        <v>122</v>
      </c>
    </row>
    <row r="135" spans="1:20" ht="15.75" thickBot="1">
      <c r="A135" s="795"/>
      <c r="B135" s="796"/>
      <c r="C135" s="796"/>
      <c r="D135" s="796"/>
      <c r="E135" s="796"/>
      <c r="F135" s="796"/>
      <c r="G135" s="796"/>
      <c r="H135" s="797"/>
      <c r="M135" s="795"/>
      <c r="N135" s="796"/>
      <c r="O135" s="796"/>
      <c r="P135" s="796"/>
      <c r="Q135" s="796"/>
      <c r="R135" s="796"/>
      <c r="S135" s="796"/>
      <c r="T135" s="797"/>
    </row>
    <row r="136" spans="1:20" ht="15.75" thickBot="1">
      <c r="A136" s="40">
        <v>0.6</v>
      </c>
      <c r="B136" s="41">
        <v>2</v>
      </c>
      <c r="C136" s="47">
        <f>((((A136*1)+(B136*2))*'MATERIALES (2)'!$C$33)+((A136*2)*'MATERIALES (2)'!$C$35)+((B136*2)*'MATERIALES (2)'!$C$34))*'MATERIALES (2)'!$F$1</f>
        <v>72100.853999999992</v>
      </c>
      <c r="D136" s="58">
        <f>(2*'MATERIALES (2)'!$C$135)+(8*'MATERIALES (2)'!$C$147)+(8*'MATERIALES (2)'!$C$148)+((8*2)*'MATERIALES (2)'!$C$134)+(3*'MATERIALES (2)'!$C$150)+(((B136*2)+(A136*1))*'MATERIALES (2)'!$C$138)+(((A136*2)+(B136*2))*'MATERIALES (2)'!$C$130)+(1*'MATERIALES (2)'!$C$151)+(((A136*5)*2)*'MATERIALES (2)'!$C$136)+(4*'MATERIALES (2)'!$C$137)</f>
        <v>15214</v>
      </c>
      <c r="E136" s="74"/>
      <c r="F136" s="54">
        <f>(A136*B136)*'MATERIALES (2)'!$D$85</f>
        <v>8880</v>
      </c>
      <c r="G136" s="47">
        <f>SUM(C136:F136)</f>
        <v>96194.853999999992</v>
      </c>
      <c r="H136" s="49">
        <f>((((SUM(C136:E136)*$C$132)+(F136*$F$132))*1.21)*1.05)*1.05</f>
        <v>180940.55144492252</v>
      </c>
      <c r="M136" s="40">
        <v>0.6</v>
      </c>
      <c r="N136" s="41">
        <v>2</v>
      </c>
      <c r="O136" s="47">
        <f>((((M136*1)+(N136*2))*'MATERIALES (2)'!$C$33)+((M136*2)*'MATERIALES (2)'!$C$35)+((N136*2)*'MATERIALES (2)'!$C$34))*'MATERIALES (2)'!$F$1</f>
        <v>72100.853999999992</v>
      </c>
      <c r="P136" s="58">
        <f>(2*'MATERIALES (2)'!$C$135)+(8*'MATERIALES (2)'!$C$147)+(8*'MATERIALES (2)'!$C$148)+((8*2)*'MATERIALES (2)'!$C$134)+(3*'MATERIALES (2)'!$C$150)+(((N136*2)+(M136*1))*'MATERIALES (2)'!$C$138)+(((M136*2)+(N136*2))*'MATERIALES (2)'!$C$154)+(1*'MATERIALES (2)'!$C$151)+(((M136*5)*2)*'MATERIALES (2)'!$C$136)+(4*'MATERIALES (2)'!$C$137)+(0.5*'MATERIALES (2)'!$C$156)</f>
        <v>19214</v>
      </c>
      <c r="Q136" s="74"/>
      <c r="R136" s="54">
        <f>(((M136-0.2)*'MATERIALES (2)'!$C$30)*(N136/0.12))*'MATERIALES (2)'!$F$1</f>
        <v>75038.599999999991</v>
      </c>
      <c r="S136" s="47">
        <f>SUM(O136:R136)</f>
        <v>166353.45399999997</v>
      </c>
      <c r="T136" s="49">
        <f>(((SUM(O136:R136)*$O$132)*1.21)*1.05)*1.05</f>
        <v>299591.5497376725</v>
      </c>
    </row>
    <row r="137" spans="1:20" ht="15.75" thickBot="1">
      <c r="A137" s="42">
        <v>0.7</v>
      </c>
      <c r="B137" s="37">
        <v>2</v>
      </c>
      <c r="C137" s="38">
        <f>((((A137*1)+(B137*2))*'MATERIALES (2)'!$C$33)+((A137*2)*'MATERIALES (2)'!$C$35)+((B137*2)*'MATERIALES (2)'!$C$34))*'MATERIALES (2)'!$F$1</f>
        <v>74639.103000000003</v>
      </c>
      <c r="D137" s="59">
        <f>(2*'MATERIALES (2)'!$C$135)+(8*'MATERIALES (2)'!$C$147)+(8*'MATERIALES (2)'!$C$148)+((8*2)*'MATERIALES (2)'!$C$134)+(3*'MATERIALES (2)'!$C$150)+(((B137*2)+(A137*1))*'MATERIALES (2)'!$C$138)+(((A137*2)+(B137*2))*'MATERIALES (2)'!$C$130)+(1*'MATERIALES (2)'!$C$151)+(((A137*5)*2)*'MATERIALES (2)'!$C$136)+(4*'MATERIALES (2)'!$C$137)</f>
        <v>15268</v>
      </c>
      <c r="E137" s="75"/>
      <c r="F137" s="55">
        <f>(A137*B137)*'MATERIALES (2)'!$D$85</f>
        <v>10360</v>
      </c>
      <c r="G137" s="38">
        <f t="shared" ref="G137:G143" si="38">SUM(C137:F137)</f>
        <v>100267.103</v>
      </c>
      <c r="H137" s="49">
        <f t="shared" ref="H137:H143" si="39">((((SUM(C137:E137)*$C$132)+(F137*$F$132))*1.21)*1.05)*1.05</f>
        <v>189557.73415742625</v>
      </c>
      <c r="M137" s="42">
        <v>0.7</v>
      </c>
      <c r="N137" s="37">
        <v>2</v>
      </c>
      <c r="O137" s="38">
        <f>((((M137*1)+(N137*2))*'MATERIALES (2)'!$C$33)+((M137*2)*'MATERIALES (2)'!$C$35)+((N137*2)*'MATERIALES (2)'!$C$34))*'MATERIALES (2)'!$F$1</f>
        <v>74639.103000000003</v>
      </c>
      <c r="P137" s="59">
        <f>(2*'MATERIALES (2)'!$C$135)+(8*'MATERIALES (2)'!$C$147)+(8*'MATERIALES (2)'!$C$148)+((8*2)*'MATERIALES (2)'!$C$134)+(3*'MATERIALES (2)'!$C$150)+(((N137*2)+(M137*1))*'MATERIALES (2)'!$C$138)+(((M137*2)+(N137*2))*'MATERIALES (2)'!$C$154)+(1*'MATERIALES (2)'!$C$151)+(((M137*5)*2)*'MATERIALES (2)'!$C$136)+(4*'MATERIALES (2)'!$C$137)+(0.5*'MATERIALES (2)'!$C$156)</f>
        <v>19268</v>
      </c>
      <c r="Q137" s="75"/>
      <c r="R137" s="55">
        <f>(((M137-0.2)*'MATERIALES (2)'!$C$30)*(N137/0.12))*'MATERIALES (2)'!$F$1</f>
        <v>93798.249999999985</v>
      </c>
      <c r="S137" s="38">
        <f t="shared" ref="S137:S143" si="40">SUM(O137:R137)</f>
        <v>187705.353</v>
      </c>
      <c r="T137" s="49">
        <f t="shared" ref="T137:T143" si="41">(((SUM(O137:R137)*$O$132)*1.21)*1.05)*1.05</f>
        <v>338044.90527336381</v>
      </c>
    </row>
    <row r="138" spans="1:20" ht="15.75" thickBot="1">
      <c r="A138" s="42">
        <v>0.8</v>
      </c>
      <c r="B138" s="37">
        <v>2</v>
      </c>
      <c r="C138" s="38">
        <f>((((A138*1)+(B138*2))*'MATERIALES (2)'!$C$33)+((A138*2)*'MATERIALES (2)'!$C$35)+((B138*2)*'MATERIALES (2)'!$C$34))*'MATERIALES (2)'!$F$1</f>
        <v>77177.351999999999</v>
      </c>
      <c r="D138" s="59">
        <f>(2*'MATERIALES (2)'!$C$135)+(8*'MATERIALES (2)'!$C$147)+(8*'MATERIALES (2)'!$C$148)+((8*2)*'MATERIALES (2)'!$C$134)+(3*'MATERIALES (2)'!$C$150)+(((B138*2)+(A138*1))*'MATERIALES (2)'!$C$138)+(((A138*2)+(B138*2))*'MATERIALES (2)'!$C$130)+(1*'MATERIALES (2)'!$C$151)+(((A138*5)*2)*'MATERIALES (2)'!$C$136)+(4*'MATERIALES (2)'!$C$137)</f>
        <v>15322</v>
      </c>
      <c r="E138" s="75"/>
      <c r="F138" s="55">
        <f>(A138*B138)*'MATERIALES (2)'!$D$85</f>
        <v>11840</v>
      </c>
      <c r="G138" s="38">
        <f t="shared" si="38"/>
        <v>104339.352</v>
      </c>
      <c r="H138" s="49">
        <f t="shared" si="39"/>
        <v>198174.91686993002</v>
      </c>
      <c r="M138" s="42">
        <v>0.8</v>
      </c>
      <c r="N138" s="37">
        <v>2</v>
      </c>
      <c r="O138" s="38">
        <f>((((M138*1)+(N138*2))*'MATERIALES (2)'!$C$33)+((M138*2)*'MATERIALES (2)'!$C$35)+((N138*2)*'MATERIALES (2)'!$C$34))*'MATERIALES (2)'!$F$1</f>
        <v>77177.351999999999</v>
      </c>
      <c r="P138" s="59">
        <f>(2*'MATERIALES (2)'!$C$135)+(8*'MATERIALES (2)'!$C$147)+(8*'MATERIALES (2)'!$C$148)+((8*2)*'MATERIALES (2)'!$C$134)+(3*'MATERIALES (2)'!$C$150)+(((N138*2)+(M138*1))*'MATERIALES (2)'!$C$138)+(((M138*2)+(N138*2))*'MATERIALES (2)'!$C$154)+(1*'MATERIALES (2)'!$C$151)+(((M138*5)*2)*'MATERIALES (2)'!$C$136)+(4*'MATERIALES (2)'!$C$137)+(0.5*'MATERIALES (2)'!$C$156)</f>
        <v>19322</v>
      </c>
      <c r="Q138" s="75"/>
      <c r="R138" s="55">
        <f>(((M138-0.2)*'MATERIALES (2)'!$C$30)*(N138/0.12))*'MATERIALES (2)'!$F$1</f>
        <v>112557.90000000002</v>
      </c>
      <c r="S138" s="38">
        <f t="shared" si="40"/>
        <v>209057.25200000004</v>
      </c>
      <c r="T138" s="49">
        <f t="shared" si="41"/>
        <v>376498.26080905506</v>
      </c>
    </row>
    <row r="139" spans="1:20" ht="15.75" thickBot="1">
      <c r="A139" s="42">
        <v>0.9</v>
      </c>
      <c r="B139" s="37">
        <v>2</v>
      </c>
      <c r="C139" s="38">
        <f>((((A139*1)+(B139*2))*'MATERIALES (2)'!$C$33)+((A139*2)*'MATERIALES (2)'!$C$35)+((B139*2)*'MATERIALES (2)'!$C$34))*'MATERIALES (2)'!$F$1</f>
        <v>79715.60100000001</v>
      </c>
      <c r="D139" s="59">
        <f>(2*'MATERIALES (2)'!$C$135)+(8*'MATERIALES (2)'!$C$147)+(8*'MATERIALES (2)'!$C$148)+((8*2)*'MATERIALES (2)'!$C$134)+(3*'MATERIALES (2)'!$C$150)+(((B139*2)+(A139*1))*'MATERIALES (2)'!$C$138)+(((A139*2)+(B139*2))*'MATERIALES (2)'!$C$130)+(1*'MATERIALES (2)'!$C$151)+(((A139*5)*2)*'MATERIALES (2)'!$C$136)+(4*'MATERIALES (2)'!$C$137)</f>
        <v>15376</v>
      </c>
      <c r="E139" s="75"/>
      <c r="F139" s="55">
        <f>(A139*B139)*'MATERIALES (2)'!$D$85</f>
        <v>13320</v>
      </c>
      <c r="G139" s="38">
        <f t="shared" si="38"/>
        <v>108411.60100000001</v>
      </c>
      <c r="H139" s="49">
        <f t="shared" si="39"/>
        <v>206792.09958243376</v>
      </c>
      <c r="M139" s="42">
        <v>0.9</v>
      </c>
      <c r="N139" s="37">
        <v>2</v>
      </c>
      <c r="O139" s="38">
        <f>((((M139*1)+(N139*2))*'MATERIALES (2)'!$C$33)+((M139*2)*'MATERIALES (2)'!$C$35)+((N139*2)*'MATERIALES (2)'!$C$34))*'MATERIALES (2)'!$F$1</f>
        <v>79715.60100000001</v>
      </c>
      <c r="P139" s="59">
        <f>(2*'MATERIALES (2)'!$C$135)+(8*'MATERIALES (2)'!$C$147)+(8*'MATERIALES (2)'!$C$148)+((8*2)*'MATERIALES (2)'!$C$134)+(3*'MATERIALES (2)'!$C$150)+(((N139*2)+(M139*1))*'MATERIALES (2)'!$C$138)+(((M139*2)+(N139*2))*'MATERIALES (2)'!$C$154)+(1*'MATERIALES (2)'!$C$151)+(((M139*5)*2)*'MATERIALES (2)'!$C$136)+(4*'MATERIALES (2)'!$C$137)+(0.5*'MATERIALES (2)'!$C$156)</f>
        <v>19376</v>
      </c>
      <c r="Q139" s="75"/>
      <c r="R139" s="55">
        <f>(((M139-0.2)*'MATERIALES (2)'!$C$30)*(N139/0.12))*'MATERIALES (2)'!$F$1</f>
        <v>131317.55000000002</v>
      </c>
      <c r="S139" s="38">
        <f t="shared" si="40"/>
        <v>230409.15100000001</v>
      </c>
      <c r="T139" s="49">
        <f t="shared" si="41"/>
        <v>414951.61634474626</v>
      </c>
    </row>
    <row r="140" spans="1:20" ht="15.75" thickBot="1">
      <c r="A140" s="42">
        <v>0.6</v>
      </c>
      <c r="B140" s="37">
        <v>2.1</v>
      </c>
      <c r="C140" s="38">
        <f>((((A140*1)+(B140*2))*'MATERIALES (2)'!$C$33)+((A140*2)*'MATERIALES (2)'!$C$35)+((B140*2)*'MATERIALES (2)'!$C$34))*'MATERIALES (2)'!$F$1</f>
        <v>74944.422000000006</v>
      </c>
      <c r="D140" s="59">
        <f>(2*'MATERIALES (2)'!$C$135)+(8*'MATERIALES (2)'!$C$147)+(8*'MATERIALES (2)'!$C$148)+((8*2)*'MATERIALES (2)'!$C$134)+(3*'MATERIALES (2)'!$C$150)+(((B140*2)+(A140*1))*'MATERIALES (2)'!$C$138)+(((A140*2)+(B140*2))*'MATERIALES (2)'!$C$130)+(1*'MATERIALES (2)'!$C$151)+(((A140*5)*2)*'MATERIALES (2)'!$C$136)+(4*'MATERIALES (2)'!$C$137)</f>
        <v>15274</v>
      </c>
      <c r="E140" s="75"/>
      <c r="F140" s="55">
        <f>(A140*B140)*'MATERIALES (2)'!$D$85</f>
        <v>9324</v>
      </c>
      <c r="G140" s="38">
        <f t="shared" si="38"/>
        <v>99542.422000000006</v>
      </c>
      <c r="H140" s="49">
        <f t="shared" si="39"/>
        <v>187354.29925154254</v>
      </c>
      <c r="M140" s="42">
        <v>0.6</v>
      </c>
      <c r="N140" s="37">
        <v>2.1</v>
      </c>
      <c r="O140" s="38">
        <f>((((M140*1)+(N140*2))*'MATERIALES (2)'!$C$33)+((M140*2)*'MATERIALES (2)'!$C$35)+((N140*2)*'MATERIALES (2)'!$C$34))*'MATERIALES (2)'!$F$1</f>
        <v>74944.422000000006</v>
      </c>
      <c r="P140" s="59">
        <f>(2*'MATERIALES (2)'!$C$135)+(8*'MATERIALES (2)'!$C$147)+(8*'MATERIALES (2)'!$C$148)+((8*2)*'MATERIALES (2)'!$C$134)+(3*'MATERIALES (2)'!$C$150)+(((N140*2)+(M140*1))*'MATERIALES (2)'!$C$138)+(((M140*2)+(N140*2))*'MATERIALES (2)'!$C$154)+(1*'MATERIALES (2)'!$C$151)+(((M140*5)*2)*'MATERIALES (2)'!$C$136)+(4*'MATERIALES (2)'!$C$137)+(0.5*'MATERIALES (2)'!$C$156)</f>
        <v>19274</v>
      </c>
      <c r="Q140" s="75"/>
      <c r="R140" s="55">
        <f>(((M140-0.2)*'MATERIALES (2)'!$C$30)*(N140/0.12))*'MATERIALES (2)'!$F$1</f>
        <v>78790.529999999984</v>
      </c>
      <c r="S140" s="38">
        <f t="shared" si="40"/>
        <v>173008.95199999999</v>
      </c>
      <c r="T140" s="49">
        <f t="shared" si="41"/>
        <v>311577.66070892999</v>
      </c>
    </row>
    <row r="141" spans="1:20" ht="15.75" thickBot="1">
      <c r="A141" s="42">
        <v>0.7</v>
      </c>
      <c r="B141" s="37">
        <v>2.1</v>
      </c>
      <c r="C141" s="38">
        <f>((((A141*1)+(B141*2))*'MATERIALES (2)'!$C$33)+((A141*2)*'MATERIALES (2)'!$C$35)+((B141*2)*'MATERIALES (2)'!$C$34))*'MATERIALES (2)'!$F$1</f>
        <v>77482.671000000002</v>
      </c>
      <c r="D141" s="59">
        <f>(2*'MATERIALES (2)'!$C$135)+(8*'MATERIALES (2)'!$C$147)+(8*'MATERIALES (2)'!$C$148)+((8*2)*'MATERIALES (2)'!$C$134)+(3*'MATERIALES (2)'!$C$150)+(((B141*2)+(A141*1))*'MATERIALES (2)'!$C$138)+(((A141*2)+(B141*2))*'MATERIALES (2)'!$C$130)+(1*'MATERIALES (2)'!$C$151)+(((A141*5)*2)*'MATERIALES (2)'!$C$136)+(4*'MATERIALES (2)'!$C$137)</f>
        <v>15328</v>
      </c>
      <c r="E141" s="75"/>
      <c r="F141" s="55">
        <f>(A141*B141)*'MATERIALES (2)'!$D$85</f>
        <v>10878</v>
      </c>
      <c r="G141" s="38">
        <f t="shared" si="38"/>
        <v>103688.671</v>
      </c>
      <c r="H141" s="49">
        <f t="shared" si="39"/>
        <v>196168.91766404625</v>
      </c>
      <c r="M141" s="42">
        <v>0.7</v>
      </c>
      <c r="N141" s="37">
        <v>2.1</v>
      </c>
      <c r="O141" s="38">
        <f>((((M141*1)+(N141*2))*'MATERIALES (2)'!$C$33)+((M141*2)*'MATERIALES (2)'!$C$35)+((N141*2)*'MATERIALES (2)'!$C$34))*'MATERIALES (2)'!$F$1</f>
        <v>77482.671000000002</v>
      </c>
      <c r="P141" s="59">
        <f>(2*'MATERIALES (2)'!$C$135)+(8*'MATERIALES (2)'!$C$147)+(8*'MATERIALES (2)'!$C$148)+((8*2)*'MATERIALES (2)'!$C$134)+(3*'MATERIALES (2)'!$C$150)+(((N141*2)+(M141*1))*'MATERIALES (2)'!$C$138)+(((M141*2)+(N141*2))*'MATERIALES (2)'!$C$154)+(1*'MATERIALES (2)'!$C$151)+(((M141*5)*2)*'MATERIALES (2)'!$C$136)+(4*'MATERIALES (2)'!$C$137)+(0.5*'MATERIALES (2)'!$C$156)</f>
        <v>19328</v>
      </c>
      <c r="Q141" s="75"/>
      <c r="R141" s="55">
        <f>(((M141-0.2)*'MATERIALES (2)'!$C$30)*(N141/0.12))*'MATERIALES (2)'!$F$1</f>
        <v>98488.162499999991</v>
      </c>
      <c r="S141" s="38">
        <f t="shared" si="40"/>
        <v>195298.83350000001</v>
      </c>
      <c r="T141" s="49">
        <f t="shared" si="41"/>
        <v>351720.2605857806</v>
      </c>
    </row>
    <row r="142" spans="1:20" ht="15.75" thickBot="1">
      <c r="A142" s="42">
        <v>0.8</v>
      </c>
      <c r="B142" s="37">
        <v>2.1</v>
      </c>
      <c r="C142" s="38">
        <f>((((A142*1)+(B142*2))*'MATERIALES (2)'!$C$33)+((A142*2)*'MATERIALES (2)'!$C$35)+((B142*2)*'MATERIALES (2)'!$C$34))*'MATERIALES (2)'!$F$1</f>
        <v>80020.920000000013</v>
      </c>
      <c r="D142" s="59">
        <f>(2*'MATERIALES (2)'!$C$135)+(8*'MATERIALES (2)'!$C$147)+(8*'MATERIALES (2)'!$C$148)+((8*2)*'MATERIALES (2)'!$C$134)+(3*'MATERIALES (2)'!$C$150)+(((B142*2)+(A142*1))*'MATERIALES (2)'!$C$138)+(((A142*2)+(B142*2))*'MATERIALES (2)'!$C$130)+(1*'MATERIALES (2)'!$C$151)+(((A142*5)*2)*'MATERIALES (2)'!$C$136)+(4*'MATERIALES (2)'!$C$137)</f>
        <v>15382</v>
      </c>
      <c r="E142" s="75"/>
      <c r="F142" s="55">
        <f>(A142*B142)*'MATERIALES (2)'!$D$85</f>
        <v>12432.000000000002</v>
      </c>
      <c r="G142" s="38">
        <f t="shared" si="38"/>
        <v>107834.92000000001</v>
      </c>
      <c r="H142" s="49">
        <f t="shared" si="39"/>
        <v>204983.53607655005</v>
      </c>
      <c r="M142" s="42">
        <v>0.8</v>
      </c>
      <c r="N142" s="37">
        <v>2.1</v>
      </c>
      <c r="O142" s="38">
        <f>((((M142*1)+(N142*2))*'MATERIALES (2)'!$C$33)+((M142*2)*'MATERIALES (2)'!$C$35)+((N142*2)*'MATERIALES (2)'!$C$34))*'MATERIALES (2)'!$F$1</f>
        <v>80020.920000000013</v>
      </c>
      <c r="P142" s="59">
        <f>(2*'MATERIALES (2)'!$C$135)+(8*'MATERIALES (2)'!$C$147)+(8*'MATERIALES (2)'!$C$148)+((8*2)*'MATERIALES (2)'!$C$134)+(3*'MATERIALES (2)'!$C$150)+(((N142*2)+(M142*1))*'MATERIALES (2)'!$C$138)+(((M142*2)+(N142*2))*'MATERIALES (2)'!$C$154)+(1*'MATERIALES (2)'!$C$151)+(((M142*5)*2)*'MATERIALES (2)'!$C$136)+(4*'MATERIALES (2)'!$C$137)+(0.5*'MATERIALES (2)'!$C$156)</f>
        <v>19382</v>
      </c>
      <c r="Q142" s="75"/>
      <c r="R142" s="55">
        <f>(((M142-0.2)*'MATERIALES (2)'!$C$30)*(N142/0.12))*'MATERIALES (2)'!$F$1</f>
        <v>118185.79500000003</v>
      </c>
      <c r="S142" s="38">
        <f t="shared" si="40"/>
        <v>217588.71500000003</v>
      </c>
      <c r="T142" s="49">
        <f t="shared" si="41"/>
        <v>391862.86046263139</v>
      </c>
    </row>
    <row r="143" spans="1:20" ht="15.75" thickBot="1">
      <c r="A143" s="44">
        <v>0.9</v>
      </c>
      <c r="B143" s="45">
        <v>2.1</v>
      </c>
      <c r="C143" s="50">
        <f>((((A143*1)+(B143*2))*'MATERIALES (2)'!$C$33)+((A143*2)*'MATERIALES (2)'!$C$35)+((B143*2)*'MATERIALES (2)'!$C$34))*'MATERIALES (2)'!$F$1</f>
        <v>82559.169000000009</v>
      </c>
      <c r="D143" s="60">
        <f>(2*'MATERIALES (2)'!$C$135)+(8*'MATERIALES (2)'!$C$147)+(8*'MATERIALES (2)'!$C$148)+((8*2)*'MATERIALES (2)'!$C$134)+(3*'MATERIALES (2)'!$C$150)+(((B143*2)+(A143*1))*'MATERIALES (2)'!$C$138)+(((A143*2)+(B143*2))*'MATERIALES (2)'!$C$130)+(1*'MATERIALES (2)'!$C$151)+(((A143*5)*2)*'MATERIALES (2)'!$C$136)+(4*'MATERIALES (2)'!$C$137)</f>
        <v>15436</v>
      </c>
      <c r="E143" s="76"/>
      <c r="F143" s="56">
        <f>(A143*B143)*'MATERIALES (2)'!$D$85</f>
        <v>13986.000000000002</v>
      </c>
      <c r="G143" s="50">
        <f t="shared" si="38"/>
        <v>111981.16900000001</v>
      </c>
      <c r="H143" s="49">
        <f t="shared" si="39"/>
        <v>213798.15448905376</v>
      </c>
      <c r="M143" s="44">
        <v>0.9</v>
      </c>
      <c r="N143" s="45">
        <v>2.1</v>
      </c>
      <c r="O143" s="50">
        <f>((((M143*1)+(N143*2))*'MATERIALES (2)'!$C$33)+((M143*2)*'MATERIALES (2)'!$C$35)+((N143*2)*'MATERIALES (2)'!$C$34))*'MATERIALES (2)'!$F$1</f>
        <v>82559.169000000009</v>
      </c>
      <c r="P143" s="60">
        <f>(2*'MATERIALES (2)'!$C$135)+(8*'MATERIALES (2)'!$C$147)+(8*'MATERIALES (2)'!$C$148)+((8*2)*'MATERIALES (2)'!$C$134)+(3*'MATERIALES (2)'!$C$150)+(((N143*2)+(M143*1))*'MATERIALES (2)'!$C$138)+(((M143*2)+(N143*2))*'MATERIALES (2)'!$C$154)+(1*'MATERIALES (2)'!$C$151)+(((M143*5)*2)*'MATERIALES (2)'!$C$136)+(4*'MATERIALES (2)'!$C$137)+(0.5*'MATERIALES (2)'!$C$156)</f>
        <v>19436</v>
      </c>
      <c r="Q143" s="76"/>
      <c r="R143" s="56">
        <f>(((M143-0.2)*'MATERIALES (2)'!$C$30)*(N143/0.12))*'MATERIALES (2)'!$F$1</f>
        <v>137883.42749999999</v>
      </c>
      <c r="S143" s="50">
        <f t="shared" si="40"/>
        <v>239878.59649999999</v>
      </c>
      <c r="T143" s="49">
        <f t="shared" si="41"/>
        <v>432005.46033948188</v>
      </c>
    </row>
    <row r="145" spans="1:20" ht="15.75" thickBot="1"/>
    <row r="146" spans="1:20" ht="15.75" thickBot="1">
      <c r="A146" s="32"/>
      <c r="B146" s="32"/>
      <c r="C146" s="947">
        <v>1.35</v>
      </c>
      <c r="D146" s="948"/>
      <c r="E146" s="949"/>
      <c r="F146" s="728">
        <v>2</v>
      </c>
      <c r="G146" s="32"/>
      <c r="H146" s="46" t="s">
        <v>163</v>
      </c>
      <c r="M146" s="32"/>
      <c r="N146" s="32"/>
      <c r="O146" s="947">
        <v>1.35</v>
      </c>
      <c r="P146" s="948"/>
      <c r="Q146" s="949"/>
      <c r="R146" s="728">
        <v>2</v>
      </c>
      <c r="S146" s="32"/>
      <c r="T146" s="46" t="s">
        <v>163</v>
      </c>
    </row>
    <row r="147" spans="1:20" ht="15.75" thickBot="1">
      <c r="A147" s="792" t="s">
        <v>776</v>
      </c>
      <c r="B147" s="793"/>
      <c r="C147" s="793"/>
      <c r="D147" s="793"/>
      <c r="E147" s="793"/>
      <c r="F147" s="793"/>
      <c r="G147" s="793"/>
      <c r="H147" s="794"/>
      <c r="M147" s="792" t="s">
        <v>774</v>
      </c>
      <c r="N147" s="793"/>
      <c r="O147" s="793"/>
      <c r="P147" s="793"/>
      <c r="Q147" s="793"/>
      <c r="R147" s="793"/>
      <c r="S147" s="793"/>
      <c r="T147" s="794"/>
    </row>
    <row r="148" spans="1:20" ht="15.75" thickBot="1">
      <c r="A148" s="36" t="s">
        <v>116</v>
      </c>
      <c r="B148" s="36" t="s">
        <v>117</v>
      </c>
      <c r="C148" s="36" t="s">
        <v>162</v>
      </c>
      <c r="D148" s="36" t="s">
        <v>119</v>
      </c>
      <c r="E148" s="36" t="s">
        <v>120</v>
      </c>
      <c r="F148" s="36" t="s">
        <v>118</v>
      </c>
      <c r="G148" s="36" t="s">
        <v>121</v>
      </c>
      <c r="H148" s="36" t="s">
        <v>122</v>
      </c>
      <c r="M148" s="36" t="s">
        <v>116</v>
      </c>
      <c r="N148" s="36" t="s">
        <v>117</v>
      </c>
      <c r="O148" s="36" t="s">
        <v>162</v>
      </c>
      <c r="P148" s="36" t="s">
        <v>119</v>
      </c>
      <c r="Q148" s="36" t="s">
        <v>120</v>
      </c>
      <c r="R148" s="36" t="s">
        <v>118</v>
      </c>
      <c r="S148" s="36" t="s">
        <v>121</v>
      </c>
      <c r="T148" s="36" t="s">
        <v>122</v>
      </c>
    </row>
    <row r="149" spans="1:20" ht="15.75" thickBot="1">
      <c r="A149" s="795"/>
      <c r="B149" s="796"/>
      <c r="C149" s="796"/>
      <c r="D149" s="796"/>
      <c r="E149" s="796"/>
      <c r="F149" s="796"/>
      <c r="G149" s="796"/>
      <c r="H149" s="797"/>
      <c r="M149" s="795"/>
      <c r="N149" s="796"/>
      <c r="O149" s="796"/>
      <c r="P149" s="796"/>
      <c r="Q149" s="796"/>
      <c r="R149" s="796"/>
      <c r="S149" s="796"/>
      <c r="T149" s="797"/>
    </row>
    <row r="150" spans="1:20" ht="15.75" thickBot="1">
      <c r="A150" s="40">
        <v>0.6</v>
      </c>
      <c r="B150" s="41">
        <v>2</v>
      </c>
      <c r="C150" s="47">
        <f>((((A150*1)+(B150*2))*'MATERIALES (2)'!$C$33)+((A150*3)*'MATERIALES (2)'!$C$35)+((B150*2)*'MATERIALES (2)'!$C$34))*'MATERIALES (2)'!$F$1</f>
        <v>77637.608999999997</v>
      </c>
      <c r="D150" s="58">
        <f>(2*'MATERIALES (2)'!$C$135)+(12*'MATERIALES (2)'!$C$147)+(12*'MATERIALES (2)'!$C$148)+((8*2)*'MATERIALES (2)'!$C$134)+(3*'MATERIALES (2)'!$C$150)+(((B150*2)+(A150*1))*'MATERIALES (2)'!$C$138)+(((A150*4)+(B150*2))*'MATERIALES (2)'!$C$130)+(1*'MATERIALES (2)'!$C$151)+(((A150*5)*2)*'MATERIALES (2)'!$C$136)+(4*'MATERIALES (2)'!$C$137)</f>
        <v>16262</v>
      </c>
      <c r="E150" s="74"/>
      <c r="F150" s="54">
        <f>(A150*B150)*'MATERIALES (2)'!$D$85</f>
        <v>8880</v>
      </c>
      <c r="G150" s="47">
        <f>SUM(C150:F150)</f>
        <v>102779.609</v>
      </c>
      <c r="H150" s="49">
        <f>((((SUM(C150:E150)*$C$146)+(F150*$F$146))*1.21)*1.05)*1.05</f>
        <v>192799.25895990373</v>
      </c>
      <c r="M150" s="40">
        <v>0.6</v>
      </c>
      <c r="N150" s="41">
        <v>2</v>
      </c>
      <c r="O150" s="47">
        <f>((((M150*1)+(N150*2))*'MATERIALES (2)'!$C$33)+((M150*3)*'MATERIALES (2)'!$C$35)+((N150*2)*'MATERIALES (2)'!$C$34)+(((M150-0.2)*'MATERIALES (2)'!$C$30)*((N150/2)/0.12)))*'MATERIALES (2)'!$F$1</f>
        <v>115156.909</v>
      </c>
      <c r="P150" s="58">
        <f>(2*'MATERIALES (2)'!$C$135)+(12*'MATERIALES (2)'!$C$147)+(12*'MATERIALES (2)'!$C$148)+((8*2)*'MATERIALES (2)'!$C$134)+(3*'MATERIALES (2)'!$C$150)+(((N150*2)+(M150*1))*'MATERIALES (2)'!$C$138)+(((M150*2)+((N150/2)*2))*'MATERIALES (2)'!$C$130)+(((M150*2)+((N150/2)*2))*'MATERIALES (2)'!$C$154)+(1*'MATERIALES (2)'!$C$151)+(((M150*5)*2)*'MATERIALES (2)'!$C$136)+(4*'MATERIALES (2)'!$C$137)+(0.25*'MATERIALES (2)'!$C$156)</f>
        <v>18262</v>
      </c>
      <c r="Q150" s="74">
        <v>0</v>
      </c>
      <c r="R150" s="54">
        <f>(M150*(N150/2))*'MATERIALES (2)'!$D$85</f>
        <v>4440</v>
      </c>
      <c r="S150" s="47">
        <f>SUM(O150:R150)</f>
        <v>137858.90899999999</v>
      </c>
      <c r="T150" s="49">
        <f>((((SUM(O150:Q150)*$O$146)+(R150*$R$146))*1.21)*1.05)*1.05</f>
        <v>252124.75810627875</v>
      </c>
    </row>
    <row r="151" spans="1:20" ht="15.75" thickBot="1">
      <c r="A151" s="42">
        <v>0.7</v>
      </c>
      <c r="B151" s="37">
        <v>2</v>
      </c>
      <c r="C151" s="38">
        <f>((((A151*1)+(B151*2))*'MATERIALES (2)'!$C$33)+((A151*3)*'MATERIALES (2)'!$C$35)+((B151*2)*'MATERIALES (2)'!$C$34))*'MATERIALES (2)'!$F$1</f>
        <v>81098.650500000003</v>
      </c>
      <c r="D151" s="59">
        <f>(2*'MATERIALES (2)'!$C$135)+(12*'MATERIALES (2)'!$C$147)+(12*'MATERIALES (2)'!$C$148)+((8*2)*'MATERIALES (2)'!$C$134)+(3*'MATERIALES (2)'!$C$150)+(((B151*2)+(A151*1))*'MATERIALES (2)'!$C$138)+(((A151*4)+(B151*2))*'MATERIALES (2)'!$C$130)+(1*'MATERIALES (2)'!$C$151)+(((A151*5)*2)*'MATERIALES (2)'!$C$136)+(4*'MATERIALES (2)'!$C$137)</f>
        <v>16364</v>
      </c>
      <c r="E151" s="75"/>
      <c r="F151" s="55">
        <f>(A151*B151)*'MATERIALES (2)'!$D$85</f>
        <v>10360</v>
      </c>
      <c r="G151" s="38">
        <f t="shared" ref="G151:G157" si="42">SUM(C151:F151)</f>
        <v>107822.6505</v>
      </c>
      <c r="H151" s="49">
        <f t="shared" ref="H151:H157" si="43">((((SUM(C151:E151)*$C$146)+(F151*$F$146))*1.21)*1.05)*1.05</f>
        <v>203164.7746499044</v>
      </c>
      <c r="M151" s="42">
        <v>0.7</v>
      </c>
      <c r="N151" s="37">
        <v>2</v>
      </c>
      <c r="O151" s="38">
        <f>((((M151*1)+(N151*2))*'MATERIALES (2)'!$C$33)+((M151*3)*'MATERIALES (2)'!$C$35)+((N151*2)*'MATERIALES (2)'!$C$34)+(((M151-0.2)*'MATERIALES (2)'!$C$30)*((N151/2)/0.12)))*'MATERIALES (2)'!$F$1</f>
        <v>127997.77550000002</v>
      </c>
      <c r="P151" s="59">
        <f>(2*'MATERIALES (2)'!$C$135)+(12*'MATERIALES (2)'!$C$147)+(12*'MATERIALES (2)'!$C$148)+((8*2)*'MATERIALES (2)'!$C$134)+(3*'MATERIALES (2)'!$C$150)+(((N151*2)+(M151*1))*'MATERIALES (2)'!$C$138)+(((M151*2)+((N151/2)*2))*'MATERIALES (2)'!$C$130)+(((M151*2)+((N151/2)*2))*'MATERIALES (2)'!$C$154)+(1*'MATERIALES (2)'!$C$151)+(((M151*5)*2)*'MATERIALES (2)'!$C$136)+(4*'MATERIALES (2)'!$C$137)+(0.25*'MATERIALES (2)'!$C$156)</f>
        <v>18364</v>
      </c>
      <c r="Q151" s="75">
        <v>0</v>
      </c>
      <c r="R151" s="55">
        <f>(M151*(N151/2))*'MATERIALES (2)'!$D$85</f>
        <v>5180</v>
      </c>
      <c r="S151" s="38">
        <f t="shared" ref="S151:S157" si="44">SUM(O151:R151)</f>
        <v>151541.77550000002</v>
      </c>
      <c r="T151" s="49">
        <f t="shared" ref="T151:T157" si="45">((((SUM(O151:Q151)*$O$146)+(R151*$R$146))*1.21)*1.05)*1.05</f>
        <v>277408.36020787322</v>
      </c>
    </row>
    <row r="152" spans="1:20" ht="15.75" thickBot="1">
      <c r="A152" s="42">
        <v>0.8</v>
      </c>
      <c r="B152" s="37">
        <v>2</v>
      </c>
      <c r="C152" s="38">
        <f>((((A152*1)+(B152*2))*'MATERIALES (2)'!$C$33)+((A152*3)*'MATERIALES (2)'!$C$35)+((B152*2)*'MATERIALES (2)'!$C$34))*'MATERIALES (2)'!$F$1</f>
        <v>84559.691999999995</v>
      </c>
      <c r="D152" s="59">
        <f>(2*'MATERIALES (2)'!$C$135)+(12*'MATERIALES (2)'!$C$147)+(12*'MATERIALES (2)'!$C$148)+((8*2)*'MATERIALES (2)'!$C$134)+(3*'MATERIALES (2)'!$C$150)+(((B152*2)+(A152*1))*'MATERIALES (2)'!$C$138)+(((A152*4)+(B152*2))*'MATERIALES (2)'!$C$130)+(1*'MATERIALES (2)'!$C$151)+(((A152*5)*2)*'MATERIALES (2)'!$C$136)+(4*'MATERIALES (2)'!$C$137)</f>
        <v>16466</v>
      </c>
      <c r="E152" s="75"/>
      <c r="F152" s="55">
        <f>(A152*B152)*'MATERIALES (2)'!$D$85</f>
        <v>11840</v>
      </c>
      <c r="G152" s="38">
        <f t="shared" si="42"/>
        <v>112865.692</v>
      </c>
      <c r="H152" s="49">
        <f t="shared" si="43"/>
        <v>213530.29033990501</v>
      </c>
      <c r="M152" s="42">
        <v>0.8</v>
      </c>
      <c r="N152" s="37">
        <v>2</v>
      </c>
      <c r="O152" s="38">
        <f>((((M152*1)+(N152*2))*'MATERIALES (2)'!$C$33)+((M152*3)*'MATERIALES (2)'!$C$35)+((N152*2)*'MATERIALES (2)'!$C$34)+(((M152-0.2)*'MATERIALES (2)'!$C$30)*((N152/2)/0.12)))*'MATERIALES (2)'!$F$1</f>
        <v>140838.64200000002</v>
      </c>
      <c r="P152" s="59">
        <f>(2*'MATERIALES (2)'!$C$135)+(12*'MATERIALES (2)'!$C$147)+(12*'MATERIALES (2)'!$C$148)+((8*2)*'MATERIALES (2)'!$C$134)+(3*'MATERIALES (2)'!$C$150)+(((N152*2)+(M152*1))*'MATERIALES (2)'!$C$138)+(((M152*2)+((N152/2)*2))*'MATERIALES (2)'!$C$130)+(((M152*2)+((N152/2)*2))*'MATERIALES (2)'!$C$154)+(1*'MATERIALES (2)'!$C$151)+(((M152*5)*2)*'MATERIALES (2)'!$C$136)+(4*'MATERIALES (2)'!$C$137)+(0.25*'MATERIALES (2)'!$C$156)</f>
        <v>18466</v>
      </c>
      <c r="Q152" s="75">
        <v>0</v>
      </c>
      <c r="R152" s="55">
        <f>(M152*(N152/2))*'MATERIALES (2)'!$D$85</f>
        <v>5920</v>
      </c>
      <c r="S152" s="38">
        <f t="shared" si="44"/>
        <v>165224.64200000002</v>
      </c>
      <c r="T152" s="49">
        <f t="shared" si="45"/>
        <v>302691.96230946755</v>
      </c>
    </row>
    <row r="153" spans="1:20" ht="15.75" thickBot="1">
      <c r="A153" s="42">
        <v>0.9</v>
      </c>
      <c r="B153" s="37">
        <v>2</v>
      </c>
      <c r="C153" s="38">
        <f>((((A153*1)+(B153*2))*'MATERIALES (2)'!$C$33)+((A153*3)*'MATERIALES (2)'!$C$35)+((B153*2)*'MATERIALES (2)'!$C$34))*'MATERIALES (2)'!$F$1</f>
        <v>88020.733500000002</v>
      </c>
      <c r="D153" s="59">
        <f>(2*'MATERIALES (2)'!$C$135)+(12*'MATERIALES (2)'!$C$147)+(12*'MATERIALES (2)'!$C$148)+((8*2)*'MATERIALES (2)'!$C$134)+(3*'MATERIALES (2)'!$C$150)+(((B153*2)+(A153*1))*'MATERIALES (2)'!$C$138)+(((A153*4)+(B153*2))*'MATERIALES (2)'!$C$130)+(1*'MATERIALES (2)'!$C$151)+(((A153*5)*2)*'MATERIALES (2)'!$C$136)+(4*'MATERIALES (2)'!$C$137)</f>
        <v>16568</v>
      </c>
      <c r="E153" s="75"/>
      <c r="F153" s="55">
        <f>(A153*B153)*'MATERIALES (2)'!$D$85</f>
        <v>13320</v>
      </c>
      <c r="G153" s="38">
        <f t="shared" si="42"/>
        <v>117908.7335</v>
      </c>
      <c r="H153" s="49">
        <f t="shared" si="43"/>
        <v>223895.80602990565</v>
      </c>
      <c r="M153" s="42">
        <v>0.9</v>
      </c>
      <c r="N153" s="37">
        <v>2</v>
      </c>
      <c r="O153" s="38">
        <f>((((M153*1)+(N153*2))*'MATERIALES (2)'!$C$33)+((M153*3)*'MATERIALES (2)'!$C$35)+((N153*2)*'MATERIALES (2)'!$C$34)+(((M153-0.2)*'MATERIALES (2)'!$C$30)*((N153/2)/0.12)))*'MATERIALES (2)'!$F$1</f>
        <v>153679.5085</v>
      </c>
      <c r="P153" s="59">
        <f>(2*'MATERIALES (2)'!$C$135)+(12*'MATERIALES (2)'!$C$147)+(12*'MATERIALES (2)'!$C$148)+((8*2)*'MATERIALES (2)'!$C$134)+(3*'MATERIALES (2)'!$C$150)+(((N153*2)+(M153*1))*'MATERIALES (2)'!$C$138)+(((M153*2)+((N153/2)*2))*'MATERIALES (2)'!$C$130)+(((M153*2)+((N153/2)*2))*'MATERIALES (2)'!$C$154)+(1*'MATERIALES (2)'!$C$151)+(((M153*5)*2)*'MATERIALES (2)'!$C$136)+(4*'MATERIALES (2)'!$C$137)+(0.25*'MATERIALES (2)'!$C$156)</f>
        <v>18568</v>
      </c>
      <c r="Q153" s="75">
        <v>0</v>
      </c>
      <c r="R153" s="55">
        <f>(M153*(N153/2))*'MATERIALES (2)'!$D$85</f>
        <v>6660</v>
      </c>
      <c r="S153" s="38">
        <f t="shared" si="44"/>
        <v>178907.5085</v>
      </c>
      <c r="T153" s="49">
        <f t="shared" si="45"/>
        <v>327975.56441106187</v>
      </c>
    </row>
    <row r="154" spans="1:20" ht="15.75" thickBot="1">
      <c r="A154" s="42">
        <v>0.6</v>
      </c>
      <c r="B154" s="37">
        <v>2.1</v>
      </c>
      <c r="C154" s="38">
        <f>((((A154*1)+(B154*2))*'MATERIALES (2)'!$C$33)+((A154*3)*'MATERIALES (2)'!$C$35)+((B154*2)*'MATERIALES (2)'!$C$34))*'MATERIALES (2)'!$F$1</f>
        <v>80481.176999999996</v>
      </c>
      <c r="D154" s="59">
        <f>(2*'MATERIALES (2)'!$C$135)+(12*'MATERIALES (2)'!$C$147)+(12*'MATERIALES (2)'!$C$148)+((8*2)*'MATERIALES (2)'!$C$134)+(3*'MATERIALES (2)'!$C$150)+(((B154*2)+(A154*1))*'MATERIALES (2)'!$C$138)+(((A154*4)+(B154*2))*'MATERIALES (2)'!$C$130)+(1*'MATERIALES (2)'!$C$151)+(((A154*5)*2)*'MATERIALES (2)'!$C$136)+(4*'MATERIALES (2)'!$C$137)</f>
        <v>16322</v>
      </c>
      <c r="E154" s="75"/>
      <c r="F154" s="55">
        <f>(A154*B154)*'MATERIALES (2)'!$D$85</f>
        <v>9324</v>
      </c>
      <c r="G154" s="38">
        <f t="shared" si="42"/>
        <v>106127.177</v>
      </c>
      <c r="H154" s="49">
        <f t="shared" si="43"/>
        <v>199213.00676652376</v>
      </c>
      <c r="M154" s="42">
        <v>0.6</v>
      </c>
      <c r="N154" s="37">
        <v>2.1</v>
      </c>
      <c r="O154" s="38">
        <f>((((M154*1)+(N154*2))*'MATERIALES (2)'!$C$33)+((M154*3)*'MATERIALES (2)'!$C$35)+((N154*2)*'MATERIALES (2)'!$C$34)+(((M154-0.2)*'MATERIALES (2)'!$C$30)*((N154/2)/0.12)))*'MATERIALES (2)'!$F$1</f>
        <v>119876.44199999997</v>
      </c>
      <c r="P154" s="59">
        <f>(2*'MATERIALES (2)'!$C$135)+(12*'MATERIALES (2)'!$C$147)+(12*'MATERIALES (2)'!$C$148)+((8*2)*'MATERIALES (2)'!$C$134)+(3*'MATERIALES (2)'!$C$150)+(((N154*2)+(M154*1))*'MATERIALES (2)'!$C$138)+(((M154*2)+((N154/2)*2))*'MATERIALES (2)'!$C$130)+(((M154*2)+((N154/2)*2))*'MATERIALES (2)'!$C$154)+(1*'MATERIALES (2)'!$C$151)+(((M154*5)*2)*'MATERIALES (2)'!$C$136)+(4*'MATERIALES (2)'!$C$137)+(0.25*'MATERIALES (2)'!$C$156)</f>
        <v>18322</v>
      </c>
      <c r="Q154" s="75">
        <v>0</v>
      </c>
      <c r="R154" s="55">
        <f>(M154*(N154/2))*'MATERIALES (2)'!$D$85</f>
        <v>4662</v>
      </c>
      <c r="S154" s="38">
        <f t="shared" si="44"/>
        <v>142860.44199999998</v>
      </c>
      <c r="T154" s="49">
        <f t="shared" si="45"/>
        <v>261324.68749521748</v>
      </c>
    </row>
    <row r="155" spans="1:20" ht="15.75" thickBot="1">
      <c r="A155" s="42">
        <v>0.7</v>
      </c>
      <c r="B155" s="37">
        <v>2.1</v>
      </c>
      <c r="C155" s="38">
        <f>((((A155*1)+(B155*2))*'MATERIALES (2)'!$C$33)+((A155*3)*'MATERIALES (2)'!$C$35)+((B155*2)*'MATERIALES (2)'!$C$34))*'MATERIALES (2)'!$F$1</f>
        <v>83942.218500000003</v>
      </c>
      <c r="D155" s="59">
        <f>(2*'MATERIALES (2)'!$C$135)+(12*'MATERIALES (2)'!$C$147)+(12*'MATERIALES (2)'!$C$148)+((8*2)*'MATERIALES (2)'!$C$134)+(3*'MATERIALES (2)'!$C$150)+(((B155*2)+(A155*1))*'MATERIALES (2)'!$C$138)+(((A155*4)+(B155*2))*'MATERIALES (2)'!$C$130)+(1*'MATERIALES (2)'!$C$151)+(((A155*5)*2)*'MATERIALES (2)'!$C$136)+(4*'MATERIALES (2)'!$C$137)</f>
        <v>16424</v>
      </c>
      <c r="E155" s="75"/>
      <c r="F155" s="55">
        <f>(A155*B155)*'MATERIALES (2)'!$D$85</f>
        <v>10878</v>
      </c>
      <c r="G155" s="38">
        <f t="shared" si="42"/>
        <v>111244.2185</v>
      </c>
      <c r="H155" s="49">
        <f t="shared" si="43"/>
        <v>209775.9581565244</v>
      </c>
      <c r="M155" s="42">
        <v>0.7</v>
      </c>
      <c r="N155" s="37">
        <v>2.1</v>
      </c>
      <c r="O155" s="38">
        <f>((((M155*1)+(N155*2))*'MATERIALES (2)'!$C$33)+((M155*3)*'MATERIALES (2)'!$C$35)+((N155*2)*'MATERIALES (2)'!$C$34)+(((M155-0.2)*'MATERIALES (2)'!$C$30)*((N155/2)/0.12)))*'MATERIALES (2)'!$F$1</f>
        <v>133186.29975000001</v>
      </c>
      <c r="P155" s="59">
        <f>(2*'MATERIALES (2)'!$C$135)+(12*'MATERIALES (2)'!$C$147)+(12*'MATERIALES (2)'!$C$148)+((8*2)*'MATERIALES (2)'!$C$134)+(3*'MATERIALES (2)'!$C$150)+(((N155*2)+(M155*1))*'MATERIALES (2)'!$C$138)+(((M155*2)+((N155/2)*2))*'MATERIALES (2)'!$C$130)+(((M155*2)+((N155/2)*2))*'MATERIALES (2)'!$C$154)+(1*'MATERIALES (2)'!$C$151)+(((M155*5)*2)*'MATERIALES (2)'!$C$136)+(4*'MATERIALES (2)'!$C$137)+(0.25*'MATERIALES (2)'!$C$156)</f>
        <v>18424</v>
      </c>
      <c r="Q155" s="75">
        <v>0</v>
      </c>
      <c r="R155" s="55">
        <f>(M155*(N155/2))*'MATERIALES (2)'!$D$85</f>
        <v>5439</v>
      </c>
      <c r="S155" s="38">
        <f t="shared" si="44"/>
        <v>157049.29975000001</v>
      </c>
      <c r="T155" s="49">
        <f t="shared" si="45"/>
        <v>287551.62961739156</v>
      </c>
    </row>
    <row r="156" spans="1:20" ht="15.75" thickBot="1">
      <c r="A156" s="42">
        <v>0.8</v>
      </c>
      <c r="B156" s="37">
        <v>2.1</v>
      </c>
      <c r="C156" s="38">
        <f>((((A156*1)+(B156*2))*'MATERIALES (2)'!$C$33)+((A156*3)*'MATERIALES (2)'!$C$35)+((B156*2)*'MATERIALES (2)'!$C$34))*'MATERIALES (2)'!$F$1</f>
        <v>87403.260000000009</v>
      </c>
      <c r="D156" s="59">
        <f>(2*'MATERIALES (2)'!$C$135)+(12*'MATERIALES (2)'!$C$147)+(12*'MATERIALES (2)'!$C$148)+((8*2)*'MATERIALES (2)'!$C$134)+(3*'MATERIALES (2)'!$C$150)+(((B156*2)+(A156*1))*'MATERIALES (2)'!$C$138)+(((A156*4)+(B156*2))*'MATERIALES (2)'!$C$130)+(1*'MATERIALES (2)'!$C$151)+(((A156*5)*2)*'MATERIALES (2)'!$C$136)+(4*'MATERIALES (2)'!$C$137)</f>
        <v>16526</v>
      </c>
      <c r="E156" s="75"/>
      <c r="F156" s="55">
        <f>(A156*B156)*'MATERIALES (2)'!$D$85</f>
        <v>12432.000000000002</v>
      </c>
      <c r="G156" s="38">
        <f t="shared" si="42"/>
        <v>116361.26000000001</v>
      </c>
      <c r="H156" s="49">
        <f t="shared" si="43"/>
        <v>220338.90954652507</v>
      </c>
      <c r="M156" s="42">
        <v>0.8</v>
      </c>
      <c r="N156" s="37">
        <v>2.1</v>
      </c>
      <c r="O156" s="38">
        <f>((((M156*1)+(N156*2))*'MATERIALES (2)'!$C$33)+((M156*3)*'MATERIALES (2)'!$C$35)+((N156*2)*'MATERIALES (2)'!$C$34)+(((M156-0.2)*'MATERIALES (2)'!$C$30)*((N156/2)/0.12)))*'MATERIALES (2)'!$F$1</f>
        <v>146496.15750000003</v>
      </c>
      <c r="P156" s="59">
        <f>(2*'MATERIALES (2)'!$C$135)+(12*'MATERIALES (2)'!$C$147)+(12*'MATERIALES (2)'!$C$148)+((8*2)*'MATERIALES (2)'!$C$134)+(3*'MATERIALES (2)'!$C$150)+(((N156*2)+(M156*1))*'MATERIALES (2)'!$C$138)+(((M156*2)+((N156/2)*2))*'MATERIALES (2)'!$C$130)+(((M156*2)+((N156/2)*2))*'MATERIALES (2)'!$C$154)+(1*'MATERIALES (2)'!$C$151)+(((M156*5)*2)*'MATERIALES (2)'!$C$136)+(4*'MATERIALES (2)'!$C$137)+(0.25*'MATERIALES (2)'!$C$156)</f>
        <v>18526</v>
      </c>
      <c r="Q156" s="75">
        <v>0</v>
      </c>
      <c r="R156" s="55">
        <f>(M156*(N156/2))*'MATERIALES (2)'!$D$85</f>
        <v>6216.0000000000009</v>
      </c>
      <c r="S156" s="38">
        <f t="shared" si="44"/>
        <v>171238.15750000003</v>
      </c>
      <c r="T156" s="49">
        <f t="shared" si="45"/>
        <v>313778.57173956576</v>
      </c>
    </row>
    <row r="157" spans="1:20" ht="15.75" thickBot="1">
      <c r="A157" s="44">
        <v>0.9</v>
      </c>
      <c r="B157" s="45">
        <v>2.1</v>
      </c>
      <c r="C157" s="50">
        <f>((((A157*1)+(B157*2))*'MATERIALES (2)'!$C$33)+((A157*3)*'MATERIALES (2)'!$C$35)+((B157*2)*'MATERIALES (2)'!$C$34))*'MATERIALES (2)'!$F$1</f>
        <v>90864.301500000016</v>
      </c>
      <c r="D157" s="60">
        <f>(2*'MATERIALES (2)'!$C$135)+(12*'MATERIALES (2)'!$C$147)+(12*'MATERIALES (2)'!$C$148)+((8*2)*'MATERIALES (2)'!$C$134)+(3*'MATERIALES (2)'!$C$150)+(((B157*2)+(A157*1))*'MATERIALES (2)'!$C$138)+(((A157*4)+(B157*2))*'MATERIALES (2)'!$C$130)+(1*'MATERIALES (2)'!$C$151)+(((A157*5)*2)*'MATERIALES (2)'!$C$136)+(4*'MATERIALES (2)'!$C$137)</f>
        <v>16628</v>
      </c>
      <c r="E157" s="76"/>
      <c r="F157" s="56">
        <f>(A157*B157)*'MATERIALES (2)'!$D$85</f>
        <v>13986.000000000002</v>
      </c>
      <c r="G157" s="50">
        <f t="shared" si="42"/>
        <v>121478.30150000002</v>
      </c>
      <c r="H157" s="49">
        <f t="shared" si="43"/>
        <v>230901.86093652569</v>
      </c>
      <c r="M157" s="44">
        <v>0.9</v>
      </c>
      <c r="N157" s="45">
        <v>2.1</v>
      </c>
      <c r="O157" s="50">
        <f>((((M157*1)+(N157*2))*'MATERIALES (2)'!$C$33)+((M157*3)*'MATERIALES (2)'!$C$35)+((N157*2)*'MATERIALES (2)'!$C$34)+(((M157-0.2)*'MATERIALES (2)'!$C$30)*((N157/2)/0.12)))*'MATERIALES (2)'!$F$1</f>
        <v>159806.01525</v>
      </c>
      <c r="P157" s="60">
        <f>(2*'MATERIALES (2)'!$C$135)+(12*'MATERIALES (2)'!$C$147)+(12*'MATERIALES (2)'!$C$148)+((8*2)*'MATERIALES (2)'!$C$134)+(3*'MATERIALES (2)'!$C$150)+(((N157*2)+(M157*1))*'MATERIALES (2)'!$C$138)+(((M157*2)+((N157/2)*2))*'MATERIALES (2)'!$C$130)+(((M157*2)+((N157/2)*2))*'MATERIALES (2)'!$C$154)+(1*'MATERIALES (2)'!$C$151)+(((M157*5)*2)*'MATERIALES (2)'!$C$136)+(4*'MATERIALES (2)'!$C$137)+(0.25*'MATERIALES (2)'!$C$156)</f>
        <v>18628</v>
      </c>
      <c r="Q157" s="76">
        <v>0</v>
      </c>
      <c r="R157" s="56">
        <f>(M157*(N157/2))*'MATERIALES (2)'!$D$85</f>
        <v>6993.0000000000009</v>
      </c>
      <c r="S157" s="50">
        <f t="shared" si="44"/>
        <v>185427.01525</v>
      </c>
      <c r="T157" s="49">
        <f t="shared" si="45"/>
        <v>340005.51386173972</v>
      </c>
    </row>
    <row r="159" spans="1:20" ht="15.75" thickBot="1"/>
    <row r="160" spans="1:20" ht="15.75" thickBot="1">
      <c r="A160" s="32"/>
      <c r="B160" s="32"/>
      <c r="C160" s="947">
        <v>1.35</v>
      </c>
      <c r="D160" s="948"/>
      <c r="E160" s="949"/>
      <c r="F160" s="728">
        <v>2</v>
      </c>
      <c r="G160" s="32"/>
      <c r="H160" s="46" t="s">
        <v>163</v>
      </c>
      <c r="M160" s="32"/>
      <c r="N160" s="32"/>
      <c r="O160" s="947">
        <v>1.35</v>
      </c>
      <c r="P160" s="948"/>
      <c r="Q160" s="949"/>
      <c r="R160" s="728">
        <v>2</v>
      </c>
      <c r="S160" s="32"/>
      <c r="T160" s="46" t="s">
        <v>163</v>
      </c>
    </row>
    <row r="161" spans="1:30" ht="15.75" thickBot="1">
      <c r="A161" s="792" t="s">
        <v>777</v>
      </c>
      <c r="B161" s="793"/>
      <c r="C161" s="793"/>
      <c r="D161" s="793"/>
      <c r="E161" s="793"/>
      <c r="F161" s="793"/>
      <c r="G161" s="793"/>
      <c r="H161" s="794"/>
      <c r="M161" s="792" t="s">
        <v>775</v>
      </c>
      <c r="N161" s="793"/>
      <c r="O161" s="793"/>
      <c r="P161" s="793"/>
      <c r="Q161" s="793"/>
      <c r="R161" s="793"/>
      <c r="S161" s="793"/>
      <c r="T161" s="794"/>
      <c r="U161" s="64" t="s">
        <v>211</v>
      </c>
    </row>
    <row r="162" spans="1:30" ht="15.75" thickBot="1">
      <c r="A162" s="36" t="s">
        <v>116</v>
      </c>
      <c r="B162" s="36" t="s">
        <v>117</v>
      </c>
      <c r="C162" s="36" t="s">
        <v>162</v>
      </c>
      <c r="D162" s="36" t="s">
        <v>119</v>
      </c>
      <c r="E162" s="36" t="s">
        <v>120</v>
      </c>
      <c r="F162" s="36" t="s">
        <v>118</v>
      </c>
      <c r="G162" s="36" t="s">
        <v>121</v>
      </c>
      <c r="H162" s="36" t="s">
        <v>122</v>
      </c>
      <c r="M162" s="36" t="s">
        <v>116</v>
      </c>
      <c r="N162" s="36" t="s">
        <v>117</v>
      </c>
      <c r="O162" s="36" t="s">
        <v>162</v>
      </c>
      <c r="P162" s="36" t="s">
        <v>119</v>
      </c>
      <c r="Q162" s="36" t="s">
        <v>120</v>
      </c>
      <c r="R162" s="36" t="s">
        <v>118</v>
      </c>
      <c r="S162" s="36" t="s">
        <v>121</v>
      </c>
      <c r="T162" s="36" t="s">
        <v>122</v>
      </c>
    </row>
    <row r="163" spans="1:30" ht="15.75" thickBot="1">
      <c r="A163" s="795"/>
      <c r="B163" s="796"/>
      <c r="C163" s="796"/>
      <c r="D163" s="796"/>
      <c r="E163" s="796"/>
      <c r="F163" s="796"/>
      <c r="G163" s="796"/>
      <c r="H163" s="797"/>
      <c r="M163" s="795"/>
      <c r="N163" s="796"/>
      <c r="O163" s="796"/>
      <c r="P163" s="796"/>
      <c r="Q163" s="796"/>
      <c r="R163" s="796"/>
      <c r="S163" s="796"/>
      <c r="T163" s="797"/>
    </row>
    <row r="164" spans="1:30" ht="15.75" thickBot="1">
      <c r="A164" s="40">
        <v>0.6</v>
      </c>
      <c r="B164" s="41">
        <v>2</v>
      </c>
      <c r="C164" s="47">
        <f>((((A164*1)+(B164*2))*'MATERIALES (2)'!$C$33)+((A164*2)*'MATERIALES (2)'!$C$35)+((B164*2)*'MATERIALES (2)'!$C$35)+((B164*2)*'MATERIALES (2)'!$C$34))*'MATERIALES (2)'!$F$1</f>
        <v>109012.55399999999</v>
      </c>
      <c r="D164" s="58">
        <f>(2*'MATERIALES (2)'!$C$135)+(16*'MATERIALES (2)'!$C$147)+(16*'MATERIALES (2)'!$C$148)+((8*2)*'MATERIALES (2)'!$C$134)+(3*'MATERIALES (2)'!$C$150)+(((B164*2)+(A164*1))*'MATERIALES (2)'!$C$138)+(((A164*2)+(B164*6))*'MATERIALES (2)'!$C$130)+(1*'MATERIALES (2)'!$C$151)+(((A164*5)*2)*'MATERIALES (2)'!$C$136)+(4*'MATERIALES (2)'!$C$137)</f>
        <v>18654</v>
      </c>
      <c r="E164" s="74"/>
      <c r="F164" s="54">
        <f>(A164*B164)*'MATERIALES (2)'!$D$85</f>
        <v>8880</v>
      </c>
      <c r="G164" s="47">
        <f>SUM(C164:F164)</f>
        <v>136546.554</v>
      </c>
      <c r="H164" s="49">
        <f>((((SUM(C164:E164)*$C$160)+(F164*$F$160))*1.21)*1.05)*1.05</f>
        <v>253611.28984479749</v>
      </c>
      <c r="M164" s="40">
        <v>0.6</v>
      </c>
      <c r="N164" s="41">
        <v>2</v>
      </c>
      <c r="O164" s="47">
        <f>((((M164*1)+(N164*2))*'MATERIALES (2)'!$C$33)+((M164*5)*'MATERIALES (2)'!$C$34)+((N164*2)*'MATERIALES (2)'!$C$35))*'MATERIALES (2)'!$F$1</f>
        <v>90647.843999999997</v>
      </c>
      <c r="P164" s="58">
        <f>(2*'MATERIALES (2)'!$C$135)+(12*'MATERIALES (2)'!$C$147)+(12*'MATERIALES (2)'!$C$148)+((8*2)*'MATERIALES (2)'!$C$134)+(3*'MATERIALES (2)'!$C$150)+(((N164*2)+(M164*1))*'MATERIALES (2)'!$C$138)+(((M164*8)+(N164*2))*'MATERIALES (2)'!$C$130)+(1*'MATERIALES (2)'!$C$151)+(((M164*5)*2)*'MATERIALES (2)'!$C$136)+(4*'MATERIALES (2)'!$C$137)</f>
        <v>16838</v>
      </c>
      <c r="Q164" s="74"/>
      <c r="R164" s="54">
        <f>(M164*N164)*'MATERIALES (2)'!$D$85</f>
        <v>8880</v>
      </c>
      <c r="S164" s="47">
        <f>SUM(O164:R164)</f>
        <v>116365.844</v>
      </c>
      <c r="T164" s="49">
        <f>((((SUM(O164:Q164)*$O$160)+(R164*$R$160))*1.21)*1.05)*1.05</f>
        <v>217267.16810683504</v>
      </c>
    </row>
    <row r="165" spans="1:30" ht="15.75" thickBot="1">
      <c r="A165" s="42">
        <v>0.7</v>
      </c>
      <c r="B165" s="37">
        <v>2</v>
      </c>
      <c r="C165" s="38">
        <f>((((A165*1)+(B165*2))*'MATERIALES (2)'!$C$33)+((A165*2)*'MATERIALES (2)'!$C$35)+((B165*2)*'MATERIALES (2)'!$C$35)+((B165*2)*'MATERIALES (2)'!$C$34))*'MATERIALES (2)'!$F$1</f>
        <v>111550.80300000001</v>
      </c>
      <c r="D165" s="59">
        <f>(2*'MATERIALES (2)'!$C$135)+(16*'MATERIALES (2)'!$C$147)+(16*'MATERIALES (2)'!$C$148)+((8*2)*'MATERIALES (2)'!$C$134)+(3*'MATERIALES (2)'!$C$150)+(((B165*2)+(A165*1))*'MATERIALES (2)'!$C$138)+(((A165*2)+(B165*6))*'MATERIALES (2)'!$C$130)+(1*'MATERIALES (2)'!$C$151)+(((A165*5)*2)*'MATERIALES (2)'!$C$136)+(4*'MATERIALES (2)'!$C$137)</f>
        <v>18708</v>
      </c>
      <c r="E165" s="75"/>
      <c r="F165" s="55">
        <f>(A165*B165)*'MATERIALES (2)'!$D$85</f>
        <v>10360</v>
      </c>
      <c r="G165" s="38">
        <f t="shared" ref="G165:G171" si="46">SUM(C165:F165)</f>
        <v>140618.80300000001</v>
      </c>
      <c r="H165" s="49">
        <f t="shared" ref="H165:H171" si="47">((((SUM(C165:E165)*$C$160)+(F165*$F$160))*1.21)*1.05)*1.05</f>
        <v>262228.47255730128</v>
      </c>
      <c r="M165" s="42">
        <v>0.7</v>
      </c>
      <c r="N165" s="37">
        <v>2</v>
      </c>
      <c r="O165" s="38">
        <f>((((M165*1)+(N165*2))*'MATERIALES (2)'!$C$33)+((M165*5)*'MATERIALES (2)'!$C$34)+((N165*2)*'MATERIALES (2)'!$C$35))*'MATERIALES (2)'!$F$1</f>
        <v>94986.108000000007</v>
      </c>
      <c r="P165" s="59">
        <f>(2*'MATERIALES (2)'!$C$135)+(12*'MATERIALES (2)'!$C$147)+(12*'MATERIALES (2)'!$C$148)+((8*2)*'MATERIALES (2)'!$C$134)+(3*'MATERIALES (2)'!$C$150)+(((N165*2)+(M165*1))*'MATERIALES (2)'!$C$138)+(((M165*8)+(N165*2))*'MATERIALES (2)'!$C$130)+(1*'MATERIALES (2)'!$C$151)+(((M165*5)*2)*'MATERIALES (2)'!$C$136)+(4*'MATERIALES (2)'!$C$137)</f>
        <v>17036</v>
      </c>
      <c r="Q165" s="75"/>
      <c r="R165" s="55">
        <f>(M165*N165)*'MATERIALES (2)'!$D$85</f>
        <v>10360</v>
      </c>
      <c r="S165" s="38">
        <f t="shared" ref="S165:S171" si="48">SUM(O165:R165)</f>
        <v>122382.10800000001</v>
      </c>
      <c r="T165" s="49">
        <f t="shared" ref="T165:T171" si="49">((((SUM(O165:Q165)*$O$160)+(R165*$R$160))*1.21)*1.05)*1.05</f>
        <v>229385.39304334502</v>
      </c>
    </row>
    <row r="166" spans="1:30" ht="15.75" thickBot="1">
      <c r="A166" s="42">
        <v>0.8</v>
      </c>
      <c r="B166" s="37">
        <v>2</v>
      </c>
      <c r="C166" s="38">
        <f>((((A166*1)+(B166*2))*'MATERIALES (2)'!$C$33)+((A166*2)*'MATERIALES (2)'!$C$35)+((B166*2)*'MATERIALES (2)'!$C$35)+((B166*2)*'MATERIALES (2)'!$C$34))*'MATERIALES (2)'!$F$1</f>
        <v>114089.052</v>
      </c>
      <c r="D166" s="59">
        <f>(2*'MATERIALES (2)'!$C$135)+(16*'MATERIALES (2)'!$C$147)+(16*'MATERIALES (2)'!$C$148)+((8*2)*'MATERIALES (2)'!$C$134)+(3*'MATERIALES (2)'!$C$150)+(((B166*2)+(A166*1))*'MATERIALES (2)'!$C$138)+(((A166*2)+(B166*6))*'MATERIALES (2)'!$C$130)+(1*'MATERIALES (2)'!$C$151)+(((A166*5)*2)*'MATERIALES (2)'!$C$136)+(4*'MATERIALES (2)'!$C$137)</f>
        <v>18762</v>
      </c>
      <c r="E166" s="75"/>
      <c r="F166" s="55">
        <f>(A166*B166)*'MATERIALES (2)'!$D$85</f>
        <v>11840</v>
      </c>
      <c r="G166" s="38">
        <f t="shared" si="46"/>
        <v>144691.052</v>
      </c>
      <c r="H166" s="49">
        <f t="shared" si="47"/>
        <v>270845.65526980499</v>
      </c>
      <c r="M166" s="42">
        <v>0.8</v>
      </c>
      <c r="N166" s="37">
        <v>2</v>
      </c>
      <c r="O166" s="38">
        <f>((((M166*1)+(N166*2))*'MATERIALES (2)'!$C$33)+((M166*5)*'MATERIALES (2)'!$C$34)+((N166*2)*'MATERIALES (2)'!$C$35))*'MATERIALES (2)'!$F$1</f>
        <v>99324.371999999988</v>
      </c>
      <c r="P166" s="59">
        <f>(2*'MATERIALES (2)'!$C$135)+(12*'MATERIALES (2)'!$C$147)+(12*'MATERIALES (2)'!$C$148)+((8*2)*'MATERIALES (2)'!$C$134)+(3*'MATERIALES (2)'!$C$150)+(((N166*2)+(M166*1))*'MATERIALES (2)'!$C$138)+(((M166*8)+(N166*2))*'MATERIALES (2)'!$C$130)+(1*'MATERIALES (2)'!$C$151)+(((M166*5)*2)*'MATERIALES (2)'!$C$136)+(4*'MATERIALES (2)'!$C$137)</f>
        <v>17234</v>
      </c>
      <c r="Q166" s="75"/>
      <c r="R166" s="55">
        <f>(M166*N166)*'MATERIALES (2)'!$D$85</f>
        <v>11840</v>
      </c>
      <c r="S166" s="38">
        <f t="shared" si="48"/>
        <v>128398.37199999999</v>
      </c>
      <c r="T166" s="49">
        <f t="shared" si="49"/>
        <v>241503.61797985501</v>
      </c>
    </row>
    <row r="167" spans="1:30" ht="15.75" thickBot="1">
      <c r="A167" s="42">
        <v>0.9</v>
      </c>
      <c r="B167" s="37">
        <v>2</v>
      </c>
      <c r="C167" s="38">
        <f>((((A167*1)+(B167*2))*'MATERIALES (2)'!$C$33)+((A167*2)*'MATERIALES (2)'!$C$35)+((B167*2)*'MATERIALES (2)'!$C$35)+((B167*2)*'MATERIALES (2)'!$C$34))*'MATERIALES (2)'!$F$1</f>
        <v>116627.30100000002</v>
      </c>
      <c r="D167" s="59">
        <f>(2*'MATERIALES (2)'!$C$135)+(16*'MATERIALES (2)'!$C$147)+(16*'MATERIALES (2)'!$C$148)+((8*2)*'MATERIALES (2)'!$C$134)+(3*'MATERIALES (2)'!$C$150)+(((B167*2)+(A167*1))*'MATERIALES (2)'!$C$138)+(((A167*2)+(B167*6))*'MATERIALES (2)'!$C$130)+(1*'MATERIALES (2)'!$C$151)+(((A167*5)*2)*'MATERIALES (2)'!$C$136)+(4*'MATERIALES (2)'!$C$137)</f>
        <v>18816</v>
      </c>
      <c r="E167" s="75"/>
      <c r="F167" s="55">
        <f>(A167*B167)*'MATERIALES (2)'!$D$85</f>
        <v>13320</v>
      </c>
      <c r="G167" s="38">
        <f t="shared" si="46"/>
        <v>148763.30100000004</v>
      </c>
      <c r="H167" s="49">
        <f t="shared" si="47"/>
        <v>279462.83798230882</v>
      </c>
      <c r="M167" s="42">
        <v>0.9</v>
      </c>
      <c r="N167" s="37">
        <v>2</v>
      </c>
      <c r="O167" s="38">
        <f>((((M167*1)+(N167*2))*'MATERIALES (2)'!$C$33)+((M167*5)*'MATERIALES (2)'!$C$34)+((N167*2)*'MATERIALES (2)'!$C$35))*'MATERIALES (2)'!$F$1</f>
        <v>103662.636</v>
      </c>
      <c r="P167" s="59">
        <f>(2*'MATERIALES (2)'!$C$135)+(12*'MATERIALES (2)'!$C$147)+(12*'MATERIALES (2)'!$C$148)+((8*2)*'MATERIALES (2)'!$C$134)+(3*'MATERIALES (2)'!$C$150)+(((N167*2)+(M167*1))*'MATERIALES (2)'!$C$138)+(((M167*8)+(N167*2))*'MATERIALES (2)'!$C$130)+(1*'MATERIALES (2)'!$C$151)+(((M167*5)*2)*'MATERIALES (2)'!$C$136)+(4*'MATERIALES (2)'!$C$137)</f>
        <v>17432</v>
      </c>
      <c r="Q167" s="75"/>
      <c r="R167" s="55">
        <f>(M167*N167)*'MATERIALES (2)'!$D$85</f>
        <v>13320</v>
      </c>
      <c r="S167" s="38">
        <f t="shared" si="48"/>
        <v>134414.636</v>
      </c>
      <c r="T167" s="49">
        <f t="shared" si="49"/>
        <v>253621.84291636504</v>
      </c>
    </row>
    <row r="168" spans="1:30" ht="15.75" thickBot="1">
      <c r="A168" s="42">
        <v>0.6</v>
      </c>
      <c r="B168" s="37">
        <v>2.1</v>
      </c>
      <c r="C168" s="38">
        <f>((((A168*1)+(B168*2))*'MATERIALES (2)'!$C$33)+((A168*2)*'MATERIALES (2)'!$C$35)+((B168*2)*'MATERIALES (2)'!$C$35)+((B168*2)*'MATERIALES (2)'!$C$34))*'MATERIALES (2)'!$F$1</f>
        <v>113701.70700000001</v>
      </c>
      <c r="D168" s="59">
        <f>(2*'MATERIALES (2)'!$C$135)+(16*'MATERIALES (2)'!$C$147)+(16*'MATERIALES (2)'!$C$148)+((8*2)*'MATERIALES (2)'!$C$134)+(3*'MATERIALES (2)'!$C$150)+(((B168*2)+(A168*1))*'MATERIALES (2)'!$C$138)+(((A168*2)+(B168*6))*'MATERIALES (2)'!$C$130)+(1*'MATERIALES (2)'!$C$151)+(((A168*5)*2)*'MATERIALES (2)'!$C$136)+(4*'MATERIALES (2)'!$C$137)</f>
        <v>18810</v>
      </c>
      <c r="E168" s="75"/>
      <c r="F168" s="55">
        <f>(A168*B168)*'MATERIALES (2)'!$D$85</f>
        <v>9324</v>
      </c>
      <c r="G168" s="38">
        <f t="shared" si="46"/>
        <v>141835.70699999999</v>
      </c>
      <c r="H168" s="49">
        <f t="shared" si="47"/>
        <v>263521.70360641129</v>
      </c>
      <c r="M168" s="42">
        <v>0.6</v>
      </c>
      <c r="N168" s="37">
        <v>2.1</v>
      </c>
      <c r="O168" s="38">
        <f>((((M168*1)+(N168*2))*'MATERIALES (2)'!$C$33)+((M168*5)*'MATERIALES (2)'!$C$34)+((N168*2)*'MATERIALES (2)'!$C$35))*'MATERIALES (2)'!$F$1</f>
        <v>93878.757000000012</v>
      </c>
      <c r="P168" s="59">
        <f>(2*'MATERIALES (2)'!$C$135)+(12*'MATERIALES (2)'!$C$147)+(12*'MATERIALES (2)'!$C$148)+((8*2)*'MATERIALES (2)'!$C$134)+(3*'MATERIALES (2)'!$C$150)+(((N168*2)+(M168*1))*'MATERIALES (2)'!$C$138)+(((M168*8)+(N168*2))*'MATERIALES (2)'!$C$130)+(1*'MATERIALES (2)'!$C$151)+(((M168*5)*2)*'MATERIALES (2)'!$C$136)+(4*'MATERIALES (2)'!$C$137)</f>
        <v>16898</v>
      </c>
      <c r="Q168" s="75"/>
      <c r="R168" s="55">
        <f>(M168*N168)*'MATERIALES (2)'!$D$85</f>
        <v>9324</v>
      </c>
      <c r="S168" s="38">
        <f t="shared" si="48"/>
        <v>120100.75700000001</v>
      </c>
      <c r="T168" s="49">
        <f t="shared" si="49"/>
        <v>224378.49859684877</v>
      </c>
    </row>
    <row r="169" spans="1:30" ht="15.75" thickBot="1">
      <c r="A169" s="42">
        <v>0.7</v>
      </c>
      <c r="B169" s="37">
        <v>2.1</v>
      </c>
      <c r="C169" s="38">
        <f>((((A169*1)+(B169*2))*'MATERIALES (2)'!$C$33)+((A169*2)*'MATERIALES (2)'!$C$35)+((B169*2)*'MATERIALES (2)'!$C$35)+((B169*2)*'MATERIALES (2)'!$C$34))*'MATERIALES (2)'!$F$1</f>
        <v>116239.95600000001</v>
      </c>
      <c r="D169" s="59">
        <f>(2*'MATERIALES (2)'!$C$135)+(16*'MATERIALES (2)'!$C$147)+(16*'MATERIALES (2)'!$C$148)+((8*2)*'MATERIALES (2)'!$C$134)+(3*'MATERIALES (2)'!$C$150)+(((B169*2)+(A169*1))*'MATERIALES (2)'!$C$138)+(((A169*2)+(B169*6))*'MATERIALES (2)'!$C$130)+(1*'MATERIALES (2)'!$C$151)+(((A169*5)*2)*'MATERIALES (2)'!$C$136)+(4*'MATERIALES (2)'!$C$137)</f>
        <v>18864</v>
      </c>
      <c r="E169" s="75"/>
      <c r="F169" s="55">
        <f>(A169*B169)*'MATERIALES (2)'!$D$85</f>
        <v>10878</v>
      </c>
      <c r="G169" s="38">
        <f t="shared" si="46"/>
        <v>145981.95600000001</v>
      </c>
      <c r="H169" s="49">
        <f t="shared" si="47"/>
        <v>272336.32201891503</v>
      </c>
      <c r="M169" s="42">
        <v>0.7</v>
      </c>
      <c r="N169" s="37">
        <v>2.1</v>
      </c>
      <c r="O169" s="38">
        <f>((((M169*1)+(N169*2))*'MATERIALES (2)'!$C$33)+((M169*5)*'MATERIALES (2)'!$C$34)+((N169*2)*'MATERIALES (2)'!$C$35))*'MATERIALES (2)'!$F$1</f>
        <v>98217.021000000022</v>
      </c>
      <c r="P169" s="59">
        <f>(2*'MATERIALES (2)'!$C$135)+(12*'MATERIALES (2)'!$C$147)+(12*'MATERIALES (2)'!$C$148)+((8*2)*'MATERIALES (2)'!$C$134)+(3*'MATERIALES (2)'!$C$150)+(((N169*2)+(M169*1))*'MATERIALES (2)'!$C$138)+(((M169*8)+(N169*2))*'MATERIALES (2)'!$C$130)+(1*'MATERIALES (2)'!$C$151)+(((M169*5)*2)*'MATERIALES (2)'!$C$136)+(4*'MATERIALES (2)'!$C$137)</f>
        <v>17096</v>
      </c>
      <c r="Q169" s="75"/>
      <c r="R169" s="55">
        <f>(M169*N169)*'MATERIALES (2)'!$D$85</f>
        <v>10878</v>
      </c>
      <c r="S169" s="38">
        <f t="shared" si="48"/>
        <v>126191.02100000002</v>
      </c>
      <c r="T169" s="49">
        <f t="shared" si="49"/>
        <v>236694.15923335883</v>
      </c>
    </row>
    <row r="170" spans="1:30" ht="15.75" thickBot="1">
      <c r="A170" s="42">
        <v>0.8</v>
      </c>
      <c r="B170" s="37">
        <v>2.1</v>
      </c>
      <c r="C170" s="38">
        <f>((((A170*1)+(B170*2))*'MATERIALES (2)'!$C$33)+((A170*2)*'MATERIALES (2)'!$C$35)+((B170*2)*'MATERIALES (2)'!$C$35)+((B170*2)*'MATERIALES (2)'!$C$34))*'MATERIALES (2)'!$F$1</f>
        <v>118778.20500000002</v>
      </c>
      <c r="D170" s="59">
        <f>(2*'MATERIALES (2)'!$C$135)+(16*'MATERIALES (2)'!$C$147)+(16*'MATERIALES (2)'!$C$148)+((8*2)*'MATERIALES (2)'!$C$134)+(3*'MATERIALES (2)'!$C$150)+(((B170*2)+(A170*1))*'MATERIALES (2)'!$C$138)+(((A170*2)+(B170*6))*'MATERIALES (2)'!$C$130)+(1*'MATERIALES (2)'!$C$151)+(((A170*5)*2)*'MATERIALES (2)'!$C$136)+(4*'MATERIALES (2)'!$C$137)</f>
        <v>18918</v>
      </c>
      <c r="E170" s="75"/>
      <c r="F170" s="55">
        <f>(A170*B170)*'MATERIALES (2)'!$D$85</f>
        <v>12432.000000000002</v>
      </c>
      <c r="G170" s="38">
        <f t="shared" si="46"/>
        <v>150128.20500000002</v>
      </c>
      <c r="H170" s="49">
        <f t="shared" si="47"/>
        <v>281150.94043141883</v>
      </c>
      <c r="M170" s="42">
        <v>0.8</v>
      </c>
      <c r="N170" s="37">
        <v>2.1</v>
      </c>
      <c r="O170" s="38">
        <f>((((M170*1)+(N170*2))*'MATERIALES (2)'!$C$33)+((M170*5)*'MATERIALES (2)'!$C$34)+((N170*2)*'MATERIALES (2)'!$C$35))*'MATERIALES (2)'!$F$1</f>
        <v>102555.285</v>
      </c>
      <c r="P170" s="59">
        <f>(2*'MATERIALES (2)'!$C$135)+(12*'MATERIALES (2)'!$C$147)+(12*'MATERIALES (2)'!$C$148)+((8*2)*'MATERIALES (2)'!$C$134)+(3*'MATERIALES (2)'!$C$150)+(((N170*2)+(M170*1))*'MATERIALES (2)'!$C$138)+(((M170*8)+(N170*2))*'MATERIALES (2)'!$C$130)+(1*'MATERIALES (2)'!$C$151)+(((M170*5)*2)*'MATERIALES (2)'!$C$136)+(4*'MATERIALES (2)'!$C$137)</f>
        <v>17294</v>
      </c>
      <c r="Q170" s="75"/>
      <c r="R170" s="55">
        <f>(M170*N170)*'MATERIALES (2)'!$D$85</f>
        <v>12432.000000000002</v>
      </c>
      <c r="S170" s="38">
        <f t="shared" si="48"/>
        <v>132281.285</v>
      </c>
      <c r="T170" s="49">
        <f t="shared" si="49"/>
        <v>249009.81986986878</v>
      </c>
    </row>
    <row r="171" spans="1:30" ht="15.75" thickBot="1">
      <c r="A171" s="44">
        <v>0.9</v>
      </c>
      <c r="B171" s="45">
        <v>2.1</v>
      </c>
      <c r="C171" s="50">
        <f>((((A171*1)+(B171*2))*'MATERIALES (2)'!$C$33)+((A171*2)*'MATERIALES (2)'!$C$35)+((B171*2)*'MATERIALES (2)'!$C$35)+((B171*2)*'MATERIALES (2)'!$C$34))*'MATERIALES (2)'!$F$1</f>
        <v>121316.45400000001</v>
      </c>
      <c r="D171" s="60">
        <f>(2*'MATERIALES (2)'!$C$135)+(16*'MATERIALES (2)'!$C$147)+(16*'MATERIALES (2)'!$C$148)+((8*2)*'MATERIALES (2)'!$C$134)+(3*'MATERIALES (2)'!$C$150)+(((B171*2)+(A171*1))*'MATERIALES (2)'!$C$138)+(((A171*2)+(B171*6))*'MATERIALES (2)'!$C$130)+(1*'MATERIALES (2)'!$C$151)+(((A171*5)*2)*'MATERIALES (2)'!$C$136)+(4*'MATERIALES (2)'!$C$137)</f>
        <v>18972</v>
      </c>
      <c r="E171" s="76"/>
      <c r="F171" s="56">
        <f>(A171*B171)*'MATERIALES (2)'!$D$85</f>
        <v>13986.000000000002</v>
      </c>
      <c r="G171" s="50">
        <f t="shared" si="46"/>
        <v>154274.45400000003</v>
      </c>
      <c r="H171" s="49">
        <f t="shared" si="47"/>
        <v>289965.55884392263</v>
      </c>
      <c r="M171" s="44">
        <v>0.9</v>
      </c>
      <c r="N171" s="45">
        <v>2.1</v>
      </c>
      <c r="O171" s="50">
        <f>((((M171*1)+(N171*2))*'MATERIALES (2)'!$C$33)+((M171*5)*'MATERIALES (2)'!$C$34)+((N171*2)*'MATERIALES (2)'!$C$35))*'MATERIALES (2)'!$F$1</f>
        <v>106893.54900000001</v>
      </c>
      <c r="P171" s="60">
        <f>(2*'MATERIALES (2)'!$C$135)+(12*'MATERIALES (2)'!$C$147)+(12*'MATERIALES (2)'!$C$148)+((8*2)*'MATERIALES (2)'!$C$134)+(3*'MATERIALES (2)'!$C$150)+(((N171*2)+(M171*1))*'MATERIALES (2)'!$C$138)+(((M171*8)+(N171*2))*'MATERIALES (2)'!$C$130)+(1*'MATERIALES (2)'!$C$151)+(((M171*5)*2)*'MATERIALES (2)'!$C$136)+(4*'MATERIALES (2)'!$C$137)</f>
        <v>17492</v>
      </c>
      <c r="Q171" s="76"/>
      <c r="R171" s="56">
        <f>(M171*N171)*'MATERIALES (2)'!$D$85</f>
        <v>13986.000000000002</v>
      </c>
      <c r="S171" s="50">
        <f t="shared" si="48"/>
        <v>138371.54900000003</v>
      </c>
      <c r="T171" s="49">
        <f t="shared" si="49"/>
        <v>261325.48050637881</v>
      </c>
    </row>
    <row r="173" spans="1:30" ht="15.75" thickBot="1">
      <c r="C173" s="878" t="s">
        <v>221</v>
      </c>
      <c r="D173" s="878"/>
      <c r="E173" s="878"/>
      <c r="F173" s="878"/>
      <c r="O173" s="878" t="s">
        <v>221</v>
      </c>
      <c r="P173" s="878"/>
      <c r="Q173" s="878"/>
      <c r="R173" s="878"/>
      <c r="Y173" s="878" t="s">
        <v>403</v>
      </c>
      <c r="Z173" s="878"/>
      <c r="AA173" s="878"/>
      <c r="AB173" s="878"/>
    </row>
    <row r="174" spans="1:30" ht="15.75" thickBot="1">
      <c r="A174" s="32"/>
      <c r="B174" s="32"/>
      <c r="C174" s="947">
        <v>1.35</v>
      </c>
      <c r="D174" s="948"/>
      <c r="E174" s="949"/>
      <c r="F174" s="728">
        <v>2</v>
      </c>
      <c r="G174" s="32"/>
      <c r="H174" s="46" t="s">
        <v>163</v>
      </c>
      <c r="M174" s="32"/>
      <c r="N174" s="32"/>
      <c r="O174" s="947">
        <v>1.35</v>
      </c>
      <c r="P174" s="948"/>
      <c r="Q174" s="948"/>
      <c r="R174" s="949"/>
      <c r="S174" s="32"/>
      <c r="T174" s="46" t="s">
        <v>163</v>
      </c>
      <c r="W174" s="32"/>
      <c r="X174" s="32"/>
      <c r="Y174" s="947">
        <v>1.35</v>
      </c>
      <c r="Z174" s="948"/>
      <c r="AA174" s="949"/>
      <c r="AB174" s="728">
        <v>2</v>
      </c>
      <c r="AC174" s="32"/>
      <c r="AD174" s="46" t="s">
        <v>163</v>
      </c>
    </row>
    <row r="175" spans="1:30" ht="15.75" thickBot="1">
      <c r="A175" s="792" t="s">
        <v>778</v>
      </c>
      <c r="B175" s="793"/>
      <c r="C175" s="793"/>
      <c r="D175" s="793"/>
      <c r="E175" s="793"/>
      <c r="F175" s="793"/>
      <c r="G175" s="793"/>
      <c r="H175" s="794"/>
      <c r="M175" s="792" t="s">
        <v>779</v>
      </c>
      <c r="N175" s="793"/>
      <c r="O175" s="793"/>
      <c r="P175" s="793"/>
      <c r="Q175" s="793"/>
      <c r="R175" s="793"/>
      <c r="S175" s="793"/>
      <c r="T175" s="794"/>
      <c r="W175" s="792" t="s">
        <v>780</v>
      </c>
      <c r="X175" s="793"/>
      <c r="Y175" s="793"/>
      <c r="Z175" s="793"/>
      <c r="AA175" s="793"/>
      <c r="AB175" s="793"/>
      <c r="AC175" s="793"/>
      <c r="AD175" s="794"/>
    </row>
    <row r="176" spans="1:30" ht="15.75" thickBot="1">
      <c r="A176" s="36" t="s">
        <v>116</v>
      </c>
      <c r="B176" s="36" t="s">
        <v>117</v>
      </c>
      <c r="C176" s="36" t="s">
        <v>162</v>
      </c>
      <c r="D176" s="36" t="s">
        <v>119</v>
      </c>
      <c r="E176" s="36" t="s">
        <v>120</v>
      </c>
      <c r="F176" s="36" t="s">
        <v>118</v>
      </c>
      <c r="G176" s="36" t="s">
        <v>121</v>
      </c>
      <c r="H176" s="36" t="s">
        <v>122</v>
      </c>
      <c r="M176" s="36" t="s">
        <v>116</v>
      </c>
      <c r="N176" s="36" t="s">
        <v>117</v>
      </c>
      <c r="O176" s="36" t="s">
        <v>162</v>
      </c>
      <c r="P176" s="36" t="s">
        <v>119</v>
      </c>
      <c r="Q176" s="36" t="s">
        <v>120</v>
      </c>
      <c r="R176" s="36" t="s">
        <v>217</v>
      </c>
      <c r="S176" s="36" t="s">
        <v>121</v>
      </c>
      <c r="T176" s="36" t="s">
        <v>122</v>
      </c>
      <c r="W176" s="36" t="s">
        <v>116</v>
      </c>
      <c r="X176" s="36" t="s">
        <v>117</v>
      </c>
      <c r="Y176" s="36" t="s">
        <v>162</v>
      </c>
      <c r="Z176" s="36" t="s">
        <v>119</v>
      </c>
      <c r="AA176" s="36" t="s">
        <v>120</v>
      </c>
      <c r="AB176" s="36" t="s">
        <v>118</v>
      </c>
      <c r="AC176" s="36" t="s">
        <v>121</v>
      </c>
      <c r="AD176" s="36" t="s">
        <v>122</v>
      </c>
    </row>
    <row r="177" spans="1:30" ht="15.75" thickBot="1">
      <c r="A177" s="795"/>
      <c r="B177" s="796"/>
      <c r="C177" s="796"/>
      <c r="D177" s="796"/>
      <c r="E177" s="796"/>
      <c r="F177" s="796"/>
      <c r="G177" s="796"/>
      <c r="H177" s="797"/>
      <c r="M177" s="795"/>
      <c r="N177" s="796"/>
      <c r="O177" s="796"/>
      <c r="P177" s="796"/>
      <c r="Q177" s="796"/>
      <c r="R177" s="796"/>
      <c r="S177" s="796"/>
      <c r="T177" s="797"/>
      <c r="W177" s="959"/>
      <c r="X177" s="960"/>
      <c r="Y177" s="960"/>
      <c r="Z177" s="960"/>
      <c r="AA177" s="960"/>
      <c r="AB177" s="960"/>
      <c r="AC177" s="960"/>
      <c r="AD177" s="961"/>
    </row>
    <row r="178" spans="1:30" ht="15.75" thickBot="1">
      <c r="A178" s="158">
        <v>0.6</v>
      </c>
      <c r="B178" s="159">
        <v>2</v>
      </c>
      <c r="C178" s="74">
        <f>(((((A178*1)+(B178*2))*'MATERIALES (2)'!$C$33)+((A178*2)*'MATERIALES (2)'!$C$35)+((B178*1)*'MATERIALES (2)'!$C$35)+((B178*2)*'MATERIALES (2)'!$C$34))*'MATERIALES (2)'!$F$1)+'MATERIALES (2)'!$D$233</f>
        <v>95456.703999999998</v>
      </c>
      <c r="D178" s="74">
        <f>(2*'MATERIALES (2)'!$C$135)+(12*'MATERIALES (2)'!$C$147)+(12*'MATERIALES (2)'!$C$148)+((8*2)*'MATERIALES (2)'!$C$134)+(3*'MATERIALES (2)'!$C$150)+(((B178*2)+(A178*1))*'MATERIALES (2)'!$C$138)+(((A178)+(B178*2))*'MATERIALES (2)'!$C$130)+(((A178)+(B178*2))*'MATERIALES (2)'!$C$154)+(1*'MATERIALES (2)'!$C$151)+(((A178*5)*2)*'MATERIALES (2)'!$C$136)+(4*'MATERIALES (2)'!$C$137)+(0.5*'MATERIALES (2)'!$C$156)</f>
        <v>20934</v>
      </c>
      <c r="E178" s="74"/>
      <c r="F178" s="111">
        <f>((A178/2)*B178)*'MATERIALES (2)'!$D$85</f>
        <v>4440</v>
      </c>
      <c r="G178" s="74">
        <f>SUM(C178:F178)</f>
        <v>120830.704</v>
      </c>
      <c r="H178" s="160">
        <f>((((SUM(C178:E178)*$C$174)+(F178*$F$174))*1.21)*1.05)*1.05</f>
        <v>221458.08901986002</v>
      </c>
      <c r="M178" s="40">
        <v>0.6</v>
      </c>
      <c r="N178" s="41">
        <v>2</v>
      </c>
      <c r="O178" s="47">
        <f>((((M178*1)+(N178*2))*'MATERIALES (2)'!$C$33)+((M178*2)*'MATERIALES (2)'!$C$35)+((N178*2)*'MATERIALES (2)'!$C$34))*'MATERIALES (2)'!$F$1</f>
        <v>72100.853999999992</v>
      </c>
      <c r="P178" s="58">
        <f>(2*'MATERIALES (2)'!$C$135)+(8*'MATERIALES (2)'!$C$147)+(8*'MATERIALES (2)'!$C$148)+((8*2)*'MATERIALES (2)'!$C$134)+(3*'MATERIALES (2)'!$C$150)+(((N178*2)+(M178*1))*'MATERIALES (2)'!$C$138)+(1*'MATERIALES (2)'!$C$151)+(((M178*5)*2)*'MATERIALES (2)'!$C$136)+(4*'MATERIALES (2)'!$C$137)+(0.5*'MATERIALES (2)'!$C$156)+(((M178*2)+(N178*2))*'MATERIALES (2)'!$C$154)</f>
        <v>19214</v>
      </c>
      <c r="Q178" s="74"/>
      <c r="R178" s="54">
        <f>'MATERIALES (2)'!$D$233</f>
        <v>4900</v>
      </c>
      <c r="S178" s="47">
        <f>SUM(O178:R178)</f>
        <v>96214.853999999992</v>
      </c>
      <c r="T178" s="49">
        <f>(((SUM(O178:R178)*$O$174)*1.21)*1.05)*1.05</f>
        <v>173276.5778199225</v>
      </c>
      <c r="W178" s="68">
        <v>0.6</v>
      </c>
      <c r="X178" s="69">
        <v>2</v>
      </c>
      <c r="Y178" s="59">
        <f>((((W178*1)+(X178*2))*'MATERIALES (2)'!$C$33)+((W178*2)*'MATERIALES (2)'!$C$35)+((X178*1)*'MATERIALES (2)'!$C$35)+((X178*2)*'MATERIALES (2)'!$C$35)+((((W178/2)-0.2)*'MATERIALES (2)'!$C$30)*(X178/0.12)))*'MATERIALES (2)'!$F$1</f>
        <v>117063.254</v>
      </c>
      <c r="Z178" s="59">
        <f>(2*'MATERIALES (2)'!$C$135)+(12*'MATERIALES (2)'!$C$147)+(12*'MATERIALES (2)'!$C$148)+((8*2)*'MATERIALES (2)'!$C$134)+(3*'MATERIALES (2)'!$C$150)+(((X178*2)+(W178*1))*'MATERIALES (2)'!$C$138)+(((W178)+(X178*2))*'MATERIALES (2)'!$C$130)+(((W178)+(X178*2))*'MATERIALES (2)'!$C$154)+(1*'MATERIALES (2)'!$C$151)+(((W178*5)*2)*'MATERIALES (2)'!$C$136)+(4*'MATERIALES (2)'!$C$137)+(0.5*'MATERIALES (2)'!$C$156)</f>
        <v>20934</v>
      </c>
      <c r="AA178" s="59">
        <f>(0.5*'MATERIALES (2)'!$D$243)</f>
        <v>0</v>
      </c>
      <c r="AB178" s="55">
        <f>((W178/2)*X178)*'MATERIALES (2)'!$D$85</f>
        <v>4440</v>
      </c>
      <c r="AC178" s="59">
        <f>SUM(Y178:AB178)</f>
        <v>142437.25400000002</v>
      </c>
      <c r="AD178" s="70">
        <f>((((SUM(Y178:AA178)*$Y$174)+(AB178*$AB$174))*1.21)*1.05)*1.05</f>
        <v>260370.05413592258</v>
      </c>
    </row>
    <row r="179" spans="1:30" ht="15.75" thickBot="1">
      <c r="A179" s="161">
        <v>0.7</v>
      </c>
      <c r="B179" s="162">
        <v>2</v>
      </c>
      <c r="C179" s="75">
        <f>(((((A179*1)+(B179*2))*'MATERIALES (2)'!$C$33)+((A179*2)*'MATERIALES (2)'!$C$35)+((B179*1)*'MATERIALES (2)'!$C$35)+((B179*2)*'MATERIALES (2)'!$C$34))*'MATERIALES (2)'!$F$1)+'MATERIALES (2)'!$D$233</f>
        <v>97994.952999999994</v>
      </c>
      <c r="D179" s="75">
        <f>(2*'MATERIALES (2)'!$C$135)+(12*'MATERIALES (2)'!$C$147)+(12*'MATERIALES (2)'!$C$148)+((8*2)*'MATERIALES (2)'!$C$134)+(3*'MATERIALES (2)'!$C$150)+(((B179*2)+(A179*1))*'MATERIALES (2)'!$C$138)+(((A179)+(B179*2))*'MATERIALES (2)'!$C$130)+(((A179)+(B179*2))*'MATERIALES (2)'!$C$154)+(1*'MATERIALES (2)'!$C$151)+(((A179*5)*2)*'MATERIALES (2)'!$C$136)+(4*'MATERIALES (2)'!$C$137)+(0.5*'MATERIALES (2)'!$C$156)</f>
        <v>20988</v>
      </c>
      <c r="E179" s="75"/>
      <c r="F179" s="112">
        <f>((A179/2)*B179)*'MATERIALES (2)'!$D$85</f>
        <v>5180</v>
      </c>
      <c r="G179" s="75">
        <f t="shared" ref="G179:G185" si="50">SUM(C179:F179)</f>
        <v>124162.95299999999</v>
      </c>
      <c r="H179" s="160">
        <f t="shared" ref="H179:H185" si="51">((((SUM(C179:E179)*$C$174)+(F179*$F$174))*1.21)*1.05)*1.05</f>
        <v>228100.91473236377</v>
      </c>
      <c r="M179" s="42">
        <v>0.7</v>
      </c>
      <c r="N179" s="37">
        <v>2</v>
      </c>
      <c r="O179" s="38">
        <f>((((M179*1)+(N179*2))*'MATERIALES (2)'!$C$33)+((M179*2)*'MATERIALES (2)'!$C$35)+((N179*2)*'MATERIALES (2)'!$C$34))*'MATERIALES (2)'!$F$1</f>
        <v>74639.103000000003</v>
      </c>
      <c r="P179" s="59">
        <f>(2*'MATERIALES (2)'!$C$135)+(8*'MATERIALES (2)'!$C$147)+(8*'MATERIALES (2)'!$C$148)+((8*2)*'MATERIALES (2)'!$C$134)+(3*'MATERIALES (2)'!$C$150)+(((N179*2)+(M179*1))*'MATERIALES (2)'!$C$138)+(1*'MATERIALES (2)'!$C$151)+(((M179*5)*2)*'MATERIALES (2)'!$C$136)+(4*'MATERIALES (2)'!$C$137)+(0.5*'MATERIALES (2)'!$C$156)+(((M179*2)+(N179*2))*'MATERIALES (2)'!$C$154)</f>
        <v>19268</v>
      </c>
      <c r="Q179" s="75"/>
      <c r="R179" s="55">
        <f>'MATERIALES (2)'!$D$233</f>
        <v>4900</v>
      </c>
      <c r="S179" s="38">
        <f t="shared" ref="S179:S185" si="52">SUM(O179:R179)</f>
        <v>98807.103000000003</v>
      </c>
      <c r="T179" s="49">
        <f t="shared" ref="T179:T185" si="53">(((SUM(O179:R179)*$O$174)*1.21)*1.05)*1.05</f>
        <v>177945.04653242629</v>
      </c>
      <c r="W179" s="68">
        <v>0.7</v>
      </c>
      <c r="X179" s="69">
        <v>2</v>
      </c>
      <c r="Y179" s="59">
        <f>((((W179*1)+(X179*2))*'MATERIALES (2)'!$C$33)+((W179*2)*'MATERIALES (2)'!$C$35)+((X179*1)*'MATERIALES (2)'!$C$35)+((X179*2)*'MATERIALES (2)'!$C$35)+((((W179/2)-0.2)*'MATERIALES (2)'!$C$30)*(X179/0.12)))*'MATERIALES (2)'!$F$1</f>
        <v>128981.32799999999</v>
      </c>
      <c r="Z179" s="59">
        <f>(2*'MATERIALES (2)'!$C$135)+(12*'MATERIALES (2)'!$C$147)+(12*'MATERIALES (2)'!$C$148)+((8*2)*'MATERIALES (2)'!$C$134)+(3*'MATERIALES (2)'!$C$150)+(((X179*2)+(W179*1))*'MATERIALES (2)'!$C$138)+(((W179)+(X179*2))*'MATERIALES (2)'!$C$130)+(((W179)+(X179*2))*'MATERIALES (2)'!$C$154)+(1*'MATERIALES (2)'!$C$151)+(((W179*5)*2)*'MATERIALES (2)'!$C$136)+(4*'MATERIALES (2)'!$C$137)+(0.5*'MATERIALES (2)'!$C$156)</f>
        <v>20988</v>
      </c>
      <c r="AA179" s="59">
        <f>(0.5*'MATERIALES (2)'!$D$243)</f>
        <v>0</v>
      </c>
      <c r="AB179" s="55">
        <f>((W179/2)*X179)*'MATERIALES (2)'!$D$85</f>
        <v>5180</v>
      </c>
      <c r="AC179" s="59">
        <f t="shared" ref="AC179:AC185" si="54">SUM(Y179:AB179)</f>
        <v>155149.32799999998</v>
      </c>
      <c r="AD179" s="70">
        <f t="shared" ref="AD179:AD185" si="55">((((SUM(Y179:AA179)*$Y$174)+(AB179*$AB$174))*1.21)*1.05)*1.05</f>
        <v>283905.32326002</v>
      </c>
    </row>
    <row r="180" spans="1:30" ht="15.75" thickBot="1">
      <c r="A180" s="161">
        <v>0.8</v>
      </c>
      <c r="B180" s="162">
        <v>2</v>
      </c>
      <c r="C180" s="75">
        <f>(((((A180*1)+(B180*2))*'MATERIALES (2)'!$C$33)+((A180*2)*'MATERIALES (2)'!$C$35)+((B180*1)*'MATERIALES (2)'!$C$35)+((B180*2)*'MATERIALES (2)'!$C$34))*'MATERIALES (2)'!$F$1)+'MATERIALES (2)'!$D$233</f>
        <v>100533.20199999999</v>
      </c>
      <c r="D180" s="75">
        <f>(2*'MATERIALES (2)'!$C$135)+(12*'MATERIALES (2)'!$C$147)+(12*'MATERIALES (2)'!$C$148)+((8*2)*'MATERIALES (2)'!$C$134)+(3*'MATERIALES (2)'!$C$150)+(((B180*2)+(A180*1))*'MATERIALES (2)'!$C$138)+(((A180)+(B180*2))*'MATERIALES (2)'!$C$130)+(((A180)+(B180*2))*'MATERIALES (2)'!$C$154)+(1*'MATERIALES (2)'!$C$151)+(((A180*5)*2)*'MATERIALES (2)'!$C$136)+(4*'MATERIALES (2)'!$C$137)+(0.5*'MATERIALES (2)'!$C$156)</f>
        <v>21042</v>
      </c>
      <c r="E180" s="75"/>
      <c r="F180" s="112">
        <f>((A180/2)*B180)*'MATERIALES (2)'!$D$85</f>
        <v>5920</v>
      </c>
      <c r="G180" s="75">
        <f t="shared" si="50"/>
        <v>127495.20199999999</v>
      </c>
      <c r="H180" s="160">
        <f t="shared" si="51"/>
        <v>234743.74044486752</v>
      </c>
      <c r="M180" s="42">
        <v>0.8</v>
      </c>
      <c r="N180" s="37">
        <v>2</v>
      </c>
      <c r="O180" s="38">
        <f>((((M180*1)+(N180*2))*'MATERIALES (2)'!$C$33)+((M180*2)*'MATERIALES (2)'!$C$35)+((N180*2)*'MATERIALES (2)'!$C$34))*'MATERIALES (2)'!$F$1</f>
        <v>77177.351999999999</v>
      </c>
      <c r="P180" s="59">
        <f>(2*'MATERIALES (2)'!$C$135)+(8*'MATERIALES (2)'!$C$147)+(8*'MATERIALES (2)'!$C$148)+((8*2)*'MATERIALES (2)'!$C$134)+(3*'MATERIALES (2)'!$C$150)+(((N180*2)+(M180*1))*'MATERIALES (2)'!$C$138)+(1*'MATERIALES (2)'!$C$151)+(((M180*5)*2)*'MATERIALES (2)'!$C$136)+(4*'MATERIALES (2)'!$C$137)+(0.5*'MATERIALES (2)'!$C$156)+(((M180*2)+(N180*2))*'MATERIALES (2)'!$C$154)</f>
        <v>19322</v>
      </c>
      <c r="Q180" s="75"/>
      <c r="R180" s="55">
        <f>'MATERIALES (2)'!$D$233</f>
        <v>4900</v>
      </c>
      <c r="S180" s="38">
        <f t="shared" si="52"/>
        <v>101399.352</v>
      </c>
      <c r="T180" s="49">
        <f t="shared" si="53"/>
        <v>182613.51524493002</v>
      </c>
      <c r="W180" s="68">
        <v>0.8</v>
      </c>
      <c r="X180" s="69">
        <v>2</v>
      </c>
      <c r="Y180" s="59">
        <f>((((W180*1)+(X180*2))*'MATERIALES (2)'!$C$33)+((W180*2)*'MATERIALES (2)'!$C$35)+((X180*1)*'MATERIALES (2)'!$C$35)+((X180*2)*'MATERIALES (2)'!$C$35)+((((W180/2)-0.2)*'MATERIALES (2)'!$C$30)*(X180/0.12)))*'MATERIALES (2)'!$F$1</f>
        <v>140899.402</v>
      </c>
      <c r="Z180" s="59">
        <f>(2*'MATERIALES (2)'!$C$135)+(12*'MATERIALES (2)'!$C$147)+(12*'MATERIALES (2)'!$C$148)+((8*2)*'MATERIALES (2)'!$C$134)+(3*'MATERIALES (2)'!$C$150)+(((X180*2)+(W180*1))*'MATERIALES (2)'!$C$138)+(((W180)+(X180*2))*'MATERIALES (2)'!$C$130)+(((W180)+(X180*2))*'MATERIALES (2)'!$C$154)+(1*'MATERIALES (2)'!$C$151)+(((W180*5)*2)*'MATERIALES (2)'!$C$136)+(4*'MATERIALES (2)'!$C$137)+(0.5*'MATERIALES (2)'!$C$156)</f>
        <v>21042</v>
      </c>
      <c r="AA180" s="59">
        <f>(0.5*'MATERIALES (2)'!$D$243)</f>
        <v>0</v>
      </c>
      <c r="AB180" s="55">
        <f>((W180/2)*X180)*'MATERIALES (2)'!$D$85</f>
        <v>5920</v>
      </c>
      <c r="AC180" s="59">
        <f t="shared" si="54"/>
        <v>167861.402</v>
      </c>
      <c r="AD180" s="70">
        <f t="shared" si="55"/>
        <v>307440.5923841176</v>
      </c>
    </row>
    <row r="181" spans="1:30" ht="15.75" thickBot="1">
      <c r="A181" s="161">
        <v>0.9</v>
      </c>
      <c r="B181" s="162">
        <v>2</v>
      </c>
      <c r="C181" s="75">
        <f>(((((A181*1)+(B181*2))*'MATERIALES (2)'!$C$33)+((A181*2)*'MATERIALES (2)'!$C$35)+((B181*1)*'MATERIALES (2)'!$C$35)+((B181*2)*'MATERIALES (2)'!$C$34))*'MATERIALES (2)'!$F$1)+'MATERIALES (2)'!$D$233</f>
        <v>103071.451</v>
      </c>
      <c r="D181" s="75">
        <f>(2*'MATERIALES (2)'!$C$135)+(12*'MATERIALES (2)'!$C$147)+(12*'MATERIALES (2)'!$C$148)+((8*2)*'MATERIALES (2)'!$C$134)+(3*'MATERIALES (2)'!$C$150)+(((B181*2)+(A181*1))*'MATERIALES (2)'!$C$138)+(((A181)+(B181*2))*'MATERIALES (2)'!$C$130)+(((A181)+(B181*2))*'MATERIALES (2)'!$C$154)+(1*'MATERIALES (2)'!$C$151)+(((A181*5)*2)*'MATERIALES (2)'!$C$136)+(4*'MATERIALES (2)'!$C$137)+(0.5*'MATERIALES (2)'!$C$156)</f>
        <v>21096</v>
      </c>
      <c r="E181" s="75"/>
      <c r="F181" s="112">
        <f>((A181/2)*B181)*'MATERIALES (2)'!$D$85</f>
        <v>6660</v>
      </c>
      <c r="G181" s="75">
        <f t="shared" si="50"/>
        <v>130827.451</v>
      </c>
      <c r="H181" s="160">
        <f t="shared" si="51"/>
        <v>241386.56615737127</v>
      </c>
      <c r="M181" s="42">
        <v>0.9</v>
      </c>
      <c r="N181" s="37">
        <v>2</v>
      </c>
      <c r="O181" s="38">
        <f>((((M181*1)+(N181*2))*'MATERIALES (2)'!$C$33)+((M181*2)*'MATERIALES (2)'!$C$35)+((N181*2)*'MATERIALES (2)'!$C$34))*'MATERIALES (2)'!$F$1</f>
        <v>79715.60100000001</v>
      </c>
      <c r="P181" s="59">
        <f>(2*'MATERIALES (2)'!$C$135)+(8*'MATERIALES (2)'!$C$147)+(8*'MATERIALES (2)'!$C$148)+((8*2)*'MATERIALES (2)'!$C$134)+(3*'MATERIALES (2)'!$C$150)+(((N181*2)+(M181*1))*'MATERIALES (2)'!$C$138)+(1*'MATERIALES (2)'!$C$151)+(((M181*5)*2)*'MATERIALES (2)'!$C$136)+(4*'MATERIALES (2)'!$C$137)+(0.5*'MATERIALES (2)'!$C$156)+(((M181*2)+(N181*2))*'MATERIALES (2)'!$C$154)</f>
        <v>19376</v>
      </c>
      <c r="Q181" s="75"/>
      <c r="R181" s="55">
        <f>'MATERIALES (2)'!$D$233</f>
        <v>4900</v>
      </c>
      <c r="S181" s="38">
        <f t="shared" si="52"/>
        <v>103991.60100000001</v>
      </c>
      <c r="T181" s="49">
        <f t="shared" si="53"/>
        <v>187281.98395743375</v>
      </c>
      <c r="W181" s="68">
        <v>0.9</v>
      </c>
      <c r="X181" s="69">
        <v>2</v>
      </c>
      <c r="Y181" s="59">
        <f>((((W181*1)+(X181*2))*'MATERIALES (2)'!$C$33)+((W181*2)*'MATERIALES (2)'!$C$35)+((X181*1)*'MATERIALES (2)'!$C$35)+((X181*2)*'MATERIALES (2)'!$C$35)+((((W181/2)-0.2)*'MATERIALES (2)'!$C$30)*(X181/0.12)))*'MATERIALES (2)'!$F$1</f>
        <v>152817.476</v>
      </c>
      <c r="Z181" s="59">
        <f>(2*'MATERIALES (2)'!$C$135)+(12*'MATERIALES (2)'!$C$147)+(12*'MATERIALES (2)'!$C$148)+((8*2)*'MATERIALES (2)'!$C$134)+(3*'MATERIALES (2)'!$C$150)+(((X181*2)+(W181*1))*'MATERIALES (2)'!$C$138)+(((W181)+(X181*2))*'MATERIALES (2)'!$C$130)+(((W181)+(X181*2))*'MATERIALES (2)'!$C$154)+(1*'MATERIALES (2)'!$C$151)+(((W181*5)*2)*'MATERIALES (2)'!$C$136)+(4*'MATERIALES (2)'!$C$137)+(0.5*'MATERIALES (2)'!$C$156)</f>
        <v>21096</v>
      </c>
      <c r="AA181" s="59">
        <f>(0.5*'MATERIALES (2)'!$D$243)</f>
        <v>0</v>
      </c>
      <c r="AB181" s="55">
        <f>((W181/2)*X181)*'MATERIALES (2)'!$D$85</f>
        <v>6660</v>
      </c>
      <c r="AC181" s="59">
        <f t="shared" si="54"/>
        <v>180573.476</v>
      </c>
      <c r="AD181" s="70">
        <f t="shared" si="55"/>
        <v>330975.86150821502</v>
      </c>
    </row>
    <row r="182" spans="1:30" ht="15.75" thickBot="1">
      <c r="A182" s="161">
        <v>0.6</v>
      </c>
      <c r="B182" s="162">
        <v>2.1</v>
      </c>
      <c r="C182" s="75">
        <f>(((((A182*1)+(B182*2))*'MATERIALES (2)'!$C$33)+((A182*2)*'MATERIALES (2)'!$C$35)+((B182*1)*'MATERIALES (2)'!$C$35)+((B182*2)*'MATERIALES (2)'!$C$34))*'MATERIALES (2)'!$F$1)+'MATERIALES (2)'!$D$233</f>
        <v>99223.064500000008</v>
      </c>
      <c r="D182" s="75">
        <f>(2*'MATERIALES (2)'!$C$135)+(12*'MATERIALES (2)'!$C$147)+(12*'MATERIALES (2)'!$C$148)+((8*2)*'MATERIALES (2)'!$C$134)+(3*'MATERIALES (2)'!$C$150)+(((B182*2)+(A182*1))*'MATERIALES (2)'!$C$138)+(((A182)+(B182*2))*'MATERIALES (2)'!$C$130)+(((A182)+(B182*2))*'MATERIALES (2)'!$C$154)+(1*'MATERIALES (2)'!$C$151)+(((A182*5)*2)*'MATERIALES (2)'!$C$136)+(4*'MATERIALES (2)'!$C$137)+(0.5*'MATERIALES (2)'!$C$156)</f>
        <v>21042</v>
      </c>
      <c r="E182" s="75"/>
      <c r="F182" s="112">
        <f>((A182/2)*B182)*'MATERIALES (2)'!$D$85</f>
        <v>4662</v>
      </c>
      <c r="G182" s="75">
        <f t="shared" si="50"/>
        <v>124927.06450000001</v>
      </c>
      <c r="H182" s="160">
        <f t="shared" si="51"/>
        <v>229027.86270397689</v>
      </c>
      <c r="M182" s="42">
        <v>0.6</v>
      </c>
      <c r="N182" s="37">
        <v>2.1</v>
      </c>
      <c r="O182" s="38">
        <f>((((M182*1)+(N182*2))*'MATERIALES (2)'!$C$33)+((M182*2)*'MATERIALES (2)'!$C$35)+((N182*2)*'MATERIALES (2)'!$C$34))*'MATERIALES (2)'!$F$1</f>
        <v>74944.422000000006</v>
      </c>
      <c r="P182" s="59">
        <f>(2*'MATERIALES (2)'!$C$135)+(8*'MATERIALES (2)'!$C$147)+(8*'MATERIALES (2)'!$C$148)+((8*2)*'MATERIALES (2)'!$C$134)+(3*'MATERIALES (2)'!$C$150)+(((N182*2)+(M182*1))*'MATERIALES (2)'!$C$138)+(1*'MATERIALES (2)'!$C$151)+(((M182*5)*2)*'MATERIALES (2)'!$C$136)+(4*'MATERIALES (2)'!$C$137)+(0.5*'MATERIALES (2)'!$C$156)+(((M182*2)+(N182*2))*'MATERIALES (2)'!$C$154)</f>
        <v>19274</v>
      </c>
      <c r="Q182" s="75"/>
      <c r="R182" s="55">
        <f>'MATERIALES (2)'!$D$233</f>
        <v>4900</v>
      </c>
      <c r="S182" s="38">
        <f t="shared" si="52"/>
        <v>99118.422000000006</v>
      </c>
      <c r="T182" s="49">
        <f t="shared" si="53"/>
        <v>178505.71142654255</v>
      </c>
      <c r="W182" s="68">
        <v>0.6</v>
      </c>
      <c r="X182" s="69">
        <v>2.1</v>
      </c>
      <c r="Y182" s="59">
        <f>((((W182*1)+(X182*2))*'MATERIALES (2)'!$C$33)+((W182*2)*'MATERIALES (2)'!$C$35)+((X182*1)*'MATERIALES (2)'!$C$35)+((X182*2)*'MATERIALES (2)'!$C$35)+((((W182/2)-0.2)*'MATERIALES (2)'!$C$30)*(X182/0.12)))*'MATERIALES (2)'!$F$1</f>
        <v>122154.94200000001</v>
      </c>
      <c r="Z182" s="59">
        <f>(2*'MATERIALES (2)'!$C$135)+(12*'MATERIALES (2)'!$C$147)+(12*'MATERIALES (2)'!$C$148)+((8*2)*'MATERIALES (2)'!$C$134)+(3*'MATERIALES (2)'!$C$150)+(((X182*2)+(W182*1))*'MATERIALES (2)'!$C$138)+(((W182)+(X182*2))*'MATERIALES (2)'!$C$130)+(((W182)+(X182*2))*'MATERIALES (2)'!$C$154)+(1*'MATERIALES (2)'!$C$151)+(((W182*5)*2)*'MATERIALES (2)'!$C$136)+(4*'MATERIALES (2)'!$C$137)+(0.5*'MATERIALES (2)'!$C$156)</f>
        <v>21042</v>
      </c>
      <c r="AA182" s="59">
        <f>(0.5*'MATERIALES (2)'!$D$243)</f>
        <v>0</v>
      </c>
      <c r="AB182" s="55">
        <f>((W182/2)*X182)*'MATERIALES (2)'!$D$85</f>
        <v>4662</v>
      </c>
      <c r="AC182" s="59">
        <f t="shared" si="54"/>
        <v>147858.94200000001</v>
      </c>
      <c r="AD182" s="70">
        <f t="shared" si="55"/>
        <v>270326.6548445925</v>
      </c>
    </row>
    <row r="183" spans="1:30" ht="15.75" thickBot="1">
      <c r="A183" s="161">
        <v>0.7</v>
      </c>
      <c r="B183" s="162">
        <v>2.1</v>
      </c>
      <c r="C183" s="75">
        <f>(((((A183*1)+(B183*2))*'MATERIALES (2)'!$C$33)+((A183*2)*'MATERIALES (2)'!$C$35)+((B183*1)*'MATERIALES (2)'!$C$35)+((B183*2)*'MATERIALES (2)'!$C$34))*'MATERIALES (2)'!$F$1)+'MATERIALES (2)'!$D$233</f>
        <v>101761.3135</v>
      </c>
      <c r="D183" s="75">
        <f>(2*'MATERIALES (2)'!$C$135)+(12*'MATERIALES (2)'!$C$147)+(12*'MATERIALES (2)'!$C$148)+((8*2)*'MATERIALES (2)'!$C$134)+(3*'MATERIALES (2)'!$C$150)+(((B183*2)+(A183*1))*'MATERIALES (2)'!$C$138)+(((A183)+(B183*2))*'MATERIALES (2)'!$C$130)+(((A183)+(B183*2))*'MATERIALES (2)'!$C$154)+(1*'MATERIALES (2)'!$C$151)+(((A183*5)*2)*'MATERIALES (2)'!$C$136)+(4*'MATERIALES (2)'!$C$137)+(0.5*'MATERIALES (2)'!$C$156)</f>
        <v>21096</v>
      </c>
      <c r="E183" s="75"/>
      <c r="F183" s="112">
        <f>((A183/2)*B183)*'MATERIALES (2)'!$D$85</f>
        <v>5439</v>
      </c>
      <c r="G183" s="75">
        <f t="shared" si="50"/>
        <v>128296.3135</v>
      </c>
      <c r="H183" s="160">
        <f t="shared" si="51"/>
        <v>235769.40626648066</v>
      </c>
      <c r="M183" s="42">
        <v>0.7</v>
      </c>
      <c r="N183" s="37">
        <v>2.1</v>
      </c>
      <c r="O183" s="38">
        <f>((((M183*1)+(N183*2))*'MATERIALES (2)'!$C$33)+((M183*2)*'MATERIALES (2)'!$C$35)+((N183*2)*'MATERIALES (2)'!$C$34))*'MATERIALES (2)'!$F$1</f>
        <v>77482.671000000002</v>
      </c>
      <c r="P183" s="59">
        <f>(2*'MATERIALES (2)'!$C$135)+(8*'MATERIALES (2)'!$C$147)+(8*'MATERIALES (2)'!$C$148)+((8*2)*'MATERIALES (2)'!$C$134)+(3*'MATERIALES (2)'!$C$150)+(((N183*2)+(M183*1))*'MATERIALES (2)'!$C$138)+(1*'MATERIALES (2)'!$C$151)+(((M183*5)*2)*'MATERIALES (2)'!$C$136)+(4*'MATERIALES (2)'!$C$137)+(0.5*'MATERIALES (2)'!$C$156)+(((M183*2)+(N183*2))*'MATERIALES (2)'!$C$154)</f>
        <v>19328</v>
      </c>
      <c r="Q183" s="75"/>
      <c r="R183" s="55">
        <f>'MATERIALES (2)'!$D$233</f>
        <v>4900</v>
      </c>
      <c r="S183" s="38">
        <f t="shared" si="52"/>
        <v>101710.671</v>
      </c>
      <c r="T183" s="49">
        <f t="shared" si="53"/>
        <v>183174.18013904628</v>
      </c>
      <c r="W183" s="68">
        <v>0.7</v>
      </c>
      <c r="X183" s="69">
        <v>2.1</v>
      </c>
      <c r="Y183" s="59">
        <f>((((W183*1)+(X183*2))*'MATERIALES (2)'!$C$33)+((W183*2)*'MATERIALES (2)'!$C$35)+((X183*1)*'MATERIALES (2)'!$C$35)+((X183*2)*'MATERIALES (2)'!$C$35)+((((W183/2)-0.2)*'MATERIALES (2)'!$C$30)*(X183/0.12)))*'MATERIALES (2)'!$F$1</f>
        <v>134542.00725</v>
      </c>
      <c r="Z183" s="59">
        <f>(2*'MATERIALES (2)'!$C$135)+(12*'MATERIALES (2)'!$C$147)+(12*'MATERIALES (2)'!$C$148)+((8*2)*'MATERIALES (2)'!$C$134)+(3*'MATERIALES (2)'!$C$150)+(((X183*2)+(W183*1))*'MATERIALES (2)'!$C$138)+(((W183)+(X183*2))*'MATERIALES (2)'!$C$130)+(((W183)+(X183*2))*'MATERIALES (2)'!$C$154)+(1*'MATERIALES (2)'!$C$151)+(((W183*5)*2)*'MATERIALES (2)'!$C$136)+(4*'MATERIALES (2)'!$C$137)+(0.5*'MATERIALES (2)'!$C$156)</f>
        <v>21096</v>
      </c>
      <c r="AA183" s="59">
        <f>(0.5*'MATERIALES (2)'!$D$243)</f>
        <v>0</v>
      </c>
      <c r="AB183" s="55">
        <f>((W183/2)*X183)*'MATERIALES (2)'!$D$85</f>
        <v>5439</v>
      </c>
      <c r="AC183" s="59">
        <f t="shared" si="54"/>
        <v>161077.00725</v>
      </c>
      <c r="AD183" s="70">
        <f t="shared" si="55"/>
        <v>294805.26398926973</v>
      </c>
    </row>
    <row r="184" spans="1:30" ht="15.75" thickBot="1">
      <c r="A184" s="161">
        <v>0.8</v>
      </c>
      <c r="B184" s="162">
        <v>2.1</v>
      </c>
      <c r="C184" s="75">
        <f>(((((A184*1)+(B184*2))*'MATERIALES (2)'!$C$33)+((A184*2)*'MATERIALES (2)'!$C$35)+((B184*1)*'MATERIALES (2)'!$C$35)+((B184*2)*'MATERIALES (2)'!$C$34))*'MATERIALES (2)'!$F$1)+'MATERIALES (2)'!$D$233</f>
        <v>104299.56250000001</v>
      </c>
      <c r="D184" s="75">
        <f>(2*'MATERIALES (2)'!$C$135)+(12*'MATERIALES (2)'!$C$147)+(12*'MATERIALES (2)'!$C$148)+((8*2)*'MATERIALES (2)'!$C$134)+(3*'MATERIALES (2)'!$C$150)+(((B184*2)+(A184*1))*'MATERIALES (2)'!$C$138)+(((A184)+(B184*2))*'MATERIALES (2)'!$C$130)+(((A184)+(B184*2))*'MATERIALES (2)'!$C$154)+(1*'MATERIALES (2)'!$C$151)+(((A184*5)*2)*'MATERIALES (2)'!$C$136)+(4*'MATERIALES (2)'!$C$137)+(0.5*'MATERIALES (2)'!$C$156)</f>
        <v>21150</v>
      </c>
      <c r="E184" s="75"/>
      <c r="F184" s="112">
        <f>((A184/2)*B184)*'MATERIALES (2)'!$D$85</f>
        <v>6216.0000000000009</v>
      </c>
      <c r="G184" s="75">
        <f t="shared" si="50"/>
        <v>131665.56250000003</v>
      </c>
      <c r="H184" s="160">
        <f t="shared" si="51"/>
        <v>242510.94982898442</v>
      </c>
      <c r="M184" s="42">
        <v>0.8</v>
      </c>
      <c r="N184" s="37">
        <v>2.1</v>
      </c>
      <c r="O184" s="38">
        <f>((((M184*1)+(N184*2))*'MATERIALES (2)'!$C$33)+((M184*2)*'MATERIALES (2)'!$C$35)+((N184*2)*'MATERIALES (2)'!$C$34))*'MATERIALES (2)'!$F$1</f>
        <v>80020.920000000013</v>
      </c>
      <c r="P184" s="59">
        <f>(2*'MATERIALES (2)'!$C$135)+(8*'MATERIALES (2)'!$C$147)+(8*'MATERIALES (2)'!$C$148)+((8*2)*'MATERIALES (2)'!$C$134)+(3*'MATERIALES (2)'!$C$150)+(((N184*2)+(M184*1))*'MATERIALES (2)'!$C$138)+(1*'MATERIALES (2)'!$C$151)+(((M184*5)*2)*'MATERIALES (2)'!$C$136)+(4*'MATERIALES (2)'!$C$137)+(0.5*'MATERIALES (2)'!$C$156)+(((M184*2)+(N184*2))*'MATERIALES (2)'!$C$154)</f>
        <v>19382</v>
      </c>
      <c r="Q184" s="75"/>
      <c r="R184" s="55">
        <f>'MATERIALES (2)'!$D$233</f>
        <v>4900</v>
      </c>
      <c r="S184" s="38">
        <f t="shared" si="52"/>
        <v>104302.92000000001</v>
      </c>
      <c r="T184" s="49">
        <f t="shared" si="53"/>
        <v>187842.64885155007</v>
      </c>
      <c r="W184" s="68">
        <v>0.8</v>
      </c>
      <c r="X184" s="69">
        <v>2.1</v>
      </c>
      <c r="Y184" s="59">
        <f>((((W184*1)+(X184*2))*'MATERIALES (2)'!$C$33)+((W184*2)*'MATERIALES (2)'!$C$35)+((X184*1)*'MATERIALES (2)'!$C$35)+((X184*2)*'MATERIALES (2)'!$C$35)+((((W184/2)-0.2)*'MATERIALES (2)'!$C$30)*(X184/0.12)))*'MATERIALES (2)'!$F$1</f>
        <v>146929.07250000001</v>
      </c>
      <c r="Z184" s="59">
        <f>(2*'MATERIALES (2)'!$C$135)+(12*'MATERIALES (2)'!$C$147)+(12*'MATERIALES (2)'!$C$148)+((8*2)*'MATERIALES (2)'!$C$134)+(3*'MATERIALES (2)'!$C$150)+(((X184*2)+(W184*1))*'MATERIALES (2)'!$C$138)+(((W184)+(X184*2))*'MATERIALES (2)'!$C$130)+(((W184)+(X184*2))*'MATERIALES (2)'!$C$154)+(1*'MATERIALES (2)'!$C$151)+(((W184*5)*2)*'MATERIALES (2)'!$C$136)+(4*'MATERIALES (2)'!$C$137)+(0.5*'MATERIALES (2)'!$C$156)</f>
        <v>21150</v>
      </c>
      <c r="AA184" s="59">
        <f>(0.5*'MATERIALES (2)'!$D$243)</f>
        <v>0</v>
      </c>
      <c r="AB184" s="55">
        <f>((W184/2)*X184)*'MATERIALES (2)'!$D$85</f>
        <v>6216.0000000000009</v>
      </c>
      <c r="AC184" s="59">
        <f t="shared" si="54"/>
        <v>174295.07250000001</v>
      </c>
      <c r="AD184" s="70">
        <f t="shared" si="55"/>
        <v>319283.87313394697</v>
      </c>
    </row>
    <row r="185" spans="1:30" ht="15.75" thickBot="1">
      <c r="A185" s="164">
        <v>0.9</v>
      </c>
      <c r="B185" s="165">
        <v>2.1</v>
      </c>
      <c r="C185" s="76">
        <f>(((((A185*1)+(B185*2))*'MATERIALES (2)'!$C$33)+((A185*2)*'MATERIALES (2)'!$C$35)+((B185*1)*'MATERIALES (2)'!$C$35)+((B185*2)*'MATERIALES (2)'!$C$34))*'MATERIALES (2)'!$F$1)+'MATERIALES (2)'!$D$233</f>
        <v>106837.81150000001</v>
      </c>
      <c r="D185" s="76">
        <f>(2*'MATERIALES (2)'!$C$135)+(12*'MATERIALES (2)'!$C$147)+(12*'MATERIALES (2)'!$C$148)+((8*2)*'MATERIALES (2)'!$C$134)+(3*'MATERIALES (2)'!$C$150)+(((B185*2)+(A185*1))*'MATERIALES (2)'!$C$138)+(((A185)+(B185*2))*'MATERIALES (2)'!$C$130)+(((A185)+(B185*2))*'MATERIALES (2)'!$C$154)+(1*'MATERIALES (2)'!$C$151)+(((A185*5)*2)*'MATERIALES (2)'!$C$136)+(4*'MATERIALES (2)'!$C$137)+(0.5*'MATERIALES (2)'!$C$156)</f>
        <v>21204</v>
      </c>
      <c r="E185" s="76"/>
      <c r="F185" s="113">
        <f>((A185/2)*B185)*'MATERIALES (2)'!$D$85</f>
        <v>6993.0000000000009</v>
      </c>
      <c r="G185" s="76">
        <f t="shared" si="50"/>
        <v>135034.81150000001</v>
      </c>
      <c r="H185" s="160">
        <f t="shared" si="51"/>
        <v>249252.49339148815</v>
      </c>
      <c r="M185" s="44">
        <v>0.9</v>
      </c>
      <c r="N185" s="45">
        <v>2.1</v>
      </c>
      <c r="O185" s="50">
        <f>((((M185*1)+(N185*2))*'MATERIALES (2)'!$C$33)+((M185*2)*'MATERIALES (2)'!$C$35)+((N185*2)*'MATERIALES (2)'!$C$34))*'MATERIALES (2)'!$F$1</f>
        <v>82559.169000000009</v>
      </c>
      <c r="P185" s="60">
        <f>(2*'MATERIALES (2)'!$C$135)+(8*'MATERIALES (2)'!$C$147)+(8*'MATERIALES (2)'!$C$148)+((8*2)*'MATERIALES (2)'!$C$134)+(3*'MATERIALES (2)'!$C$150)+(((N185*2)+(M185*1))*'MATERIALES (2)'!$C$138)+(1*'MATERIALES (2)'!$C$151)+(((M185*5)*2)*'MATERIALES (2)'!$C$136)+(4*'MATERIALES (2)'!$C$137)+(0.5*'MATERIALES (2)'!$C$156)+(((M185*2)+(N185*2))*'MATERIALES (2)'!$C$154)</f>
        <v>19436</v>
      </c>
      <c r="Q185" s="76"/>
      <c r="R185" s="56">
        <f>'MATERIALES (2)'!$D$233</f>
        <v>4900</v>
      </c>
      <c r="S185" s="50">
        <f t="shared" si="52"/>
        <v>106895.16900000001</v>
      </c>
      <c r="T185" s="49">
        <f t="shared" si="53"/>
        <v>192511.11756405377</v>
      </c>
      <c r="W185" s="71">
        <v>0.9</v>
      </c>
      <c r="X185" s="72">
        <v>2.1</v>
      </c>
      <c r="Y185" s="60">
        <f>((((W185*1)+(X185*2))*'MATERIALES (2)'!$C$33)+((W185*2)*'MATERIALES (2)'!$C$35)+((X185*1)*'MATERIALES (2)'!$C$35)+((X185*2)*'MATERIALES (2)'!$C$35)+((((W185/2)-0.2)*'MATERIALES (2)'!$C$30)*(X185/0.12)))*'MATERIALES (2)'!$F$1</f>
        <v>159316.13775000002</v>
      </c>
      <c r="Z185" s="60">
        <f>(2*'MATERIALES (2)'!$C$135)+(12*'MATERIALES (2)'!$C$147)+(12*'MATERIALES (2)'!$C$148)+((8*2)*'MATERIALES (2)'!$C$134)+(3*'MATERIALES (2)'!$C$150)+(((X185*2)+(W185*1))*'MATERIALES (2)'!$C$138)+(((W185)+(X185*2))*'MATERIALES (2)'!$C$130)+(((W185)+(X185*2))*'MATERIALES (2)'!$C$154)+(1*'MATERIALES (2)'!$C$151)+(((W185*5)*2)*'MATERIALES (2)'!$C$136)+(4*'MATERIALES (2)'!$C$137)+(0.5*'MATERIALES (2)'!$C$156)</f>
        <v>21204</v>
      </c>
      <c r="AA185" s="60">
        <f>(0.5*'MATERIALES (2)'!$D$243)</f>
        <v>0</v>
      </c>
      <c r="AB185" s="56">
        <f>((W185/2)*X185)*'MATERIALES (2)'!$D$85</f>
        <v>6993.0000000000009</v>
      </c>
      <c r="AC185" s="60">
        <f t="shared" si="54"/>
        <v>187513.13775000002</v>
      </c>
      <c r="AD185" s="70">
        <f t="shared" si="55"/>
        <v>343762.48227862414</v>
      </c>
    </row>
    <row r="187" spans="1:30" ht="15.75" thickBot="1"/>
    <row r="188" spans="1:30" ht="15.75" thickBot="1">
      <c r="A188" s="32"/>
      <c r="B188" s="32"/>
      <c r="C188" s="947">
        <v>1.35</v>
      </c>
      <c r="D188" s="948"/>
      <c r="E188" s="949"/>
      <c r="F188" s="728">
        <v>2</v>
      </c>
      <c r="G188" s="32"/>
      <c r="H188" s="46" t="s">
        <v>163</v>
      </c>
      <c r="M188" s="32"/>
      <c r="N188" s="32"/>
      <c r="O188" s="947">
        <v>1.35</v>
      </c>
      <c r="P188" s="948"/>
      <c r="Q188" s="949"/>
      <c r="R188" s="728">
        <v>2</v>
      </c>
      <c r="S188" s="32"/>
      <c r="T188" s="46" t="s">
        <v>163</v>
      </c>
    </row>
    <row r="189" spans="1:30" ht="15.75" thickBot="1">
      <c r="A189" s="792" t="s">
        <v>781</v>
      </c>
      <c r="B189" s="793"/>
      <c r="C189" s="793"/>
      <c r="D189" s="793"/>
      <c r="E189" s="793"/>
      <c r="F189" s="793"/>
      <c r="G189" s="793"/>
      <c r="H189" s="794"/>
      <c r="M189" s="792" t="s">
        <v>782</v>
      </c>
      <c r="N189" s="793"/>
      <c r="O189" s="793"/>
      <c r="P189" s="793"/>
      <c r="Q189" s="793"/>
      <c r="R189" s="793"/>
      <c r="S189" s="793"/>
      <c r="T189" s="794"/>
    </row>
    <row r="190" spans="1:30" ht="15.75" thickBot="1">
      <c r="A190" s="36" t="s">
        <v>116</v>
      </c>
      <c r="B190" s="36" t="s">
        <v>117</v>
      </c>
      <c r="C190" s="36" t="s">
        <v>162</v>
      </c>
      <c r="D190" s="36" t="s">
        <v>119</v>
      </c>
      <c r="E190" s="36" t="s">
        <v>120</v>
      </c>
      <c r="F190" s="36" t="s">
        <v>118</v>
      </c>
      <c r="G190" s="36" t="s">
        <v>121</v>
      </c>
      <c r="H190" s="36" t="s">
        <v>122</v>
      </c>
      <c r="M190" s="36" t="s">
        <v>116</v>
      </c>
      <c r="N190" s="36" t="s">
        <v>117</v>
      </c>
      <c r="O190" s="36" t="s">
        <v>162</v>
      </c>
      <c r="P190" s="36" t="s">
        <v>119</v>
      </c>
      <c r="Q190" s="36" t="s">
        <v>120</v>
      </c>
      <c r="R190" s="36" t="s">
        <v>118</v>
      </c>
      <c r="S190" s="36" t="s">
        <v>121</v>
      </c>
      <c r="T190" s="36" t="s">
        <v>122</v>
      </c>
    </row>
    <row r="191" spans="1:30" ht="15.75" thickBot="1">
      <c r="A191" s="795"/>
      <c r="B191" s="796"/>
      <c r="C191" s="796"/>
      <c r="D191" s="796"/>
      <c r="E191" s="796"/>
      <c r="F191" s="796"/>
      <c r="G191" s="796"/>
      <c r="H191" s="797"/>
      <c r="M191" s="795"/>
      <c r="N191" s="796"/>
      <c r="O191" s="796"/>
      <c r="P191" s="796"/>
      <c r="Q191" s="796"/>
      <c r="R191" s="796"/>
      <c r="S191" s="796"/>
      <c r="T191" s="797"/>
    </row>
    <row r="192" spans="1:30" ht="15.75" thickBot="1">
      <c r="A192" s="65">
        <v>0.6</v>
      </c>
      <c r="B192" s="66">
        <v>2</v>
      </c>
      <c r="C192" s="58">
        <f>((((A192*1)+(B192*2))*'MATERIALES (2)'!$C$33)+((A192*5)*'MATERIALES (2)'!$C$35)+((B192*2)*'MATERIALES (2)'!$C$34)+(((A192-0.2)*'MATERIALES (2)'!$C$30)*((B192/2)/0.12)))*'MATERIALES (2)'!$F$1</f>
        <v>126230.41899999999</v>
      </c>
      <c r="D192" s="58">
        <f>(2*'MATERIALES (2)'!$C$135)+(20*'MATERIALES (2)'!$C$147)+(20*'MATERIALES (2)'!$C$148)+((8*2)*'MATERIALES (2)'!$C$134)+(3*'MATERIALES (2)'!$C$150)+(((B192*2)+(A192*1))*'MATERIALES (2)'!$C$138)+(((A192*6)+((B192/2)*2))*'MATERIALES (2)'!$C$130)+(((A192*2)+(B192/2)*2)*'MATERIALES (2)'!$C$154)+(0.5*'MATERIALES (2)'!$C$156)+(1*'MATERIALES (2)'!$C$151)+(((A192*5)*2)*'MATERIALES (2)'!$C$136)+(4*'MATERIALES (2)'!$C$137)</f>
        <v>22358</v>
      </c>
      <c r="E192" s="74"/>
      <c r="F192" s="54">
        <f>(A192*(B192/2))*'MATERIALES (2)'!$D$85</f>
        <v>4440</v>
      </c>
      <c r="G192" s="58">
        <f>SUM(C192:F192)</f>
        <v>153028.41899999999</v>
      </c>
      <c r="H192" s="67">
        <f>((((SUM(C192:E192)*$C$188)+(F192*$F$188))*1.21)*1.05)*1.05</f>
        <v>279444.04063624126</v>
      </c>
      <c r="M192" s="65">
        <v>0.6</v>
      </c>
      <c r="N192" s="66">
        <v>2</v>
      </c>
      <c r="O192" s="58">
        <f>((((M192*1)+(N192*2))*'MATERIALES (2)'!$C$33)+((M192*3)*'MATERIALES (2)'!$C$35)+(((N192/2)*2)*'MATERIALES (2)'!$C$35)+((N192*2)*'MATERIALES (2)'!$C$34)+(((M192-0.2)*'MATERIALES (2)'!$C$30)*((N192/2)/0.12)))*'MATERIALES (2)'!$F$1</f>
        <v>133612.75899999999</v>
      </c>
      <c r="P192" s="58">
        <f>(2*'MATERIALES (2)'!$C$135)+(20*'MATERIALES (2)'!$C$147)+(20*'MATERIALES (2)'!$C$148)+((8*2)*'MATERIALES (2)'!$C$134)+(3*'MATERIALES (2)'!$C$150)+(((N192*2)+(M192*1))*'MATERIALES (2)'!$C$138)+(((M192*2)+((N192/2)*6))*'MATERIALES (2)'!$C$130)+(((M192*2)+(N192/2)*2)*'MATERIALES (2)'!$C$154)+(0.5*'MATERIALES (2)'!$C$156)+(1*'MATERIALES (2)'!$C$151)+(((M192*5)*2)*'MATERIALES (2)'!$C$136)+(4*'MATERIALES (2)'!$C$137)</f>
        <v>22742</v>
      </c>
      <c r="Q192" s="74"/>
      <c r="R192" s="54">
        <f>(M192*(N192/2))*'MATERIALES (2)'!$D$85</f>
        <v>4440</v>
      </c>
      <c r="S192" s="58">
        <f>SUM(O192:R192)</f>
        <v>160794.75899999999</v>
      </c>
      <c r="T192" s="67">
        <f>((((SUM(O192:Q192)*$O$188)+(R192*$R$188))*1.21)*1.05)*1.05</f>
        <v>293430.70445621631</v>
      </c>
    </row>
    <row r="193" spans="1:20" ht="15.75" thickBot="1">
      <c r="A193" s="68">
        <v>0.7</v>
      </c>
      <c r="B193" s="69">
        <v>2</v>
      </c>
      <c r="C193" s="59">
        <f>((((A193*1)+(B193*2))*'MATERIALES (2)'!$C$33)+((A193*5)*'MATERIALES (2)'!$C$35)+((B193*2)*'MATERIALES (2)'!$C$34)+(((A193-0.2)*'MATERIALES (2)'!$C$30)*((B193/2)/0.12)))*'MATERIALES (2)'!$F$1</f>
        <v>140916.87050000002</v>
      </c>
      <c r="D193" s="59">
        <f>(2*'MATERIALES (2)'!$C$135)+(20*'MATERIALES (2)'!$C$147)+(20*'MATERIALES (2)'!$C$148)+((8*2)*'MATERIALES (2)'!$C$134)+(3*'MATERIALES (2)'!$C$150)+(((B193*2)+(A193*1))*'MATERIALES (2)'!$C$138)+(((A193*6)+((B193/2)*2))*'MATERIALES (2)'!$C$130)+(((A193*2)+(B193/2)*2)*'MATERIALES (2)'!$C$154)+(0.5*'MATERIALES (2)'!$C$156)+(1*'MATERIALES (2)'!$C$151)+(((A193*5)*2)*'MATERIALES (2)'!$C$136)+(4*'MATERIALES (2)'!$C$137)</f>
        <v>22556</v>
      </c>
      <c r="E193" s="75"/>
      <c r="F193" s="55">
        <f>(A193*(B193/2))*'MATERIALES (2)'!$D$85</f>
        <v>5180</v>
      </c>
      <c r="G193" s="59">
        <f t="shared" ref="G193:G199" si="56">SUM(C193:F193)</f>
        <v>168652.87050000002</v>
      </c>
      <c r="H193" s="67">
        <f t="shared" ref="H193:H199" si="57">((((SUM(C193:E193)*$C$188)+(F193*$F$188))*1.21)*1.05)*1.05</f>
        <v>308224.30869282945</v>
      </c>
      <c r="M193" s="68">
        <v>0.7</v>
      </c>
      <c r="N193" s="69">
        <v>2</v>
      </c>
      <c r="O193" s="59">
        <f>((((M193*1)+(N193*2))*'MATERIALES (2)'!$C$33)+((M193*3)*'MATERIALES (2)'!$C$35)+(((N193/2)*2)*'MATERIALES (2)'!$C$35)+((N193*2)*'MATERIALES (2)'!$C$34)+(((M193-0.2)*'MATERIALES (2)'!$C$30)*((N193/2)/0.12)))*'MATERIALES (2)'!$F$1</f>
        <v>146453.62549999999</v>
      </c>
      <c r="P193" s="59">
        <f>(2*'MATERIALES (2)'!$C$135)+(20*'MATERIALES (2)'!$C$147)+(20*'MATERIALES (2)'!$C$148)+((8*2)*'MATERIALES (2)'!$C$134)+(3*'MATERIALES (2)'!$C$150)+(((N193*2)+(M193*1))*'MATERIALES (2)'!$C$138)+(((M193*2)+((N193/2)*6))*'MATERIALES (2)'!$C$130)+(((M193*2)+(N193/2)*2)*'MATERIALES (2)'!$C$154)+(0.5*'MATERIALES (2)'!$C$156)+(1*'MATERIALES (2)'!$C$151)+(((M193*5)*2)*'MATERIALES (2)'!$C$136)+(4*'MATERIALES (2)'!$C$137)</f>
        <v>22844</v>
      </c>
      <c r="Q193" s="75"/>
      <c r="R193" s="55">
        <f>(M193*(N193/2))*'MATERIALES (2)'!$D$85</f>
        <v>5180</v>
      </c>
      <c r="S193" s="59">
        <f t="shared" ref="S193:S199" si="58">SUM(O193:R193)</f>
        <v>174477.62549999999</v>
      </c>
      <c r="T193" s="67">
        <f t="shared" ref="T193:T199" si="59">((((SUM(O193:Q193)*$O$188)+(R193*$R$188))*1.21)*1.05)*1.05</f>
        <v>318714.30655781057</v>
      </c>
    </row>
    <row r="194" spans="1:20" ht="15.75" thickBot="1">
      <c r="A194" s="68">
        <v>0.8</v>
      </c>
      <c r="B194" s="69">
        <v>2</v>
      </c>
      <c r="C194" s="59">
        <f>((((A194*1)+(B194*2))*'MATERIALES (2)'!$C$33)+((A194*5)*'MATERIALES (2)'!$C$35)+((B194*2)*'MATERIALES (2)'!$C$34)+(((A194-0.2)*'MATERIALES (2)'!$C$30)*((B194/2)/0.12)))*'MATERIALES (2)'!$F$1</f>
        <v>155603.32200000001</v>
      </c>
      <c r="D194" s="59">
        <f>(2*'MATERIALES (2)'!$C$135)+(20*'MATERIALES (2)'!$C$147)+(20*'MATERIALES (2)'!$C$148)+((8*2)*'MATERIALES (2)'!$C$134)+(3*'MATERIALES (2)'!$C$150)+(((B194*2)+(A194*1))*'MATERIALES (2)'!$C$138)+(((A194*6)+((B194/2)*2))*'MATERIALES (2)'!$C$130)+(((A194*2)+(B194/2)*2)*'MATERIALES (2)'!$C$154)+(0.5*'MATERIALES (2)'!$C$156)+(1*'MATERIALES (2)'!$C$151)+(((A194*5)*2)*'MATERIALES (2)'!$C$136)+(4*'MATERIALES (2)'!$C$137)</f>
        <v>22754</v>
      </c>
      <c r="E194" s="75"/>
      <c r="F194" s="55">
        <f>(A194*(B194/2))*'MATERIALES (2)'!$D$85</f>
        <v>5920</v>
      </c>
      <c r="G194" s="59">
        <f t="shared" si="56"/>
        <v>184277.32200000001</v>
      </c>
      <c r="H194" s="67">
        <f t="shared" si="57"/>
        <v>337004.57674941752</v>
      </c>
      <c r="M194" s="68">
        <v>0.8</v>
      </c>
      <c r="N194" s="69">
        <v>2</v>
      </c>
      <c r="O194" s="59">
        <f>((((M194*1)+(N194*2))*'MATERIALES (2)'!$C$33)+((M194*3)*'MATERIALES (2)'!$C$35)+(((N194/2)*2)*'MATERIALES (2)'!$C$35)+((N194*2)*'MATERIALES (2)'!$C$34)+(((M194-0.2)*'MATERIALES (2)'!$C$30)*((N194/2)/0.12)))*'MATERIALES (2)'!$F$1</f>
        <v>159294.49200000003</v>
      </c>
      <c r="P194" s="59">
        <f>(2*'MATERIALES (2)'!$C$135)+(20*'MATERIALES (2)'!$C$147)+(20*'MATERIALES (2)'!$C$148)+((8*2)*'MATERIALES (2)'!$C$134)+(3*'MATERIALES (2)'!$C$150)+(((N194*2)+(M194*1))*'MATERIALES (2)'!$C$138)+(((M194*2)+((N194/2)*6))*'MATERIALES (2)'!$C$130)+(((M194*2)+(N194/2)*2)*'MATERIALES (2)'!$C$154)+(0.5*'MATERIALES (2)'!$C$156)+(1*'MATERIALES (2)'!$C$151)+(((M194*5)*2)*'MATERIALES (2)'!$C$136)+(4*'MATERIALES (2)'!$C$137)</f>
        <v>22946</v>
      </c>
      <c r="Q194" s="75"/>
      <c r="R194" s="55">
        <f>(M194*(N194/2))*'MATERIALES (2)'!$D$85</f>
        <v>5920</v>
      </c>
      <c r="S194" s="59">
        <f t="shared" si="58"/>
        <v>188160.49200000003</v>
      </c>
      <c r="T194" s="67">
        <f t="shared" si="59"/>
        <v>343997.90865940513</v>
      </c>
    </row>
    <row r="195" spans="1:20" ht="15.75" thickBot="1">
      <c r="A195" s="68">
        <v>0.9</v>
      </c>
      <c r="B195" s="69">
        <v>2</v>
      </c>
      <c r="C195" s="59">
        <f>((((A195*1)+(B195*2))*'MATERIALES (2)'!$C$33)+((A195*5)*'MATERIALES (2)'!$C$35)+((B195*2)*'MATERIALES (2)'!$C$34)+(((A195-0.2)*'MATERIALES (2)'!$C$30)*((B195/2)/0.12)))*'MATERIALES (2)'!$F$1</f>
        <v>170289.77350000001</v>
      </c>
      <c r="D195" s="59">
        <f>(2*'MATERIALES (2)'!$C$135)+(20*'MATERIALES (2)'!$C$147)+(20*'MATERIALES (2)'!$C$148)+((8*2)*'MATERIALES (2)'!$C$134)+(3*'MATERIALES (2)'!$C$150)+(((B195*2)+(A195*1))*'MATERIALES (2)'!$C$138)+(((A195*6)+((B195/2)*2))*'MATERIALES (2)'!$C$130)+(((A195*2)+(B195/2)*2)*'MATERIALES (2)'!$C$154)+(0.5*'MATERIALES (2)'!$C$156)+(1*'MATERIALES (2)'!$C$151)+(((A195*5)*2)*'MATERIALES (2)'!$C$136)+(4*'MATERIALES (2)'!$C$137)</f>
        <v>22952</v>
      </c>
      <c r="E195" s="75"/>
      <c r="F195" s="55">
        <f>(A195*(B195/2))*'MATERIALES (2)'!$D$85</f>
        <v>6660</v>
      </c>
      <c r="G195" s="59">
        <f t="shared" si="56"/>
        <v>199901.77350000001</v>
      </c>
      <c r="H195" s="67">
        <f t="shared" si="57"/>
        <v>365784.84480600577</v>
      </c>
      <c r="M195" s="68">
        <v>0.9</v>
      </c>
      <c r="N195" s="69">
        <v>2</v>
      </c>
      <c r="O195" s="59">
        <f>((((M195*1)+(N195*2))*'MATERIALES (2)'!$C$33)+((M195*3)*'MATERIALES (2)'!$C$35)+(((N195/2)*2)*'MATERIALES (2)'!$C$35)+((N195*2)*'MATERIALES (2)'!$C$34)+(((M195-0.2)*'MATERIALES (2)'!$C$30)*((N195/2)/0.12)))*'MATERIALES (2)'!$F$1</f>
        <v>172135.3585</v>
      </c>
      <c r="P195" s="59">
        <f>(2*'MATERIALES (2)'!$C$135)+(20*'MATERIALES (2)'!$C$147)+(20*'MATERIALES (2)'!$C$148)+((8*2)*'MATERIALES (2)'!$C$134)+(3*'MATERIALES (2)'!$C$150)+(((N195*2)+(M195*1))*'MATERIALES (2)'!$C$138)+(((M195*2)+((N195/2)*6))*'MATERIALES (2)'!$C$130)+(((M195*2)+(N195/2)*2)*'MATERIALES (2)'!$C$154)+(0.5*'MATERIALES (2)'!$C$156)+(1*'MATERIALES (2)'!$C$151)+(((M195*5)*2)*'MATERIALES (2)'!$C$136)+(4*'MATERIALES (2)'!$C$137)</f>
        <v>23048</v>
      </c>
      <c r="Q195" s="75"/>
      <c r="R195" s="55">
        <f>(M195*(N195/2))*'MATERIALES (2)'!$D$85</f>
        <v>6660</v>
      </c>
      <c r="S195" s="59">
        <f t="shared" si="58"/>
        <v>201843.3585</v>
      </c>
      <c r="T195" s="67">
        <f t="shared" si="59"/>
        <v>369281.51076099946</v>
      </c>
    </row>
    <row r="196" spans="1:20" ht="15.75" thickBot="1">
      <c r="A196" s="68">
        <v>0.6</v>
      </c>
      <c r="B196" s="69">
        <v>2.1</v>
      </c>
      <c r="C196" s="59">
        <f>((((A196*1)+(B196*2))*'MATERIALES (2)'!$C$33)+((A196*5)*'MATERIALES (2)'!$C$35)+((B196*2)*'MATERIALES (2)'!$C$34)+(((A196-0.2)*'MATERIALES (2)'!$C$30)*((B196/2)/0.12)))*'MATERIALES (2)'!$F$1</f>
        <v>130949.95199999999</v>
      </c>
      <c r="D196" s="59">
        <f>(2*'MATERIALES (2)'!$C$135)+(20*'MATERIALES (2)'!$C$147)+(20*'MATERIALES (2)'!$C$148)+((8*2)*'MATERIALES (2)'!$C$134)+(3*'MATERIALES (2)'!$C$150)+(((B196*2)+(A196*1))*'MATERIALES (2)'!$C$138)+(((A196*6)+((B196/2)*2))*'MATERIALES (2)'!$C$130)+(((A196*2)+(B196/2)*2)*'MATERIALES (2)'!$C$154)+(0.5*'MATERIALES (2)'!$C$156)+(1*'MATERIALES (2)'!$C$151)+(((A196*5)*2)*'MATERIALES (2)'!$C$136)+(4*'MATERIALES (2)'!$C$137)</f>
        <v>22418</v>
      </c>
      <c r="E196" s="75"/>
      <c r="F196" s="55">
        <f>(A196*(B196/2))*'MATERIALES (2)'!$D$85</f>
        <v>4662</v>
      </c>
      <c r="G196" s="59">
        <f t="shared" si="56"/>
        <v>158029.95199999999</v>
      </c>
      <c r="H196" s="67">
        <f t="shared" si="57"/>
        <v>288643.97002518002</v>
      </c>
      <c r="M196" s="68">
        <v>0.6</v>
      </c>
      <c r="N196" s="69">
        <v>2.1</v>
      </c>
      <c r="O196" s="59">
        <f>((((M196*1)+(N196*2))*'MATERIALES (2)'!$C$33)+((M196*3)*'MATERIALES (2)'!$C$35)+(((N196/2)*2)*'MATERIALES (2)'!$C$35)+((N196*2)*'MATERIALES (2)'!$C$34)+(((M196-0.2)*'MATERIALES (2)'!$C$30)*((N196/2)/0.12)))*'MATERIALES (2)'!$F$1</f>
        <v>139255.08449999997</v>
      </c>
      <c r="P196" s="59">
        <f>(2*'MATERIALES (2)'!$C$135)+(20*'MATERIALES (2)'!$C$147)+(20*'MATERIALES (2)'!$C$148)+((8*2)*'MATERIALES (2)'!$C$134)+(3*'MATERIALES (2)'!$C$150)+(((N196*2)+(M196*1))*'MATERIALES (2)'!$C$138)+(((M196*2)+((N196/2)*6))*'MATERIALES (2)'!$C$130)+(((M196*2)+(N196/2)*2)*'MATERIALES (2)'!$C$154)+(0.5*'MATERIALES (2)'!$C$156)+(1*'MATERIALES (2)'!$C$151)+(((M196*5)*2)*'MATERIALES (2)'!$C$136)+(4*'MATERIALES (2)'!$C$137)</f>
        <v>22850</v>
      </c>
      <c r="Q196" s="75"/>
      <c r="R196" s="55">
        <f>(M196*(N196/2))*'MATERIALES (2)'!$D$85</f>
        <v>4662</v>
      </c>
      <c r="S196" s="59">
        <f t="shared" si="58"/>
        <v>166767.08449999997</v>
      </c>
      <c r="T196" s="67">
        <f t="shared" si="59"/>
        <v>304378.96682265186</v>
      </c>
    </row>
    <row r="197" spans="1:20" ht="15.75" thickBot="1">
      <c r="A197" s="68">
        <v>0.7</v>
      </c>
      <c r="B197" s="69">
        <v>2.1</v>
      </c>
      <c r="C197" s="59">
        <f>((((A197*1)+(B197*2))*'MATERIALES (2)'!$C$33)+((A197*5)*'MATERIALES (2)'!$C$35)+((B197*2)*'MATERIALES (2)'!$C$34)+(((A197-0.2)*'MATERIALES (2)'!$C$30)*((B197/2)/0.12)))*'MATERIALES (2)'!$F$1</f>
        <v>146105.39475000001</v>
      </c>
      <c r="D197" s="59">
        <f>(2*'MATERIALES (2)'!$C$135)+(20*'MATERIALES (2)'!$C$147)+(20*'MATERIALES (2)'!$C$148)+((8*2)*'MATERIALES (2)'!$C$134)+(3*'MATERIALES (2)'!$C$150)+(((B197*2)+(A197*1))*'MATERIALES (2)'!$C$138)+(((A197*6)+((B197/2)*2))*'MATERIALES (2)'!$C$130)+(((A197*2)+(B197/2)*2)*'MATERIALES (2)'!$C$154)+(0.5*'MATERIALES (2)'!$C$156)+(1*'MATERIALES (2)'!$C$151)+(((A197*5)*2)*'MATERIALES (2)'!$C$136)+(4*'MATERIALES (2)'!$C$137)</f>
        <v>22616</v>
      </c>
      <c r="E197" s="75"/>
      <c r="F197" s="55">
        <f>(A197*(B197/2))*'MATERIALES (2)'!$D$85</f>
        <v>5439</v>
      </c>
      <c r="G197" s="59">
        <f t="shared" si="56"/>
        <v>174160.39475000001</v>
      </c>
      <c r="H197" s="67">
        <f t="shared" si="57"/>
        <v>318367.57810234785</v>
      </c>
      <c r="M197" s="68">
        <v>0.7</v>
      </c>
      <c r="N197" s="69">
        <v>2.1</v>
      </c>
      <c r="O197" s="59">
        <f>((((M197*1)+(N197*2))*'MATERIALES (2)'!$C$33)+((M197*3)*'MATERIALES (2)'!$C$35)+(((N197/2)*2)*'MATERIALES (2)'!$C$35)+((N197*2)*'MATERIALES (2)'!$C$34)+(((M197-0.2)*'MATERIALES (2)'!$C$30)*((N197/2)/0.12)))*'MATERIALES (2)'!$F$1</f>
        <v>152564.94224999999</v>
      </c>
      <c r="P197" s="59">
        <f>(2*'MATERIALES (2)'!$C$135)+(20*'MATERIALES (2)'!$C$147)+(20*'MATERIALES (2)'!$C$148)+((8*2)*'MATERIALES (2)'!$C$134)+(3*'MATERIALES (2)'!$C$150)+(((N197*2)+(M197*1))*'MATERIALES (2)'!$C$138)+(((M197*2)+((N197/2)*6))*'MATERIALES (2)'!$C$130)+(((M197*2)+(N197/2)*2)*'MATERIALES (2)'!$C$154)+(0.5*'MATERIALES (2)'!$C$156)+(1*'MATERIALES (2)'!$C$151)+(((M197*5)*2)*'MATERIALES (2)'!$C$136)+(4*'MATERIALES (2)'!$C$137)</f>
        <v>22952</v>
      </c>
      <c r="Q197" s="75"/>
      <c r="R197" s="55">
        <f>(M197*(N197/2))*'MATERIALES (2)'!$D$85</f>
        <v>5439</v>
      </c>
      <c r="S197" s="59">
        <f t="shared" si="58"/>
        <v>180955.94224999999</v>
      </c>
      <c r="T197" s="67">
        <f t="shared" si="59"/>
        <v>330605.90894482593</v>
      </c>
    </row>
    <row r="198" spans="1:20" ht="15.75" thickBot="1">
      <c r="A198" s="68">
        <v>0.8</v>
      </c>
      <c r="B198" s="69">
        <v>2.1</v>
      </c>
      <c r="C198" s="59">
        <f>((((A198*1)+(B198*2))*'MATERIALES (2)'!$C$33)+((A198*5)*'MATERIALES (2)'!$C$35)+((B198*2)*'MATERIALES (2)'!$C$34)+(((A198-0.2)*'MATERIALES (2)'!$C$30)*((B198/2)/0.12)))*'MATERIALES (2)'!$F$1</f>
        <v>161260.83750000002</v>
      </c>
      <c r="D198" s="59">
        <f>(2*'MATERIALES (2)'!$C$135)+(20*'MATERIALES (2)'!$C$147)+(20*'MATERIALES (2)'!$C$148)+((8*2)*'MATERIALES (2)'!$C$134)+(3*'MATERIALES (2)'!$C$150)+(((B198*2)+(A198*1))*'MATERIALES (2)'!$C$138)+(((A198*6)+((B198/2)*2))*'MATERIALES (2)'!$C$130)+(((A198*2)+(B198/2)*2)*'MATERIALES (2)'!$C$154)+(0.5*'MATERIALES (2)'!$C$156)+(1*'MATERIALES (2)'!$C$151)+(((A198*5)*2)*'MATERIALES (2)'!$C$136)+(4*'MATERIALES (2)'!$C$137)</f>
        <v>22814</v>
      </c>
      <c r="E198" s="75"/>
      <c r="F198" s="55">
        <f>(A198*(B198/2))*'MATERIALES (2)'!$D$85</f>
        <v>6216.0000000000009</v>
      </c>
      <c r="G198" s="59">
        <f t="shared" si="56"/>
        <v>190290.83750000002</v>
      </c>
      <c r="H198" s="67">
        <f t="shared" si="57"/>
        <v>348091.18617951567</v>
      </c>
      <c r="M198" s="68">
        <v>0.8</v>
      </c>
      <c r="N198" s="69">
        <v>2.1</v>
      </c>
      <c r="O198" s="59">
        <f>((((M198*1)+(N198*2))*'MATERIALES (2)'!$C$33)+((M198*3)*'MATERIALES (2)'!$C$35)+(((N198/2)*2)*'MATERIALES (2)'!$C$35)+((N198*2)*'MATERIALES (2)'!$C$34)+(((M198-0.2)*'MATERIALES (2)'!$C$30)*((N198/2)/0.12)))*'MATERIALES (2)'!$F$1</f>
        <v>165874.80000000002</v>
      </c>
      <c r="P198" s="59">
        <f>(2*'MATERIALES (2)'!$C$135)+(20*'MATERIALES (2)'!$C$147)+(20*'MATERIALES (2)'!$C$148)+((8*2)*'MATERIALES (2)'!$C$134)+(3*'MATERIALES (2)'!$C$150)+(((N198*2)+(M198*1))*'MATERIALES (2)'!$C$138)+(((M198*2)+((N198/2)*6))*'MATERIALES (2)'!$C$130)+(((M198*2)+(N198/2)*2)*'MATERIALES (2)'!$C$154)+(0.5*'MATERIALES (2)'!$C$156)+(1*'MATERIALES (2)'!$C$151)+(((M198*5)*2)*'MATERIALES (2)'!$C$136)+(4*'MATERIALES (2)'!$C$137)</f>
        <v>23054</v>
      </c>
      <c r="Q198" s="75"/>
      <c r="R198" s="55">
        <f>(M198*(N198/2))*'MATERIALES (2)'!$D$85</f>
        <v>6216.0000000000009</v>
      </c>
      <c r="S198" s="59">
        <f t="shared" si="58"/>
        <v>195144.80000000002</v>
      </c>
      <c r="T198" s="67">
        <f t="shared" si="59"/>
        <v>356832.85106700013</v>
      </c>
    </row>
    <row r="199" spans="1:20" ht="15.75" thickBot="1">
      <c r="A199" s="71">
        <v>0.9</v>
      </c>
      <c r="B199" s="72">
        <v>2.1</v>
      </c>
      <c r="C199" s="60">
        <f>((((A199*1)+(B199*2))*'MATERIALES (2)'!$C$33)+((A199*5)*'MATERIALES (2)'!$C$35)+((B199*2)*'MATERIALES (2)'!$C$34)+(((A199-0.2)*'MATERIALES (2)'!$C$30)*((B199/2)/0.12)))*'MATERIALES (2)'!$F$1</f>
        <v>176416.28025000004</v>
      </c>
      <c r="D199" s="60">
        <f>(2*'MATERIALES (2)'!$C$135)+(20*'MATERIALES (2)'!$C$147)+(20*'MATERIALES (2)'!$C$148)+((8*2)*'MATERIALES (2)'!$C$134)+(3*'MATERIALES (2)'!$C$150)+(((B199*2)+(A199*1))*'MATERIALES (2)'!$C$138)+(((A199*6)+((B199/2)*2))*'MATERIALES (2)'!$C$130)+(((A199*2)+(B199/2)*2)*'MATERIALES (2)'!$C$154)+(0.5*'MATERIALES (2)'!$C$156)+(1*'MATERIALES (2)'!$C$151)+(((A199*5)*2)*'MATERIALES (2)'!$C$136)+(4*'MATERIALES (2)'!$C$137)</f>
        <v>23012</v>
      </c>
      <c r="E199" s="76"/>
      <c r="F199" s="56">
        <f>(A199*(B199/2))*'MATERIALES (2)'!$D$85</f>
        <v>6993.0000000000009</v>
      </c>
      <c r="G199" s="60">
        <f t="shared" si="56"/>
        <v>206421.28025000004</v>
      </c>
      <c r="H199" s="67">
        <f t="shared" si="57"/>
        <v>377814.7942566835</v>
      </c>
      <c r="M199" s="71">
        <v>0.9</v>
      </c>
      <c r="N199" s="72">
        <v>2.1</v>
      </c>
      <c r="O199" s="60">
        <f>((((M199*1)+(N199*2))*'MATERIALES (2)'!$C$33)+((M199*3)*'MATERIALES (2)'!$C$35)+(((N199/2)*2)*'MATERIALES (2)'!$C$35)+((N199*2)*'MATERIALES (2)'!$C$34)+(((M199-0.2)*'MATERIALES (2)'!$C$30)*((N199/2)/0.12)))*'MATERIALES (2)'!$F$1</f>
        <v>179184.65775000001</v>
      </c>
      <c r="P199" s="60">
        <f>(2*'MATERIALES (2)'!$C$135)+(20*'MATERIALES (2)'!$C$147)+(20*'MATERIALES (2)'!$C$148)+((8*2)*'MATERIALES (2)'!$C$134)+(3*'MATERIALES (2)'!$C$150)+(((N199*2)+(M199*1))*'MATERIALES (2)'!$C$138)+(((M199*2)+((N199/2)*6))*'MATERIALES (2)'!$C$130)+(((M199*2)+(N199/2)*2)*'MATERIALES (2)'!$C$154)+(0.5*'MATERIALES (2)'!$C$156)+(1*'MATERIALES (2)'!$C$151)+(((M199*5)*2)*'MATERIALES (2)'!$C$136)+(4*'MATERIALES (2)'!$C$137)</f>
        <v>23156</v>
      </c>
      <c r="Q199" s="76"/>
      <c r="R199" s="56">
        <f>(M199*(N199/2))*'MATERIALES (2)'!$D$85</f>
        <v>6993.0000000000009</v>
      </c>
      <c r="S199" s="60">
        <f t="shared" si="58"/>
        <v>209333.65775000001</v>
      </c>
      <c r="T199" s="67">
        <f t="shared" si="59"/>
        <v>383059.79318917415</v>
      </c>
    </row>
    <row r="202" spans="1:20" ht="15.75" thickBot="1"/>
    <row r="203" spans="1:20" ht="15.75" thickBot="1">
      <c r="A203" s="32"/>
      <c r="B203" s="32"/>
      <c r="C203" s="947">
        <v>1.35</v>
      </c>
      <c r="D203" s="948"/>
      <c r="E203" s="949"/>
      <c r="F203" s="728">
        <v>2</v>
      </c>
      <c r="G203" s="32"/>
      <c r="H203" s="46" t="s">
        <v>163</v>
      </c>
      <c r="M203" s="32"/>
      <c r="N203" s="32"/>
      <c r="O203" s="947">
        <v>1.35</v>
      </c>
      <c r="P203" s="948"/>
      <c r="Q203" s="949"/>
      <c r="R203" s="728">
        <v>2</v>
      </c>
      <c r="S203" s="32"/>
      <c r="T203" s="46" t="s">
        <v>163</v>
      </c>
    </row>
    <row r="204" spans="1:20" ht="15.75" thickBot="1">
      <c r="A204" s="792" t="s">
        <v>784</v>
      </c>
      <c r="B204" s="793"/>
      <c r="C204" s="793"/>
      <c r="D204" s="793"/>
      <c r="E204" s="793"/>
      <c r="F204" s="793"/>
      <c r="G204" s="793"/>
      <c r="H204" s="794"/>
      <c r="M204" s="792" t="s">
        <v>783</v>
      </c>
      <c r="N204" s="793"/>
      <c r="O204" s="793"/>
      <c r="P204" s="793"/>
      <c r="Q204" s="793"/>
      <c r="R204" s="793"/>
      <c r="S204" s="793"/>
      <c r="T204" s="794"/>
    </row>
    <row r="205" spans="1:20" ht="15.75" thickBot="1">
      <c r="A205" s="36" t="s">
        <v>116</v>
      </c>
      <c r="B205" s="36" t="s">
        <v>117</v>
      </c>
      <c r="C205" s="36" t="s">
        <v>162</v>
      </c>
      <c r="D205" s="36" t="s">
        <v>119</v>
      </c>
      <c r="E205" s="36" t="s">
        <v>120</v>
      </c>
      <c r="F205" s="36" t="s">
        <v>118</v>
      </c>
      <c r="G205" s="36" t="s">
        <v>121</v>
      </c>
      <c r="H205" s="36" t="s">
        <v>122</v>
      </c>
      <c r="M205" s="36" t="s">
        <v>116</v>
      </c>
      <c r="N205" s="36" t="s">
        <v>117</v>
      </c>
      <c r="O205" s="36" t="s">
        <v>162</v>
      </c>
      <c r="P205" s="36" t="s">
        <v>119</v>
      </c>
      <c r="Q205" s="36" t="s">
        <v>120</v>
      </c>
      <c r="R205" s="36" t="s">
        <v>118</v>
      </c>
      <c r="S205" s="36" t="s">
        <v>121</v>
      </c>
      <c r="T205" s="36" t="s">
        <v>122</v>
      </c>
    </row>
    <row r="206" spans="1:20" ht="15.75" thickBot="1">
      <c r="A206" s="795"/>
      <c r="B206" s="796"/>
      <c r="C206" s="796"/>
      <c r="D206" s="796"/>
      <c r="E206" s="796"/>
      <c r="F206" s="796"/>
      <c r="G206" s="796"/>
      <c r="H206" s="797"/>
      <c r="M206" s="795"/>
      <c r="N206" s="796"/>
      <c r="O206" s="796"/>
      <c r="P206" s="796"/>
      <c r="Q206" s="796"/>
      <c r="R206" s="796"/>
      <c r="S206" s="796"/>
      <c r="T206" s="797"/>
    </row>
    <row r="207" spans="1:20" ht="15.75" thickBot="1">
      <c r="A207" s="40">
        <v>0.6</v>
      </c>
      <c r="B207" s="41">
        <v>2</v>
      </c>
      <c r="C207" s="47">
        <f>((((A207*1)+(B207*2))*'MATERIALES (2)'!$C$33)+((A207*3)*'MATERIALES (2)'!$C$35)+((B207*2)*'MATERIALES (2)'!$C$34)+(((A207-0.2)*'MATERIALES (2)'!$C$30)*((B207-0.36)/0.12)))*'MATERIALES (2)'!$F$1</f>
        <v>139169.261</v>
      </c>
      <c r="D207" s="58">
        <f>(2*'MATERIALES (2)'!$C$135)+(12*'MATERIALES (2)'!$C$147)+(12*'MATERIALES (2)'!$C$148)+((8*2)*'MATERIALES (2)'!$C$134)+(3*'MATERIALES (2)'!$C$150)+(((B207*2)+(A207*1))*'MATERIALES (2)'!$C$138)+(((A207*2)+(0.4*2))*'MATERIALES (2)'!$C$130)+((A207*2)+(B207*2)*'MATERIALES (2)'!$C$154)+(0.5*'MATERIALES (2)'!$C$156)+(1*'MATERIALES (2)'!$C$151)+(((A207*5)*2)*'MATERIALES (2)'!$C$136)+(4*'MATERIALES (2)'!$C$137)</f>
        <v>20167.2</v>
      </c>
      <c r="E207" s="74"/>
      <c r="F207" s="54">
        <f>(A207*0.4)*'MATERIALES (2)'!$D$85</f>
        <v>1776</v>
      </c>
      <c r="G207" s="47">
        <f>SUM(C207:F207)</f>
        <v>161112.46100000001</v>
      </c>
      <c r="H207" s="49">
        <f>((((SUM(C207:E207)*$C$203)+(F207*$F$203))*1.21)*1.05)*1.05</f>
        <v>291692.8670204588</v>
      </c>
      <c r="M207" s="65">
        <v>0.6</v>
      </c>
      <c r="N207" s="66">
        <v>2</v>
      </c>
      <c r="O207" s="58">
        <f>((((M207*1)+(N207*2))*'MATERIALES (2)'!$C$33)+((M207*3)*'MATERIALES (2)'!$C$35)+(((N207-0.3)*2)*'MATERIALES (2)'!$C$35)+((N207*2)*'MATERIALES (2)'!$C$34)+(((M207-0.2)*'MATERIALES (2)'!$C$30)*3))*'MATERIALES (2)'!$F$1</f>
        <v>122519.50199999998</v>
      </c>
      <c r="P207" s="58">
        <f>(2*'MATERIALES (2)'!$C$135)+(20*'MATERIALES (2)'!$C$147)+(20*'MATERIALES (2)'!$C$148)+((8*2)*'MATERIALES (2)'!$C$134)+(3*'MATERIALES (2)'!$C$150)+(((N207*2)+(M207*1))*'MATERIALES (2)'!$C$138)+(((M207*2)+(N207*6))*'MATERIALES (2)'!$C$130)+(((M207*2)+(N207/2)*2)*'MATERIALES (2)'!$C$154)+(0.25*'MATERIALES (2)'!$C$156)+(1*'MATERIALES (2)'!$C$151)+(((M207*5)*2)*'MATERIALES (2)'!$C$136)+(4*'MATERIALES (2)'!$C$137)</f>
        <v>22182</v>
      </c>
      <c r="Q207" s="74"/>
      <c r="R207" s="54">
        <f>(M207*(N207-0.3))*'MATERIALES (2)'!$D$85</f>
        <v>7548</v>
      </c>
      <c r="S207" s="58">
        <f>SUM(O207:R207)</f>
        <v>152249.50199999998</v>
      </c>
      <c r="T207" s="67">
        <f>((((SUM(O207:Q207)*$O$203)+(R207*$R$203))*1.21)*1.05)*1.05</f>
        <v>280736.26002749248</v>
      </c>
    </row>
    <row r="208" spans="1:20" ht="15.75" thickBot="1">
      <c r="A208" s="42">
        <v>0.7</v>
      </c>
      <c r="B208" s="37">
        <v>2</v>
      </c>
      <c r="C208" s="38">
        <f>((((A208*1)+(B208*2))*'MATERIALES (2)'!$C$33)+((A208*3)*'MATERIALES (2)'!$C$35)+((B208*2)*'MATERIALES (2)'!$C$34)+(((A208-0.2)*'MATERIALES (2)'!$C$30)*((B208-0.36)/0.12)))*'MATERIALES (2)'!$F$1</f>
        <v>158013.21550000002</v>
      </c>
      <c r="D208" s="59">
        <f>(2*'MATERIALES (2)'!$C$135)+(12*'MATERIALES (2)'!$C$147)+(12*'MATERIALES (2)'!$C$148)+((8*2)*'MATERIALES (2)'!$C$134)+(3*'MATERIALES (2)'!$C$150)+(((B208*2)+(A208*1))*'MATERIALES (2)'!$C$138)+(((A208*2)+(0.4*2))*'MATERIALES (2)'!$C$130)+((A208*2)+(B208*2)*'MATERIALES (2)'!$C$154)+(0.5*'MATERIALES (2)'!$C$156)+(1*'MATERIALES (2)'!$C$151)+(((A208*5)*2)*'MATERIALES (2)'!$C$136)+(4*'MATERIALES (2)'!$C$137)</f>
        <v>20221.400000000001</v>
      </c>
      <c r="E208" s="75"/>
      <c r="F208" s="55">
        <f>(A208*0.4)*'MATERIALES (2)'!$D$85</f>
        <v>2072</v>
      </c>
      <c r="G208" s="38">
        <f t="shared" ref="G208:G214" si="60">SUM(C208:F208)</f>
        <v>180306.61550000001</v>
      </c>
      <c r="H208" s="49">
        <f t="shared" ref="H208:H214" si="61">((((SUM(C208:E208)*$C$203)+(F208*$F$203))*1.21)*1.05)*1.05</f>
        <v>326516.93407222326</v>
      </c>
      <c r="M208" s="68">
        <v>0.7</v>
      </c>
      <c r="N208" s="69">
        <v>2</v>
      </c>
      <c r="O208" s="59">
        <f>((((M208*1)+(N208*2))*'MATERIALES (2)'!$C$33)+((M208*3)*'MATERIALES (2)'!$C$35)+(((N208-0.3)*2)*'MATERIALES (2)'!$C$35)+((N208*2)*'MATERIALES (2)'!$C$34)+(((M208-0.2)*'MATERIALES (2)'!$C$30)*3))*'MATERIALES (2)'!$F$1</f>
        <v>129357.28049999999</v>
      </c>
      <c r="P208" s="59">
        <f>(2*'MATERIALES (2)'!$C$135)+(20*'MATERIALES (2)'!$C$147)+(20*'MATERIALES (2)'!$C$148)+((8*2)*'MATERIALES (2)'!$C$134)+(3*'MATERIALES (2)'!$C$150)+(((N208*2)+(M208*1))*'MATERIALES (2)'!$C$138)+(((M208*2)+(N208*6))*'MATERIALES (2)'!$C$130)+(((M208*2)+(N208/2)*2)*'MATERIALES (2)'!$C$154)+(0.25*'MATERIALES (2)'!$C$156)+(1*'MATERIALES (2)'!$C$151)+(((M208*5)*2)*'MATERIALES (2)'!$C$136)+(4*'MATERIALES (2)'!$C$137)</f>
        <v>22284</v>
      </c>
      <c r="Q208" s="75"/>
      <c r="R208" s="55">
        <f>(M208*(N208-0.3))*'MATERIALES (2)'!$D$85</f>
        <v>8806</v>
      </c>
      <c r="S208" s="59">
        <f t="shared" ref="S208:S214" si="62">SUM(O208:R208)</f>
        <v>160447.28049999999</v>
      </c>
      <c r="T208" s="67">
        <f t="shared" ref="T208:T214" si="63">((((SUM(O208:Q208)*$O$203)+(R208*$R$203))*1.21)*1.05)*1.05</f>
        <v>296590.74824566685</v>
      </c>
    </row>
    <row r="209" spans="1:21" ht="15.75" thickBot="1">
      <c r="A209" s="42">
        <v>0.8</v>
      </c>
      <c r="B209" s="37">
        <v>2</v>
      </c>
      <c r="C209" s="38">
        <f>((((A209*1)+(B209*2))*'MATERIALES (2)'!$C$33)+((A209*3)*'MATERIALES (2)'!$C$35)+((B209*2)*'MATERIALES (2)'!$C$34)+(((A209-0.2)*'MATERIALES (2)'!$C$30)*((B209-0.36)/0.12)))*'MATERIALES (2)'!$F$1</f>
        <v>176857.17</v>
      </c>
      <c r="D209" s="59">
        <f>(2*'MATERIALES (2)'!$C$135)+(12*'MATERIALES (2)'!$C$147)+(12*'MATERIALES (2)'!$C$148)+((8*2)*'MATERIALES (2)'!$C$134)+(3*'MATERIALES (2)'!$C$150)+(((B209*2)+(A209*1))*'MATERIALES (2)'!$C$138)+(((A209*2)+(0.4*2))*'MATERIALES (2)'!$C$130)+((A209*2)+(B209*2)*'MATERIALES (2)'!$C$154)+(0.5*'MATERIALES (2)'!$C$156)+(1*'MATERIALES (2)'!$C$151)+(((A209*5)*2)*'MATERIALES (2)'!$C$136)+(4*'MATERIALES (2)'!$C$137)</f>
        <v>20275.599999999999</v>
      </c>
      <c r="E209" s="75"/>
      <c r="F209" s="55">
        <f>(A209*0.4)*'MATERIALES (2)'!$D$85</f>
        <v>2368.0000000000005</v>
      </c>
      <c r="G209" s="38">
        <f t="shared" si="60"/>
        <v>199500.77000000002</v>
      </c>
      <c r="H209" s="49">
        <f t="shared" si="61"/>
        <v>361341.00112398755</v>
      </c>
      <c r="M209" s="68">
        <v>0.8</v>
      </c>
      <c r="N209" s="69">
        <v>2</v>
      </c>
      <c r="O209" s="59">
        <f>((((M209*1)+(N209*2))*'MATERIALES (2)'!$C$33)+((M209*3)*'MATERIALES (2)'!$C$35)+(((N209-0.3)*2)*'MATERIALES (2)'!$C$35)+((N209*2)*'MATERIALES (2)'!$C$34)+(((M209-0.2)*'MATERIALES (2)'!$C$30)*3))*'MATERIALES (2)'!$F$1</f>
        <v>136195.05900000004</v>
      </c>
      <c r="P209" s="59">
        <f>(2*'MATERIALES (2)'!$C$135)+(20*'MATERIALES (2)'!$C$147)+(20*'MATERIALES (2)'!$C$148)+((8*2)*'MATERIALES (2)'!$C$134)+(3*'MATERIALES (2)'!$C$150)+(((N209*2)+(M209*1))*'MATERIALES (2)'!$C$138)+(((M209*2)+(N209*6))*'MATERIALES (2)'!$C$130)+(((M209*2)+(N209/2)*2)*'MATERIALES (2)'!$C$154)+(0.25*'MATERIALES (2)'!$C$156)+(1*'MATERIALES (2)'!$C$151)+(((M209*5)*2)*'MATERIALES (2)'!$C$136)+(4*'MATERIALES (2)'!$C$137)</f>
        <v>22386</v>
      </c>
      <c r="Q209" s="75"/>
      <c r="R209" s="55">
        <f>(M209*(N209-0.3))*'MATERIALES (2)'!$D$85</f>
        <v>10064</v>
      </c>
      <c r="S209" s="59">
        <f t="shared" si="62"/>
        <v>168645.05900000004</v>
      </c>
      <c r="T209" s="67">
        <f t="shared" si="63"/>
        <v>312445.23646384134</v>
      </c>
    </row>
    <row r="210" spans="1:21" ht="15.75" thickBot="1">
      <c r="A210" s="42">
        <v>0.9</v>
      </c>
      <c r="B210" s="37">
        <v>2</v>
      </c>
      <c r="C210" s="38">
        <f>((((A210*1)+(B210*2))*'MATERIALES (2)'!$C$33)+((A210*3)*'MATERIALES (2)'!$C$35)+((B210*2)*'MATERIALES (2)'!$C$34)+(((A210-0.2)*'MATERIALES (2)'!$C$30)*((B210-0.36)/0.12)))*'MATERIALES (2)'!$F$1</f>
        <v>195701.12450000001</v>
      </c>
      <c r="D210" s="59">
        <f>(2*'MATERIALES (2)'!$C$135)+(12*'MATERIALES (2)'!$C$147)+(12*'MATERIALES (2)'!$C$148)+((8*2)*'MATERIALES (2)'!$C$134)+(3*'MATERIALES (2)'!$C$150)+(((B210*2)+(A210*1))*'MATERIALES (2)'!$C$138)+(((A210*2)+(0.4*2))*'MATERIALES (2)'!$C$130)+((A210*2)+(B210*2)*'MATERIALES (2)'!$C$154)+(0.5*'MATERIALES (2)'!$C$156)+(1*'MATERIALES (2)'!$C$151)+(((A210*5)*2)*'MATERIALES (2)'!$C$136)+(4*'MATERIALES (2)'!$C$137)</f>
        <v>20329.8</v>
      </c>
      <c r="E210" s="75"/>
      <c r="F210" s="55">
        <f>(A210*0.4)*'MATERIALES (2)'!$D$85</f>
        <v>2664.0000000000005</v>
      </c>
      <c r="G210" s="38">
        <f t="shared" si="60"/>
        <v>218694.92449999999</v>
      </c>
      <c r="H210" s="49">
        <f t="shared" si="61"/>
        <v>396165.06817575189</v>
      </c>
      <c r="M210" s="68">
        <v>0.9</v>
      </c>
      <c r="N210" s="69">
        <v>2</v>
      </c>
      <c r="O210" s="59">
        <f>((((M210*1)+(N210*2))*'MATERIALES (2)'!$C$33)+((M210*3)*'MATERIALES (2)'!$C$35)+(((N210-0.3)*2)*'MATERIALES (2)'!$C$35)+((N210*2)*'MATERIALES (2)'!$C$34)+(((M210-0.2)*'MATERIALES (2)'!$C$30)*3))*'MATERIALES (2)'!$F$1</f>
        <v>143032.83749999999</v>
      </c>
      <c r="P210" s="59">
        <f>(2*'MATERIALES (2)'!$C$135)+(20*'MATERIALES (2)'!$C$147)+(20*'MATERIALES (2)'!$C$148)+((8*2)*'MATERIALES (2)'!$C$134)+(3*'MATERIALES (2)'!$C$150)+(((N210*2)+(M210*1))*'MATERIALES (2)'!$C$138)+(((M210*2)+(N210*6))*'MATERIALES (2)'!$C$130)+(((M210*2)+(N210/2)*2)*'MATERIALES (2)'!$C$154)+(0.25*'MATERIALES (2)'!$C$156)+(1*'MATERIALES (2)'!$C$151)+(((M210*5)*2)*'MATERIALES (2)'!$C$136)+(4*'MATERIALES (2)'!$C$137)</f>
        <v>22488</v>
      </c>
      <c r="Q210" s="75"/>
      <c r="R210" s="55">
        <f>(M210*(N210-0.3))*'MATERIALES (2)'!$D$85</f>
        <v>11322</v>
      </c>
      <c r="S210" s="59">
        <f t="shared" si="62"/>
        <v>176842.83749999999</v>
      </c>
      <c r="T210" s="67">
        <f t="shared" si="63"/>
        <v>328299.72468201566</v>
      </c>
    </row>
    <row r="211" spans="1:21" ht="15.75" thickBot="1">
      <c r="A211" s="42">
        <v>0.6</v>
      </c>
      <c r="B211" s="37">
        <v>2.1</v>
      </c>
      <c r="C211" s="38">
        <f>((((A211*1)+(B211*2))*'MATERIALES (2)'!$C$33)+((A211*3)*'MATERIALES (2)'!$C$35)+((B211*2)*'MATERIALES (2)'!$C$34)+(((A211-0.2)*'MATERIALES (2)'!$C$30)*((B211-0.36)/0.12)))*'MATERIALES (2)'!$F$1</f>
        <v>145764.75899999999</v>
      </c>
      <c r="D211" s="59">
        <f>(2*'MATERIALES (2)'!$C$135)+(12*'MATERIALES (2)'!$C$147)+(12*'MATERIALES (2)'!$C$148)+((8*2)*'MATERIALES (2)'!$C$134)+(3*'MATERIALES (2)'!$C$150)+(((B211*2)+(A211*1))*'MATERIALES (2)'!$C$138)+(((A211*2)+(0.4*2))*'MATERIALES (2)'!$C$130)+((A211*2)+(B211*2)*'MATERIALES (2)'!$C$154)+(0.5*'MATERIALES (2)'!$C$156)+(1*'MATERIALES (2)'!$C$151)+(((A211*5)*2)*'MATERIALES (2)'!$C$136)+(4*'MATERIALES (2)'!$C$137)</f>
        <v>20227.2</v>
      </c>
      <c r="E211" s="75"/>
      <c r="F211" s="55">
        <f>(A211*0.4)*'MATERIALES (2)'!$D$85</f>
        <v>1776</v>
      </c>
      <c r="G211" s="38">
        <f t="shared" si="60"/>
        <v>167767.959</v>
      </c>
      <c r="H211" s="49">
        <f t="shared" si="61"/>
        <v>303678.9779917163</v>
      </c>
      <c r="M211" s="68">
        <v>0.6</v>
      </c>
      <c r="N211" s="69">
        <v>2.1</v>
      </c>
      <c r="O211" s="59">
        <f>((((M211*1)+(N211*2))*'MATERIALES (2)'!$C$33)+((M211*3)*'MATERIALES (2)'!$C$35)+(((N211-0.3)*2)*'MATERIALES (2)'!$C$35)+((N211*2)*'MATERIALES (2)'!$C$34)+(((M211-0.2)*'MATERIALES (2)'!$C$30)*3))*'MATERIALES (2)'!$F$1</f>
        <v>127208.65499999998</v>
      </c>
      <c r="P211" s="59">
        <f>(2*'MATERIALES (2)'!$C$135)+(20*'MATERIALES (2)'!$C$147)+(20*'MATERIALES (2)'!$C$148)+((8*2)*'MATERIALES (2)'!$C$134)+(3*'MATERIALES (2)'!$C$150)+(((N211*2)+(M211*1))*'MATERIALES (2)'!$C$138)+(((M211*2)+(N211*6))*'MATERIALES (2)'!$C$130)+(((M211*2)+(N211/2)*2)*'MATERIALES (2)'!$C$154)+(0.25*'MATERIALES (2)'!$C$156)+(1*'MATERIALES (2)'!$C$151)+(((M211*5)*2)*'MATERIALES (2)'!$C$136)+(4*'MATERIALES (2)'!$C$137)</f>
        <v>22362</v>
      </c>
      <c r="Q211" s="75"/>
      <c r="R211" s="55">
        <f>(M211*(N211-0.3))*'MATERIALES (2)'!$D$85</f>
        <v>7992.0000000000009</v>
      </c>
      <c r="S211" s="59">
        <f t="shared" si="62"/>
        <v>157562.65499999997</v>
      </c>
      <c r="T211" s="67">
        <f t="shared" si="63"/>
        <v>290689.89619910624</v>
      </c>
    </row>
    <row r="212" spans="1:21" ht="15.75" thickBot="1">
      <c r="A212" s="42">
        <v>0.7</v>
      </c>
      <c r="B212" s="37">
        <v>2.1</v>
      </c>
      <c r="C212" s="38">
        <f>((((A212*1)+(B212*2))*'MATERIALES (2)'!$C$33)+((A212*3)*'MATERIALES (2)'!$C$35)+((B212*2)*'MATERIALES (2)'!$C$34)+(((A212-0.2)*'MATERIALES (2)'!$C$30)*((B212-0.36)/0.12)))*'MATERIALES (2)'!$F$1</f>
        <v>165546.696</v>
      </c>
      <c r="D212" s="59">
        <f>(2*'MATERIALES (2)'!$C$135)+(12*'MATERIALES (2)'!$C$147)+(12*'MATERIALES (2)'!$C$148)+((8*2)*'MATERIALES (2)'!$C$134)+(3*'MATERIALES (2)'!$C$150)+(((B212*2)+(A212*1))*'MATERIALES (2)'!$C$138)+(((A212*2)+(0.4*2))*'MATERIALES (2)'!$C$130)+((A212*2)+(B212*2)*'MATERIALES (2)'!$C$154)+(0.5*'MATERIALES (2)'!$C$156)+(1*'MATERIALES (2)'!$C$151)+(((A212*5)*2)*'MATERIALES (2)'!$C$136)+(4*'MATERIALES (2)'!$C$137)</f>
        <v>20281.400000000001</v>
      </c>
      <c r="E212" s="75"/>
      <c r="F212" s="55">
        <f>(A212*0.4)*'MATERIALES (2)'!$D$85</f>
        <v>2072</v>
      </c>
      <c r="G212" s="38">
        <f t="shared" si="60"/>
        <v>187900.09599999999</v>
      </c>
      <c r="H212" s="49">
        <f t="shared" si="61"/>
        <v>340192.28938464</v>
      </c>
      <c r="M212" s="68">
        <v>0.7</v>
      </c>
      <c r="N212" s="69">
        <v>2.1</v>
      </c>
      <c r="O212" s="59">
        <f>((((M212*1)+(N212*2))*'MATERIALES (2)'!$C$33)+((M212*3)*'MATERIALES (2)'!$C$35)+(((N212-0.3)*2)*'MATERIALES (2)'!$C$35)+((N212*2)*'MATERIALES (2)'!$C$34)+(((M212-0.2)*'MATERIALES (2)'!$C$30)*3))*'MATERIALES (2)'!$F$1</f>
        <v>134046.43349999998</v>
      </c>
      <c r="P212" s="59">
        <f>(2*'MATERIALES (2)'!$C$135)+(20*'MATERIALES (2)'!$C$147)+(20*'MATERIALES (2)'!$C$148)+((8*2)*'MATERIALES (2)'!$C$134)+(3*'MATERIALES (2)'!$C$150)+(((N212*2)+(M212*1))*'MATERIALES (2)'!$C$138)+(((M212*2)+(N212*6))*'MATERIALES (2)'!$C$130)+(((M212*2)+(N212/2)*2)*'MATERIALES (2)'!$C$154)+(0.25*'MATERIALES (2)'!$C$156)+(1*'MATERIALES (2)'!$C$151)+(((M212*5)*2)*'MATERIALES (2)'!$C$136)+(4*'MATERIALES (2)'!$C$137)</f>
        <v>22464</v>
      </c>
      <c r="Q212" s="75"/>
      <c r="R212" s="55">
        <f>(M212*(N212-0.3))*'MATERIALES (2)'!$D$85</f>
        <v>9324</v>
      </c>
      <c r="S212" s="59">
        <f t="shared" si="62"/>
        <v>165834.43349999998</v>
      </c>
      <c r="T212" s="67">
        <f t="shared" si="63"/>
        <v>306741.82011728064</v>
      </c>
    </row>
    <row r="213" spans="1:21" ht="15.75" thickBot="1">
      <c r="A213" s="42">
        <v>0.8</v>
      </c>
      <c r="B213" s="37">
        <v>2.1</v>
      </c>
      <c r="C213" s="38">
        <f>((((A213*1)+(B213*2))*'MATERIALES (2)'!$C$33)+((A213*3)*'MATERIALES (2)'!$C$35)+((B213*2)*'MATERIALES (2)'!$C$34)+(((A213-0.2)*'MATERIALES (2)'!$C$30)*((B213-0.36)/0.12)))*'MATERIALES (2)'!$F$1</f>
        <v>185328.63300000003</v>
      </c>
      <c r="D213" s="59">
        <f>(2*'MATERIALES (2)'!$C$135)+(12*'MATERIALES (2)'!$C$147)+(12*'MATERIALES (2)'!$C$148)+((8*2)*'MATERIALES (2)'!$C$134)+(3*'MATERIALES (2)'!$C$150)+(((B213*2)+(A213*1))*'MATERIALES (2)'!$C$138)+(((A213*2)+(0.4*2))*'MATERIALES (2)'!$C$130)+((A213*2)+(B213*2)*'MATERIALES (2)'!$C$154)+(0.5*'MATERIALES (2)'!$C$156)+(1*'MATERIALES (2)'!$C$151)+(((A213*5)*2)*'MATERIALES (2)'!$C$136)+(4*'MATERIALES (2)'!$C$137)</f>
        <v>20335.599999999999</v>
      </c>
      <c r="E213" s="75"/>
      <c r="F213" s="55">
        <f>(A213*0.4)*'MATERIALES (2)'!$D$85</f>
        <v>2368.0000000000005</v>
      </c>
      <c r="G213" s="38">
        <f t="shared" si="60"/>
        <v>208032.23300000004</v>
      </c>
      <c r="H213" s="49">
        <f t="shared" si="61"/>
        <v>376705.60077756387</v>
      </c>
      <c r="M213" s="68">
        <v>0.8</v>
      </c>
      <c r="N213" s="69">
        <v>2.1</v>
      </c>
      <c r="O213" s="59">
        <f>((((M213*1)+(N213*2))*'MATERIALES (2)'!$C$33)+((M213*3)*'MATERIALES (2)'!$C$35)+(((N213-0.3)*2)*'MATERIALES (2)'!$C$35)+((N213*2)*'MATERIALES (2)'!$C$34)+(((M213-0.2)*'MATERIALES (2)'!$C$30)*3))*'MATERIALES (2)'!$F$1</f>
        <v>140884.21200000003</v>
      </c>
      <c r="P213" s="59">
        <f>(2*'MATERIALES (2)'!$C$135)+(20*'MATERIALES (2)'!$C$147)+(20*'MATERIALES (2)'!$C$148)+((8*2)*'MATERIALES (2)'!$C$134)+(3*'MATERIALES (2)'!$C$150)+(((N213*2)+(M213*1))*'MATERIALES (2)'!$C$138)+(((M213*2)+(N213*6))*'MATERIALES (2)'!$C$130)+(((M213*2)+(N213/2)*2)*'MATERIALES (2)'!$C$154)+(0.25*'MATERIALES (2)'!$C$156)+(1*'MATERIALES (2)'!$C$151)+(((M213*5)*2)*'MATERIALES (2)'!$C$136)+(4*'MATERIALES (2)'!$C$137)</f>
        <v>22566</v>
      </c>
      <c r="Q213" s="75"/>
      <c r="R213" s="55">
        <f>(M213*(N213-0.3))*'MATERIALES (2)'!$D$85</f>
        <v>10656.000000000002</v>
      </c>
      <c r="S213" s="59">
        <f t="shared" si="62"/>
        <v>174106.21200000003</v>
      </c>
      <c r="T213" s="67">
        <f t="shared" si="63"/>
        <v>322793.74403545511</v>
      </c>
    </row>
    <row r="214" spans="1:21" ht="15.75" thickBot="1">
      <c r="A214" s="44">
        <v>0.9</v>
      </c>
      <c r="B214" s="45">
        <v>2.1</v>
      </c>
      <c r="C214" s="50">
        <f>((((A214*1)+(B214*2))*'MATERIALES (2)'!$C$33)+((A214*3)*'MATERIALES (2)'!$C$35)+((B214*2)*'MATERIALES (2)'!$C$34)+(((A214-0.2)*'MATERIALES (2)'!$C$30)*((B214-0.36)/0.12)))*'MATERIALES (2)'!$F$1</f>
        <v>205110.57000000007</v>
      </c>
      <c r="D214" s="60">
        <f>(2*'MATERIALES (2)'!$C$135)+(12*'MATERIALES (2)'!$C$147)+(12*'MATERIALES (2)'!$C$148)+((8*2)*'MATERIALES (2)'!$C$134)+(3*'MATERIALES (2)'!$C$150)+(((B214*2)+(A214*1))*'MATERIALES (2)'!$C$138)+(((A214*2)+(0.4*2))*'MATERIALES (2)'!$C$130)+((A214*2)+(B214*2)*'MATERIALES (2)'!$C$154)+(0.5*'MATERIALES (2)'!$C$156)+(1*'MATERIALES (2)'!$C$151)+(((A214*5)*2)*'MATERIALES (2)'!$C$136)+(4*'MATERIALES (2)'!$C$137)</f>
        <v>20389.8</v>
      </c>
      <c r="E214" s="76"/>
      <c r="F214" s="56">
        <f>(A214*0.4)*'MATERIALES (2)'!$D$85</f>
        <v>2664.0000000000005</v>
      </c>
      <c r="G214" s="50">
        <f t="shared" si="60"/>
        <v>228164.37000000005</v>
      </c>
      <c r="H214" s="49">
        <f t="shared" si="61"/>
        <v>413218.91217048763</v>
      </c>
      <c r="M214" s="71">
        <v>0.9</v>
      </c>
      <c r="N214" s="72">
        <v>2.1</v>
      </c>
      <c r="O214" s="60">
        <f>((((M214*1)+(N214*2))*'MATERIALES (2)'!$C$33)+((M214*3)*'MATERIALES (2)'!$C$35)+(((N214-0.3)*2)*'MATERIALES (2)'!$C$35)+((N214*2)*'MATERIALES (2)'!$C$34)+(((M214-0.2)*'MATERIALES (2)'!$C$30)*3))*'MATERIALES (2)'!$F$1</f>
        <v>147721.99050000001</v>
      </c>
      <c r="P214" s="60">
        <f>(2*'MATERIALES (2)'!$C$135)+(20*'MATERIALES (2)'!$C$147)+(20*'MATERIALES (2)'!$C$148)+((8*2)*'MATERIALES (2)'!$C$134)+(3*'MATERIALES (2)'!$C$150)+(((N214*2)+(M214*1))*'MATERIALES (2)'!$C$138)+(((M214*2)+(N214*6))*'MATERIALES (2)'!$C$130)+(((M214*2)+(N214/2)*2)*'MATERIALES (2)'!$C$154)+(0.25*'MATERIALES (2)'!$C$156)+(1*'MATERIALES (2)'!$C$151)+(((M214*5)*2)*'MATERIALES (2)'!$C$136)+(4*'MATERIALES (2)'!$C$137)</f>
        <v>22668</v>
      </c>
      <c r="Q214" s="76"/>
      <c r="R214" s="56">
        <f>(M214*(N214-0.3))*'MATERIALES (2)'!$D$85</f>
        <v>11988</v>
      </c>
      <c r="S214" s="60">
        <f t="shared" si="62"/>
        <v>182377.99050000001</v>
      </c>
      <c r="T214" s="67">
        <f t="shared" si="63"/>
        <v>338845.6679536294</v>
      </c>
    </row>
    <row r="216" spans="1:21" ht="15.75" thickBot="1">
      <c r="O216" s="78"/>
    </row>
    <row r="217" spans="1:21" ht="15.75" thickBot="1">
      <c r="A217" s="32"/>
      <c r="B217" s="32"/>
      <c r="C217" s="947">
        <v>1.35</v>
      </c>
      <c r="D217" s="948"/>
      <c r="E217" s="949"/>
      <c r="F217" s="728">
        <v>2</v>
      </c>
      <c r="G217" s="32"/>
      <c r="H217" s="46" t="s">
        <v>163</v>
      </c>
      <c r="M217" s="32"/>
      <c r="N217" s="32"/>
      <c r="O217" s="947">
        <v>1.35</v>
      </c>
      <c r="P217" s="948"/>
      <c r="Q217" s="949"/>
      <c r="R217" s="728">
        <v>2</v>
      </c>
      <c r="S217" s="32"/>
      <c r="T217" s="46" t="s">
        <v>163</v>
      </c>
    </row>
    <row r="218" spans="1:21" ht="15.75" thickBot="1">
      <c r="A218" s="792" t="s">
        <v>785</v>
      </c>
      <c r="B218" s="793"/>
      <c r="C218" s="793"/>
      <c r="D218" s="793"/>
      <c r="E218" s="793"/>
      <c r="F218" s="793"/>
      <c r="G218" s="793"/>
      <c r="H218" s="794"/>
      <c r="M218" s="792" t="s">
        <v>786</v>
      </c>
      <c r="N218" s="793"/>
      <c r="O218" s="793"/>
      <c r="P218" s="793"/>
      <c r="Q218" s="793"/>
      <c r="R218" s="793"/>
      <c r="S218" s="793"/>
      <c r="T218" s="794"/>
      <c r="U218" s="882" t="s">
        <v>254</v>
      </c>
    </row>
    <row r="219" spans="1:21" ht="15.75" thickBot="1">
      <c r="A219" s="36" t="s">
        <v>116</v>
      </c>
      <c r="B219" s="36" t="s">
        <v>117</v>
      </c>
      <c r="C219" s="36" t="s">
        <v>162</v>
      </c>
      <c r="D219" s="36" t="s">
        <v>119</v>
      </c>
      <c r="E219" s="36" t="s">
        <v>120</v>
      </c>
      <c r="F219" s="36" t="s">
        <v>118</v>
      </c>
      <c r="G219" s="36" t="s">
        <v>121</v>
      </c>
      <c r="H219" s="36" t="s">
        <v>122</v>
      </c>
      <c r="M219" s="36" t="s">
        <v>116</v>
      </c>
      <c r="N219" s="36" t="s">
        <v>117</v>
      </c>
      <c r="O219" s="36" t="s">
        <v>162</v>
      </c>
      <c r="P219" s="36" t="s">
        <v>119</v>
      </c>
      <c r="Q219" s="36" t="s">
        <v>120</v>
      </c>
      <c r="R219" s="36" t="s">
        <v>118</v>
      </c>
      <c r="S219" s="36" t="s">
        <v>121</v>
      </c>
      <c r="T219" s="36" t="s">
        <v>122</v>
      </c>
      <c r="U219" s="883"/>
    </row>
    <row r="220" spans="1:21" ht="15.75" thickBot="1">
      <c r="A220" s="795"/>
      <c r="B220" s="796"/>
      <c r="C220" s="796"/>
      <c r="D220" s="796"/>
      <c r="E220" s="796"/>
      <c r="F220" s="796"/>
      <c r="G220" s="796"/>
      <c r="H220" s="797"/>
      <c r="M220" s="795"/>
      <c r="N220" s="796"/>
      <c r="O220" s="796"/>
      <c r="P220" s="796"/>
      <c r="Q220" s="796"/>
      <c r="R220" s="796"/>
      <c r="S220" s="796"/>
      <c r="T220" s="797"/>
      <c r="U220" s="883"/>
    </row>
    <row r="221" spans="1:21" ht="15.75" thickBot="1">
      <c r="A221" s="40">
        <v>0.6</v>
      </c>
      <c r="B221" s="41">
        <v>2</v>
      </c>
      <c r="C221" s="47">
        <f>((((A221*1)+(B221*2))*'MATERIALES (2)'!$C$33)+((A221*4)*'MATERIALES (2)'!$C$35)+((B221*2)*'MATERIALES (2)'!$C$34)+(((A221-0.2)*'MATERIALES (2)'!$C$30)*((B221-0.12)/0.12)))*'MATERIALES (2)'!$F$1</f>
        <v>153710.64799999999</v>
      </c>
      <c r="D221" s="58">
        <f>(2*'MATERIALES (2)'!$C$135)+(16*'MATERIALES (2)'!$C$147)+(16*'MATERIALES (2)'!$C$148)+((8*2)*'MATERIALES (2)'!$C$134)+(3*'MATERIALES (2)'!$C$150)+(((B221*2)+(A221*1))*'MATERIALES (2)'!$C$138)+(((A221*2)+(0.2*4))*'MATERIALES (2)'!$C$130)+((A221*2)+(B221*2)*'MATERIALES (2)'!$C$154)+(0.5*'MATERIALES (2)'!$C$156)+(1*'MATERIALES (2)'!$C$151)+(((A221*5)*2)*'MATERIALES (2)'!$C$136)+(4*'MATERIALES (2)'!$C$137)</f>
        <v>20927.2</v>
      </c>
      <c r="E221" s="74"/>
      <c r="F221" s="54">
        <f>(A221*0.2)*'MATERIALES (2)'!$D$85</f>
        <v>888</v>
      </c>
      <c r="G221" s="47">
        <f>SUM(C221:F221)</f>
        <v>175525.848</v>
      </c>
      <c r="H221" s="49">
        <f>((((SUM(C221:E221)*$C$217)+(F221*$F$217))*1.21)*1.05)*1.05</f>
        <v>316880.42289057001</v>
      </c>
      <c r="M221" s="96">
        <v>0.6</v>
      </c>
      <c r="N221" s="97">
        <v>2</v>
      </c>
      <c r="O221" s="99">
        <f>((((M221*1)+(N221*2))*'MATERIALES (2)'!$C$33)+((M221*2)*'MATERIALES (2)'!$C$35)+((N221*2)*'MATERIALES (2)'!$C$34)+(((M221*2)+(N221*2))*'MATERIALES (2)'!$C$31)+((M221*2)+(N221)*'MATERIALES (2)'!$C$32))*'MATERIALES (2)'!$F$1</f>
        <v>108347.23199999999</v>
      </c>
      <c r="P221" s="99">
        <f>(2*'MATERIALES (2)'!$C$135)+(14*'MATERIALES (2)'!$C$147)+(14*'MATERIALES (2)'!$C$148)+((8*2)*'MATERIALES (2)'!$C$134)+(3*'MATERIALES (2)'!$C$150)+(((N221*2)+(M221*1))*'MATERIALES (2)'!$C$138)+(((M221*6)+(N221*4))*'MATERIALES (2)'!$C$155)+(1*'MATERIALES (2)'!$C$151)+(((M221*5)*2)*'MATERIALES (2)'!$C$136)+(4*'MATERIALES (2)'!$C$137)</f>
        <v>16266</v>
      </c>
      <c r="Q221" s="229"/>
      <c r="R221" s="100">
        <f>(M221*N221)*'MATERIALES (2)'!$D$85</f>
        <v>8880</v>
      </c>
      <c r="S221" s="99">
        <f>SUM(O221:R221)</f>
        <v>133493.23199999999</v>
      </c>
      <c r="T221" s="101">
        <f>(((((SUM(O221:Q221)*$O$217)+(R221*$R$217)))*1.21)*1.05)*1.05</f>
        <v>248112.45920538003</v>
      </c>
      <c r="U221" s="787"/>
    </row>
    <row r="222" spans="1:21" ht="15.75" thickBot="1">
      <c r="A222" s="42">
        <v>0.7</v>
      </c>
      <c r="B222" s="37">
        <v>2</v>
      </c>
      <c r="C222" s="38">
        <f>((((A222*1)+(B222*2))*'MATERIALES (2)'!$C$33)+((A222*4)*'MATERIALES (2)'!$C$35)+((B222*2)*'MATERIALES (2)'!$C$34)+(((A222-0.2)*'MATERIALES (2)'!$C$30)*((B222-0.12)/0.12)))*'MATERIALES (2)'!$F$1</f>
        <v>175728.55299999999</v>
      </c>
      <c r="D222" s="59">
        <f>(2*'MATERIALES (2)'!$C$135)+(16*'MATERIALES (2)'!$C$147)+(16*'MATERIALES (2)'!$C$148)+((8*2)*'MATERIALES (2)'!$C$134)+(3*'MATERIALES (2)'!$C$150)+(((B222*2)+(A222*1))*'MATERIALES (2)'!$C$138)+(((A222*2)+(0.2*4))*'MATERIALES (2)'!$C$130)+((A222*2)+(B222*2)*'MATERIALES (2)'!$C$154)+(0.5*'MATERIALES (2)'!$C$156)+(1*'MATERIALES (2)'!$C$151)+(((A222*5)*2)*'MATERIALES (2)'!$C$136)+(4*'MATERIALES (2)'!$C$137)</f>
        <v>20981.4</v>
      </c>
      <c r="E222" s="75"/>
      <c r="F222" s="55">
        <f>(A222*0.2)*'MATERIALES (2)'!$D$85</f>
        <v>1036</v>
      </c>
      <c r="G222" s="38">
        <f t="shared" ref="G222:G228" si="64">SUM(C222:F222)</f>
        <v>197745.95299999998</v>
      </c>
      <c r="H222" s="49">
        <f t="shared" ref="H222:H228" si="65">((((SUM(C222:E222)*$C$217)+(F222*$F$217))*1.21)*1.05)*1.05</f>
        <v>357025.69311861374</v>
      </c>
      <c r="M222" s="102">
        <v>0.7</v>
      </c>
      <c r="N222" s="103">
        <v>2</v>
      </c>
      <c r="O222" s="98">
        <f>((((M222*1)+(N222*2))*'MATERIALES (2)'!$C$33)+((M222*2)*'MATERIALES (2)'!$C$35)+((N222*2)*'MATERIALES (2)'!$C$34)+(((M222*2)+(N222*2))*'MATERIALES (2)'!$C$31)+((M222*2)+(N222)*'MATERIALES (2)'!$C$32))*'MATERIALES (2)'!$F$1</f>
        <v>113717.6565</v>
      </c>
      <c r="P222" s="98">
        <f>(2*'MATERIALES (2)'!$C$135)+(14*'MATERIALES (2)'!$C$147)+(14*'MATERIALES (2)'!$C$148)+((8*2)*'MATERIALES (2)'!$C$134)+(3*'MATERIALES (2)'!$C$150)+(((N222*2)+(M222*1))*'MATERIALES (2)'!$C$138)+(((M222*6)+(N222*4))*'MATERIALES (2)'!$C$155)+(1*'MATERIALES (2)'!$C$151)+(((M222*5)*2)*'MATERIALES (2)'!$C$136)+(4*'MATERIALES (2)'!$C$137)</f>
        <v>16332</v>
      </c>
      <c r="Q222" s="230"/>
      <c r="R222" s="104">
        <f>(M222*N222)*'MATERIALES (2)'!$D$85</f>
        <v>10360</v>
      </c>
      <c r="S222" s="98">
        <f t="shared" ref="S222:S228" si="66">SUM(O222:R222)</f>
        <v>140409.65649999998</v>
      </c>
      <c r="T222" s="101">
        <f t="shared" ref="T222:T228" si="67">(((((SUM(O222:Q222)*$O$217)+(R222*$R$217)))*1.21)*1.05)*1.05</f>
        <v>261851.8135667569</v>
      </c>
      <c r="U222" s="787"/>
    </row>
    <row r="223" spans="1:21" ht="15.75" thickBot="1">
      <c r="A223" s="42">
        <v>0.8</v>
      </c>
      <c r="B223" s="37">
        <v>2</v>
      </c>
      <c r="C223" s="38">
        <f>((((A223*1)+(B223*2))*'MATERIALES (2)'!$C$33)+((A223*4)*'MATERIALES (2)'!$C$35)+((B223*2)*'MATERIALES (2)'!$C$34)+(((A223-0.2)*'MATERIALES (2)'!$C$30)*((B223-0.12)/0.12)))*'MATERIALES (2)'!$F$1</f>
        <v>197746.45800000007</v>
      </c>
      <c r="D223" s="59">
        <f>(2*'MATERIALES (2)'!$C$135)+(16*'MATERIALES (2)'!$C$147)+(16*'MATERIALES (2)'!$C$148)+((8*2)*'MATERIALES (2)'!$C$134)+(3*'MATERIALES (2)'!$C$150)+(((B223*2)+(A223*1))*'MATERIALES (2)'!$C$138)+(((A223*2)+(0.2*4))*'MATERIALES (2)'!$C$130)+((A223*2)+(B223*2)*'MATERIALES (2)'!$C$154)+(0.5*'MATERIALES (2)'!$C$156)+(1*'MATERIALES (2)'!$C$151)+(((A223*5)*2)*'MATERIALES (2)'!$C$136)+(4*'MATERIALES (2)'!$C$137)</f>
        <v>21035.599999999999</v>
      </c>
      <c r="E223" s="75"/>
      <c r="F223" s="55">
        <f>(A223*0.2)*'MATERIALES (2)'!$D$85</f>
        <v>1184.0000000000002</v>
      </c>
      <c r="G223" s="38">
        <f t="shared" si="64"/>
        <v>219966.05800000008</v>
      </c>
      <c r="H223" s="49">
        <f t="shared" si="65"/>
        <v>397170.96334665769</v>
      </c>
      <c r="M223" s="102">
        <v>0.8</v>
      </c>
      <c r="N223" s="103">
        <v>2</v>
      </c>
      <c r="O223" s="98">
        <f>((((M223*1)+(N223*2))*'MATERIALES (2)'!$C$33)+((M223*2)*'MATERIALES (2)'!$C$35)+((N223*2)*'MATERIALES (2)'!$C$34)+(((M223*2)+(N223*2))*'MATERIALES (2)'!$C$31)+((M223*2)+(N223)*'MATERIALES (2)'!$C$32))*'MATERIALES (2)'!$F$1</f>
        <v>119088.08099999999</v>
      </c>
      <c r="P223" s="98">
        <f>(2*'MATERIALES (2)'!$C$135)+(14*'MATERIALES (2)'!$C$147)+(14*'MATERIALES (2)'!$C$148)+((8*2)*'MATERIALES (2)'!$C$134)+(3*'MATERIALES (2)'!$C$150)+(((N223*2)+(M223*1))*'MATERIALES (2)'!$C$138)+(((M223*6)+(N223*4))*'MATERIALES (2)'!$C$155)+(1*'MATERIALES (2)'!$C$151)+(((M223*5)*2)*'MATERIALES (2)'!$C$136)+(4*'MATERIALES (2)'!$C$137)</f>
        <v>16398</v>
      </c>
      <c r="Q223" s="230"/>
      <c r="R223" s="104">
        <f>(M223*N223)*'MATERIALES (2)'!$D$85</f>
        <v>11840</v>
      </c>
      <c r="S223" s="98">
        <f t="shared" si="66"/>
        <v>147326.08100000001</v>
      </c>
      <c r="T223" s="101">
        <f t="shared" si="67"/>
        <v>275591.1679281338</v>
      </c>
      <c r="U223" s="787"/>
    </row>
    <row r="224" spans="1:21" ht="15.75" thickBot="1">
      <c r="A224" s="42">
        <v>0.9</v>
      </c>
      <c r="B224" s="37">
        <v>2</v>
      </c>
      <c r="C224" s="38">
        <f>((((A224*1)+(B224*2))*'MATERIALES (2)'!$C$33)+((A224*4)*'MATERIALES (2)'!$C$35)+((B224*2)*'MATERIALES (2)'!$C$34)+(((A224-0.2)*'MATERIALES (2)'!$C$30)*((B224-0.12)/0.12)))*'MATERIALES (2)'!$F$1</f>
        <v>219764.36300000001</v>
      </c>
      <c r="D224" s="59">
        <f>(2*'MATERIALES (2)'!$C$135)+(16*'MATERIALES (2)'!$C$147)+(16*'MATERIALES (2)'!$C$148)+((8*2)*'MATERIALES (2)'!$C$134)+(3*'MATERIALES (2)'!$C$150)+(((B224*2)+(A224*1))*'MATERIALES (2)'!$C$138)+(((A224*2)+(0.2*4))*'MATERIALES (2)'!$C$130)+((A224*2)+(B224*2)*'MATERIALES (2)'!$C$154)+(0.5*'MATERIALES (2)'!$C$156)+(1*'MATERIALES (2)'!$C$151)+(((A224*5)*2)*'MATERIALES (2)'!$C$136)+(4*'MATERIALES (2)'!$C$137)</f>
        <v>21089.8</v>
      </c>
      <c r="E224" s="75"/>
      <c r="F224" s="55">
        <f>(A224*0.2)*'MATERIALES (2)'!$D$85</f>
        <v>1332.0000000000002</v>
      </c>
      <c r="G224" s="38">
        <f t="shared" si="64"/>
        <v>242186.163</v>
      </c>
      <c r="H224" s="49">
        <f t="shared" si="65"/>
        <v>437316.2335747013</v>
      </c>
      <c r="M224" s="102">
        <v>0.9</v>
      </c>
      <c r="N224" s="103">
        <v>2</v>
      </c>
      <c r="O224" s="98">
        <f>((((M224*1)+(N224*2))*'MATERIALES (2)'!$C$33)+((M224*2)*'MATERIALES (2)'!$C$35)+((N224*2)*'MATERIALES (2)'!$C$34)+(((M224*2)+(N224*2))*'MATERIALES (2)'!$C$31)+((M224*2)+(N224)*'MATERIALES (2)'!$C$32))*'MATERIALES (2)'!$F$1</f>
        <v>124458.50550000001</v>
      </c>
      <c r="P224" s="98">
        <f>(2*'MATERIALES (2)'!$C$135)+(14*'MATERIALES (2)'!$C$147)+(14*'MATERIALES (2)'!$C$148)+((8*2)*'MATERIALES (2)'!$C$134)+(3*'MATERIALES (2)'!$C$150)+(((N224*2)+(M224*1))*'MATERIALES (2)'!$C$138)+(((M224*6)+(N224*4))*'MATERIALES (2)'!$C$155)+(1*'MATERIALES (2)'!$C$151)+(((M224*5)*2)*'MATERIALES (2)'!$C$136)+(4*'MATERIALES (2)'!$C$137)</f>
        <v>16464</v>
      </c>
      <c r="Q224" s="230"/>
      <c r="R224" s="104">
        <f>(M224*N224)*'MATERIALES (2)'!$D$85</f>
        <v>13320</v>
      </c>
      <c r="S224" s="98">
        <f t="shared" si="66"/>
        <v>154242.50550000003</v>
      </c>
      <c r="T224" s="101">
        <f t="shared" si="67"/>
        <v>289330.5222895107</v>
      </c>
      <c r="U224" s="787"/>
    </row>
    <row r="225" spans="1:21" ht="15.75" thickBot="1">
      <c r="A225" s="42">
        <v>0.6</v>
      </c>
      <c r="B225" s="37">
        <v>2.1</v>
      </c>
      <c r="C225" s="38">
        <f>((((A225*1)+(B225*2))*'MATERIALES (2)'!$C$33)+((A225*4)*'MATERIALES (2)'!$C$35)+((B225*2)*'MATERIALES (2)'!$C$34)+(((A225-0.2)*'MATERIALES (2)'!$C$30)*((B225-0.12)/0.12)))*'MATERIALES (2)'!$F$1</f>
        <v>160306.14599999998</v>
      </c>
      <c r="D225" s="59">
        <f>(2*'MATERIALES (2)'!$C$135)+(16*'MATERIALES (2)'!$C$147)+(16*'MATERIALES (2)'!$C$148)+((8*2)*'MATERIALES (2)'!$C$134)+(3*'MATERIALES (2)'!$C$150)+(((B225*2)+(A225*1))*'MATERIALES (2)'!$C$138)+(((A225*2)+(0.2*4))*'MATERIALES (2)'!$C$130)+((A225*2)+(B225*2)*'MATERIALES (2)'!$C$154)+(0.5*'MATERIALES (2)'!$C$156)+(1*'MATERIALES (2)'!$C$151)+(((A225*5)*2)*'MATERIALES (2)'!$C$136)+(4*'MATERIALES (2)'!$C$137)</f>
        <v>20987.200000000001</v>
      </c>
      <c r="E225" s="75"/>
      <c r="F225" s="55">
        <f>(A225*0.2)*'MATERIALES (2)'!$D$85</f>
        <v>888</v>
      </c>
      <c r="G225" s="38">
        <f t="shared" si="64"/>
        <v>182181.34599999999</v>
      </c>
      <c r="H225" s="49">
        <f t="shared" si="65"/>
        <v>328866.53386182751</v>
      </c>
      <c r="M225" s="102">
        <v>0.6</v>
      </c>
      <c r="N225" s="103">
        <v>2.1</v>
      </c>
      <c r="O225" s="98">
        <f>((((M225*1)+(N225*2))*'MATERIALES (2)'!$C$33)+((M225*2)*'MATERIALES (2)'!$C$35)+((N225*2)*'MATERIALES (2)'!$C$34)+(((M225*2)+(N225*2))*'MATERIALES (2)'!$C$31)+((M225*2)+(N225)*'MATERIALES (2)'!$C$32))*'MATERIALES (2)'!$F$1</f>
        <v>112153.46625</v>
      </c>
      <c r="P225" s="98">
        <f>(2*'MATERIALES (2)'!$C$135)+(14*'MATERIALES (2)'!$C$147)+(14*'MATERIALES (2)'!$C$148)+((8*2)*'MATERIALES (2)'!$C$134)+(3*'MATERIALES (2)'!$C$150)+(((N225*2)+(M225*1))*'MATERIALES (2)'!$C$138)+(((M225*6)+(N225*4))*'MATERIALES (2)'!$C$155)+(1*'MATERIALES (2)'!$C$151)+(((M225*5)*2)*'MATERIALES (2)'!$C$136)+(4*'MATERIALES (2)'!$C$137)</f>
        <v>16318</v>
      </c>
      <c r="Q225" s="230"/>
      <c r="R225" s="104">
        <f>(M225*N225)*'MATERIALES (2)'!$D$85</f>
        <v>9324</v>
      </c>
      <c r="S225" s="98">
        <f t="shared" si="66"/>
        <v>137795.46625</v>
      </c>
      <c r="T225" s="101">
        <f t="shared" si="67"/>
        <v>256245.49768161098</v>
      </c>
      <c r="U225" s="787"/>
    </row>
    <row r="226" spans="1:21" ht="15.75" thickBot="1">
      <c r="A226" s="42">
        <v>0.7</v>
      </c>
      <c r="B226" s="37">
        <v>2.1</v>
      </c>
      <c r="C226" s="38">
        <f>((((A226*1)+(B226*2))*'MATERIALES (2)'!$C$33)+((A226*4)*'MATERIALES (2)'!$C$35)+((B226*2)*'MATERIALES (2)'!$C$34)+(((A226-0.2)*'MATERIALES (2)'!$C$30)*((B226-0.12)/0.12)))*'MATERIALES (2)'!$F$1</f>
        <v>183262.03349999999</v>
      </c>
      <c r="D226" s="59">
        <f>(2*'MATERIALES (2)'!$C$135)+(16*'MATERIALES (2)'!$C$147)+(16*'MATERIALES (2)'!$C$148)+((8*2)*'MATERIALES (2)'!$C$134)+(3*'MATERIALES (2)'!$C$150)+(((B226*2)+(A226*1))*'MATERIALES (2)'!$C$138)+(((A226*2)+(0.2*4))*'MATERIALES (2)'!$C$130)+((A226*2)+(B226*2)*'MATERIALES (2)'!$C$154)+(0.5*'MATERIALES (2)'!$C$156)+(1*'MATERIALES (2)'!$C$151)+(((A226*5)*2)*'MATERIALES (2)'!$C$136)+(4*'MATERIALES (2)'!$C$137)</f>
        <v>21041.4</v>
      </c>
      <c r="E226" s="75"/>
      <c r="F226" s="55">
        <f>(A226*0.2)*'MATERIALES (2)'!$D$85</f>
        <v>1036</v>
      </c>
      <c r="G226" s="38">
        <f t="shared" si="64"/>
        <v>205339.43349999998</v>
      </c>
      <c r="H226" s="49">
        <f t="shared" si="65"/>
        <v>370701.04843103059</v>
      </c>
      <c r="M226" s="102">
        <v>0.7</v>
      </c>
      <c r="N226" s="103">
        <v>2.1</v>
      </c>
      <c r="O226" s="98">
        <f>((((M226*1)+(N226*2))*'MATERIALES (2)'!$C$33)+((M226*2)*'MATERIALES (2)'!$C$35)+((N226*2)*'MATERIALES (2)'!$C$34)+(((M226*2)+(N226*2))*'MATERIALES (2)'!$C$31)+((M226*2)+(N226)*'MATERIALES (2)'!$C$32))*'MATERIALES (2)'!$F$1</f>
        <v>117523.89074999999</v>
      </c>
      <c r="P226" s="98">
        <f>(2*'MATERIALES (2)'!$C$135)+(14*'MATERIALES (2)'!$C$147)+(14*'MATERIALES (2)'!$C$148)+((8*2)*'MATERIALES (2)'!$C$134)+(3*'MATERIALES (2)'!$C$150)+(((N226*2)+(M226*1))*'MATERIALES (2)'!$C$138)+(((M226*6)+(N226*4))*'MATERIALES (2)'!$C$155)+(1*'MATERIALES (2)'!$C$151)+(((M226*5)*2)*'MATERIALES (2)'!$C$136)+(4*'MATERIALES (2)'!$C$137)</f>
        <v>16384</v>
      </c>
      <c r="Q226" s="230"/>
      <c r="R226" s="104">
        <f>(M226*N226)*'MATERIALES (2)'!$D$85</f>
        <v>10878</v>
      </c>
      <c r="S226" s="98">
        <f t="shared" si="66"/>
        <v>144785.89074999999</v>
      </c>
      <c r="T226" s="101">
        <f t="shared" si="67"/>
        <v>270182.28774298786</v>
      </c>
      <c r="U226" s="787"/>
    </row>
    <row r="227" spans="1:21" ht="15.75" thickBot="1">
      <c r="A227" s="42">
        <v>0.8</v>
      </c>
      <c r="B227" s="37">
        <v>2.1</v>
      </c>
      <c r="C227" s="38">
        <f>((((A227*1)+(B227*2))*'MATERIALES (2)'!$C$33)+((A227*4)*'MATERIALES (2)'!$C$35)+((B227*2)*'MATERIALES (2)'!$C$34)+(((A227-0.2)*'MATERIALES (2)'!$C$30)*((B227-0.12)/0.12)))*'MATERIALES (2)'!$F$1</f>
        <v>206217.92100000003</v>
      </c>
      <c r="D227" s="59">
        <f>(2*'MATERIALES (2)'!$C$135)+(16*'MATERIALES (2)'!$C$147)+(16*'MATERIALES (2)'!$C$148)+((8*2)*'MATERIALES (2)'!$C$134)+(3*'MATERIALES (2)'!$C$150)+(((B227*2)+(A227*1))*'MATERIALES (2)'!$C$138)+(((A227*2)+(0.2*4))*'MATERIALES (2)'!$C$130)+((A227*2)+(B227*2)*'MATERIALES (2)'!$C$154)+(0.5*'MATERIALES (2)'!$C$156)+(1*'MATERIALES (2)'!$C$151)+(((A227*5)*2)*'MATERIALES (2)'!$C$136)+(4*'MATERIALES (2)'!$C$137)</f>
        <v>21095.599999999999</v>
      </c>
      <c r="E227" s="75"/>
      <c r="F227" s="55">
        <f>(A227*0.2)*'MATERIALES (2)'!$D$85</f>
        <v>1184.0000000000002</v>
      </c>
      <c r="G227" s="38">
        <f t="shared" si="64"/>
        <v>228497.52100000004</v>
      </c>
      <c r="H227" s="49">
        <f t="shared" si="65"/>
        <v>412535.56300023384</v>
      </c>
      <c r="M227" s="102">
        <v>0.8</v>
      </c>
      <c r="N227" s="103">
        <v>2.1</v>
      </c>
      <c r="O227" s="98">
        <f>((((M227*1)+(N227*2))*'MATERIALES (2)'!$C$33)+((M227*2)*'MATERIALES (2)'!$C$35)+((N227*2)*'MATERIALES (2)'!$C$34)+(((M227*2)+(N227*2))*'MATERIALES (2)'!$C$31)+((M227*2)+(N227)*'MATERIALES (2)'!$C$32))*'MATERIALES (2)'!$F$1</f>
        <v>122894.31525000003</v>
      </c>
      <c r="P227" s="98">
        <f>(2*'MATERIALES (2)'!$C$135)+(14*'MATERIALES (2)'!$C$147)+(14*'MATERIALES (2)'!$C$148)+((8*2)*'MATERIALES (2)'!$C$134)+(3*'MATERIALES (2)'!$C$150)+(((N227*2)+(M227*1))*'MATERIALES (2)'!$C$138)+(((M227*6)+(N227*4))*'MATERIALES (2)'!$C$155)+(1*'MATERIALES (2)'!$C$151)+(((M227*5)*2)*'MATERIALES (2)'!$C$136)+(4*'MATERIALES (2)'!$C$137)</f>
        <v>16450</v>
      </c>
      <c r="Q227" s="230"/>
      <c r="R227" s="104">
        <f>(M227*N227)*'MATERIALES (2)'!$D$85</f>
        <v>12432.000000000002</v>
      </c>
      <c r="S227" s="98">
        <f t="shared" si="66"/>
        <v>151776.31525000004</v>
      </c>
      <c r="T227" s="101">
        <f t="shared" si="67"/>
        <v>284119.07780436473</v>
      </c>
      <c r="U227" s="787"/>
    </row>
    <row r="228" spans="1:21" ht="15.75" thickBot="1">
      <c r="A228" s="44">
        <v>0.9</v>
      </c>
      <c r="B228" s="45">
        <v>2.1</v>
      </c>
      <c r="C228" s="50">
        <f>((((A228*1)+(B228*2))*'MATERIALES (2)'!$C$33)+((A228*4)*'MATERIALES (2)'!$C$35)+((B228*2)*'MATERIALES (2)'!$C$34)+(((A228-0.2)*'MATERIALES (2)'!$C$30)*((B228-0.12)/0.12)))*'MATERIALES (2)'!$F$1</f>
        <v>229173.80849999998</v>
      </c>
      <c r="D228" s="60">
        <f>(2*'MATERIALES (2)'!$C$135)+(16*'MATERIALES (2)'!$C$147)+(16*'MATERIALES (2)'!$C$148)+((8*2)*'MATERIALES (2)'!$C$134)+(3*'MATERIALES (2)'!$C$150)+(((B228*2)+(A228*1))*'MATERIALES (2)'!$C$138)+(((A228*2)+(0.2*4))*'MATERIALES (2)'!$C$130)+((A228*2)+(B228*2)*'MATERIALES (2)'!$C$154)+(0.5*'MATERIALES (2)'!$C$156)+(1*'MATERIALES (2)'!$C$151)+(((A228*5)*2)*'MATERIALES (2)'!$C$136)+(4*'MATERIALES (2)'!$C$137)</f>
        <v>21149.8</v>
      </c>
      <c r="E228" s="76"/>
      <c r="F228" s="56">
        <f>(A228*0.2)*'MATERIALES (2)'!$D$85</f>
        <v>1332.0000000000002</v>
      </c>
      <c r="G228" s="50">
        <f t="shared" si="64"/>
        <v>251655.60849999997</v>
      </c>
      <c r="H228" s="49">
        <f t="shared" si="65"/>
        <v>454370.07756943692</v>
      </c>
      <c r="M228" s="106">
        <v>0.9</v>
      </c>
      <c r="N228" s="107">
        <v>2.1</v>
      </c>
      <c r="O228" s="108">
        <f>((((M228*1)+(N228*2))*'MATERIALES (2)'!$C$33)+((M228*2)*'MATERIALES (2)'!$C$35)+((N228*2)*'MATERIALES (2)'!$C$34)+(((M228*2)+(N228*2))*'MATERIALES (2)'!$C$31)+((M228*2)+(N228)*'MATERIALES (2)'!$C$32))*'MATERIALES (2)'!$F$1</f>
        <v>128264.73975000001</v>
      </c>
      <c r="P228" s="108">
        <f>(2*'MATERIALES (2)'!$C$135)+(14*'MATERIALES (2)'!$C$147)+(14*'MATERIALES (2)'!$C$148)+((8*2)*'MATERIALES (2)'!$C$134)+(3*'MATERIALES (2)'!$C$150)+(((N228*2)+(M228*1))*'MATERIALES (2)'!$C$138)+(((M228*6)+(N228*4))*'MATERIALES (2)'!$C$155)+(1*'MATERIALES (2)'!$C$151)+(((M228*5)*2)*'MATERIALES (2)'!$C$136)+(4*'MATERIALES (2)'!$C$137)</f>
        <v>16516</v>
      </c>
      <c r="Q228" s="231"/>
      <c r="R228" s="109">
        <f>(M228*N228)*'MATERIALES (2)'!$D$85</f>
        <v>13986.000000000002</v>
      </c>
      <c r="S228" s="108">
        <f t="shared" si="66"/>
        <v>158766.73975000001</v>
      </c>
      <c r="T228" s="101">
        <f t="shared" si="67"/>
        <v>298055.8678657416</v>
      </c>
      <c r="U228" s="788"/>
    </row>
    <row r="229" spans="1:21">
      <c r="C229" t="s">
        <v>755</v>
      </c>
    </row>
    <row r="230" spans="1:21" ht="15.75" thickBot="1">
      <c r="O230" s="78"/>
    </row>
    <row r="231" spans="1:21" ht="15.75" thickBot="1">
      <c r="A231" s="32"/>
      <c r="B231" s="32"/>
      <c r="C231" s="947">
        <v>1.35</v>
      </c>
      <c r="D231" s="948"/>
      <c r="E231" s="949"/>
      <c r="F231" s="728">
        <v>2</v>
      </c>
      <c r="G231" s="32"/>
      <c r="H231" s="46" t="s">
        <v>163</v>
      </c>
      <c r="M231" s="32"/>
      <c r="N231" s="32"/>
      <c r="O231" s="947">
        <v>1.35</v>
      </c>
      <c r="P231" s="948"/>
      <c r="Q231" s="949"/>
      <c r="R231" s="728">
        <v>2</v>
      </c>
      <c r="S231" s="32"/>
      <c r="T231" s="46" t="s">
        <v>163</v>
      </c>
    </row>
    <row r="232" spans="1:21" ht="15.75" thickBot="1">
      <c r="A232" s="792" t="s">
        <v>787</v>
      </c>
      <c r="B232" s="793"/>
      <c r="C232" s="793"/>
      <c r="D232" s="793"/>
      <c r="E232" s="793"/>
      <c r="F232" s="793"/>
      <c r="G232" s="793"/>
      <c r="H232" s="794"/>
      <c r="M232" s="792" t="s">
        <v>788</v>
      </c>
      <c r="N232" s="793"/>
      <c r="O232" s="793"/>
      <c r="P232" s="793"/>
      <c r="Q232" s="793"/>
      <c r="R232" s="793"/>
      <c r="S232" s="793"/>
      <c r="T232" s="794"/>
      <c r="U232" s="882" t="s">
        <v>254</v>
      </c>
    </row>
    <row r="233" spans="1:21" ht="15.75" thickBot="1">
      <c r="A233" s="36" t="s">
        <v>116</v>
      </c>
      <c r="B233" s="36" t="s">
        <v>117</v>
      </c>
      <c r="C233" s="36" t="s">
        <v>162</v>
      </c>
      <c r="D233" s="36" t="s">
        <v>119</v>
      </c>
      <c r="E233" s="36" t="s">
        <v>120</v>
      </c>
      <c r="F233" s="36" t="s">
        <v>118</v>
      </c>
      <c r="G233" s="36" t="s">
        <v>121</v>
      </c>
      <c r="H233" s="36" t="s">
        <v>122</v>
      </c>
      <c r="M233" s="36" t="s">
        <v>116</v>
      </c>
      <c r="N233" s="36" t="s">
        <v>117</v>
      </c>
      <c r="O233" s="36" t="s">
        <v>162</v>
      </c>
      <c r="P233" s="36" t="s">
        <v>119</v>
      </c>
      <c r="Q233" s="36" t="s">
        <v>120</v>
      </c>
      <c r="R233" s="36" t="s">
        <v>118</v>
      </c>
      <c r="S233" s="36" t="s">
        <v>121</v>
      </c>
      <c r="T233" s="36" t="s">
        <v>122</v>
      </c>
      <c r="U233" s="883"/>
    </row>
    <row r="234" spans="1:21" ht="15.75" thickBot="1">
      <c r="A234" s="795"/>
      <c r="B234" s="796"/>
      <c r="C234" s="796"/>
      <c r="D234" s="796"/>
      <c r="E234" s="796"/>
      <c r="F234" s="796"/>
      <c r="G234" s="796"/>
      <c r="H234" s="797"/>
      <c r="M234" s="795"/>
      <c r="N234" s="796"/>
      <c r="O234" s="796"/>
      <c r="P234" s="796"/>
      <c r="Q234" s="796"/>
      <c r="R234" s="796"/>
      <c r="S234" s="796"/>
      <c r="T234" s="797"/>
      <c r="U234" s="883"/>
    </row>
    <row r="235" spans="1:21" ht="15.75" thickBot="1">
      <c r="A235" s="40">
        <v>0.6</v>
      </c>
      <c r="B235" s="41">
        <v>2</v>
      </c>
      <c r="C235" s="47">
        <f>((((A235*1)+(B235*2))*'MATERIALES (2)'!$C$33)+((A235*3)*'MATERIALES (2)'!$C$35)+((0.4*2)*'MATERIALES (2)'!$C$35)+((B235*2)*'MATERIALES (2)'!$C$34)+(((A235-0.2)*'MATERIALES (2)'!$C$30)*((B235-0.36)/0.12)))*'MATERIALES (2)'!$F$1</f>
        <v>146551.601</v>
      </c>
      <c r="D235" s="58">
        <f>(2*'MATERIALES (2)'!$C$135)+(20*'MATERIALES (2)'!$C$147)+(20*'MATERIALES (2)'!$C$148)+((8*2)*'MATERIALES (2)'!$C$134)+(3*'MATERIALES (2)'!$C$150)+(((B235*2)+(A235*1))*'MATERIALES (2)'!$C$138)+(((A235*2)+(0.4*6))*'MATERIALES (2)'!$C$130)+((A235*2)+(B235*2)*'MATERIALES (2)'!$C$154)+(0.5*'MATERIALES (2)'!$C$156)+(1*'MATERIALES (2)'!$C$151)+(((A235*5)*2)*'MATERIALES (2)'!$C$136)+(4*'MATERIALES (2)'!$C$137)</f>
        <v>22071.200000000001</v>
      </c>
      <c r="E235" s="74"/>
      <c r="F235" s="54">
        <f>(A235*0.4)*'MATERIALES (2)'!$D$85</f>
        <v>1776</v>
      </c>
      <c r="G235" s="47">
        <f>SUM(C235:F235)</f>
        <v>170398.80100000001</v>
      </c>
      <c r="H235" s="49">
        <f>(((((SUM(C235:E235)*$C$231)+(F235*$F$231)))*1.21)*1.05)*1.05</f>
        <v>308416.95014043385</v>
      </c>
      <c r="M235" s="65">
        <v>0.6</v>
      </c>
      <c r="N235" s="66">
        <v>2</v>
      </c>
      <c r="O235" s="58">
        <f>((((M235*1)+(N235*2))*'MATERIALES (2)'!$C$33)+((M235*3)*'MATERIALES (2)'!$C$35)+((N235*2)*'MATERIALES (2)'!$C$34)+(((M235-0.2)*'MATERIALES (2)'!$C$30)*(0.6/0.12))+(((M235*2)+(N235*2))*'MATERIALES (2)'!$C$31)+((M235*2)+(N235)*'MATERIALES (2)'!$C$32))*'MATERIALES (2)'!$F$1</f>
        <v>136395.56699999998</v>
      </c>
      <c r="P235" s="58">
        <f>(2*'MATERIALES (2)'!$C$135)+(18*'MATERIALES (2)'!$C$147)+(18*'MATERIALES (2)'!$C$148)+((8*2)*'MATERIALES (2)'!$C$134)+(3*'MATERIALES (2)'!$C$150)+(((N235*2)+(M235*1))*'MATERIALES (2)'!$C$138)+(((M235*6)+(N235*4))*'MATERIALES (2)'!$C$155)+(0.25*'MATERIALES (2)'!$C$156)+(((M235*2)+(0.6*2))*'MATERIALES (2)'!$C$154)+(1*'MATERIALES (2)'!$C$151)+(((M235*5)*2)*'MATERIALES (2)'!$C$136)+(4*'MATERIALES (2)'!$C$137)</f>
        <v>19602</v>
      </c>
      <c r="Q235" s="74"/>
      <c r="R235" s="54">
        <f>(M235*N235)*'MATERIALES (2)'!$D$85</f>
        <v>8880</v>
      </c>
      <c r="S235" s="58">
        <f>SUM(O235:R235)</f>
        <v>164877.56699999998</v>
      </c>
      <c r="T235" s="67">
        <f>((((SUM(O235:Q235)*$O$231)+(R235*$R$231))*1.21)*1.05)*1.05</f>
        <v>304633.56732818624</v>
      </c>
      <c r="U235" s="787"/>
    </row>
    <row r="236" spans="1:21" ht="15.75" thickBot="1">
      <c r="A236" s="42">
        <v>0.7</v>
      </c>
      <c r="B236" s="37">
        <v>2</v>
      </c>
      <c r="C236" s="38">
        <f>((((A236*1)+(B236*2))*'MATERIALES (2)'!$C$33)+((A236*3)*'MATERIALES (2)'!$C$35)+((0.4*2)*'MATERIALES (2)'!$C$35)+((B236*2)*'MATERIALES (2)'!$C$34)+(((A236-0.2)*'MATERIALES (2)'!$C$30)*((B236-0.36)/0.12)))*'MATERIALES (2)'!$F$1</f>
        <v>165395.55550000002</v>
      </c>
      <c r="D236" s="59">
        <f>(2*'MATERIALES (2)'!$C$135)+(20*'MATERIALES (2)'!$C$147)+(20*'MATERIALES (2)'!$C$148)+((8*2)*'MATERIALES (2)'!$C$134)+(3*'MATERIALES (2)'!$C$150)+(((B236*2)+(A236*1))*'MATERIALES (2)'!$C$138)+(((A236*2)+(0.4*6))*'MATERIALES (2)'!$C$130)+((A236*2)+(B236*2)*'MATERIALES (2)'!$C$154)+(0.5*'MATERIALES (2)'!$C$156)+(1*'MATERIALES (2)'!$C$151)+(((A236*5)*2)*'MATERIALES (2)'!$C$136)+(4*'MATERIALES (2)'!$C$137)</f>
        <v>22125.4</v>
      </c>
      <c r="E236" s="75"/>
      <c r="F236" s="55">
        <f>(A236*0.4)*'MATERIALES (2)'!$D$85</f>
        <v>2072</v>
      </c>
      <c r="G236" s="38">
        <f t="shared" ref="G236:G242" si="68">SUM(C236:F236)</f>
        <v>189592.95550000001</v>
      </c>
      <c r="H236" s="49">
        <f t="shared" ref="H236:H242" si="69">(((((SUM(C236:E236)*$C$231)+(F236*$F$231)))*1.21)*1.05)*1.05</f>
        <v>343241.0171921982</v>
      </c>
      <c r="M236" s="68">
        <v>0.7</v>
      </c>
      <c r="N236" s="69">
        <v>2</v>
      </c>
      <c r="O236" s="59">
        <f>((((M236*1)+(N236*2))*'MATERIALES (2)'!$C$33)+((M236*3)*'MATERIALES (2)'!$C$35)+((N236*2)*'MATERIALES (2)'!$C$34)+(((M236-0.2)*'MATERIALES (2)'!$C$30)*(0.6/0.12))+(((M236*2)+(N236*2))*'MATERIALES (2)'!$C$31)+((M236*2)+(N236)*'MATERIALES (2)'!$C$32))*'MATERIALES (2)'!$F$1</f>
        <v>148316.679</v>
      </c>
      <c r="P236" s="59">
        <f>(2*'MATERIALES (2)'!$C$135)+(18*'MATERIALES (2)'!$C$147)+(18*'MATERIALES (2)'!$C$148)+((8*2)*'MATERIALES (2)'!$C$134)+(3*'MATERIALES (2)'!$C$150)+(((N236*2)+(M236*1))*'MATERIALES (2)'!$C$138)+(((M236*6)+(N236*4))*'MATERIALES (2)'!$C$155)+(0.25*'MATERIALES (2)'!$C$156)+(((M236*2)+(0.6*2))*'MATERIALES (2)'!$C$154)+(1*'MATERIALES (2)'!$C$151)+(((M236*5)*2)*'MATERIALES (2)'!$C$136)+(4*'MATERIALES (2)'!$C$137)</f>
        <v>19716</v>
      </c>
      <c r="Q236" s="75"/>
      <c r="R236" s="55">
        <f>(M236*N236)*'MATERIALES (2)'!$D$85</f>
        <v>10360</v>
      </c>
      <c r="S236" s="59">
        <f t="shared" ref="S236:S242" si="70">SUM(O236:R236)</f>
        <v>178392.679</v>
      </c>
      <c r="T236" s="67">
        <f t="shared" ref="T236:T242" si="71">((((SUM(O236:Q236)*$O$231)+(R236*$R$231))*1.21)*1.05)*1.05</f>
        <v>330256.72071401629</v>
      </c>
      <c r="U236" s="787"/>
    </row>
    <row r="237" spans="1:21" ht="15.75" thickBot="1">
      <c r="A237" s="42">
        <v>0.8</v>
      </c>
      <c r="B237" s="37">
        <v>2</v>
      </c>
      <c r="C237" s="38">
        <f>((((A237*1)+(B237*2))*'MATERIALES (2)'!$C$33)+((A237*3)*'MATERIALES (2)'!$C$35)+((0.4*2)*'MATERIALES (2)'!$C$35)+((B237*2)*'MATERIALES (2)'!$C$34)+(((A237-0.2)*'MATERIALES (2)'!$C$30)*((B237-0.36)/0.12)))*'MATERIALES (2)'!$F$1</f>
        <v>184239.51000000004</v>
      </c>
      <c r="D237" s="59">
        <f>(2*'MATERIALES (2)'!$C$135)+(20*'MATERIALES (2)'!$C$147)+(20*'MATERIALES (2)'!$C$148)+((8*2)*'MATERIALES (2)'!$C$134)+(3*'MATERIALES (2)'!$C$150)+(((B237*2)+(A237*1))*'MATERIALES (2)'!$C$138)+(((A237*2)+(0.4*6))*'MATERIALES (2)'!$C$130)+((A237*2)+(B237*2)*'MATERIALES (2)'!$C$154)+(0.5*'MATERIALES (2)'!$C$156)+(1*'MATERIALES (2)'!$C$151)+(((A237*5)*2)*'MATERIALES (2)'!$C$136)+(4*'MATERIALES (2)'!$C$137)</f>
        <v>22179.599999999999</v>
      </c>
      <c r="E237" s="75"/>
      <c r="F237" s="55">
        <f>(A237*0.4)*'MATERIALES (2)'!$D$85</f>
        <v>2368.0000000000005</v>
      </c>
      <c r="G237" s="38">
        <f t="shared" si="68"/>
        <v>208787.11000000004</v>
      </c>
      <c r="H237" s="49">
        <f t="shared" si="69"/>
        <v>378065.08424396266</v>
      </c>
      <c r="M237" s="68">
        <v>0.8</v>
      </c>
      <c r="N237" s="69">
        <v>2</v>
      </c>
      <c r="O237" s="59">
        <f>((((M237*1)+(N237*2))*'MATERIALES (2)'!$C$33)+((M237*3)*'MATERIALES (2)'!$C$35)+((N237*2)*'MATERIALES (2)'!$C$34)+(((M237-0.2)*'MATERIALES (2)'!$C$30)*(0.6/0.12))+(((M237*2)+(N237*2))*'MATERIALES (2)'!$C$31)+((M237*2)+(N237)*'MATERIALES (2)'!$C$32))*'MATERIALES (2)'!$F$1</f>
        <v>160237.791</v>
      </c>
      <c r="P237" s="59">
        <f>(2*'MATERIALES (2)'!$C$135)+(18*'MATERIALES (2)'!$C$147)+(18*'MATERIALES (2)'!$C$148)+((8*2)*'MATERIALES (2)'!$C$134)+(3*'MATERIALES (2)'!$C$150)+(((N237*2)+(M237*1))*'MATERIALES (2)'!$C$138)+(((M237*6)+(N237*4))*'MATERIALES (2)'!$C$155)+(0.25*'MATERIALES (2)'!$C$156)+(((M237*2)+(0.6*2))*'MATERIALES (2)'!$C$154)+(1*'MATERIALES (2)'!$C$151)+(((M237*5)*2)*'MATERIALES (2)'!$C$136)+(4*'MATERIALES (2)'!$C$137)</f>
        <v>19830</v>
      </c>
      <c r="Q237" s="75"/>
      <c r="R237" s="55">
        <f>(M237*N237)*'MATERIALES (2)'!$D$85</f>
        <v>11840</v>
      </c>
      <c r="S237" s="59">
        <f t="shared" si="70"/>
        <v>191907.791</v>
      </c>
      <c r="T237" s="67">
        <f t="shared" si="71"/>
        <v>355879.87409984629</v>
      </c>
      <c r="U237" s="787"/>
    </row>
    <row r="238" spans="1:21" ht="15.75" thickBot="1">
      <c r="A238" s="42">
        <v>0.9</v>
      </c>
      <c r="B238" s="37">
        <v>2</v>
      </c>
      <c r="C238" s="38">
        <f>((((A238*1)+(B238*2))*'MATERIALES (2)'!$C$33)+((A238*3)*'MATERIALES (2)'!$C$35)+((0.4*2)*'MATERIALES (2)'!$C$35)+((B238*2)*'MATERIALES (2)'!$C$34)+(((A238-0.2)*'MATERIALES (2)'!$C$30)*((B238-0.36)/0.12)))*'MATERIALES (2)'!$F$1</f>
        <v>203083.46450000003</v>
      </c>
      <c r="D238" s="59">
        <f>(2*'MATERIALES (2)'!$C$135)+(20*'MATERIALES (2)'!$C$147)+(20*'MATERIALES (2)'!$C$148)+((8*2)*'MATERIALES (2)'!$C$134)+(3*'MATERIALES (2)'!$C$150)+(((B238*2)+(A238*1))*'MATERIALES (2)'!$C$138)+(((A238*2)+(0.4*6))*'MATERIALES (2)'!$C$130)+((A238*2)+(B238*2)*'MATERIALES (2)'!$C$154)+(0.5*'MATERIALES (2)'!$C$156)+(1*'MATERIALES (2)'!$C$151)+(((A238*5)*2)*'MATERIALES (2)'!$C$136)+(4*'MATERIALES (2)'!$C$137)</f>
        <v>22233.8</v>
      </c>
      <c r="E238" s="75"/>
      <c r="F238" s="55">
        <f>(A238*0.4)*'MATERIALES (2)'!$D$85</f>
        <v>2664.0000000000005</v>
      </c>
      <c r="G238" s="38">
        <f t="shared" si="68"/>
        <v>227981.26450000002</v>
      </c>
      <c r="H238" s="49">
        <f t="shared" si="69"/>
        <v>412889.15129572694</v>
      </c>
      <c r="M238" s="68">
        <v>0.9</v>
      </c>
      <c r="N238" s="69">
        <v>2</v>
      </c>
      <c r="O238" s="59">
        <f>((((M238*1)+(N238*2))*'MATERIALES (2)'!$C$33)+((M238*3)*'MATERIALES (2)'!$C$35)+((N238*2)*'MATERIALES (2)'!$C$34)+(((M238-0.2)*'MATERIALES (2)'!$C$30)*(0.6/0.12))+(((M238*2)+(N238*2))*'MATERIALES (2)'!$C$31)+((M238*2)+(N238)*'MATERIALES (2)'!$C$32))*'MATERIALES (2)'!$F$1</f>
        <v>172158.90299999999</v>
      </c>
      <c r="P238" s="59">
        <f>(2*'MATERIALES (2)'!$C$135)+(18*'MATERIALES (2)'!$C$147)+(18*'MATERIALES (2)'!$C$148)+((8*2)*'MATERIALES (2)'!$C$134)+(3*'MATERIALES (2)'!$C$150)+(((N238*2)+(M238*1))*'MATERIALES (2)'!$C$138)+(((M238*6)+(N238*4))*'MATERIALES (2)'!$C$155)+(0.25*'MATERIALES (2)'!$C$156)+(((M238*2)+(0.6*2))*'MATERIALES (2)'!$C$154)+(1*'MATERIALES (2)'!$C$151)+(((M238*5)*2)*'MATERIALES (2)'!$C$136)+(4*'MATERIALES (2)'!$C$137)</f>
        <v>19944</v>
      </c>
      <c r="Q238" s="75"/>
      <c r="R238" s="55">
        <f>(M238*N238)*'MATERIALES (2)'!$D$85</f>
        <v>13320</v>
      </c>
      <c r="S238" s="59">
        <f t="shared" si="70"/>
        <v>205422.90299999999</v>
      </c>
      <c r="T238" s="67">
        <f t="shared" si="71"/>
        <v>381503.02748567628</v>
      </c>
      <c r="U238" s="787"/>
    </row>
    <row r="239" spans="1:21" ht="15.75" thickBot="1">
      <c r="A239" s="42">
        <v>0.6</v>
      </c>
      <c r="B239" s="37">
        <v>2.1</v>
      </c>
      <c r="C239" s="38">
        <f>((((A239*1)+(B239*2))*'MATERIALES (2)'!$C$33)+((A239*3)*'MATERIALES (2)'!$C$35)+((0.4*2)*'MATERIALES (2)'!$C$35)+((B239*2)*'MATERIALES (2)'!$C$34)+(((A239-0.2)*'MATERIALES (2)'!$C$30)*((B239-0.36)/0.12)))*'MATERIALES (2)'!$F$1</f>
        <v>153147.09899999999</v>
      </c>
      <c r="D239" s="59">
        <f>(2*'MATERIALES (2)'!$C$135)+(20*'MATERIALES (2)'!$C$147)+(20*'MATERIALES (2)'!$C$148)+((8*2)*'MATERIALES (2)'!$C$134)+(3*'MATERIALES (2)'!$C$150)+(((B239*2)+(A239*1))*'MATERIALES (2)'!$C$138)+(((A239*2)+(0.4*6))*'MATERIALES (2)'!$C$130)+((A239*2)+(B239*2)*'MATERIALES (2)'!$C$154)+(0.5*'MATERIALES (2)'!$C$156)+(1*'MATERIALES (2)'!$C$151)+(((A239*5)*2)*'MATERIALES (2)'!$C$136)+(4*'MATERIALES (2)'!$C$137)</f>
        <v>22131.200000000001</v>
      </c>
      <c r="E239" s="75"/>
      <c r="F239" s="55">
        <f>(A239*0.4)*'MATERIALES (2)'!$D$85</f>
        <v>1776</v>
      </c>
      <c r="G239" s="38">
        <f t="shared" si="68"/>
        <v>177054.299</v>
      </c>
      <c r="H239" s="49">
        <f t="shared" si="69"/>
        <v>320403.06111169129</v>
      </c>
      <c r="M239" s="68">
        <v>0.6</v>
      </c>
      <c r="N239" s="69">
        <v>2.1</v>
      </c>
      <c r="O239" s="59">
        <f>((((M239*1)+(N239*2))*'MATERIALES (2)'!$C$33)+((M239*3)*'MATERIALES (2)'!$C$35)+((N239*2)*'MATERIALES (2)'!$C$34)+(((M239-0.2)*'MATERIALES (2)'!$C$30)*(0.6/0.12))+(((M239*2)+(N239*2))*'MATERIALES (2)'!$C$31)+((M239*2)+(N239)*'MATERIALES (2)'!$C$32))*'MATERIALES (2)'!$F$1</f>
        <v>140201.80124999999</v>
      </c>
      <c r="P239" s="59">
        <f>(2*'MATERIALES (2)'!$C$135)+(18*'MATERIALES (2)'!$C$147)+(18*'MATERIALES (2)'!$C$148)+((8*2)*'MATERIALES (2)'!$C$134)+(3*'MATERIALES (2)'!$C$150)+(((N239*2)+(M239*1))*'MATERIALES (2)'!$C$138)+(((M239*6)+(N239*4))*'MATERIALES (2)'!$C$155)+(0.25*'MATERIALES (2)'!$C$156)+(((M239*2)+(0.6*2))*'MATERIALES (2)'!$C$154)+(1*'MATERIALES (2)'!$C$151)+(((M239*5)*2)*'MATERIALES (2)'!$C$136)+(4*'MATERIALES (2)'!$C$137)</f>
        <v>19654</v>
      </c>
      <c r="Q239" s="75"/>
      <c r="R239" s="55">
        <f>(M239*N239)*'MATERIALES (2)'!$D$85</f>
        <v>9324</v>
      </c>
      <c r="S239" s="59">
        <f t="shared" si="70"/>
        <v>169179.80124999999</v>
      </c>
      <c r="T239" s="67">
        <f t="shared" si="71"/>
        <v>312766.60580441717</v>
      </c>
      <c r="U239" s="787"/>
    </row>
    <row r="240" spans="1:21" ht="15.75" thickBot="1">
      <c r="A240" s="42">
        <v>0.7</v>
      </c>
      <c r="B240" s="37">
        <v>2.1</v>
      </c>
      <c r="C240" s="38">
        <f>((((A240*1)+(B240*2))*'MATERIALES (2)'!$C$33)+((A240*3)*'MATERIALES (2)'!$C$35)+((0.4*2)*'MATERIALES (2)'!$C$35)+((B240*2)*'MATERIALES (2)'!$C$34)+(((A240-0.2)*'MATERIALES (2)'!$C$30)*((B240-0.36)/0.12)))*'MATERIALES (2)'!$F$1</f>
        <v>172929.03600000002</v>
      </c>
      <c r="D240" s="59">
        <f>(2*'MATERIALES (2)'!$C$135)+(20*'MATERIALES (2)'!$C$147)+(20*'MATERIALES (2)'!$C$148)+((8*2)*'MATERIALES (2)'!$C$134)+(3*'MATERIALES (2)'!$C$150)+(((B240*2)+(A240*1))*'MATERIALES (2)'!$C$138)+(((A240*2)+(0.4*6))*'MATERIALES (2)'!$C$130)+((A240*2)+(B240*2)*'MATERIALES (2)'!$C$154)+(0.5*'MATERIALES (2)'!$C$156)+(1*'MATERIALES (2)'!$C$151)+(((A240*5)*2)*'MATERIALES (2)'!$C$136)+(4*'MATERIALES (2)'!$C$137)</f>
        <v>22185.4</v>
      </c>
      <c r="E240" s="75"/>
      <c r="F240" s="55">
        <f>(A240*0.4)*'MATERIALES (2)'!$D$85</f>
        <v>2072</v>
      </c>
      <c r="G240" s="38">
        <f t="shared" si="68"/>
        <v>197186.43600000002</v>
      </c>
      <c r="H240" s="49">
        <f t="shared" si="69"/>
        <v>356916.37250461511</v>
      </c>
      <c r="M240" s="68">
        <v>0.7</v>
      </c>
      <c r="N240" s="69">
        <v>2.1</v>
      </c>
      <c r="O240" s="59">
        <f>((((M240*1)+(N240*2))*'MATERIALES (2)'!$C$33)+((M240*3)*'MATERIALES (2)'!$C$35)+((N240*2)*'MATERIALES (2)'!$C$34)+(((M240-0.2)*'MATERIALES (2)'!$C$30)*(0.6/0.12))+(((M240*2)+(N240*2))*'MATERIALES (2)'!$C$31)+((M240*2)+(N240)*'MATERIALES (2)'!$C$32))*'MATERIALES (2)'!$F$1</f>
        <v>152122.91325000001</v>
      </c>
      <c r="P240" s="59">
        <f>(2*'MATERIALES (2)'!$C$135)+(18*'MATERIALES (2)'!$C$147)+(18*'MATERIALES (2)'!$C$148)+((8*2)*'MATERIALES (2)'!$C$134)+(3*'MATERIALES (2)'!$C$150)+(((N240*2)+(M240*1))*'MATERIALES (2)'!$C$138)+(((M240*6)+(N240*4))*'MATERIALES (2)'!$C$155)+(0.25*'MATERIALES (2)'!$C$156)+(((M240*2)+(0.6*2))*'MATERIALES (2)'!$C$154)+(1*'MATERIALES (2)'!$C$151)+(((M240*5)*2)*'MATERIALES (2)'!$C$136)+(4*'MATERIALES (2)'!$C$137)</f>
        <v>19768</v>
      </c>
      <c r="Q240" s="75"/>
      <c r="R240" s="55">
        <f>(M240*N240)*'MATERIALES (2)'!$D$85</f>
        <v>10878</v>
      </c>
      <c r="S240" s="59">
        <f t="shared" si="70"/>
        <v>182768.91325000001</v>
      </c>
      <c r="T240" s="67">
        <f t="shared" si="71"/>
        <v>338587.19489024719</v>
      </c>
      <c r="U240" s="787"/>
    </row>
    <row r="241" spans="1:21" ht="15.75" thickBot="1">
      <c r="A241" s="42">
        <v>0.8</v>
      </c>
      <c r="B241" s="37">
        <v>2.1</v>
      </c>
      <c r="C241" s="38">
        <f>((((A241*1)+(B241*2))*'MATERIALES (2)'!$C$33)+((A241*3)*'MATERIALES (2)'!$C$35)+((0.4*2)*'MATERIALES (2)'!$C$35)+((B241*2)*'MATERIALES (2)'!$C$34)+(((A241-0.2)*'MATERIALES (2)'!$C$30)*((B241-0.36)/0.12)))*'MATERIALES (2)'!$F$1</f>
        <v>192710.97300000006</v>
      </c>
      <c r="D241" s="59">
        <f>(2*'MATERIALES (2)'!$C$135)+(20*'MATERIALES (2)'!$C$147)+(20*'MATERIALES (2)'!$C$148)+((8*2)*'MATERIALES (2)'!$C$134)+(3*'MATERIALES (2)'!$C$150)+(((B241*2)+(A241*1))*'MATERIALES (2)'!$C$138)+(((A241*2)+(0.4*6))*'MATERIALES (2)'!$C$130)+((A241*2)+(B241*2)*'MATERIALES (2)'!$C$154)+(0.5*'MATERIALES (2)'!$C$156)+(1*'MATERIALES (2)'!$C$151)+(((A241*5)*2)*'MATERIALES (2)'!$C$136)+(4*'MATERIALES (2)'!$C$137)</f>
        <v>22239.599999999999</v>
      </c>
      <c r="E241" s="75"/>
      <c r="F241" s="55">
        <f>(A241*0.4)*'MATERIALES (2)'!$D$85</f>
        <v>2368.0000000000005</v>
      </c>
      <c r="G241" s="38">
        <f t="shared" si="68"/>
        <v>217318.57300000006</v>
      </c>
      <c r="H241" s="49">
        <f t="shared" si="69"/>
        <v>393429.68389753893</v>
      </c>
      <c r="M241" s="68">
        <v>0.8</v>
      </c>
      <c r="N241" s="69">
        <v>2.1</v>
      </c>
      <c r="O241" s="59">
        <f>((((M241*1)+(N241*2))*'MATERIALES (2)'!$C$33)+((M241*3)*'MATERIALES (2)'!$C$35)+((N241*2)*'MATERIALES (2)'!$C$34)+(((M241-0.2)*'MATERIALES (2)'!$C$30)*(0.6/0.12))+(((M241*2)+(N241*2))*'MATERIALES (2)'!$C$31)+((M241*2)+(N241)*'MATERIALES (2)'!$C$32))*'MATERIALES (2)'!$F$1</f>
        <v>164044.02525000001</v>
      </c>
      <c r="P241" s="59">
        <f>(2*'MATERIALES (2)'!$C$135)+(18*'MATERIALES (2)'!$C$147)+(18*'MATERIALES (2)'!$C$148)+((8*2)*'MATERIALES (2)'!$C$134)+(3*'MATERIALES (2)'!$C$150)+(((N241*2)+(M241*1))*'MATERIALES (2)'!$C$138)+(((M241*6)+(N241*4))*'MATERIALES (2)'!$C$155)+(0.25*'MATERIALES (2)'!$C$156)+(((M241*2)+(0.6*2))*'MATERIALES (2)'!$C$154)+(1*'MATERIALES (2)'!$C$151)+(((M241*5)*2)*'MATERIALES (2)'!$C$136)+(4*'MATERIALES (2)'!$C$137)</f>
        <v>19882</v>
      </c>
      <c r="Q241" s="75"/>
      <c r="R241" s="55">
        <f>(M241*N241)*'MATERIALES (2)'!$D$85</f>
        <v>12432.000000000002</v>
      </c>
      <c r="S241" s="59">
        <f t="shared" si="70"/>
        <v>196358.02525000001</v>
      </c>
      <c r="T241" s="67">
        <f t="shared" si="71"/>
        <v>364407.78397607728</v>
      </c>
      <c r="U241" s="787"/>
    </row>
    <row r="242" spans="1:21" ht="15.75" thickBot="1">
      <c r="A242" s="44">
        <v>0.9</v>
      </c>
      <c r="B242" s="45">
        <v>2.1</v>
      </c>
      <c r="C242" s="50">
        <f>((((A242*1)+(B242*2))*'MATERIALES (2)'!$C$33)+((A242*3)*'MATERIALES (2)'!$C$35)+((0.4*2)*'MATERIALES (2)'!$C$35)+((B242*2)*'MATERIALES (2)'!$C$34)+(((A242-0.2)*'MATERIALES (2)'!$C$30)*((B242-0.36)/0.12)))*'MATERIALES (2)'!$F$1</f>
        <v>212492.91</v>
      </c>
      <c r="D242" s="60">
        <f>(2*'MATERIALES (2)'!$C$135)+(20*'MATERIALES (2)'!$C$147)+(20*'MATERIALES (2)'!$C$148)+((8*2)*'MATERIALES (2)'!$C$134)+(3*'MATERIALES (2)'!$C$150)+(((B242*2)+(A242*1))*'MATERIALES (2)'!$C$138)+(((A242*2)+(0.4*6))*'MATERIALES (2)'!$C$130)+((A242*2)+(B242*2)*'MATERIALES (2)'!$C$154)+(0.5*'MATERIALES (2)'!$C$156)+(1*'MATERIALES (2)'!$C$151)+(((A242*5)*2)*'MATERIALES (2)'!$C$136)+(4*'MATERIALES (2)'!$C$137)</f>
        <v>22293.8</v>
      </c>
      <c r="E242" s="76"/>
      <c r="F242" s="56">
        <f>(A242*0.4)*'MATERIALES (2)'!$D$85</f>
        <v>2664.0000000000005</v>
      </c>
      <c r="G242" s="50">
        <f t="shared" si="68"/>
        <v>237450.71</v>
      </c>
      <c r="H242" s="49">
        <f t="shared" si="69"/>
        <v>429942.99529046251</v>
      </c>
      <c r="M242" s="71">
        <v>0.9</v>
      </c>
      <c r="N242" s="72">
        <v>2.1</v>
      </c>
      <c r="O242" s="60">
        <f>((((M242*1)+(N242*2))*'MATERIALES (2)'!$C$33)+((M242*3)*'MATERIALES (2)'!$C$35)+((N242*2)*'MATERIALES (2)'!$C$34)+(((M242-0.2)*'MATERIALES (2)'!$C$30)*(0.6/0.12))+(((M242*2)+(N242*2))*'MATERIALES (2)'!$C$31)+((M242*2)+(N242)*'MATERIALES (2)'!$C$32))*'MATERIALES (2)'!$F$1</f>
        <v>175965.13725000003</v>
      </c>
      <c r="P242" s="60">
        <f>(2*'MATERIALES (2)'!$C$135)+(18*'MATERIALES (2)'!$C$147)+(18*'MATERIALES (2)'!$C$148)+((8*2)*'MATERIALES (2)'!$C$134)+(3*'MATERIALES (2)'!$C$150)+(((N242*2)+(M242*1))*'MATERIALES (2)'!$C$138)+(((M242*6)+(N242*4))*'MATERIALES (2)'!$C$155)+(0.25*'MATERIALES (2)'!$C$156)+(((M242*2)+(0.6*2))*'MATERIALES (2)'!$C$154)+(1*'MATERIALES (2)'!$C$151)+(((M242*5)*2)*'MATERIALES (2)'!$C$136)+(4*'MATERIALES (2)'!$C$137)</f>
        <v>19996</v>
      </c>
      <c r="Q242" s="76"/>
      <c r="R242" s="56">
        <f>(M242*N242)*'MATERIALES (2)'!$D$85</f>
        <v>13986.000000000002</v>
      </c>
      <c r="S242" s="60">
        <f t="shared" si="70"/>
        <v>209947.13725000003</v>
      </c>
      <c r="T242" s="67">
        <f t="shared" si="71"/>
        <v>390228.37306190736</v>
      </c>
      <c r="U242" s="788"/>
    </row>
    <row r="244" spans="1:21" ht="15.75" thickBot="1">
      <c r="C244" s="78"/>
      <c r="O244" s="78"/>
    </row>
    <row r="245" spans="1:21" ht="15.75" thickBot="1">
      <c r="A245" s="32"/>
      <c r="B245" s="32"/>
      <c r="C245" s="947">
        <v>1.35</v>
      </c>
      <c r="D245" s="948"/>
      <c r="E245" s="949"/>
      <c r="F245" s="728">
        <v>2</v>
      </c>
      <c r="G245" s="32"/>
      <c r="H245" s="46" t="s">
        <v>163</v>
      </c>
      <c r="M245" s="32"/>
      <c r="N245" s="32"/>
      <c r="O245" s="947">
        <v>1.35</v>
      </c>
      <c r="P245" s="948"/>
      <c r="Q245" s="949"/>
      <c r="R245" s="728">
        <v>2</v>
      </c>
      <c r="S245" s="32"/>
      <c r="T245" s="46" t="s">
        <v>163</v>
      </c>
    </row>
    <row r="246" spans="1:21" ht="15.75" thickBot="1">
      <c r="A246" s="792" t="s">
        <v>789</v>
      </c>
      <c r="B246" s="793"/>
      <c r="C246" s="793"/>
      <c r="D246" s="793"/>
      <c r="E246" s="793"/>
      <c r="F246" s="793"/>
      <c r="G246" s="793"/>
      <c r="H246" s="794"/>
      <c r="I246" s="882" t="s">
        <v>255</v>
      </c>
      <c r="M246" s="792" t="s">
        <v>790</v>
      </c>
      <c r="N246" s="793"/>
      <c r="O246" s="793"/>
      <c r="P246" s="793"/>
      <c r="Q246" s="793"/>
      <c r="R246" s="793"/>
      <c r="S246" s="793"/>
      <c r="T246" s="794"/>
      <c r="U246" s="882" t="s">
        <v>255</v>
      </c>
    </row>
    <row r="247" spans="1:21" ht="15.75" thickBot="1">
      <c r="A247" s="36" t="s">
        <v>116</v>
      </c>
      <c r="B247" s="36" t="s">
        <v>117</v>
      </c>
      <c r="C247" s="36" t="s">
        <v>162</v>
      </c>
      <c r="D247" s="36" t="s">
        <v>119</v>
      </c>
      <c r="E247" s="36" t="s">
        <v>120</v>
      </c>
      <c r="F247" s="36" t="s">
        <v>118</v>
      </c>
      <c r="G247" s="36" t="s">
        <v>121</v>
      </c>
      <c r="H247" s="36" t="s">
        <v>122</v>
      </c>
      <c r="I247" s="883"/>
      <c r="M247" s="36" t="s">
        <v>116</v>
      </c>
      <c r="N247" s="36" t="s">
        <v>117</v>
      </c>
      <c r="O247" s="36" t="s">
        <v>162</v>
      </c>
      <c r="P247" s="36" t="s">
        <v>119</v>
      </c>
      <c r="Q247" s="36" t="s">
        <v>120</v>
      </c>
      <c r="R247" s="36" t="s">
        <v>118</v>
      </c>
      <c r="S247" s="36" t="s">
        <v>121</v>
      </c>
      <c r="T247" s="36" t="s">
        <v>122</v>
      </c>
      <c r="U247" s="883"/>
    </row>
    <row r="248" spans="1:21" ht="15.75" thickBot="1">
      <c r="A248" s="795"/>
      <c r="B248" s="796"/>
      <c r="C248" s="796"/>
      <c r="D248" s="796"/>
      <c r="E248" s="796"/>
      <c r="F248" s="796"/>
      <c r="G248" s="796"/>
      <c r="H248" s="797"/>
      <c r="I248" s="883"/>
      <c r="M248" s="795"/>
      <c r="N248" s="796"/>
      <c r="O248" s="796"/>
      <c r="P248" s="796"/>
      <c r="Q248" s="796"/>
      <c r="R248" s="796"/>
      <c r="S248" s="796"/>
      <c r="T248" s="797"/>
      <c r="U248" s="883"/>
    </row>
    <row r="249" spans="1:21" ht="15.75" thickBot="1">
      <c r="A249" s="65">
        <v>0.6</v>
      </c>
      <c r="B249" s="66">
        <v>2</v>
      </c>
      <c r="C249" s="58">
        <f>((((A249*1)+(B249*2))*'MATERIALES (2)'!$C$33)+((A249*3)*'MATERIALES (2)'!$C$35)+((B249*2)*'MATERIALES (2)'!$C$34)+(((A249-0.2)*'MATERIALES (2)'!$C$30)*((B249-0.36)/0.12))+(((A249*2)+(0.6*2))*'MATERIALES (2)'!$C$31)+((A249+0.6)*'MATERIALES (2)'!$C$32))*'MATERIALES (2)'!$F$1</f>
        <v>150721.25599999999</v>
      </c>
      <c r="D249" s="58">
        <f>(2*'MATERIALES (2)'!$C$135)+(16*'MATERIALES (2)'!$C$147)+(16*'MATERIALES (2)'!$C$148)+((8*2)*'MATERIALES (2)'!$C$134)+(3*'MATERIALES (2)'!$C$150)+(((B249*2)+(A249*1))*'MATERIALES (2)'!$C$138)+(((A249*4)+(0.6*4))*'MATERIALES (2)'!$C$155)+(0.5*'MATERIALES (2)'!$C$55)+(((A249*2)+(B249*2))*'MATERIALES (2)'!$C$154)+(1*'MATERIALES (2)'!$C$151)+(((A249*5)*2)*'MATERIALES (2)'!$C$136)+(4*'MATERIALES (2)'!$C$137)</f>
        <v>17214.3115</v>
      </c>
      <c r="E249" s="74"/>
      <c r="F249" s="54">
        <f>(A249*0.6)*'MATERIALES (2)'!$D$85</f>
        <v>2664</v>
      </c>
      <c r="G249" s="58">
        <f>SUM(C249:F249)</f>
        <v>170599.5675</v>
      </c>
      <c r="H249" s="67">
        <f>(((((SUM(C249:E249)*$C$245)+(F249*$F$245)))*1.21)*1.05)*1.05</f>
        <v>309548.51653615315</v>
      </c>
      <c r="I249" s="787"/>
      <c r="M249" s="65">
        <v>0.6</v>
      </c>
      <c r="N249" s="66">
        <v>2</v>
      </c>
      <c r="O249" s="58">
        <f>((((M249*1)+(N249*2))*'MATERIALES (2)'!$C$33)+((M249*3)*'MATERIALES (2)'!$C$35)+((N249*2)*'MATERIALES (2)'!$C$34)+(((M249-0.2)*'MATERIALES (2)'!$C$30)*((N249/2)/0.12))+(((M249*2)+((N249/2)*2))*'MATERIALES (2)'!$C$31)+((M249+(N249/2))*'MATERIALES (2)'!$C$32))*'MATERIALES (2)'!$F$1</f>
        <v>130559.569</v>
      </c>
      <c r="P249" s="58">
        <f>(2*'MATERIALES (2)'!$C$135)+(16*'MATERIALES (2)'!$C$147)+(16*'MATERIALES (2)'!$C$148)+((8*2)*'MATERIALES (2)'!$C$134)+(3*'MATERIALES (2)'!$C$150)+(((N249*2)+(M249*1))*'MATERIALES (2)'!$C$138)+(((M249*2)+((N249/2)*2))*'MATERIALES (2)'!$C$154)+(1*'MATERIALES (2)'!$C$151)+(0.5*'MATERIALES (2)'!$C$156)+(((M249*5)*2)*'MATERIALES (2)'!$C$136)+(4*'MATERIALES (2)'!$C$137)</f>
        <v>20254</v>
      </c>
      <c r="Q249" s="74"/>
      <c r="R249" s="54">
        <f>(M249*(N249/2))*'MATERIALES (2)'!$D$85</f>
        <v>4440</v>
      </c>
      <c r="S249" s="58">
        <f>SUM(O249:R249)</f>
        <v>155253.56900000002</v>
      </c>
      <c r="T249" s="67">
        <f>((((SUM(O249:Q249)*$O$245)+(R249*$R$245))*1.21)*1.05)*1.05</f>
        <v>283451.38837005378</v>
      </c>
      <c r="U249" s="787"/>
    </row>
    <row r="250" spans="1:21" ht="15.75" thickBot="1">
      <c r="A250" s="68">
        <v>0.7</v>
      </c>
      <c r="B250" s="69">
        <v>2</v>
      </c>
      <c r="C250" s="59">
        <f>((((A250*1)+(B250*2))*'MATERIALES (2)'!$C$33)+((A250*3)*'MATERIALES (2)'!$C$35)+((B250*2)*'MATERIALES (2)'!$C$34)+(((A250-0.2)*'MATERIALES (2)'!$C$30)*((B250-0.36)/0.12))+(((A250*2)+(0.6*2))*'MATERIALES (2)'!$C$31)+((A250+0.6)*'MATERIALES (2)'!$C$32))*'MATERIALES (2)'!$F$1</f>
        <v>170527.87675</v>
      </c>
      <c r="D250" s="59">
        <f>(2*'MATERIALES (2)'!$C$135)+(16*'MATERIALES (2)'!$C$147)+(16*'MATERIALES (2)'!$C$148)+((8*2)*'MATERIALES (2)'!$C$134)+(3*'MATERIALES (2)'!$C$150)+(((B250*2)+(A250*1))*'MATERIALES (2)'!$C$138)+(((A250*4)+(0.6*4))*'MATERIALES (2)'!$C$155)+(0.5*'MATERIALES (2)'!$C$55)+(((A250*2)+(B250*2))*'MATERIALES (2)'!$C$154)+(1*'MATERIALES (2)'!$C$151)+(((A250*5)*2)*'MATERIALES (2)'!$C$136)+(4*'MATERIALES (2)'!$C$137)</f>
        <v>17308.3115</v>
      </c>
      <c r="E250" s="75"/>
      <c r="F250" s="55">
        <f>(A250*0.6)*'MATERIALES (2)'!$D$85</f>
        <v>3108</v>
      </c>
      <c r="G250" s="59">
        <f t="shared" ref="G250:G256" si="72">SUM(C250:F250)</f>
        <v>190944.18825000001</v>
      </c>
      <c r="H250" s="67">
        <f t="shared" ref="H250:H256" si="73">(((((SUM(C250:E250)*$C$245)+(F250*$F$245)))*1.21)*1.05)*1.05</f>
        <v>346572.83029077848</v>
      </c>
      <c r="I250" s="787"/>
      <c r="M250" s="68">
        <v>0.7</v>
      </c>
      <c r="N250" s="69">
        <v>2</v>
      </c>
      <c r="O250" s="59">
        <f>((((M250*1)+(N250*2))*'MATERIALES (2)'!$C$33)+((M250*3)*'MATERIALES (2)'!$C$35)+((N250*2)*'MATERIALES (2)'!$C$34)+(((M250-0.2)*'MATERIALES (2)'!$C$30)*((N250/2)/0.12))+(((M250*2)+((N250/2)*2))*'MATERIALES (2)'!$C$31)+((M250+(N250/2))*'MATERIALES (2)'!$C$32))*'MATERIALES (2)'!$F$1</f>
        <v>144363.10175000003</v>
      </c>
      <c r="P250" s="59">
        <f>(2*'MATERIALES (2)'!$C$135)+(16*'MATERIALES (2)'!$C$147)+(16*'MATERIALES (2)'!$C$148)+((8*2)*'MATERIALES (2)'!$C$134)+(3*'MATERIALES (2)'!$C$150)+(((N250*2)+(M250*1))*'MATERIALES (2)'!$C$138)+(((M250*2)+((N250/2)*2))*'MATERIALES (2)'!$C$154)+(1*'MATERIALES (2)'!$C$151)+(0.5*'MATERIALES (2)'!$C$156)+(((M250*5)*2)*'MATERIALES (2)'!$C$136)+(4*'MATERIALES (2)'!$C$137)</f>
        <v>20308</v>
      </c>
      <c r="Q250" s="75"/>
      <c r="R250" s="55">
        <f>(M250*(N250/2))*'MATERIALES (2)'!$D$85</f>
        <v>5180</v>
      </c>
      <c r="S250" s="59">
        <f t="shared" ref="S250:S256" si="74">SUM(O250:R250)</f>
        <v>169851.10175000003</v>
      </c>
      <c r="T250" s="67">
        <f t="shared" ref="T250:T256" si="75">((((SUM(O250:Q250)*$O$245)+(R250*$R$245))*1.21)*1.05)*1.05</f>
        <v>310382.24379125913</v>
      </c>
      <c r="U250" s="787"/>
    </row>
    <row r="251" spans="1:21" ht="15.75" thickBot="1">
      <c r="A251" s="68">
        <v>0.8</v>
      </c>
      <c r="B251" s="69">
        <v>2</v>
      </c>
      <c r="C251" s="59">
        <f>((((A251*1)+(B251*2))*'MATERIALES (2)'!$C$33)+((A251*3)*'MATERIALES (2)'!$C$35)+((B251*2)*'MATERIALES (2)'!$C$34)+(((A251-0.2)*'MATERIALES (2)'!$C$30)*((B251-0.36)/0.12))+(((A251*2)+(0.6*2))*'MATERIALES (2)'!$C$31)+((A251+0.6)*'MATERIALES (2)'!$C$32))*'MATERIALES (2)'!$F$1</f>
        <v>190334.4975</v>
      </c>
      <c r="D251" s="59">
        <f>(2*'MATERIALES (2)'!$C$135)+(16*'MATERIALES (2)'!$C$147)+(16*'MATERIALES (2)'!$C$148)+((8*2)*'MATERIALES (2)'!$C$134)+(3*'MATERIALES (2)'!$C$150)+(((B251*2)+(A251*1))*'MATERIALES (2)'!$C$138)+(((A251*4)+(0.6*4))*'MATERIALES (2)'!$C$155)+(0.5*'MATERIALES (2)'!$C$55)+(((A251*2)+(B251*2))*'MATERIALES (2)'!$C$154)+(1*'MATERIALES (2)'!$C$151)+(((A251*5)*2)*'MATERIALES (2)'!$C$136)+(4*'MATERIALES (2)'!$C$137)</f>
        <v>17402.3115</v>
      </c>
      <c r="E251" s="75"/>
      <c r="F251" s="55">
        <f>(A251*0.6)*'MATERIALES (2)'!$D$85</f>
        <v>3552</v>
      </c>
      <c r="G251" s="59">
        <f t="shared" si="72"/>
        <v>211288.80900000001</v>
      </c>
      <c r="H251" s="67">
        <f t="shared" si="73"/>
        <v>383597.14404540375</v>
      </c>
      <c r="I251" s="787"/>
      <c r="M251" s="68">
        <v>0.8</v>
      </c>
      <c r="N251" s="69">
        <v>2</v>
      </c>
      <c r="O251" s="59">
        <f>((((M251*1)+(N251*2))*'MATERIALES (2)'!$C$33)+((M251*3)*'MATERIALES (2)'!$C$35)+((N251*2)*'MATERIALES (2)'!$C$34)+(((M251-0.2)*'MATERIALES (2)'!$C$30)*((N251/2)/0.12))+(((M251*2)+((N251/2)*2))*'MATERIALES (2)'!$C$31)+((M251+(N251/2))*'MATERIALES (2)'!$C$32))*'MATERIALES (2)'!$F$1</f>
        <v>158166.63450000001</v>
      </c>
      <c r="P251" s="59">
        <f>(2*'MATERIALES (2)'!$C$135)+(16*'MATERIALES (2)'!$C$147)+(16*'MATERIALES (2)'!$C$148)+((8*2)*'MATERIALES (2)'!$C$134)+(3*'MATERIALES (2)'!$C$150)+(((N251*2)+(M251*1))*'MATERIALES (2)'!$C$138)+(((M251*2)+((N251/2)*2))*'MATERIALES (2)'!$C$154)+(1*'MATERIALES (2)'!$C$151)+(0.5*'MATERIALES (2)'!$C$156)+(((M251*5)*2)*'MATERIALES (2)'!$C$136)+(4*'MATERIALES (2)'!$C$137)</f>
        <v>20362</v>
      </c>
      <c r="Q251" s="75"/>
      <c r="R251" s="55">
        <f>(M251*(N251/2))*'MATERIALES (2)'!$D$85</f>
        <v>5920</v>
      </c>
      <c r="S251" s="59">
        <f t="shared" si="74"/>
        <v>184448.63450000001</v>
      </c>
      <c r="T251" s="67">
        <f t="shared" si="75"/>
        <v>337313.09921246441</v>
      </c>
      <c r="U251" s="787"/>
    </row>
    <row r="252" spans="1:21" ht="15.75" thickBot="1">
      <c r="A252" s="68">
        <v>0.9</v>
      </c>
      <c r="B252" s="69">
        <v>2</v>
      </c>
      <c r="C252" s="59">
        <f>((((A252*1)+(B252*2))*'MATERIALES (2)'!$C$33)+((A252*3)*'MATERIALES (2)'!$C$35)+((B252*2)*'MATERIALES (2)'!$C$34)+(((A252-0.2)*'MATERIALES (2)'!$C$30)*((B252-0.36)/0.12))+(((A252*2)+(0.6*2))*'MATERIALES (2)'!$C$31)+((A252+0.6)*'MATERIALES (2)'!$C$32))*'MATERIALES (2)'!$F$1</f>
        <v>210141.11824999997</v>
      </c>
      <c r="D252" s="59">
        <f>(2*'MATERIALES (2)'!$C$135)+(16*'MATERIALES (2)'!$C$147)+(16*'MATERIALES (2)'!$C$148)+((8*2)*'MATERIALES (2)'!$C$134)+(3*'MATERIALES (2)'!$C$150)+(((B252*2)+(A252*1))*'MATERIALES (2)'!$C$138)+(((A252*4)+(0.6*4))*'MATERIALES (2)'!$C$155)+(0.5*'MATERIALES (2)'!$C$55)+(((A252*2)+(B252*2))*'MATERIALES (2)'!$C$154)+(1*'MATERIALES (2)'!$C$151)+(((A252*5)*2)*'MATERIALES (2)'!$C$136)+(4*'MATERIALES (2)'!$C$137)</f>
        <v>17496.3115</v>
      </c>
      <c r="E252" s="75"/>
      <c r="F252" s="55">
        <f>(A252*0.6)*'MATERIALES (2)'!$D$85</f>
        <v>3996.0000000000005</v>
      </c>
      <c r="G252" s="59">
        <f t="shared" si="72"/>
        <v>231633.42974999998</v>
      </c>
      <c r="H252" s="67">
        <f t="shared" si="73"/>
        <v>420621.45780002902</v>
      </c>
      <c r="I252" s="787"/>
      <c r="M252" s="68">
        <v>0.9</v>
      </c>
      <c r="N252" s="69">
        <v>2</v>
      </c>
      <c r="O252" s="59">
        <f>((((M252*1)+(N252*2))*'MATERIALES (2)'!$C$33)+((M252*3)*'MATERIALES (2)'!$C$35)+((N252*2)*'MATERIALES (2)'!$C$34)+(((M252-0.2)*'MATERIALES (2)'!$C$30)*((N252/2)/0.12))+(((M252*2)+((N252/2)*2))*'MATERIALES (2)'!$C$31)+((M252+(N252/2))*'MATERIALES (2)'!$C$32))*'MATERIALES (2)'!$F$1</f>
        <v>171970.16725</v>
      </c>
      <c r="P252" s="59">
        <f>(2*'MATERIALES (2)'!$C$135)+(16*'MATERIALES (2)'!$C$147)+(16*'MATERIALES (2)'!$C$148)+((8*2)*'MATERIALES (2)'!$C$134)+(3*'MATERIALES (2)'!$C$150)+(((N252*2)+(M252*1))*'MATERIALES (2)'!$C$138)+(((M252*2)+((N252/2)*2))*'MATERIALES (2)'!$C$154)+(1*'MATERIALES (2)'!$C$151)+(0.5*'MATERIALES (2)'!$C$156)+(((M252*5)*2)*'MATERIALES (2)'!$C$136)+(4*'MATERIALES (2)'!$C$137)</f>
        <v>20416</v>
      </c>
      <c r="Q252" s="75"/>
      <c r="R252" s="55">
        <f>(M252*(N252/2))*'MATERIALES (2)'!$D$85</f>
        <v>6660</v>
      </c>
      <c r="S252" s="59">
        <f t="shared" si="74"/>
        <v>199046.16725</v>
      </c>
      <c r="T252" s="67">
        <f t="shared" si="75"/>
        <v>364243.95463366969</v>
      </c>
      <c r="U252" s="787"/>
    </row>
    <row r="253" spans="1:21" ht="15.75" thickBot="1">
      <c r="A253" s="68">
        <v>0.6</v>
      </c>
      <c r="B253" s="69">
        <v>2.1</v>
      </c>
      <c r="C253" s="59">
        <f>((((A253*1)+(B253*2))*'MATERIALES (2)'!$C$33)+((A253*3)*'MATERIALES (2)'!$C$35)+((B253*2)*'MATERIALES (2)'!$C$34)+(((A253-0.2)*'MATERIALES (2)'!$C$30)*((B253-0.36)/0.12))+(((A253*2)+(0.6*2))*'MATERIALES (2)'!$C$31)+((A253+0.6)*'MATERIALES (2)'!$C$32))*'MATERIALES (2)'!$F$1</f>
        <v>157316.75399999999</v>
      </c>
      <c r="D253" s="59">
        <f>(2*'MATERIALES (2)'!$C$135)+(16*'MATERIALES (2)'!$C$147)+(16*'MATERIALES (2)'!$C$148)+((8*2)*'MATERIALES (2)'!$C$134)+(3*'MATERIALES (2)'!$C$150)+(((B253*2)+(A253*1))*'MATERIALES (2)'!$C$138)+(((A253*4)+(0.6*4))*'MATERIALES (2)'!$C$155)+(0.5*'MATERIALES (2)'!$C$55)+(((A253*2)+(B253*2))*'MATERIALES (2)'!$C$154)+(1*'MATERIALES (2)'!$C$151)+(((A253*5)*2)*'MATERIALES (2)'!$C$136)+(4*'MATERIALES (2)'!$C$137)</f>
        <v>17274.3115</v>
      </c>
      <c r="E253" s="75"/>
      <c r="F253" s="55">
        <f>(A253*0.6)*'MATERIALES (2)'!$D$85</f>
        <v>2664</v>
      </c>
      <c r="G253" s="59">
        <f t="shared" si="72"/>
        <v>177255.0655</v>
      </c>
      <c r="H253" s="67">
        <f t="shared" si="73"/>
        <v>321534.62750741065</v>
      </c>
      <c r="I253" s="787"/>
      <c r="M253" s="68">
        <v>0.6</v>
      </c>
      <c r="N253" s="69">
        <v>2.1</v>
      </c>
      <c r="O253" s="59">
        <f>((((M253*1)+(N253*2))*'MATERIALES (2)'!$C$33)+((M253*3)*'MATERIALES (2)'!$C$35)+((N253*2)*'MATERIALES (2)'!$C$34)+(((M253-0.2)*'MATERIALES (2)'!$C$30)*((N253/2)/0.12))+(((M253*2)+((N253/2)*2))*'MATERIALES (2)'!$C$31)+((M253+(N253/2))*'MATERIALES (2)'!$C$32))*'MATERIALES (2)'!$F$1</f>
        <v>135760.43512499996</v>
      </c>
      <c r="P253" s="59">
        <f>(2*'MATERIALES (2)'!$C$135)+(16*'MATERIALES (2)'!$C$147)+(16*'MATERIALES (2)'!$C$148)+((8*2)*'MATERIALES (2)'!$C$134)+(3*'MATERIALES (2)'!$C$150)+(((N253*2)+(M253*1))*'MATERIALES (2)'!$C$138)+(((M253*2)+((N253/2)*2))*'MATERIALES (2)'!$C$154)+(1*'MATERIALES (2)'!$C$151)+(0.5*'MATERIALES (2)'!$C$156)+(((M253*5)*2)*'MATERIALES (2)'!$C$136)+(4*'MATERIALES (2)'!$C$137)</f>
        <v>20290</v>
      </c>
      <c r="Q253" s="75"/>
      <c r="R253" s="55">
        <f>(M253*(N253/2))*'MATERIALES (2)'!$D$85</f>
        <v>4662</v>
      </c>
      <c r="S253" s="59">
        <f t="shared" si="74"/>
        <v>160712.43512499996</v>
      </c>
      <c r="T253" s="67">
        <f t="shared" si="75"/>
        <v>293474.94441879797</v>
      </c>
      <c r="U253" s="787"/>
    </row>
    <row r="254" spans="1:21" ht="15.75" thickBot="1">
      <c r="A254" s="68">
        <v>0.7</v>
      </c>
      <c r="B254" s="69">
        <v>2.1</v>
      </c>
      <c r="C254" s="59">
        <f>((((A254*1)+(B254*2))*'MATERIALES (2)'!$C$33)+((A254*3)*'MATERIALES (2)'!$C$35)+((B254*2)*'MATERIALES (2)'!$C$34)+(((A254-0.2)*'MATERIALES (2)'!$C$30)*((B254-0.36)/0.12))+(((A254*2)+(0.6*2))*'MATERIALES (2)'!$C$31)+((A254+0.6)*'MATERIALES (2)'!$C$32))*'MATERIALES (2)'!$F$1</f>
        <v>178061.35725</v>
      </c>
      <c r="D254" s="59">
        <f>(2*'MATERIALES (2)'!$C$135)+(16*'MATERIALES (2)'!$C$147)+(16*'MATERIALES (2)'!$C$148)+((8*2)*'MATERIALES (2)'!$C$134)+(3*'MATERIALES (2)'!$C$150)+(((B254*2)+(A254*1))*'MATERIALES (2)'!$C$138)+(((A254*4)+(0.6*4))*'MATERIALES (2)'!$C$155)+(0.5*'MATERIALES (2)'!$C$55)+(((A254*2)+(B254*2))*'MATERIALES (2)'!$C$154)+(1*'MATERIALES (2)'!$C$151)+(((A254*5)*2)*'MATERIALES (2)'!$C$136)+(4*'MATERIALES (2)'!$C$137)</f>
        <v>17368.3115</v>
      </c>
      <c r="E254" s="75"/>
      <c r="F254" s="55">
        <f>(A254*0.6)*'MATERIALES (2)'!$D$85</f>
        <v>3108</v>
      </c>
      <c r="G254" s="59">
        <f t="shared" si="72"/>
        <v>198537.66875000001</v>
      </c>
      <c r="H254" s="67">
        <f t="shared" si="73"/>
        <v>360248.18560319539</v>
      </c>
      <c r="I254" s="787"/>
      <c r="M254" s="68">
        <v>0.7</v>
      </c>
      <c r="N254" s="69">
        <v>2.1</v>
      </c>
      <c r="O254" s="59">
        <f>((((M254*1)+(N254*2))*'MATERIALES (2)'!$C$33)+((M254*3)*'MATERIALES (2)'!$C$35)+((N254*2)*'MATERIALES (2)'!$C$34)+(((M254-0.2)*'MATERIALES (2)'!$C$30)*((N254/2)/0.12))+(((M254*2)+((N254/2)*2))*'MATERIALES (2)'!$C$31)+((M254+(N254/2))*'MATERIALES (2)'!$C$32))*'MATERIALES (2)'!$F$1</f>
        <v>150032.95912499999</v>
      </c>
      <c r="P254" s="59">
        <f>(2*'MATERIALES (2)'!$C$135)+(16*'MATERIALES (2)'!$C$147)+(16*'MATERIALES (2)'!$C$148)+((8*2)*'MATERIALES (2)'!$C$134)+(3*'MATERIALES (2)'!$C$150)+(((N254*2)+(M254*1))*'MATERIALES (2)'!$C$138)+(((M254*2)+((N254/2)*2))*'MATERIALES (2)'!$C$154)+(1*'MATERIALES (2)'!$C$151)+(0.5*'MATERIALES (2)'!$C$156)+(((M254*5)*2)*'MATERIALES (2)'!$C$136)+(4*'MATERIALES (2)'!$C$137)</f>
        <v>20344</v>
      </c>
      <c r="Q254" s="75"/>
      <c r="R254" s="55">
        <f>(M254*(N254/2))*'MATERIALES (2)'!$D$85</f>
        <v>5439</v>
      </c>
      <c r="S254" s="59">
        <f t="shared" si="74"/>
        <v>175815.95912499999</v>
      </c>
      <c r="T254" s="67">
        <f t="shared" si="75"/>
        <v>321349.139860583</v>
      </c>
      <c r="U254" s="787"/>
    </row>
    <row r="255" spans="1:21" ht="15.75" thickBot="1">
      <c r="A255" s="68">
        <v>0.8</v>
      </c>
      <c r="B255" s="69">
        <v>2.1</v>
      </c>
      <c r="C255" s="59">
        <f>((((A255*1)+(B255*2))*'MATERIALES (2)'!$C$33)+((A255*3)*'MATERIALES (2)'!$C$35)+((B255*2)*'MATERIALES (2)'!$C$34)+(((A255-0.2)*'MATERIALES (2)'!$C$30)*((B255-0.36)/0.12))+(((A255*2)+(0.6*2))*'MATERIALES (2)'!$C$31)+((A255+0.6)*'MATERIALES (2)'!$C$32))*'MATERIALES (2)'!$F$1</f>
        <v>198805.96050000002</v>
      </c>
      <c r="D255" s="59">
        <f>(2*'MATERIALES (2)'!$C$135)+(16*'MATERIALES (2)'!$C$147)+(16*'MATERIALES (2)'!$C$148)+((8*2)*'MATERIALES (2)'!$C$134)+(3*'MATERIALES (2)'!$C$150)+(((B255*2)+(A255*1))*'MATERIALES (2)'!$C$138)+(((A255*4)+(0.6*4))*'MATERIALES (2)'!$C$155)+(0.5*'MATERIALES (2)'!$C$55)+(((A255*2)+(B255*2))*'MATERIALES (2)'!$C$154)+(1*'MATERIALES (2)'!$C$151)+(((A255*5)*2)*'MATERIALES (2)'!$C$136)+(4*'MATERIALES (2)'!$C$137)</f>
        <v>17462.3115</v>
      </c>
      <c r="E255" s="75"/>
      <c r="F255" s="55">
        <f>(A255*0.6)*'MATERIALES (2)'!$D$85</f>
        <v>3552</v>
      </c>
      <c r="G255" s="59">
        <f t="shared" si="72"/>
        <v>219820.27200000003</v>
      </c>
      <c r="H255" s="67">
        <f t="shared" si="73"/>
        <v>398961.74369898014</v>
      </c>
      <c r="I255" s="787"/>
      <c r="M255" s="68">
        <v>0.8</v>
      </c>
      <c r="N255" s="69">
        <v>2.1</v>
      </c>
      <c r="O255" s="59">
        <f>((((M255*1)+(N255*2))*'MATERIALES (2)'!$C$33)+((M255*3)*'MATERIALES (2)'!$C$35)+((N255*2)*'MATERIALES (2)'!$C$34)+(((M255-0.2)*'MATERIALES (2)'!$C$30)*((N255/2)/0.12))+(((M255*2)+((N255/2)*2))*'MATERIALES (2)'!$C$31)+((M255+(N255/2))*'MATERIALES (2)'!$C$32))*'MATERIALES (2)'!$F$1</f>
        <v>164305.48312500003</v>
      </c>
      <c r="P255" s="59">
        <f>(2*'MATERIALES (2)'!$C$135)+(16*'MATERIALES (2)'!$C$147)+(16*'MATERIALES (2)'!$C$148)+((8*2)*'MATERIALES (2)'!$C$134)+(3*'MATERIALES (2)'!$C$150)+(((N255*2)+(M255*1))*'MATERIALES (2)'!$C$138)+(((M255*2)+((N255/2)*2))*'MATERIALES (2)'!$C$154)+(1*'MATERIALES (2)'!$C$151)+(0.5*'MATERIALES (2)'!$C$156)+(((M255*5)*2)*'MATERIALES (2)'!$C$136)+(4*'MATERIALES (2)'!$C$137)</f>
        <v>20398</v>
      </c>
      <c r="Q255" s="75"/>
      <c r="R255" s="55">
        <f>(M255*(N255/2))*'MATERIALES (2)'!$D$85</f>
        <v>6216.0000000000009</v>
      </c>
      <c r="S255" s="59">
        <f t="shared" si="74"/>
        <v>190919.48312500003</v>
      </c>
      <c r="T255" s="67">
        <f t="shared" si="75"/>
        <v>349223.3353023681</v>
      </c>
      <c r="U255" s="787"/>
    </row>
    <row r="256" spans="1:21" ht="15.75" thickBot="1">
      <c r="A256" s="71">
        <v>0.9</v>
      </c>
      <c r="B256" s="72">
        <v>2.1</v>
      </c>
      <c r="C256" s="60">
        <f>((((A256*1)+(B256*2))*'MATERIALES (2)'!$C$33)+((A256*3)*'MATERIALES (2)'!$C$35)+((B256*2)*'MATERIALES (2)'!$C$34)+(((A256-0.2)*'MATERIALES (2)'!$C$30)*((B256-0.36)/0.12))+(((A256*2)+(0.6*2))*'MATERIALES (2)'!$C$31)+((A256+0.6)*'MATERIALES (2)'!$C$32))*'MATERIALES (2)'!$F$1</f>
        <v>219550.56375000003</v>
      </c>
      <c r="D256" s="60">
        <f>(2*'MATERIALES (2)'!$C$135)+(16*'MATERIALES (2)'!$C$147)+(16*'MATERIALES (2)'!$C$148)+((8*2)*'MATERIALES (2)'!$C$134)+(3*'MATERIALES (2)'!$C$150)+(((B256*2)+(A256*1))*'MATERIALES (2)'!$C$138)+(((A256*4)+(0.6*4))*'MATERIALES (2)'!$C$155)+(0.5*'MATERIALES (2)'!$C$55)+(((A256*2)+(B256*2))*'MATERIALES (2)'!$C$154)+(1*'MATERIALES (2)'!$C$151)+(((A256*5)*2)*'MATERIALES (2)'!$C$136)+(4*'MATERIALES (2)'!$C$137)</f>
        <v>17556.3115</v>
      </c>
      <c r="E256" s="76"/>
      <c r="F256" s="56">
        <f>(A256*0.6)*'MATERIALES (2)'!$D$85</f>
        <v>3996.0000000000005</v>
      </c>
      <c r="G256" s="60">
        <f t="shared" si="72"/>
        <v>241102.87525000004</v>
      </c>
      <c r="H256" s="67">
        <f t="shared" si="73"/>
        <v>437675.30179476482</v>
      </c>
      <c r="I256" s="788"/>
      <c r="M256" s="71">
        <v>0.9</v>
      </c>
      <c r="N256" s="72">
        <v>2.1</v>
      </c>
      <c r="O256" s="60">
        <f>((((M256*1)+(N256*2))*'MATERIALES (2)'!$C$33)+((M256*3)*'MATERIALES (2)'!$C$35)+((N256*2)*'MATERIALES (2)'!$C$34)+(((M256-0.2)*'MATERIALES (2)'!$C$30)*((N256/2)/0.12))+(((M256*2)+((N256/2)*2))*'MATERIALES (2)'!$C$31)+((M256+(N256/2))*'MATERIALES (2)'!$C$32))*'MATERIALES (2)'!$F$1</f>
        <v>178578.00712499997</v>
      </c>
      <c r="P256" s="60">
        <f>(2*'MATERIALES (2)'!$C$135)+(16*'MATERIALES (2)'!$C$147)+(16*'MATERIALES (2)'!$C$148)+((8*2)*'MATERIALES (2)'!$C$134)+(3*'MATERIALES (2)'!$C$150)+(((N256*2)+(M256*1))*'MATERIALES (2)'!$C$138)+(((M256*2)+((N256/2)*2))*'MATERIALES (2)'!$C$154)+(1*'MATERIALES (2)'!$C$151)+(0.5*'MATERIALES (2)'!$C$156)+(((M256*5)*2)*'MATERIALES (2)'!$C$136)+(4*'MATERIALES (2)'!$C$137)</f>
        <v>20452</v>
      </c>
      <c r="Q256" s="76"/>
      <c r="R256" s="56">
        <f>(M256*(N256/2))*'MATERIALES (2)'!$D$85</f>
        <v>6993.0000000000009</v>
      </c>
      <c r="S256" s="60">
        <f t="shared" si="74"/>
        <v>206023.00712499997</v>
      </c>
      <c r="T256" s="67">
        <f t="shared" si="75"/>
        <v>377097.53074415296</v>
      </c>
      <c r="U256" s="788"/>
    </row>
    <row r="259" spans="1:20" s="430" customFormat="1"/>
    <row r="261" spans="1:20" ht="15.75" thickBot="1"/>
    <row r="262" spans="1:20" ht="15.75" thickBot="1">
      <c r="A262" s="32"/>
      <c r="B262" s="32"/>
      <c r="C262" s="947">
        <v>1.35</v>
      </c>
      <c r="D262" s="948"/>
      <c r="E262" s="949"/>
      <c r="F262" s="728">
        <v>2</v>
      </c>
      <c r="G262" s="32"/>
      <c r="H262" s="46" t="s">
        <v>163</v>
      </c>
      <c r="M262" s="32"/>
      <c r="N262" s="32"/>
      <c r="O262" s="947">
        <v>1.35</v>
      </c>
      <c r="P262" s="948"/>
      <c r="Q262" s="948"/>
      <c r="R262" s="949"/>
      <c r="S262" s="32"/>
      <c r="T262" s="46" t="s">
        <v>163</v>
      </c>
    </row>
    <row r="263" spans="1:20" ht="15.75" thickBot="1">
      <c r="A263" s="792" t="s">
        <v>794</v>
      </c>
      <c r="B263" s="793"/>
      <c r="C263" s="793"/>
      <c r="D263" s="793"/>
      <c r="E263" s="793"/>
      <c r="F263" s="793"/>
      <c r="G263" s="793"/>
      <c r="H263" s="794"/>
      <c r="M263" s="792" t="s">
        <v>795</v>
      </c>
      <c r="N263" s="793"/>
      <c r="O263" s="793"/>
      <c r="P263" s="793"/>
      <c r="Q263" s="793"/>
      <c r="R263" s="793"/>
      <c r="S263" s="793"/>
      <c r="T263" s="794"/>
    </row>
    <row r="264" spans="1:20" ht="15.75" thickBot="1">
      <c r="A264" s="36" t="s">
        <v>116</v>
      </c>
      <c r="B264" s="36" t="s">
        <v>117</v>
      </c>
      <c r="C264" s="36" t="s">
        <v>162</v>
      </c>
      <c r="D264" s="36" t="s">
        <v>119</v>
      </c>
      <c r="E264" s="36" t="s">
        <v>120</v>
      </c>
      <c r="F264" s="36" t="s">
        <v>118</v>
      </c>
      <c r="G264" s="36" t="s">
        <v>121</v>
      </c>
      <c r="H264" s="36" t="s">
        <v>122</v>
      </c>
      <c r="M264" s="36" t="s">
        <v>116</v>
      </c>
      <c r="N264" s="36" t="s">
        <v>117</v>
      </c>
      <c r="O264" s="36" t="s">
        <v>162</v>
      </c>
      <c r="P264" s="36" t="s">
        <v>119</v>
      </c>
      <c r="Q264" s="36" t="s">
        <v>120</v>
      </c>
      <c r="R264" s="36" t="s">
        <v>207</v>
      </c>
      <c r="S264" s="36" t="s">
        <v>121</v>
      </c>
      <c r="T264" s="36" t="s">
        <v>122</v>
      </c>
    </row>
    <row r="265" spans="1:20" ht="15.75" thickBot="1">
      <c r="A265" s="795"/>
      <c r="B265" s="796"/>
      <c r="C265" s="796"/>
      <c r="D265" s="796"/>
      <c r="E265" s="796"/>
      <c r="F265" s="796"/>
      <c r="G265" s="796"/>
      <c r="H265" s="797"/>
      <c r="M265" s="795"/>
      <c r="N265" s="796"/>
      <c r="O265" s="796"/>
      <c r="P265" s="796"/>
      <c r="Q265" s="796"/>
      <c r="R265" s="796"/>
      <c r="S265" s="796"/>
      <c r="T265" s="797"/>
    </row>
    <row r="266" spans="1:20" ht="15.75" thickBot="1">
      <c r="A266" s="40">
        <v>0.6</v>
      </c>
      <c r="B266" s="41">
        <v>2</v>
      </c>
      <c r="C266" s="47">
        <f>((((A266*1)+(B266*2))*'MATERIALES (2)'!$C$33)+((A266*2)*'MATERIALES (2)'!$C$35)+((B266*2)*'MATERIALES (2)'!$C$34))*'MATERIALES (2)'!$F$1</f>
        <v>72100.853999999992</v>
      </c>
      <c r="D266" s="58">
        <f>(2*'MATERIALES (2)'!$C$135)+(8*'MATERIALES (2)'!$C$147)+(8*'MATERIALES (2)'!$C$148)+((8*2)*'MATERIALES (2)'!$C$134)+(3*'MATERIALES (2)'!$C$150)+(((B266*2)+(A266*1))*'MATERIALES (2)'!$C$138)+(((A266*2)+(B266*2))*'MATERIALES (2)'!$C$130)+(1*'MATERIALES (2)'!$C$151)+(((A266*5)*2)*'MATERIALES (2)'!$C$136)+(4*'MATERIALES (2)'!$C$137)</f>
        <v>15214</v>
      </c>
      <c r="E266" s="74"/>
      <c r="F266" s="54">
        <f>(A266*B266)*'MATERIALES (2)'!$D$85</f>
        <v>8880</v>
      </c>
      <c r="G266" s="47">
        <f>SUM(C266:F266)</f>
        <v>96194.853999999992</v>
      </c>
      <c r="H266" s="49">
        <f>((((SUM(C266:E266)*$C$262)+(F266*$F$262))*1.21)*1.05)*1.05</f>
        <v>180940.55144492252</v>
      </c>
      <c r="M266" s="40">
        <v>0.6</v>
      </c>
      <c r="N266" s="41">
        <v>2</v>
      </c>
      <c r="O266" s="47">
        <f>((((M266*1)+(N266*2))*'MATERIALES (2)'!$C$33)+((M266*2)*'MATERIALES (2)'!$C$35)+((N266*2)*'MATERIALES (2)'!$C$34))*'MATERIALES (2)'!$F$1</f>
        <v>72100.853999999992</v>
      </c>
      <c r="P266" s="58">
        <f>(2*'MATERIALES (2)'!$C$135)+(8*'MATERIALES (2)'!$C$147)+(8*'MATERIALES (2)'!$C$148)+((8*2)*'MATERIALES (2)'!$C$134)+(3*'MATERIALES (2)'!$C$150)+(((N266*2)+(M266*1))*'MATERIALES (2)'!$C$138)+(((M266*2)+(N266*2))*'MATERIALES (2)'!$C$154)+(1*'MATERIALES (2)'!$C$151)+(((M266*5)*2)*'MATERIALES (2)'!$C$136)+(4*'MATERIALES (2)'!$C$137)+(0.5*'MATERIALES (2)'!$C$156)</f>
        <v>19214</v>
      </c>
      <c r="Q266" s="74"/>
      <c r="R266" s="54">
        <f>(((M266-0.2)*'MATERIALES (2)'!$C$23)*(N266/0.12))*'MATERIALES (2)'!$F$1</f>
        <v>35848.400000000001</v>
      </c>
      <c r="S266" s="47">
        <f>SUM(O266:R266)</f>
        <v>127163.25399999999</v>
      </c>
      <c r="T266" s="49">
        <f>(((SUM(O266:R266)*$O$262)*1.21)*1.05)*1.05</f>
        <v>229012.59588842251</v>
      </c>
    </row>
    <row r="267" spans="1:20" ht="15.75" thickBot="1">
      <c r="A267" s="42">
        <v>0.7</v>
      </c>
      <c r="B267" s="37">
        <v>2</v>
      </c>
      <c r="C267" s="38">
        <f>((((A267*1)+(B267*2))*'MATERIALES (2)'!$C$33)+((A267*2)*'MATERIALES (2)'!$C$35)+((B267*2)*'MATERIALES (2)'!$C$34))*'MATERIALES (2)'!$F$1</f>
        <v>74639.103000000003</v>
      </c>
      <c r="D267" s="59">
        <f>(2*'MATERIALES (2)'!$C$135)+(8*'MATERIALES (2)'!$C$147)+(8*'MATERIALES (2)'!$C$148)+((8*2)*'MATERIALES (2)'!$C$134)+(3*'MATERIALES (2)'!$C$150)+(((B267*2)+(A267*1))*'MATERIALES (2)'!$C$138)+(((A267*2)+(B267*2))*'MATERIALES (2)'!$C$130)+(1*'MATERIALES (2)'!$C$151)+(((A267*5)*2)*'MATERIALES (2)'!$C$136)+(4*'MATERIALES (2)'!$C$137)</f>
        <v>15268</v>
      </c>
      <c r="E267" s="75"/>
      <c r="F267" s="55">
        <f>(A267*B267)*'MATERIALES (2)'!$D$85</f>
        <v>10360</v>
      </c>
      <c r="G267" s="38">
        <f t="shared" ref="G267:G273" si="76">SUM(C267:F267)</f>
        <v>100267.103</v>
      </c>
      <c r="H267" s="49">
        <f t="shared" ref="H267:H273" si="77">((((SUM(C267:E267)*$C$262)+(F267*$F$262))*1.21)*1.05)*1.05</f>
        <v>189557.73415742625</v>
      </c>
      <c r="M267" s="42">
        <v>0.7</v>
      </c>
      <c r="N267" s="37">
        <v>2</v>
      </c>
      <c r="O267" s="38">
        <f>((((M267*1)+(N267*2))*'MATERIALES (2)'!$C$33)+((M267*2)*'MATERIALES (2)'!$C$35)+((N267*2)*'MATERIALES (2)'!$C$34))*'MATERIALES (2)'!$F$1</f>
        <v>74639.103000000003</v>
      </c>
      <c r="P267" s="59">
        <f>(2*'MATERIALES (2)'!$C$135)+(8*'MATERIALES (2)'!$C$147)+(8*'MATERIALES (2)'!$C$148)+((8*2)*'MATERIALES (2)'!$C$134)+(3*'MATERIALES (2)'!$C$150)+(((N267*2)+(M267*1))*'MATERIALES (2)'!$C$138)+(((M267*2)+(N267*2))*'MATERIALES (2)'!$C$154)+(1*'MATERIALES (2)'!$C$151)+(((M267*5)*2)*'MATERIALES (2)'!$C$136)+(4*'MATERIALES (2)'!$C$137)+(0.5*'MATERIALES (2)'!$C$156)</f>
        <v>19268</v>
      </c>
      <c r="Q267" s="75"/>
      <c r="R267" s="55">
        <f>(((M267-0.2)*'MATERIALES (2)'!$C$23)*(N267/0.12))*'MATERIALES (2)'!$F$1</f>
        <v>44810.5</v>
      </c>
      <c r="S267" s="38">
        <f t="shared" ref="S267:S273" si="78">SUM(O267:R267)</f>
        <v>138717.603</v>
      </c>
      <c r="T267" s="49">
        <f t="shared" ref="T267:T273" si="79">(((SUM(O267:R267)*$O$262)*1.21)*1.05)*1.05</f>
        <v>249821.2129618013</v>
      </c>
    </row>
    <row r="268" spans="1:20" ht="15.75" thickBot="1">
      <c r="A268" s="42">
        <v>0.8</v>
      </c>
      <c r="B268" s="37">
        <v>2</v>
      </c>
      <c r="C268" s="38">
        <f>((((A268*1)+(B268*2))*'MATERIALES (2)'!$C$33)+((A268*2)*'MATERIALES (2)'!$C$35)+((B268*2)*'MATERIALES (2)'!$C$34))*'MATERIALES (2)'!$F$1</f>
        <v>77177.351999999999</v>
      </c>
      <c r="D268" s="59">
        <f>(2*'MATERIALES (2)'!$C$135)+(8*'MATERIALES (2)'!$C$147)+(8*'MATERIALES (2)'!$C$148)+((8*2)*'MATERIALES (2)'!$C$134)+(3*'MATERIALES (2)'!$C$150)+(((B268*2)+(A268*1))*'MATERIALES (2)'!$C$138)+(((A268*2)+(B268*2))*'MATERIALES (2)'!$C$130)+(1*'MATERIALES (2)'!$C$151)+(((A268*5)*2)*'MATERIALES (2)'!$C$136)+(4*'MATERIALES (2)'!$C$137)</f>
        <v>15322</v>
      </c>
      <c r="E268" s="75"/>
      <c r="F268" s="55">
        <f>(A268*B268)*'MATERIALES (2)'!$D$85</f>
        <v>11840</v>
      </c>
      <c r="G268" s="38">
        <f t="shared" si="76"/>
        <v>104339.352</v>
      </c>
      <c r="H268" s="49">
        <f t="shared" si="77"/>
        <v>198174.91686993002</v>
      </c>
      <c r="M268" s="42">
        <v>0.8</v>
      </c>
      <c r="N268" s="37">
        <v>2</v>
      </c>
      <c r="O268" s="38">
        <f>((((M268*1)+(N268*2))*'MATERIALES (2)'!$C$33)+((M268*2)*'MATERIALES (2)'!$C$35)+((N268*2)*'MATERIALES (2)'!$C$34))*'MATERIALES (2)'!$F$1</f>
        <v>77177.351999999999</v>
      </c>
      <c r="P268" s="59">
        <f>(2*'MATERIALES (2)'!$C$135)+(8*'MATERIALES (2)'!$C$147)+(8*'MATERIALES (2)'!$C$148)+((8*2)*'MATERIALES (2)'!$C$134)+(3*'MATERIALES (2)'!$C$150)+(((N268*2)+(M268*1))*'MATERIALES (2)'!$C$138)+(((M268*2)+(N268*2))*'MATERIALES (2)'!$C$154)+(1*'MATERIALES (2)'!$C$151)+(((M268*5)*2)*'MATERIALES (2)'!$C$136)+(4*'MATERIALES (2)'!$C$137)+(0.5*'MATERIALES (2)'!$C$156)</f>
        <v>19322</v>
      </c>
      <c r="Q268" s="75"/>
      <c r="R268" s="55">
        <f>(((M268-0.2)*'MATERIALES (2)'!$C$23)*(N268/0.12))*'MATERIALES (2)'!$F$1</f>
        <v>53772.600000000006</v>
      </c>
      <c r="S268" s="38">
        <f t="shared" si="78"/>
        <v>150271.95199999999</v>
      </c>
      <c r="T268" s="49">
        <f t="shared" si="79"/>
        <v>270629.83003517997</v>
      </c>
    </row>
    <row r="269" spans="1:20" ht="15.75" thickBot="1">
      <c r="A269" s="42">
        <v>0.9</v>
      </c>
      <c r="B269" s="37">
        <v>2</v>
      </c>
      <c r="C269" s="38">
        <f>((((A269*1)+(B269*2))*'MATERIALES (2)'!$C$33)+((A269*2)*'MATERIALES (2)'!$C$35)+((B269*2)*'MATERIALES (2)'!$C$34))*'MATERIALES (2)'!$F$1</f>
        <v>79715.60100000001</v>
      </c>
      <c r="D269" s="59">
        <f>(2*'MATERIALES (2)'!$C$135)+(8*'MATERIALES (2)'!$C$147)+(8*'MATERIALES (2)'!$C$148)+((8*2)*'MATERIALES (2)'!$C$134)+(3*'MATERIALES (2)'!$C$150)+(((B269*2)+(A269*1))*'MATERIALES (2)'!$C$138)+(((A269*2)+(B269*2))*'MATERIALES (2)'!$C$130)+(1*'MATERIALES (2)'!$C$151)+(((A269*5)*2)*'MATERIALES (2)'!$C$136)+(4*'MATERIALES (2)'!$C$137)</f>
        <v>15376</v>
      </c>
      <c r="E269" s="75"/>
      <c r="F269" s="55">
        <f>(A269*B269)*'MATERIALES (2)'!$D$85</f>
        <v>13320</v>
      </c>
      <c r="G269" s="38">
        <f t="shared" si="76"/>
        <v>108411.60100000001</v>
      </c>
      <c r="H269" s="49">
        <f t="shared" si="77"/>
        <v>206792.09958243376</v>
      </c>
      <c r="M269" s="42">
        <v>0.9</v>
      </c>
      <c r="N269" s="37">
        <v>2</v>
      </c>
      <c r="O269" s="38">
        <f>((((M269*1)+(N269*2))*'MATERIALES (2)'!$C$33)+((M269*2)*'MATERIALES (2)'!$C$35)+((N269*2)*'MATERIALES (2)'!$C$34))*'MATERIALES (2)'!$F$1</f>
        <v>79715.60100000001</v>
      </c>
      <c r="P269" s="59">
        <f>(2*'MATERIALES (2)'!$C$135)+(8*'MATERIALES (2)'!$C$147)+(8*'MATERIALES (2)'!$C$148)+((8*2)*'MATERIALES (2)'!$C$134)+(3*'MATERIALES (2)'!$C$150)+(((N269*2)+(M269*1))*'MATERIALES (2)'!$C$138)+(((M269*2)+(N269*2))*'MATERIALES (2)'!$C$154)+(1*'MATERIALES (2)'!$C$151)+(((M269*5)*2)*'MATERIALES (2)'!$C$136)+(4*'MATERIALES (2)'!$C$137)+(0.5*'MATERIALES (2)'!$C$156)</f>
        <v>19376</v>
      </c>
      <c r="Q269" s="75"/>
      <c r="R269" s="55">
        <f>(((M269-0.2)*'MATERIALES (2)'!$C$23)*(N269/0.12))*'MATERIALES (2)'!$F$1</f>
        <v>62734.700000000004</v>
      </c>
      <c r="S269" s="38">
        <f t="shared" si="78"/>
        <v>161826.30100000001</v>
      </c>
      <c r="T269" s="49">
        <f t="shared" si="79"/>
        <v>291438.44710855879</v>
      </c>
    </row>
    <row r="270" spans="1:20" ht="15.75" thickBot="1">
      <c r="A270" s="42">
        <v>0.6</v>
      </c>
      <c r="B270" s="37">
        <v>2.1</v>
      </c>
      <c r="C270" s="38">
        <f>((((A270*1)+(B270*2))*'MATERIALES (2)'!$C$33)+((A270*2)*'MATERIALES (2)'!$C$35)+((B270*2)*'MATERIALES (2)'!$C$34))*'MATERIALES (2)'!$F$1</f>
        <v>74944.422000000006</v>
      </c>
      <c r="D270" s="59">
        <f>(2*'MATERIALES (2)'!$C$135)+(8*'MATERIALES (2)'!$C$147)+(8*'MATERIALES (2)'!$C$148)+((8*2)*'MATERIALES (2)'!$C$134)+(3*'MATERIALES (2)'!$C$150)+(((B270*2)+(A270*1))*'MATERIALES (2)'!$C$138)+(((A270*2)+(B270*2))*'MATERIALES (2)'!$C$130)+(1*'MATERIALES (2)'!$C$151)+(((A270*5)*2)*'MATERIALES (2)'!$C$136)+(4*'MATERIALES (2)'!$C$137)</f>
        <v>15274</v>
      </c>
      <c r="E270" s="75"/>
      <c r="F270" s="55">
        <f>(A270*B270)*'MATERIALES (2)'!$D$85</f>
        <v>9324</v>
      </c>
      <c r="G270" s="38">
        <f t="shared" si="76"/>
        <v>99542.422000000006</v>
      </c>
      <c r="H270" s="49">
        <f t="shared" si="77"/>
        <v>187354.29925154254</v>
      </c>
      <c r="M270" s="42">
        <v>0.6</v>
      </c>
      <c r="N270" s="37">
        <v>2.1</v>
      </c>
      <c r="O270" s="38">
        <f>((((M270*1)+(N270*2))*'MATERIALES (2)'!$C$33)+((M270*2)*'MATERIALES (2)'!$C$35)+((N270*2)*'MATERIALES (2)'!$C$34))*'MATERIALES (2)'!$F$1</f>
        <v>74944.422000000006</v>
      </c>
      <c r="P270" s="59">
        <f>(2*'MATERIALES (2)'!$C$135)+(8*'MATERIALES (2)'!$C$147)+(8*'MATERIALES (2)'!$C$148)+((8*2)*'MATERIALES (2)'!$C$134)+(3*'MATERIALES (2)'!$C$150)+(((N270*2)+(M270*1))*'MATERIALES (2)'!$C$138)+(((M270*2)+(N270*2))*'MATERIALES (2)'!$C$154)+(1*'MATERIALES (2)'!$C$151)+(((M270*5)*2)*'MATERIALES (2)'!$C$136)+(4*'MATERIALES (2)'!$C$137)+(0.5*'MATERIALES (2)'!$C$156)</f>
        <v>19274</v>
      </c>
      <c r="Q270" s="75"/>
      <c r="R270" s="55">
        <f>(((M270-0.2)*'MATERIALES (2)'!$C$23)*(N270/0.12))*'MATERIALES (2)'!$F$1</f>
        <v>37640.819999999992</v>
      </c>
      <c r="S270" s="38">
        <f t="shared" si="78"/>
        <v>131859.242</v>
      </c>
      <c r="T270" s="49">
        <f t="shared" si="79"/>
        <v>237469.75916721753</v>
      </c>
    </row>
    <row r="271" spans="1:20" ht="15.75" thickBot="1">
      <c r="A271" s="42">
        <v>0.7</v>
      </c>
      <c r="B271" s="37">
        <v>2.1</v>
      </c>
      <c r="C271" s="38">
        <f>((((A271*1)+(B271*2))*'MATERIALES (2)'!$C$33)+((A271*2)*'MATERIALES (2)'!$C$35)+((B271*2)*'MATERIALES (2)'!$C$34))*'MATERIALES (2)'!$F$1</f>
        <v>77482.671000000002</v>
      </c>
      <c r="D271" s="59">
        <f>(2*'MATERIALES (2)'!$C$135)+(8*'MATERIALES (2)'!$C$147)+(8*'MATERIALES (2)'!$C$148)+((8*2)*'MATERIALES (2)'!$C$134)+(3*'MATERIALES (2)'!$C$150)+(((B271*2)+(A271*1))*'MATERIALES (2)'!$C$138)+(((A271*2)+(B271*2))*'MATERIALES (2)'!$C$130)+(1*'MATERIALES (2)'!$C$151)+(((A271*5)*2)*'MATERIALES (2)'!$C$136)+(4*'MATERIALES (2)'!$C$137)</f>
        <v>15328</v>
      </c>
      <c r="E271" s="75"/>
      <c r="F271" s="55">
        <f>(A271*B271)*'MATERIALES (2)'!$D$85</f>
        <v>10878</v>
      </c>
      <c r="G271" s="38">
        <f t="shared" si="76"/>
        <v>103688.671</v>
      </c>
      <c r="H271" s="49">
        <f t="shared" si="77"/>
        <v>196168.91766404625</v>
      </c>
      <c r="M271" s="42">
        <v>0.7</v>
      </c>
      <c r="N271" s="37">
        <v>2.1</v>
      </c>
      <c r="O271" s="38">
        <f>((((M271*1)+(N271*2))*'MATERIALES (2)'!$C$33)+((M271*2)*'MATERIALES (2)'!$C$35)+((N271*2)*'MATERIALES (2)'!$C$34))*'MATERIALES (2)'!$F$1</f>
        <v>77482.671000000002</v>
      </c>
      <c r="P271" s="59">
        <f>(2*'MATERIALES (2)'!$C$135)+(8*'MATERIALES (2)'!$C$147)+(8*'MATERIALES (2)'!$C$148)+((8*2)*'MATERIALES (2)'!$C$134)+(3*'MATERIALES (2)'!$C$150)+(((N271*2)+(M271*1))*'MATERIALES (2)'!$C$138)+(((M271*2)+(N271*2))*'MATERIALES (2)'!$C$154)+(1*'MATERIALES (2)'!$C$151)+(((M271*5)*2)*'MATERIALES (2)'!$C$136)+(4*'MATERIALES (2)'!$C$137)+(0.5*'MATERIALES (2)'!$C$156)</f>
        <v>19328</v>
      </c>
      <c r="Q271" s="75"/>
      <c r="R271" s="55">
        <f>(((M271-0.2)*'MATERIALES (2)'!$C$23)*(N271/0.12))*'MATERIALES (2)'!$F$1</f>
        <v>47051.024999999987</v>
      </c>
      <c r="S271" s="38">
        <f t="shared" si="78"/>
        <v>143861.696</v>
      </c>
      <c r="T271" s="49">
        <f t="shared" si="79"/>
        <v>259085.38365864006</v>
      </c>
    </row>
    <row r="272" spans="1:20" ht="15.75" thickBot="1">
      <c r="A272" s="42">
        <v>0.8</v>
      </c>
      <c r="B272" s="37">
        <v>2.1</v>
      </c>
      <c r="C272" s="38">
        <f>((((A272*1)+(B272*2))*'MATERIALES (2)'!$C$33)+((A272*2)*'MATERIALES (2)'!$C$35)+((B272*2)*'MATERIALES (2)'!$C$34))*'MATERIALES (2)'!$F$1</f>
        <v>80020.920000000013</v>
      </c>
      <c r="D272" s="59">
        <f>(2*'MATERIALES (2)'!$C$135)+(8*'MATERIALES (2)'!$C$147)+(8*'MATERIALES (2)'!$C$148)+((8*2)*'MATERIALES (2)'!$C$134)+(3*'MATERIALES (2)'!$C$150)+(((B272*2)+(A272*1))*'MATERIALES (2)'!$C$138)+(((A272*2)+(B272*2))*'MATERIALES (2)'!$C$130)+(1*'MATERIALES (2)'!$C$151)+(((A272*5)*2)*'MATERIALES (2)'!$C$136)+(4*'MATERIALES (2)'!$C$137)</f>
        <v>15382</v>
      </c>
      <c r="E272" s="75"/>
      <c r="F272" s="55">
        <f>(A272*B272)*'MATERIALES (2)'!$D$85</f>
        <v>12432.000000000002</v>
      </c>
      <c r="G272" s="38">
        <f t="shared" si="76"/>
        <v>107834.92000000001</v>
      </c>
      <c r="H272" s="49">
        <f t="shared" si="77"/>
        <v>204983.53607655005</v>
      </c>
      <c r="M272" s="42">
        <v>0.8</v>
      </c>
      <c r="N272" s="37">
        <v>2.1</v>
      </c>
      <c r="O272" s="38">
        <f>((((M272*1)+(N272*2))*'MATERIALES (2)'!$C$33)+((M272*2)*'MATERIALES (2)'!$C$35)+((N272*2)*'MATERIALES (2)'!$C$34))*'MATERIALES (2)'!$F$1</f>
        <v>80020.920000000013</v>
      </c>
      <c r="P272" s="59">
        <f>(2*'MATERIALES (2)'!$C$135)+(8*'MATERIALES (2)'!$C$147)+(8*'MATERIALES (2)'!$C$148)+((8*2)*'MATERIALES (2)'!$C$134)+(3*'MATERIALES (2)'!$C$150)+(((N272*2)+(M272*1))*'MATERIALES (2)'!$C$138)+(((M272*2)+(N272*2))*'MATERIALES (2)'!$C$154)+(1*'MATERIALES (2)'!$C$151)+(((M272*5)*2)*'MATERIALES (2)'!$C$136)+(4*'MATERIALES (2)'!$C$137)+(0.5*'MATERIALES (2)'!$C$156)</f>
        <v>19382</v>
      </c>
      <c r="Q272" s="75"/>
      <c r="R272" s="55">
        <f>(((M272-0.2)*'MATERIALES (2)'!$C$23)*(N272/0.12))*'MATERIALES (2)'!$F$1</f>
        <v>56461.23</v>
      </c>
      <c r="S272" s="38">
        <f t="shared" si="78"/>
        <v>155864.15000000002</v>
      </c>
      <c r="T272" s="49">
        <f t="shared" si="79"/>
        <v>280701.00815006258</v>
      </c>
    </row>
    <row r="273" spans="1:20" ht="15.75" thickBot="1">
      <c r="A273" s="44">
        <v>0.9</v>
      </c>
      <c r="B273" s="45">
        <v>2.1</v>
      </c>
      <c r="C273" s="50">
        <f>((((A273*1)+(B273*2))*'MATERIALES (2)'!$C$33)+((A273*2)*'MATERIALES (2)'!$C$35)+((B273*2)*'MATERIALES (2)'!$C$34))*'MATERIALES (2)'!$F$1</f>
        <v>82559.169000000009</v>
      </c>
      <c r="D273" s="60">
        <f>(2*'MATERIALES (2)'!$C$135)+(8*'MATERIALES (2)'!$C$147)+(8*'MATERIALES (2)'!$C$148)+((8*2)*'MATERIALES (2)'!$C$134)+(3*'MATERIALES (2)'!$C$150)+(((B273*2)+(A273*1))*'MATERIALES (2)'!$C$138)+(((A273*2)+(B273*2))*'MATERIALES (2)'!$C$130)+(1*'MATERIALES (2)'!$C$151)+(((A273*5)*2)*'MATERIALES (2)'!$C$136)+(4*'MATERIALES (2)'!$C$137)</f>
        <v>15436</v>
      </c>
      <c r="E273" s="76"/>
      <c r="F273" s="56">
        <f>(A273*B273)*'MATERIALES (2)'!$D$85</f>
        <v>13986.000000000002</v>
      </c>
      <c r="G273" s="50">
        <f t="shared" si="76"/>
        <v>111981.16900000001</v>
      </c>
      <c r="H273" s="49">
        <f t="shared" si="77"/>
        <v>213798.15448905376</v>
      </c>
      <c r="M273" s="44">
        <v>0.9</v>
      </c>
      <c r="N273" s="45">
        <v>2.1</v>
      </c>
      <c r="O273" s="50">
        <f>((((M273*1)+(N273*2))*'MATERIALES (2)'!$C$33)+((M273*2)*'MATERIALES (2)'!$C$35)+((N273*2)*'MATERIALES (2)'!$C$34))*'MATERIALES (2)'!$F$1</f>
        <v>82559.169000000009</v>
      </c>
      <c r="P273" s="60">
        <f>(2*'MATERIALES (2)'!$C$135)+(8*'MATERIALES (2)'!$C$147)+(8*'MATERIALES (2)'!$C$148)+((8*2)*'MATERIALES (2)'!$C$134)+(3*'MATERIALES (2)'!$C$150)+(((N273*2)+(M273*1))*'MATERIALES (2)'!$C$138)+(((M273*2)+(N273*2))*'MATERIALES (2)'!$C$154)+(1*'MATERIALES (2)'!$C$151)+(((M273*5)*2)*'MATERIALES (2)'!$C$136)+(4*'MATERIALES (2)'!$C$137)+(0.5*'MATERIALES (2)'!$C$156)</f>
        <v>19436</v>
      </c>
      <c r="Q273" s="76"/>
      <c r="R273" s="56">
        <f>(((M273-0.2)*'MATERIALES (2)'!$C$23)*(N273/0.12))*'MATERIALES (2)'!$F$1</f>
        <v>65871.434999999983</v>
      </c>
      <c r="S273" s="50">
        <f t="shared" si="78"/>
        <v>167866.60399999999</v>
      </c>
      <c r="T273" s="49">
        <f t="shared" si="79"/>
        <v>302316.63264148508</v>
      </c>
    </row>
    <row r="275" spans="1:20" ht="15.75" thickBot="1"/>
    <row r="276" spans="1:20" ht="15.75" thickBot="1">
      <c r="A276" s="32"/>
      <c r="B276" s="32"/>
      <c r="C276" s="947">
        <v>1.35</v>
      </c>
      <c r="D276" s="948"/>
      <c r="E276" s="949"/>
      <c r="F276" s="728">
        <v>2</v>
      </c>
      <c r="G276" s="32"/>
      <c r="H276" s="46" t="s">
        <v>163</v>
      </c>
      <c r="M276" s="32"/>
      <c r="N276" s="32"/>
      <c r="O276" s="947">
        <v>1.35</v>
      </c>
      <c r="P276" s="948"/>
      <c r="Q276" s="949"/>
      <c r="R276" s="728">
        <v>2</v>
      </c>
      <c r="S276" s="32"/>
      <c r="T276" s="46" t="s">
        <v>163</v>
      </c>
    </row>
    <row r="277" spans="1:20" ht="15.75" thickBot="1">
      <c r="A277" s="792" t="s">
        <v>797</v>
      </c>
      <c r="B277" s="793"/>
      <c r="C277" s="793"/>
      <c r="D277" s="793"/>
      <c r="E277" s="793"/>
      <c r="F277" s="793"/>
      <c r="G277" s="793"/>
      <c r="H277" s="794"/>
      <c r="M277" s="792" t="s">
        <v>796</v>
      </c>
      <c r="N277" s="793"/>
      <c r="O277" s="793"/>
      <c r="P277" s="793"/>
      <c r="Q277" s="793"/>
      <c r="R277" s="793"/>
      <c r="S277" s="793"/>
      <c r="T277" s="794"/>
    </row>
    <row r="278" spans="1:20" ht="15.75" thickBot="1">
      <c r="A278" s="36" t="s">
        <v>116</v>
      </c>
      <c r="B278" s="36" t="s">
        <v>117</v>
      </c>
      <c r="C278" s="36" t="s">
        <v>162</v>
      </c>
      <c r="D278" s="36" t="s">
        <v>119</v>
      </c>
      <c r="E278" s="36" t="s">
        <v>120</v>
      </c>
      <c r="F278" s="36" t="s">
        <v>118</v>
      </c>
      <c r="G278" s="36" t="s">
        <v>121</v>
      </c>
      <c r="H278" s="36" t="s">
        <v>122</v>
      </c>
      <c r="M278" s="36" t="s">
        <v>116</v>
      </c>
      <c r="N278" s="36" t="s">
        <v>117</v>
      </c>
      <c r="O278" s="36" t="s">
        <v>162</v>
      </c>
      <c r="P278" s="36" t="s">
        <v>119</v>
      </c>
      <c r="Q278" s="36" t="s">
        <v>120</v>
      </c>
      <c r="R278" s="36" t="s">
        <v>118</v>
      </c>
      <c r="S278" s="36" t="s">
        <v>121</v>
      </c>
      <c r="T278" s="36" t="s">
        <v>122</v>
      </c>
    </row>
    <row r="279" spans="1:20" ht="15.75" thickBot="1">
      <c r="A279" s="795"/>
      <c r="B279" s="796"/>
      <c r="C279" s="796"/>
      <c r="D279" s="796"/>
      <c r="E279" s="796"/>
      <c r="F279" s="796"/>
      <c r="G279" s="796"/>
      <c r="H279" s="797"/>
      <c r="M279" s="956"/>
      <c r="N279" s="957"/>
      <c r="O279" s="957"/>
      <c r="P279" s="957"/>
      <c r="Q279" s="957"/>
      <c r="R279" s="957"/>
      <c r="S279" s="957"/>
      <c r="T279" s="958"/>
    </row>
    <row r="280" spans="1:20" ht="15.75" thickBot="1">
      <c r="A280" s="40">
        <v>0.6</v>
      </c>
      <c r="B280" s="41">
        <v>2</v>
      </c>
      <c r="C280" s="47">
        <f>((((A280*1)+(B280*2))*'MATERIALES (2)'!$C$33)+((A280*3)*'MATERIALES (2)'!$C$35)+((B280*2)*'MATERIALES (2)'!$C$34))*'MATERIALES (2)'!$F$1</f>
        <v>77637.608999999997</v>
      </c>
      <c r="D280" s="58">
        <f>(2*'MATERIALES (2)'!$C$135)+(12*'MATERIALES (2)'!$C$147)+(12*'MATERIALES (2)'!$C$148)+((8*2)*'MATERIALES (2)'!$C$134)+(3*'MATERIALES (2)'!$C$150)+(((B280*2)+(A280*1))*'MATERIALES (2)'!$C$138)+(((A280*4)+(B280*2))*'MATERIALES (2)'!$C$130)+(1*'MATERIALES (2)'!$C$151)+(((A280*5)*2)*'MATERIALES (2)'!$C$136)+(4*'MATERIALES (2)'!$C$137)</f>
        <v>16262</v>
      </c>
      <c r="E280" s="74"/>
      <c r="F280" s="54">
        <f>(A280*B280)*'MATERIALES (2)'!$D$85</f>
        <v>8880</v>
      </c>
      <c r="G280" s="47">
        <f>SUM(C280:F280)</f>
        <v>102779.609</v>
      </c>
      <c r="H280" s="49">
        <f>((((SUM(C280:E280)*$C$276)+(F280*$F$276))*1.21)*1.05)*1.05</f>
        <v>192799.25895990373</v>
      </c>
      <c r="M280" s="40">
        <v>0.6</v>
      </c>
      <c r="N280" s="41">
        <v>2</v>
      </c>
      <c r="O280" s="47">
        <f>((((M280*1)+(N280*2))*'MATERIALES (2)'!$C$33)+((M280*3)*'MATERIALES (2)'!$C$35)+((N280*2)*'MATERIALES (2)'!$C$34)+(((M280-0.2))*'MATERIALES (2)'!$C$23)*((N280/2)/0.12))*'MATERIALES (2)'!$F$1</f>
        <v>95561.808999999994</v>
      </c>
      <c r="P280" s="58">
        <f>(2*'MATERIALES (2)'!$C$135)+(12*'MATERIALES (2)'!$C$147)+(12*'MATERIALES (2)'!$C$148)+((8*2)*'MATERIALES (2)'!$C$134)+(3*'MATERIALES (2)'!$C$150)+(((N280*2)+(M280*1))*'MATERIALES (2)'!$C$138)+(((M280*2)+((N280/2)*2))*'MATERIALES (2)'!$C$130)+(((M280*2)+((N280/2)*2))*'MATERIALES (2)'!$C$154)+(1*'MATERIALES (2)'!$C$151)+(((M280*5)*2)*'MATERIALES (2)'!$C$136)+(4*'MATERIALES (2)'!$C$137)+(0.25*'MATERIALES (2)'!$C$156)</f>
        <v>18262</v>
      </c>
      <c r="Q280" s="74">
        <v>0</v>
      </c>
      <c r="R280" s="54">
        <f>(M280*(N280/2))*'MATERIALES (2)'!$D$85</f>
        <v>4440</v>
      </c>
      <c r="S280" s="47">
        <f>SUM(O280:R280)</f>
        <v>118263.80899999999</v>
      </c>
      <c r="T280" s="49">
        <f>((((SUM(O280:Q280)*$O$276)+(R280*$R$276))*1.21)*1.05)*1.05</f>
        <v>216835.28118165373</v>
      </c>
    </row>
    <row r="281" spans="1:20" ht="15.75" thickBot="1">
      <c r="A281" s="42">
        <v>0.7</v>
      </c>
      <c r="B281" s="37">
        <v>2</v>
      </c>
      <c r="C281" s="38">
        <f>((((A281*1)+(B281*2))*'MATERIALES (2)'!$C$33)+((A281*3)*'MATERIALES (2)'!$C$35)+((B281*2)*'MATERIALES (2)'!$C$34))*'MATERIALES (2)'!$F$1</f>
        <v>81098.650500000003</v>
      </c>
      <c r="D281" s="59">
        <f>(2*'MATERIALES (2)'!$C$135)+(12*'MATERIALES (2)'!$C$147)+(12*'MATERIALES (2)'!$C$148)+((8*2)*'MATERIALES (2)'!$C$134)+(3*'MATERIALES (2)'!$C$150)+(((B281*2)+(A281*1))*'MATERIALES (2)'!$C$138)+(((A281*4)+(B281*2))*'MATERIALES (2)'!$C$130)+(1*'MATERIALES (2)'!$C$151)+(((A281*5)*2)*'MATERIALES (2)'!$C$136)+(4*'MATERIALES (2)'!$C$137)</f>
        <v>16364</v>
      </c>
      <c r="E281" s="75"/>
      <c r="F281" s="55">
        <f>(A281*B281)*'MATERIALES (2)'!$D$85</f>
        <v>10360</v>
      </c>
      <c r="G281" s="38">
        <f t="shared" ref="G281:G287" si="80">SUM(C281:F281)</f>
        <v>107822.6505</v>
      </c>
      <c r="H281" s="49">
        <f t="shared" ref="H281:H287" si="81">((((SUM(C281:E281)*$C$276)+(F281*$F$276))*1.21)*1.05)*1.05</f>
        <v>203164.7746499044</v>
      </c>
      <c r="M281" s="42">
        <v>0.7</v>
      </c>
      <c r="N281" s="37">
        <v>2</v>
      </c>
      <c r="O281" s="38">
        <f>((((M281*1)+(N281*2))*'MATERIALES (2)'!$C$33)+((M281*3)*'MATERIALES (2)'!$C$35)+((N281*2)*'MATERIALES (2)'!$C$34)+(((M281-0.2))*'MATERIALES (2)'!$C$23)*((N281/2)/0.12))*'MATERIALES (2)'!$F$1</f>
        <v>103503.9005</v>
      </c>
      <c r="P281" s="59">
        <f>(2*'MATERIALES (2)'!$C$135)+(12*'MATERIALES (2)'!$C$147)+(12*'MATERIALES (2)'!$C$148)+((8*2)*'MATERIALES (2)'!$C$134)+(3*'MATERIALES (2)'!$C$150)+(((N281*2)+(M281*1))*'MATERIALES (2)'!$C$138)+(((M281*2)+((N281/2)*2))*'MATERIALES (2)'!$C$130)+(((M281*2)+((N281/2)*2))*'MATERIALES (2)'!$C$154)+(1*'MATERIALES (2)'!$C$151)+(((M281*5)*2)*'MATERIALES (2)'!$C$136)+(4*'MATERIALES (2)'!$C$137)+(0.25*'MATERIALES (2)'!$C$156)</f>
        <v>18364</v>
      </c>
      <c r="Q281" s="75">
        <v>0</v>
      </c>
      <c r="R281" s="55">
        <f>(M281*(N281/2))*'MATERIALES (2)'!$D$85</f>
        <v>5180</v>
      </c>
      <c r="S281" s="38">
        <f t="shared" ref="S281:S287" si="82">SUM(O281:R281)</f>
        <v>127047.9005</v>
      </c>
      <c r="T281" s="49">
        <f t="shared" ref="T281:T287" si="83">((((SUM(O281:Q281)*$O$276)+(R281*$R$276))*1.21)*1.05)*1.05</f>
        <v>233296.51405209195</v>
      </c>
    </row>
    <row r="282" spans="1:20" ht="15.75" thickBot="1">
      <c r="A282" s="42">
        <v>0.8</v>
      </c>
      <c r="B282" s="37">
        <v>2</v>
      </c>
      <c r="C282" s="38">
        <f>((((A282*1)+(B282*2))*'MATERIALES (2)'!$C$33)+((A282*3)*'MATERIALES (2)'!$C$35)+((B282*2)*'MATERIALES (2)'!$C$34))*'MATERIALES (2)'!$F$1</f>
        <v>84559.691999999995</v>
      </c>
      <c r="D282" s="59">
        <f>(2*'MATERIALES (2)'!$C$135)+(12*'MATERIALES (2)'!$C$147)+(12*'MATERIALES (2)'!$C$148)+((8*2)*'MATERIALES (2)'!$C$134)+(3*'MATERIALES (2)'!$C$150)+(((B282*2)+(A282*1))*'MATERIALES (2)'!$C$138)+(((A282*4)+(B282*2))*'MATERIALES (2)'!$C$130)+(1*'MATERIALES (2)'!$C$151)+(((A282*5)*2)*'MATERIALES (2)'!$C$136)+(4*'MATERIALES (2)'!$C$137)</f>
        <v>16466</v>
      </c>
      <c r="E282" s="75"/>
      <c r="F282" s="55">
        <f>(A282*B282)*'MATERIALES (2)'!$D$85</f>
        <v>11840</v>
      </c>
      <c r="G282" s="38">
        <f t="shared" si="80"/>
        <v>112865.692</v>
      </c>
      <c r="H282" s="49">
        <f t="shared" si="81"/>
        <v>213530.29033990501</v>
      </c>
      <c r="M282" s="42">
        <v>0.8</v>
      </c>
      <c r="N282" s="37">
        <v>2</v>
      </c>
      <c r="O282" s="38">
        <f>((((M282*1)+(N282*2))*'MATERIALES (2)'!$C$33)+((M282*3)*'MATERIALES (2)'!$C$35)+((N282*2)*'MATERIALES (2)'!$C$34)+(((M282-0.2))*'MATERIALES (2)'!$C$23)*((N282/2)/0.12))*'MATERIALES (2)'!$F$1</f>
        <v>111445.99199999998</v>
      </c>
      <c r="P282" s="59">
        <f>(2*'MATERIALES (2)'!$C$135)+(12*'MATERIALES (2)'!$C$147)+(12*'MATERIALES (2)'!$C$148)+((8*2)*'MATERIALES (2)'!$C$134)+(3*'MATERIALES (2)'!$C$150)+(((N282*2)+(M282*1))*'MATERIALES (2)'!$C$138)+(((M282*2)+((N282/2)*2))*'MATERIALES (2)'!$C$130)+(((M282*2)+((N282/2)*2))*'MATERIALES (2)'!$C$154)+(1*'MATERIALES (2)'!$C$151)+(((M282*5)*2)*'MATERIALES (2)'!$C$136)+(4*'MATERIALES (2)'!$C$137)+(0.25*'MATERIALES (2)'!$C$156)</f>
        <v>18466</v>
      </c>
      <c r="Q282" s="75">
        <v>0</v>
      </c>
      <c r="R282" s="55">
        <f>(M282*(N282/2))*'MATERIALES (2)'!$D$85</f>
        <v>5920</v>
      </c>
      <c r="S282" s="38">
        <f t="shared" si="82"/>
        <v>135831.99199999997</v>
      </c>
      <c r="T282" s="49">
        <f t="shared" si="83"/>
        <v>249757.74692253</v>
      </c>
    </row>
    <row r="283" spans="1:20" ht="15.75" thickBot="1">
      <c r="A283" s="42">
        <v>0.9</v>
      </c>
      <c r="B283" s="37">
        <v>2</v>
      </c>
      <c r="C283" s="38">
        <f>((((A283*1)+(B283*2))*'MATERIALES (2)'!$C$33)+((A283*3)*'MATERIALES (2)'!$C$35)+((B283*2)*'MATERIALES (2)'!$C$34))*'MATERIALES (2)'!$F$1</f>
        <v>88020.733500000002</v>
      </c>
      <c r="D283" s="59">
        <f>(2*'MATERIALES (2)'!$C$135)+(12*'MATERIALES (2)'!$C$147)+(12*'MATERIALES (2)'!$C$148)+((8*2)*'MATERIALES (2)'!$C$134)+(3*'MATERIALES (2)'!$C$150)+(((B283*2)+(A283*1))*'MATERIALES (2)'!$C$138)+(((A283*4)+(B283*2))*'MATERIALES (2)'!$C$130)+(1*'MATERIALES (2)'!$C$151)+(((A283*5)*2)*'MATERIALES (2)'!$C$136)+(4*'MATERIALES (2)'!$C$137)</f>
        <v>16568</v>
      </c>
      <c r="E283" s="75"/>
      <c r="F283" s="55">
        <f>(A283*B283)*'MATERIALES (2)'!$D$85</f>
        <v>13320</v>
      </c>
      <c r="G283" s="38">
        <f t="shared" si="80"/>
        <v>117908.7335</v>
      </c>
      <c r="H283" s="49">
        <f t="shared" si="81"/>
        <v>223895.80602990565</v>
      </c>
      <c r="M283" s="42">
        <v>0.9</v>
      </c>
      <c r="N283" s="37">
        <v>2</v>
      </c>
      <c r="O283" s="38">
        <f>((((M283*1)+(N283*2))*'MATERIALES (2)'!$C$33)+((M283*3)*'MATERIALES (2)'!$C$35)+((N283*2)*'MATERIALES (2)'!$C$34)+(((M283-0.2))*'MATERIALES (2)'!$C$23)*((N283/2)/0.12))*'MATERIALES (2)'!$F$1</f>
        <v>119388.08350000001</v>
      </c>
      <c r="P283" s="59">
        <f>(2*'MATERIALES (2)'!$C$135)+(12*'MATERIALES (2)'!$C$147)+(12*'MATERIALES (2)'!$C$148)+((8*2)*'MATERIALES (2)'!$C$134)+(3*'MATERIALES (2)'!$C$150)+(((N283*2)+(M283*1))*'MATERIALES (2)'!$C$138)+(((M283*2)+((N283/2)*2))*'MATERIALES (2)'!$C$130)+(((M283*2)+((N283/2)*2))*'MATERIALES (2)'!$C$154)+(1*'MATERIALES (2)'!$C$151)+(((M283*5)*2)*'MATERIALES (2)'!$C$136)+(4*'MATERIALES (2)'!$C$137)+(0.25*'MATERIALES (2)'!$C$156)</f>
        <v>18568</v>
      </c>
      <c r="Q283" s="75">
        <v>0</v>
      </c>
      <c r="R283" s="55">
        <f>(M283*(N283/2))*'MATERIALES (2)'!$D$85</f>
        <v>6660</v>
      </c>
      <c r="S283" s="38">
        <f t="shared" si="82"/>
        <v>144616.08350000001</v>
      </c>
      <c r="T283" s="49">
        <f t="shared" si="83"/>
        <v>266218.9797929682</v>
      </c>
    </row>
    <row r="284" spans="1:20" ht="15.75" thickBot="1">
      <c r="A284" s="42">
        <v>0.6</v>
      </c>
      <c r="B284" s="37">
        <v>2.1</v>
      </c>
      <c r="C284" s="38">
        <f>((((A284*1)+(B284*2))*'MATERIALES (2)'!$C$33)+((A284*3)*'MATERIALES (2)'!$C$35)+((B284*2)*'MATERIALES (2)'!$C$34))*'MATERIALES (2)'!$F$1</f>
        <v>80481.176999999996</v>
      </c>
      <c r="D284" s="59">
        <f>(2*'MATERIALES (2)'!$C$135)+(12*'MATERIALES (2)'!$C$147)+(12*'MATERIALES (2)'!$C$148)+((8*2)*'MATERIALES (2)'!$C$134)+(3*'MATERIALES (2)'!$C$150)+(((B284*2)+(A284*1))*'MATERIALES (2)'!$C$138)+(((A284*4)+(B284*2))*'MATERIALES (2)'!$C$130)+(1*'MATERIALES (2)'!$C$151)+(((A284*5)*2)*'MATERIALES (2)'!$C$136)+(4*'MATERIALES (2)'!$C$137)</f>
        <v>16322</v>
      </c>
      <c r="E284" s="75"/>
      <c r="F284" s="55">
        <f>(A284*B284)*'MATERIALES (2)'!$D$85</f>
        <v>9324</v>
      </c>
      <c r="G284" s="38">
        <f t="shared" si="80"/>
        <v>106127.177</v>
      </c>
      <c r="H284" s="49">
        <f t="shared" si="81"/>
        <v>199213.00676652376</v>
      </c>
      <c r="M284" s="42">
        <v>0.6</v>
      </c>
      <c r="N284" s="37">
        <v>2.1</v>
      </c>
      <c r="O284" s="38">
        <f>((((M284*1)+(N284*2))*'MATERIALES (2)'!$C$33)+((M284*3)*'MATERIALES (2)'!$C$35)+((N284*2)*'MATERIALES (2)'!$C$34)+(((M284-0.2))*'MATERIALES (2)'!$C$23)*((N284/2)/0.12))*'MATERIALES (2)'!$F$1</f>
        <v>99301.586999999985</v>
      </c>
      <c r="P284" s="59">
        <f>(2*'MATERIALES (2)'!$C$135)+(12*'MATERIALES (2)'!$C$147)+(12*'MATERIALES (2)'!$C$148)+((8*2)*'MATERIALES (2)'!$C$134)+(3*'MATERIALES (2)'!$C$150)+(((N284*2)+(M284*1))*'MATERIALES (2)'!$C$138)+(((M284*2)+((N284/2)*2))*'MATERIALES (2)'!$C$130)+(((M284*2)+((N284/2)*2))*'MATERIALES (2)'!$C$154)+(1*'MATERIALES (2)'!$C$151)+(((M284*5)*2)*'MATERIALES (2)'!$C$136)+(4*'MATERIALES (2)'!$C$137)+(0.25*'MATERIALES (2)'!$C$156)</f>
        <v>18322</v>
      </c>
      <c r="Q284" s="75">
        <v>0</v>
      </c>
      <c r="R284" s="55">
        <f>(M284*(N284/2))*'MATERIALES (2)'!$D$85</f>
        <v>4662</v>
      </c>
      <c r="S284" s="38">
        <f t="shared" si="82"/>
        <v>122285.58699999998</v>
      </c>
      <c r="T284" s="49">
        <f t="shared" si="83"/>
        <v>224270.73672436125</v>
      </c>
    </row>
    <row r="285" spans="1:20" ht="15.75" thickBot="1">
      <c r="A285" s="42">
        <v>0.7</v>
      </c>
      <c r="B285" s="37">
        <v>2.1</v>
      </c>
      <c r="C285" s="38">
        <f>((((A285*1)+(B285*2))*'MATERIALES (2)'!$C$33)+((A285*3)*'MATERIALES (2)'!$C$35)+((B285*2)*'MATERIALES (2)'!$C$34))*'MATERIALES (2)'!$F$1</f>
        <v>83942.218500000003</v>
      </c>
      <c r="D285" s="59">
        <f>(2*'MATERIALES (2)'!$C$135)+(12*'MATERIALES (2)'!$C$147)+(12*'MATERIALES (2)'!$C$148)+((8*2)*'MATERIALES (2)'!$C$134)+(3*'MATERIALES (2)'!$C$150)+(((B285*2)+(A285*1))*'MATERIALES (2)'!$C$138)+(((A285*4)+(B285*2))*'MATERIALES (2)'!$C$130)+(1*'MATERIALES (2)'!$C$151)+(((A285*5)*2)*'MATERIALES (2)'!$C$136)+(4*'MATERIALES (2)'!$C$137)</f>
        <v>16424</v>
      </c>
      <c r="E285" s="75"/>
      <c r="F285" s="55">
        <f>(A285*B285)*'MATERIALES (2)'!$D$85</f>
        <v>10878</v>
      </c>
      <c r="G285" s="38">
        <f t="shared" si="80"/>
        <v>111244.2185</v>
      </c>
      <c r="H285" s="49">
        <f t="shared" si="81"/>
        <v>209775.9581565244</v>
      </c>
      <c r="M285" s="42">
        <v>0.7</v>
      </c>
      <c r="N285" s="37">
        <v>2.1</v>
      </c>
      <c r="O285" s="38">
        <f>((((M285*1)+(N285*2))*'MATERIALES (2)'!$C$33)+((M285*3)*'MATERIALES (2)'!$C$35)+((N285*2)*'MATERIALES (2)'!$C$34)+(((M285-0.2))*'MATERIALES (2)'!$C$23)*((N285/2)/0.12))*'MATERIALES (2)'!$F$1</f>
        <v>107467.731</v>
      </c>
      <c r="P285" s="59">
        <f>(2*'MATERIALES (2)'!$C$135)+(12*'MATERIALES (2)'!$C$147)+(12*'MATERIALES (2)'!$C$148)+((8*2)*'MATERIALES (2)'!$C$134)+(3*'MATERIALES (2)'!$C$150)+(((N285*2)+(M285*1))*'MATERIALES (2)'!$C$138)+(((M285*2)+((N285/2)*2))*'MATERIALES (2)'!$C$130)+(((M285*2)+((N285/2)*2))*'MATERIALES (2)'!$C$154)+(1*'MATERIALES (2)'!$C$151)+(((M285*5)*2)*'MATERIALES (2)'!$C$136)+(4*'MATERIALES (2)'!$C$137)+(0.25*'MATERIALES (2)'!$C$156)</f>
        <v>18424</v>
      </c>
      <c r="Q285" s="75">
        <v>0</v>
      </c>
      <c r="R285" s="55">
        <f>(M285*(N285/2))*'MATERIALES (2)'!$D$85</f>
        <v>5439</v>
      </c>
      <c r="S285" s="38">
        <f t="shared" si="82"/>
        <v>131330.731</v>
      </c>
      <c r="T285" s="49">
        <f t="shared" si="83"/>
        <v>241234.19115382127</v>
      </c>
    </row>
    <row r="286" spans="1:20" ht="15.75" thickBot="1">
      <c r="A286" s="42">
        <v>0.8</v>
      </c>
      <c r="B286" s="37">
        <v>2.1</v>
      </c>
      <c r="C286" s="38">
        <f>((((A286*1)+(B286*2))*'MATERIALES (2)'!$C$33)+((A286*3)*'MATERIALES (2)'!$C$35)+((B286*2)*'MATERIALES (2)'!$C$34))*'MATERIALES (2)'!$F$1</f>
        <v>87403.260000000009</v>
      </c>
      <c r="D286" s="59">
        <f>(2*'MATERIALES (2)'!$C$135)+(12*'MATERIALES (2)'!$C$147)+(12*'MATERIALES (2)'!$C$148)+((8*2)*'MATERIALES (2)'!$C$134)+(3*'MATERIALES (2)'!$C$150)+(((B286*2)+(A286*1))*'MATERIALES (2)'!$C$138)+(((A286*4)+(B286*2))*'MATERIALES (2)'!$C$130)+(1*'MATERIALES (2)'!$C$151)+(((A286*5)*2)*'MATERIALES (2)'!$C$136)+(4*'MATERIALES (2)'!$C$137)</f>
        <v>16526</v>
      </c>
      <c r="E286" s="75"/>
      <c r="F286" s="55">
        <f>(A286*B286)*'MATERIALES (2)'!$D$85</f>
        <v>12432.000000000002</v>
      </c>
      <c r="G286" s="38">
        <f t="shared" si="80"/>
        <v>116361.26000000001</v>
      </c>
      <c r="H286" s="49">
        <f t="shared" si="81"/>
        <v>220338.90954652507</v>
      </c>
      <c r="M286" s="42">
        <v>0.8</v>
      </c>
      <c r="N286" s="37">
        <v>2.1</v>
      </c>
      <c r="O286" s="38">
        <f>((((M286*1)+(N286*2))*'MATERIALES (2)'!$C$33)+((M286*3)*'MATERIALES (2)'!$C$35)+((N286*2)*'MATERIALES (2)'!$C$34)+(((M286-0.2))*'MATERIALES (2)'!$C$23)*((N286/2)/0.12))*'MATERIALES (2)'!$F$1</f>
        <v>115633.875</v>
      </c>
      <c r="P286" s="59">
        <f>(2*'MATERIALES (2)'!$C$135)+(12*'MATERIALES (2)'!$C$147)+(12*'MATERIALES (2)'!$C$148)+((8*2)*'MATERIALES (2)'!$C$134)+(3*'MATERIALES (2)'!$C$150)+(((N286*2)+(M286*1))*'MATERIALES (2)'!$C$138)+(((M286*2)+((N286/2)*2))*'MATERIALES (2)'!$C$130)+(((M286*2)+((N286/2)*2))*'MATERIALES (2)'!$C$154)+(1*'MATERIALES (2)'!$C$151)+(((M286*5)*2)*'MATERIALES (2)'!$C$136)+(4*'MATERIALES (2)'!$C$137)+(0.25*'MATERIALES (2)'!$C$156)</f>
        <v>18526</v>
      </c>
      <c r="Q286" s="75">
        <v>0</v>
      </c>
      <c r="R286" s="55">
        <f>(M286*(N286/2))*'MATERIALES (2)'!$D$85</f>
        <v>6216.0000000000009</v>
      </c>
      <c r="S286" s="38">
        <f t="shared" si="82"/>
        <v>140375.875</v>
      </c>
      <c r="T286" s="49">
        <f t="shared" si="83"/>
        <v>258197.64558328129</v>
      </c>
    </row>
    <row r="287" spans="1:20" ht="15.75" thickBot="1">
      <c r="A287" s="44">
        <v>0.9</v>
      </c>
      <c r="B287" s="45">
        <v>2.1</v>
      </c>
      <c r="C287" s="50">
        <f>((((A287*1)+(B287*2))*'MATERIALES (2)'!$C$33)+((A287*3)*'MATERIALES (2)'!$C$35)+((B287*2)*'MATERIALES (2)'!$C$34))*'MATERIALES (2)'!$F$1</f>
        <v>90864.301500000016</v>
      </c>
      <c r="D287" s="60">
        <f>(2*'MATERIALES (2)'!$C$135)+(12*'MATERIALES (2)'!$C$147)+(12*'MATERIALES (2)'!$C$148)+((8*2)*'MATERIALES (2)'!$C$134)+(3*'MATERIALES (2)'!$C$150)+(((B287*2)+(A287*1))*'MATERIALES (2)'!$C$138)+(((A287*4)+(B287*2))*'MATERIALES (2)'!$C$130)+(1*'MATERIALES (2)'!$C$151)+(((A287*5)*2)*'MATERIALES (2)'!$C$136)+(4*'MATERIALES (2)'!$C$137)</f>
        <v>16628</v>
      </c>
      <c r="E287" s="76"/>
      <c r="F287" s="56">
        <f>(A287*B287)*'MATERIALES (2)'!$D$85</f>
        <v>13986.000000000002</v>
      </c>
      <c r="G287" s="50">
        <f t="shared" si="80"/>
        <v>121478.30150000002</v>
      </c>
      <c r="H287" s="49">
        <f t="shared" si="81"/>
        <v>230901.86093652569</v>
      </c>
      <c r="M287" s="44">
        <v>0.9</v>
      </c>
      <c r="N287" s="45">
        <v>2.1</v>
      </c>
      <c r="O287" s="50">
        <f>((((M287*1)+(N287*2))*'MATERIALES (2)'!$C$33)+((M287*3)*'MATERIALES (2)'!$C$35)+((N287*2)*'MATERIALES (2)'!$C$34)+(((M287-0.2))*'MATERIALES (2)'!$C$23)*((N287/2)/0.12))*'MATERIALES (2)'!$F$1</f>
        <v>123800.01900000001</v>
      </c>
      <c r="P287" s="60">
        <f>(2*'MATERIALES (2)'!$C$135)+(12*'MATERIALES (2)'!$C$147)+(12*'MATERIALES (2)'!$C$148)+((8*2)*'MATERIALES (2)'!$C$134)+(3*'MATERIALES (2)'!$C$150)+(((N287*2)+(M287*1))*'MATERIALES (2)'!$C$138)+(((M287*2)+((N287/2)*2))*'MATERIALES (2)'!$C$130)+(((M287*2)+((N287/2)*2))*'MATERIALES (2)'!$C$154)+(1*'MATERIALES (2)'!$C$151)+(((M287*5)*2)*'MATERIALES (2)'!$C$136)+(4*'MATERIALES (2)'!$C$137)+(0.25*'MATERIALES (2)'!$C$156)</f>
        <v>18628</v>
      </c>
      <c r="Q287" s="76">
        <v>0</v>
      </c>
      <c r="R287" s="56">
        <f>(M287*(N287/2))*'MATERIALES (2)'!$D$85</f>
        <v>6993.0000000000009</v>
      </c>
      <c r="S287" s="50">
        <f t="shared" si="82"/>
        <v>149421.01900000003</v>
      </c>
      <c r="T287" s="49">
        <f t="shared" si="83"/>
        <v>275161.10001274134</v>
      </c>
    </row>
    <row r="289" spans="1:30" ht="15.75" thickBot="1"/>
    <row r="290" spans="1:30" ht="15.75" thickBot="1">
      <c r="A290" s="32"/>
      <c r="B290" s="32"/>
      <c r="C290" s="947">
        <v>1.35</v>
      </c>
      <c r="D290" s="948"/>
      <c r="E290" s="949"/>
      <c r="F290" s="728">
        <v>2</v>
      </c>
      <c r="G290" s="32"/>
      <c r="H290" s="46" t="s">
        <v>163</v>
      </c>
      <c r="M290" s="32"/>
      <c r="N290" s="32"/>
      <c r="O290" s="947">
        <v>1.35</v>
      </c>
      <c r="P290" s="948"/>
      <c r="Q290" s="949"/>
      <c r="R290" s="728">
        <v>2</v>
      </c>
      <c r="S290" s="32"/>
      <c r="T290" s="46" t="s">
        <v>163</v>
      </c>
    </row>
    <row r="291" spans="1:30" ht="15.75" thickBot="1">
      <c r="A291" s="792" t="s">
        <v>798</v>
      </c>
      <c r="B291" s="793"/>
      <c r="C291" s="793"/>
      <c r="D291" s="793"/>
      <c r="E291" s="793"/>
      <c r="F291" s="793"/>
      <c r="G291" s="793"/>
      <c r="H291" s="794"/>
      <c r="M291" s="792" t="s">
        <v>799</v>
      </c>
      <c r="N291" s="793"/>
      <c r="O291" s="793"/>
      <c r="P291" s="793"/>
      <c r="Q291" s="793"/>
      <c r="R291" s="793"/>
      <c r="S291" s="793"/>
      <c r="T291" s="794"/>
      <c r="U291" s="64" t="s">
        <v>211</v>
      </c>
    </row>
    <row r="292" spans="1:30" ht="15.75" thickBot="1">
      <c r="A292" s="36" t="s">
        <v>116</v>
      </c>
      <c r="B292" s="36" t="s">
        <v>117</v>
      </c>
      <c r="C292" s="36" t="s">
        <v>162</v>
      </c>
      <c r="D292" s="36" t="s">
        <v>119</v>
      </c>
      <c r="E292" s="36" t="s">
        <v>120</v>
      </c>
      <c r="F292" s="36" t="s">
        <v>118</v>
      </c>
      <c r="G292" s="36" t="s">
        <v>121</v>
      </c>
      <c r="H292" s="36" t="s">
        <v>122</v>
      </c>
      <c r="M292" s="36" t="s">
        <v>116</v>
      </c>
      <c r="N292" s="36" t="s">
        <v>117</v>
      </c>
      <c r="O292" s="36" t="s">
        <v>162</v>
      </c>
      <c r="P292" s="36" t="s">
        <v>119</v>
      </c>
      <c r="Q292" s="36" t="s">
        <v>120</v>
      </c>
      <c r="R292" s="36" t="s">
        <v>118</v>
      </c>
      <c r="S292" s="36" t="s">
        <v>121</v>
      </c>
      <c r="T292" s="36" t="s">
        <v>122</v>
      </c>
    </row>
    <row r="293" spans="1:30" ht="15.75" thickBot="1">
      <c r="A293" s="795"/>
      <c r="B293" s="796"/>
      <c r="C293" s="796"/>
      <c r="D293" s="796"/>
      <c r="E293" s="796"/>
      <c r="F293" s="796"/>
      <c r="G293" s="796"/>
      <c r="H293" s="797"/>
      <c r="M293" s="795"/>
      <c r="N293" s="796"/>
      <c r="O293" s="796"/>
      <c r="P293" s="796"/>
      <c r="Q293" s="796"/>
      <c r="R293" s="796"/>
      <c r="S293" s="796"/>
      <c r="T293" s="797"/>
    </row>
    <row r="294" spans="1:30" ht="15.75" thickBot="1">
      <c r="A294" s="40">
        <v>0.6</v>
      </c>
      <c r="B294" s="41">
        <v>2</v>
      </c>
      <c r="C294" s="47">
        <f>((((A294*1)+(B294*2))*'MATERIALES (2)'!$C$33)+((A294*2)*'MATERIALES (2)'!$C$35)+((B294*2)*'MATERIALES (2)'!$C$35)+((B294*2)*'MATERIALES (2)'!$C$34))*'MATERIALES (2)'!$F$1</f>
        <v>109012.55399999999</v>
      </c>
      <c r="D294" s="58">
        <f>(2*'MATERIALES (2)'!$C$135)+(16*'MATERIALES (2)'!$C$147)+(16*'MATERIALES (2)'!$C$148)+((8*2)*'MATERIALES (2)'!$C$134)+(3*'MATERIALES (2)'!$C$150)+(((B294*2)+(A294*1))*'MATERIALES (2)'!$C$138)+(((A294*2)+(B294*6))*'MATERIALES (2)'!$C$130)+(1*'MATERIALES (2)'!$C$151)+(((A294*5)*2)*'MATERIALES (2)'!$C$136)+(4*'MATERIALES (2)'!$C$137)</f>
        <v>18654</v>
      </c>
      <c r="E294" s="74"/>
      <c r="F294" s="54">
        <f>(A294*B294)*'MATERIALES (2)'!$D$85</f>
        <v>8880</v>
      </c>
      <c r="G294" s="47">
        <f>SUM(C294:F294)</f>
        <v>136546.554</v>
      </c>
      <c r="H294" s="49">
        <f>((((SUM(C294:E294)*$C$290)+(F294*$F$290))*1.21)*1.05)*1.05</f>
        <v>253611.28984479749</v>
      </c>
      <c r="M294" s="40">
        <v>0.6</v>
      </c>
      <c r="N294" s="41">
        <v>2</v>
      </c>
      <c r="O294" s="47">
        <f>((((M294*1)+(N294*2))*'MATERIALES (2)'!$C$33)+((M294*5)*'MATERIALES (2)'!$C$34)+((N294*2)*'MATERIALES (2)'!$C$35))*'MATERIALES (2)'!$F$1</f>
        <v>90647.843999999997</v>
      </c>
      <c r="P294" s="58">
        <f>(2*'MATERIALES (2)'!$C$135)+(12*'MATERIALES (2)'!$C$147)+(12*'MATERIALES (2)'!$C$148)+((8*2)*'MATERIALES (2)'!$C$134)+(3*'MATERIALES (2)'!$C$150)+(((N294*2)+(M294*1))*'MATERIALES (2)'!$C$138)+(((M294*8)+(N294*2))*'MATERIALES (2)'!$C$130)+(1*'MATERIALES (2)'!$C$151)+(((M294*5)*2)*'MATERIALES (2)'!$C$136)+(4*'MATERIALES (2)'!$C$137)</f>
        <v>16838</v>
      </c>
      <c r="Q294" s="74"/>
      <c r="R294" s="54">
        <f>(M294*N294)*'MATERIALES (2)'!$D$85</f>
        <v>8880</v>
      </c>
      <c r="S294" s="47">
        <f>SUM(O294:R294)</f>
        <v>116365.844</v>
      </c>
      <c r="T294" s="49">
        <f>((((SUM(O294:Q294)*$O$290)+(R294*$R$290))*1.21)*1.05)*1.05</f>
        <v>217267.16810683504</v>
      </c>
    </row>
    <row r="295" spans="1:30" ht="15.75" thickBot="1">
      <c r="A295" s="42">
        <v>0.7</v>
      </c>
      <c r="B295" s="37">
        <v>2</v>
      </c>
      <c r="C295" s="38">
        <f>((((A295*1)+(B295*2))*'MATERIALES (2)'!$C$33)+((A295*2)*'MATERIALES (2)'!$C$35)+((B295*2)*'MATERIALES (2)'!$C$35)+((B295*2)*'MATERIALES (2)'!$C$34))*'MATERIALES (2)'!$F$1</f>
        <v>111550.80300000001</v>
      </c>
      <c r="D295" s="59">
        <f>(2*'MATERIALES (2)'!$C$135)+(16*'MATERIALES (2)'!$C$147)+(16*'MATERIALES (2)'!$C$148)+((8*2)*'MATERIALES (2)'!$C$134)+(3*'MATERIALES (2)'!$C$150)+(((B295*2)+(A295*1))*'MATERIALES (2)'!$C$138)+(((A295*2)+(B295*6))*'MATERIALES (2)'!$C$130)+(1*'MATERIALES (2)'!$C$151)+(((A295*5)*2)*'MATERIALES (2)'!$C$136)+(4*'MATERIALES (2)'!$C$137)</f>
        <v>18708</v>
      </c>
      <c r="E295" s="75"/>
      <c r="F295" s="55">
        <f>(A295*B295)*'MATERIALES (2)'!$D$85</f>
        <v>10360</v>
      </c>
      <c r="G295" s="38">
        <f t="shared" ref="G295:G301" si="84">SUM(C295:F295)</f>
        <v>140618.80300000001</v>
      </c>
      <c r="H295" s="49">
        <f t="shared" ref="H295:H301" si="85">((((SUM(C295:E295)*$C$290)+(F295*$F$290))*1.21)*1.05)*1.05</f>
        <v>262228.47255730128</v>
      </c>
      <c r="M295" s="42">
        <v>0.7</v>
      </c>
      <c r="N295" s="37">
        <v>2</v>
      </c>
      <c r="O295" s="38">
        <f>((((M295*1)+(N295*2))*'MATERIALES (2)'!$C$33)+((M295*5)*'MATERIALES (2)'!$C$34)+((N295*2)*'MATERIALES (2)'!$C$35))*'MATERIALES (2)'!$F$1</f>
        <v>94986.108000000007</v>
      </c>
      <c r="P295" s="59">
        <f>(2*'MATERIALES (2)'!$C$135)+(12*'MATERIALES (2)'!$C$147)+(12*'MATERIALES (2)'!$C$148)+((8*2)*'MATERIALES (2)'!$C$134)+(3*'MATERIALES (2)'!$C$150)+(((N295*2)+(M295*1))*'MATERIALES (2)'!$C$138)+(((M295*8)+(N295*2))*'MATERIALES (2)'!$C$130)+(1*'MATERIALES (2)'!$C$151)+(((M295*5)*2)*'MATERIALES (2)'!$C$136)+(4*'MATERIALES (2)'!$C$137)</f>
        <v>17036</v>
      </c>
      <c r="Q295" s="75"/>
      <c r="R295" s="55">
        <f>(M295*N295)*'MATERIALES (2)'!$D$85</f>
        <v>10360</v>
      </c>
      <c r="S295" s="38">
        <f t="shared" ref="S295:S301" si="86">SUM(O295:R295)</f>
        <v>122382.10800000001</v>
      </c>
      <c r="T295" s="49">
        <f t="shared" ref="T295:T301" si="87">((((SUM(O295:Q295)*$O$290)+(R295*$R$290))*1.21)*1.05)*1.05</f>
        <v>229385.39304334502</v>
      </c>
    </row>
    <row r="296" spans="1:30" ht="15.75" thickBot="1">
      <c r="A296" s="42">
        <v>0.8</v>
      </c>
      <c r="B296" s="37">
        <v>2</v>
      </c>
      <c r="C296" s="38">
        <f>((((A296*1)+(B296*2))*'MATERIALES (2)'!$C$33)+((A296*2)*'MATERIALES (2)'!$C$35)+((B296*2)*'MATERIALES (2)'!$C$35)+((B296*2)*'MATERIALES (2)'!$C$34))*'MATERIALES (2)'!$F$1</f>
        <v>114089.052</v>
      </c>
      <c r="D296" s="59">
        <f>(2*'MATERIALES (2)'!$C$135)+(16*'MATERIALES (2)'!$C$147)+(16*'MATERIALES (2)'!$C$148)+((8*2)*'MATERIALES (2)'!$C$134)+(3*'MATERIALES (2)'!$C$150)+(((B296*2)+(A296*1))*'MATERIALES (2)'!$C$138)+(((A296*2)+(B296*6))*'MATERIALES (2)'!$C$130)+(1*'MATERIALES (2)'!$C$151)+(((A296*5)*2)*'MATERIALES (2)'!$C$136)+(4*'MATERIALES (2)'!$C$137)</f>
        <v>18762</v>
      </c>
      <c r="E296" s="75"/>
      <c r="F296" s="55">
        <f>(A296*B296)*'MATERIALES (2)'!$D$85</f>
        <v>11840</v>
      </c>
      <c r="G296" s="38">
        <f t="shared" si="84"/>
        <v>144691.052</v>
      </c>
      <c r="H296" s="49">
        <f t="shared" si="85"/>
        <v>270845.65526980499</v>
      </c>
      <c r="M296" s="42">
        <v>0.8</v>
      </c>
      <c r="N296" s="37">
        <v>2</v>
      </c>
      <c r="O296" s="38">
        <f>((((M296*1)+(N296*2))*'MATERIALES (2)'!$C$33)+((M296*5)*'MATERIALES (2)'!$C$34)+((N296*2)*'MATERIALES (2)'!$C$35))*'MATERIALES (2)'!$F$1</f>
        <v>99324.371999999988</v>
      </c>
      <c r="P296" s="59">
        <f>(2*'MATERIALES (2)'!$C$135)+(12*'MATERIALES (2)'!$C$147)+(12*'MATERIALES (2)'!$C$148)+((8*2)*'MATERIALES (2)'!$C$134)+(3*'MATERIALES (2)'!$C$150)+(((N296*2)+(M296*1))*'MATERIALES (2)'!$C$138)+(((M296*8)+(N296*2))*'MATERIALES (2)'!$C$130)+(1*'MATERIALES (2)'!$C$151)+(((M296*5)*2)*'MATERIALES (2)'!$C$136)+(4*'MATERIALES (2)'!$C$137)</f>
        <v>17234</v>
      </c>
      <c r="Q296" s="75"/>
      <c r="R296" s="55">
        <f>(M296*N296)*'MATERIALES (2)'!$D$85</f>
        <v>11840</v>
      </c>
      <c r="S296" s="38">
        <f t="shared" si="86"/>
        <v>128398.37199999999</v>
      </c>
      <c r="T296" s="49">
        <f t="shared" si="87"/>
        <v>241503.61797985501</v>
      </c>
    </row>
    <row r="297" spans="1:30" ht="15.75" thickBot="1">
      <c r="A297" s="42">
        <v>0.9</v>
      </c>
      <c r="B297" s="37">
        <v>2</v>
      </c>
      <c r="C297" s="38">
        <f>((((A297*1)+(B297*2))*'MATERIALES (2)'!$C$33)+((A297*2)*'MATERIALES (2)'!$C$35)+((B297*2)*'MATERIALES (2)'!$C$35)+((B297*2)*'MATERIALES (2)'!$C$34))*'MATERIALES (2)'!$F$1</f>
        <v>116627.30100000002</v>
      </c>
      <c r="D297" s="59">
        <f>(2*'MATERIALES (2)'!$C$135)+(16*'MATERIALES (2)'!$C$147)+(16*'MATERIALES (2)'!$C$148)+((8*2)*'MATERIALES (2)'!$C$134)+(3*'MATERIALES (2)'!$C$150)+(((B297*2)+(A297*1))*'MATERIALES (2)'!$C$138)+(((A297*2)+(B297*6))*'MATERIALES (2)'!$C$130)+(1*'MATERIALES (2)'!$C$151)+(((A297*5)*2)*'MATERIALES (2)'!$C$136)+(4*'MATERIALES (2)'!$C$137)</f>
        <v>18816</v>
      </c>
      <c r="E297" s="75"/>
      <c r="F297" s="55">
        <f>(A297*B297)*'MATERIALES (2)'!$D$85</f>
        <v>13320</v>
      </c>
      <c r="G297" s="38">
        <f t="shared" si="84"/>
        <v>148763.30100000004</v>
      </c>
      <c r="H297" s="49">
        <f t="shared" si="85"/>
        <v>279462.83798230882</v>
      </c>
      <c r="M297" s="42">
        <v>0.9</v>
      </c>
      <c r="N297" s="37">
        <v>2</v>
      </c>
      <c r="O297" s="38">
        <f>((((M297*1)+(N297*2))*'MATERIALES (2)'!$C$33)+((M297*5)*'MATERIALES (2)'!$C$34)+((N297*2)*'MATERIALES (2)'!$C$35))*'MATERIALES (2)'!$F$1</f>
        <v>103662.636</v>
      </c>
      <c r="P297" s="59">
        <f>(2*'MATERIALES (2)'!$C$135)+(12*'MATERIALES (2)'!$C$147)+(12*'MATERIALES (2)'!$C$148)+((8*2)*'MATERIALES (2)'!$C$134)+(3*'MATERIALES (2)'!$C$150)+(((N297*2)+(M297*1))*'MATERIALES (2)'!$C$138)+(((M297*8)+(N297*2))*'MATERIALES (2)'!$C$130)+(1*'MATERIALES (2)'!$C$151)+(((M297*5)*2)*'MATERIALES (2)'!$C$136)+(4*'MATERIALES (2)'!$C$137)</f>
        <v>17432</v>
      </c>
      <c r="Q297" s="75"/>
      <c r="R297" s="55">
        <f>(M297*N297)*'MATERIALES (2)'!$D$85</f>
        <v>13320</v>
      </c>
      <c r="S297" s="38">
        <f t="shared" si="86"/>
        <v>134414.636</v>
      </c>
      <c r="T297" s="49">
        <f t="shared" si="87"/>
        <v>253621.84291636504</v>
      </c>
    </row>
    <row r="298" spans="1:30" ht="15.75" thickBot="1">
      <c r="A298" s="42">
        <v>0.6</v>
      </c>
      <c r="B298" s="37">
        <v>2.1</v>
      </c>
      <c r="C298" s="38">
        <f>((((A298*1)+(B298*2))*'MATERIALES (2)'!$C$33)+((A298*2)*'MATERIALES (2)'!$C$35)+((B298*2)*'MATERIALES (2)'!$C$35)+((B298*2)*'MATERIALES (2)'!$C$34))*'MATERIALES (2)'!$F$1</f>
        <v>113701.70700000001</v>
      </c>
      <c r="D298" s="59">
        <f>(2*'MATERIALES (2)'!$C$135)+(16*'MATERIALES (2)'!$C$147)+(16*'MATERIALES (2)'!$C$148)+((8*2)*'MATERIALES (2)'!$C$134)+(3*'MATERIALES (2)'!$C$150)+(((B298*2)+(A298*1))*'MATERIALES (2)'!$C$138)+(((A298*2)+(B298*6))*'MATERIALES (2)'!$C$130)+(1*'MATERIALES (2)'!$C$151)+(((A298*5)*2)*'MATERIALES (2)'!$C$136)+(4*'MATERIALES (2)'!$C$137)</f>
        <v>18810</v>
      </c>
      <c r="E298" s="75"/>
      <c r="F298" s="55">
        <f>(A298*B298)*'MATERIALES (2)'!$D$85</f>
        <v>9324</v>
      </c>
      <c r="G298" s="38">
        <f t="shared" si="84"/>
        <v>141835.70699999999</v>
      </c>
      <c r="H298" s="49">
        <f t="shared" si="85"/>
        <v>263521.70360641129</v>
      </c>
      <c r="M298" s="42">
        <v>0.6</v>
      </c>
      <c r="N298" s="37">
        <v>2.1</v>
      </c>
      <c r="O298" s="38">
        <f>((((M298*1)+(N298*2))*'MATERIALES (2)'!$C$33)+((M298*5)*'MATERIALES (2)'!$C$34)+((N298*2)*'MATERIALES (2)'!$C$35))*'MATERIALES (2)'!$F$1</f>
        <v>93878.757000000012</v>
      </c>
      <c r="P298" s="59">
        <f>(2*'MATERIALES (2)'!$C$135)+(12*'MATERIALES (2)'!$C$147)+(12*'MATERIALES (2)'!$C$148)+((8*2)*'MATERIALES (2)'!$C$134)+(3*'MATERIALES (2)'!$C$150)+(((N298*2)+(M298*1))*'MATERIALES (2)'!$C$138)+(((M298*8)+(N298*2))*'MATERIALES (2)'!$C$130)+(1*'MATERIALES (2)'!$C$151)+(((M298*5)*2)*'MATERIALES (2)'!$C$136)+(4*'MATERIALES (2)'!$C$137)</f>
        <v>16898</v>
      </c>
      <c r="Q298" s="75"/>
      <c r="R298" s="55">
        <f>(M298*N298)*'MATERIALES (2)'!$D$85</f>
        <v>9324</v>
      </c>
      <c r="S298" s="38">
        <f t="shared" si="86"/>
        <v>120100.75700000001</v>
      </c>
      <c r="T298" s="49">
        <f t="shared" si="87"/>
        <v>224378.49859684877</v>
      </c>
    </row>
    <row r="299" spans="1:30" ht="15.75" thickBot="1">
      <c r="A299" s="42">
        <v>0.7</v>
      </c>
      <c r="B299" s="37">
        <v>2.1</v>
      </c>
      <c r="C299" s="38">
        <f>((((A299*1)+(B299*2))*'MATERIALES (2)'!$C$33)+((A299*2)*'MATERIALES (2)'!$C$35)+((B299*2)*'MATERIALES (2)'!$C$35)+((B299*2)*'MATERIALES (2)'!$C$34))*'MATERIALES (2)'!$F$1</f>
        <v>116239.95600000001</v>
      </c>
      <c r="D299" s="59">
        <f>(2*'MATERIALES (2)'!$C$135)+(16*'MATERIALES (2)'!$C$147)+(16*'MATERIALES (2)'!$C$148)+((8*2)*'MATERIALES (2)'!$C$134)+(3*'MATERIALES (2)'!$C$150)+(((B299*2)+(A299*1))*'MATERIALES (2)'!$C$138)+(((A299*2)+(B299*6))*'MATERIALES (2)'!$C$130)+(1*'MATERIALES (2)'!$C$151)+(((A299*5)*2)*'MATERIALES (2)'!$C$136)+(4*'MATERIALES (2)'!$C$137)</f>
        <v>18864</v>
      </c>
      <c r="E299" s="75"/>
      <c r="F299" s="55">
        <f>(A299*B299)*'MATERIALES (2)'!$D$85</f>
        <v>10878</v>
      </c>
      <c r="G299" s="38">
        <f t="shared" si="84"/>
        <v>145981.95600000001</v>
      </c>
      <c r="H299" s="49">
        <f t="shared" si="85"/>
        <v>272336.32201891503</v>
      </c>
      <c r="M299" s="42">
        <v>0.7</v>
      </c>
      <c r="N299" s="37">
        <v>2.1</v>
      </c>
      <c r="O299" s="38">
        <f>((((M299*1)+(N299*2))*'MATERIALES (2)'!$C$33)+((M299*5)*'MATERIALES (2)'!$C$34)+((N299*2)*'MATERIALES (2)'!$C$35))*'MATERIALES (2)'!$F$1</f>
        <v>98217.021000000022</v>
      </c>
      <c r="P299" s="59">
        <f>(2*'MATERIALES (2)'!$C$135)+(12*'MATERIALES (2)'!$C$147)+(12*'MATERIALES (2)'!$C$148)+((8*2)*'MATERIALES (2)'!$C$134)+(3*'MATERIALES (2)'!$C$150)+(((N299*2)+(M299*1))*'MATERIALES (2)'!$C$138)+(((M299*8)+(N299*2))*'MATERIALES (2)'!$C$130)+(1*'MATERIALES (2)'!$C$151)+(((M299*5)*2)*'MATERIALES (2)'!$C$136)+(4*'MATERIALES (2)'!$C$137)</f>
        <v>17096</v>
      </c>
      <c r="Q299" s="75"/>
      <c r="R299" s="55">
        <f>(M299*N299)*'MATERIALES (2)'!$D$85</f>
        <v>10878</v>
      </c>
      <c r="S299" s="38">
        <f t="shared" si="86"/>
        <v>126191.02100000002</v>
      </c>
      <c r="T299" s="49">
        <f t="shared" si="87"/>
        <v>236694.15923335883</v>
      </c>
    </row>
    <row r="300" spans="1:30" ht="15.75" thickBot="1">
      <c r="A300" s="42">
        <v>0.8</v>
      </c>
      <c r="B300" s="37">
        <v>2.1</v>
      </c>
      <c r="C300" s="38">
        <f>((((A300*1)+(B300*2))*'MATERIALES (2)'!$C$33)+((A300*2)*'MATERIALES (2)'!$C$35)+((B300*2)*'MATERIALES (2)'!$C$35)+((B300*2)*'MATERIALES (2)'!$C$34))*'MATERIALES (2)'!$F$1</f>
        <v>118778.20500000002</v>
      </c>
      <c r="D300" s="59">
        <f>(2*'MATERIALES (2)'!$C$135)+(16*'MATERIALES (2)'!$C$147)+(16*'MATERIALES (2)'!$C$148)+((8*2)*'MATERIALES (2)'!$C$134)+(3*'MATERIALES (2)'!$C$150)+(((B300*2)+(A300*1))*'MATERIALES (2)'!$C$138)+(((A300*2)+(B300*6))*'MATERIALES (2)'!$C$130)+(1*'MATERIALES (2)'!$C$151)+(((A300*5)*2)*'MATERIALES (2)'!$C$136)+(4*'MATERIALES (2)'!$C$137)</f>
        <v>18918</v>
      </c>
      <c r="E300" s="75"/>
      <c r="F300" s="55">
        <f>(A300*B300)*'MATERIALES (2)'!$D$85</f>
        <v>12432.000000000002</v>
      </c>
      <c r="G300" s="38">
        <f t="shared" si="84"/>
        <v>150128.20500000002</v>
      </c>
      <c r="H300" s="49">
        <f t="shared" si="85"/>
        <v>281150.94043141883</v>
      </c>
      <c r="M300" s="42">
        <v>0.8</v>
      </c>
      <c r="N300" s="37">
        <v>2.1</v>
      </c>
      <c r="O300" s="38">
        <f>((((M300*1)+(N300*2))*'MATERIALES (2)'!$C$33)+((M300*5)*'MATERIALES (2)'!$C$34)+((N300*2)*'MATERIALES (2)'!$C$35))*'MATERIALES (2)'!$F$1</f>
        <v>102555.285</v>
      </c>
      <c r="P300" s="59">
        <f>(2*'MATERIALES (2)'!$C$135)+(12*'MATERIALES (2)'!$C$147)+(12*'MATERIALES (2)'!$C$148)+((8*2)*'MATERIALES (2)'!$C$134)+(3*'MATERIALES (2)'!$C$150)+(((N300*2)+(M300*1))*'MATERIALES (2)'!$C$138)+(((M300*8)+(N300*2))*'MATERIALES (2)'!$C$130)+(1*'MATERIALES (2)'!$C$151)+(((M300*5)*2)*'MATERIALES (2)'!$C$136)+(4*'MATERIALES (2)'!$C$137)</f>
        <v>17294</v>
      </c>
      <c r="Q300" s="75"/>
      <c r="R300" s="55">
        <f>(M300*N300)*'MATERIALES (2)'!$D$85</f>
        <v>12432.000000000002</v>
      </c>
      <c r="S300" s="38">
        <f t="shared" si="86"/>
        <v>132281.285</v>
      </c>
      <c r="T300" s="49">
        <f t="shared" si="87"/>
        <v>249009.81986986878</v>
      </c>
    </row>
    <row r="301" spans="1:30" ht="15.75" thickBot="1">
      <c r="A301" s="44">
        <v>0.9</v>
      </c>
      <c r="B301" s="45">
        <v>2.1</v>
      </c>
      <c r="C301" s="50">
        <f>((((A301*1)+(B301*2))*'MATERIALES (2)'!$C$33)+((A301*2)*'MATERIALES (2)'!$C$35)+((B301*2)*'MATERIALES (2)'!$C$35)+((B301*2)*'MATERIALES (2)'!$C$34))*'MATERIALES (2)'!$F$1</f>
        <v>121316.45400000001</v>
      </c>
      <c r="D301" s="60">
        <f>(2*'MATERIALES (2)'!$C$135)+(16*'MATERIALES (2)'!$C$147)+(16*'MATERIALES (2)'!$C$148)+((8*2)*'MATERIALES (2)'!$C$134)+(3*'MATERIALES (2)'!$C$150)+(((B301*2)+(A301*1))*'MATERIALES (2)'!$C$138)+(((A301*2)+(B301*6))*'MATERIALES (2)'!$C$130)+(1*'MATERIALES (2)'!$C$151)+(((A301*5)*2)*'MATERIALES (2)'!$C$136)+(4*'MATERIALES (2)'!$C$137)</f>
        <v>18972</v>
      </c>
      <c r="E301" s="76"/>
      <c r="F301" s="56">
        <f>(A301*B301)*'MATERIALES (2)'!$D$85</f>
        <v>13986.000000000002</v>
      </c>
      <c r="G301" s="50">
        <f t="shared" si="84"/>
        <v>154274.45400000003</v>
      </c>
      <c r="H301" s="49">
        <f t="shared" si="85"/>
        <v>289965.55884392263</v>
      </c>
      <c r="M301" s="44">
        <v>0.9</v>
      </c>
      <c r="N301" s="45">
        <v>2.1</v>
      </c>
      <c r="O301" s="50">
        <f>((((M301*1)+(N301*2))*'MATERIALES (2)'!$C$33)+((M301*5)*'MATERIALES (2)'!$C$34)+((N301*2)*'MATERIALES (2)'!$C$35))*'MATERIALES (2)'!$F$1</f>
        <v>106893.54900000001</v>
      </c>
      <c r="P301" s="60">
        <f>(2*'MATERIALES (2)'!$C$135)+(12*'MATERIALES (2)'!$C$147)+(12*'MATERIALES (2)'!$C$148)+((8*2)*'MATERIALES (2)'!$C$134)+(3*'MATERIALES (2)'!$C$150)+(((N301*2)+(M301*1))*'MATERIALES (2)'!$C$138)+(((M301*8)+(N301*2))*'MATERIALES (2)'!$C$130)+(1*'MATERIALES (2)'!$C$151)+(((M301*5)*2)*'MATERIALES (2)'!$C$136)+(4*'MATERIALES (2)'!$C$137)</f>
        <v>17492</v>
      </c>
      <c r="Q301" s="76"/>
      <c r="R301" s="56">
        <f>(M301*N301)*'MATERIALES (2)'!$D$85</f>
        <v>13986.000000000002</v>
      </c>
      <c r="S301" s="50">
        <f t="shared" si="86"/>
        <v>138371.54900000003</v>
      </c>
      <c r="T301" s="49">
        <f t="shared" si="87"/>
        <v>261325.48050637881</v>
      </c>
    </row>
    <row r="303" spans="1:30" ht="15.75" thickBot="1">
      <c r="C303" s="878" t="s">
        <v>221</v>
      </c>
      <c r="D303" s="878"/>
      <c r="E303" s="878"/>
      <c r="F303" s="878"/>
      <c r="O303" s="878" t="s">
        <v>221</v>
      </c>
      <c r="P303" s="878"/>
      <c r="Q303" s="878"/>
      <c r="R303" s="878"/>
      <c r="Y303" s="878" t="s">
        <v>403</v>
      </c>
      <c r="Z303" s="878"/>
      <c r="AA303" s="878"/>
      <c r="AB303" s="878"/>
    </row>
    <row r="304" spans="1:30" ht="15.75" thickBot="1">
      <c r="A304" s="32"/>
      <c r="B304" s="32"/>
      <c r="C304" s="947">
        <v>1.35</v>
      </c>
      <c r="D304" s="948"/>
      <c r="E304" s="949"/>
      <c r="F304" s="728">
        <v>2</v>
      </c>
      <c r="G304" s="32"/>
      <c r="H304" s="46" t="s">
        <v>163</v>
      </c>
      <c r="M304" s="32"/>
      <c r="N304" s="32"/>
      <c r="O304" s="947">
        <v>1.35</v>
      </c>
      <c r="P304" s="948"/>
      <c r="Q304" s="948"/>
      <c r="R304" s="949"/>
      <c r="S304" s="32"/>
      <c r="T304" s="46" t="s">
        <v>163</v>
      </c>
      <c r="W304" s="32"/>
      <c r="X304" s="32"/>
      <c r="Y304" s="947">
        <v>1.35</v>
      </c>
      <c r="Z304" s="948"/>
      <c r="AA304" s="949"/>
      <c r="AB304" s="728">
        <v>2</v>
      </c>
      <c r="AC304" s="32"/>
      <c r="AD304" s="46" t="s">
        <v>163</v>
      </c>
    </row>
    <row r="305" spans="1:30" ht="15.75" thickBot="1">
      <c r="A305" s="792" t="s">
        <v>800</v>
      </c>
      <c r="B305" s="793"/>
      <c r="C305" s="793"/>
      <c r="D305" s="793"/>
      <c r="E305" s="793"/>
      <c r="F305" s="793"/>
      <c r="G305" s="793"/>
      <c r="H305" s="794"/>
      <c r="M305" s="792" t="s">
        <v>801</v>
      </c>
      <c r="N305" s="793"/>
      <c r="O305" s="793"/>
      <c r="P305" s="793"/>
      <c r="Q305" s="793"/>
      <c r="R305" s="793"/>
      <c r="S305" s="793"/>
      <c r="T305" s="794"/>
      <c r="W305" s="792" t="s">
        <v>812</v>
      </c>
      <c r="X305" s="793"/>
      <c r="Y305" s="793"/>
      <c r="Z305" s="793"/>
      <c r="AA305" s="793"/>
      <c r="AB305" s="793"/>
      <c r="AC305" s="793"/>
      <c r="AD305" s="794"/>
    </row>
    <row r="306" spans="1:30" ht="15.75" thickBot="1">
      <c r="A306" s="36" t="s">
        <v>116</v>
      </c>
      <c r="B306" s="36" t="s">
        <v>117</v>
      </c>
      <c r="C306" s="36" t="s">
        <v>162</v>
      </c>
      <c r="D306" s="36" t="s">
        <v>119</v>
      </c>
      <c r="E306" s="36" t="s">
        <v>120</v>
      </c>
      <c r="F306" s="36" t="s">
        <v>118</v>
      </c>
      <c r="G306" s="36" t="s">
        <v>121</v>
      </c>
      <c r="H306" s="36" t="s">
        <v>122</v>
      </c>
      <c r="M306" s="36" t="s">
        <v>116</v>
      </c>
      <c r="N306" s="36" t="s">
        <v>117</v>
      </c>
      <c r="O306" s="36" t="s">
        <v>162</v>
      </c>
      <c r="P306" s="36" t="s">
        <v>119</v>
      </c>
      <c r="Q306" s="36" t="s">
        <v>120</v>
      </c>
      <c r="R306" s="36" t="s">
        <v>217</v>
      </c>
      <c r="S306" s="36" t="s">
        <v>121</v>
      </c>
      <c r="T306" s="36" t="s">
        <v>122</v>
      </c>
      <c r="W306" s="36" t="s">
        <v>116</v>
      </c>
      <c r="X306" s="36" t="s">
        <v>117</v>
      </c>
      <c r="Y306" s="36" t="s">
        <v>162</v>
      </c>
      <c r="Z306" s="36" t="s">
        <v>119</v>
      </c>
      <c r="AA306" s="36" t="s">
        <v>120</v>
      </c>
      <c r="AB306" s="36" t="s">
        <v>118</v>
      </c>
      <c r="AC306" s="36" t="s">
        <v>121</v>
      </c>
      <c r="AD306" s="36" t="s">
        <v>122</v>
      </c>
    </row>
    <row r="307" spans="1:30" ht="15.75" thickBot="1">
      <c r="A307" s="795"/>
      <c r="B307" s="796"/>
      <c r="C307" s="796"/>
      <c r="D307" s="796"/>
      <c r="E307" s="796"/>
      <c r="F307" s="796"/>
      <c r="G307" s="796"/>
      <c r="H307" s="797"/>
      <c r="M307" s="795"/>
      <c r="N307" s="796"/>
      <c r="O307" s="796"/>
      <c r="P307" s="796"/>
      <c r="Q307" s="796"/>
      <c r="R307" s="796"/>
      <c r="S307" s="796"/>
      <c r="T307" s="797"/>
      <c r="W307" s="795"/>
      <c r="X307" s="796"/>
      <c r="Y307" s="796"/>
      <c r="Z307" s="796"/>
      <c r="AA307" s="796"/>
      <c r="AB307" s="796"/>
      <c r="AC307" s="796"/>
      <c r="AD307" s="797"/>
    </row>
    <row r="308" spans="1:30" ht="15.75" thickBot="1">
      <c r="A308" s="158">
        <v>0.6</v>
      </c>
      <c r="B308" s="159">
        <v>2</v>
      </c>
      <c r="C308" s="74">
        <f>(((((A308*1)+(B308*2))*'MATERIALES (2)'!$C$33)+((A308*2)*'MATERIALES (2)'!$C$35)+((B308*1)*'MATERIALES (2)'!$C$35)+((B308*2)*'MATERIALES (2)'!$C$34))*'MATERIALES (2)'!$F$1)+'MATERIALES (2)'!$D$233</f>
        <v>95456.703999999998</v>
      </c>
      <c r="D308" s="74">
        <f>(2*'MATERIALES (2)'!$C$135)+(12*'MATERIALES (2)'!$C$147)+(12*'MATERIALES (2)'!$C$148)+((8*2)*'MATERIALES (2)'!$C$134)+(3*'MATERIALES (2)'!$C$150)+(((B308*2)+(A308*1))*'MATERIALES (2)'!$C$138)+(((A308)+(B308*2))*'MATERIALES (2)'!$C$130)+(((A308)+(B308*2))*'MATERIALES (2)'!$C$154)+(1*'MATERIALES (2)'!$C$151)+(((A308*5)*2)*'MATERIALES (2)'!$C$136)+(4*'MATERIALES (2)'!$C$137)+(0.5*'MATERIALES (2)'!$C$156)</f>
        <v>20934</v>
      </c>
      <c r="E308" s="74"/>
      <c r="F308" s="111">
        <f>((A308/2)*B308)*'MATERIALES (2)'!$D$85</f>
        <v>4440</v>
      </c>
      <c r="G308" s="74">
        <f>SUM(C308:F308)</f>
        <v>120830.704</v>
      </c>
      <c r="H308" s="160">
        <f>((((SUM(C308:E308)*$C$304)+(F308*$F$304))*1.21)*1.05)*1.05</f>
        <v>221458.08901986002</v>
      </c>
      <c r="M308" s="40">
        <v>0.6</v>
      </c>
      <c r="N308" s="41">
        <v>2</v>
      </c>
      <c r="O308" s="47">
        <f>((((M308*1)+(N308*2))*'MATERIALES (2)'!$C$33)+((M308*2)*'MATERIALES (2)'!$C$35)+((N308*2)*'MATERIALES (2)'!$C$34))*'MATERIALES (2)'!$F$1</f>
        <v>72100.853999999992</v>
      </c>
      <c r="P308" s="58">
        <f>(2*'MATERIALES (2)'!$C$135)+(8*'MATERIALES (2)'!$C$147)+(8*'MATERIALES (2)'!$C$148)+((8*2)*'MATERIALES (2)'!$C$134)+(3*'MATERIALES (2)'!$C$150)+(((N308*2)+(M308*1))*'MATERIALES (2)'!$C$138)+(1*'MATERIALES (2)'!$C$151)+(((M308*5)*2)*'MATERIALES (2)'!$C$136)+(4*'MATERIALES (2)'!$C$137)+(0.5*'MATERIALES (2)'!$C$156)+(((M308*2)+(N308*2))*'MATERIALES (2)'!$C$154)</f>
        <v>19214</v>
      </c>
      <c r="Q308" s="74"/>
      <c r="R308" s="54">
        <f>'MATERIALES (2)'!$D$233</f>
        <v>4900</v>
      </c>
      <c r="S308" s="47">
        <f>SUM(O308:R308)</f>
        <v>96214.853999999992</v>
      </c>
      <c r="T308" s="49">
        <f>(((SUM(O308:R308)*$O$304)*1.21)*1.05)*1.05</f>
        <v>173276.5778199225</v>
      </c>
      <c r="W308" s="65">
        <v>0.6</v>
      </c>
      <c r="X308" s="66">
        <v>2</v>
      </c>
      <c r="Y308" s="58">
        <f>((((W308*1)+(X308*2))*'MATERIALES (2)'!$C$33)+((W308*2)*'MATERIALES (2)'!$C$35)+((X308*1)*'MATERIALES (2)'!$C$35)+((X308*2)*'MATERIALES (2)'!$C$35)+((((W308/2)-0.2)*'MATERIALES (2)'!$C$23)*(X308/0.12)))*'MATERIALES (2)'!$F$1</f>
        <v>107265.704</v>
      </c>
      <c r="Z308" s="58">
        <f>(2*'MATERIALES (2)'!$C$135)+(12*'MATERIALES (2)'!$C$147)+(12*'MATERIALES (2)'!$C$148)+((8*2)*'MATERIALES (2)'!$C$134)+(3*'MATERIALES (2)'!$C$150)+(((X308*2)+(W308*1))*'MATERIALES (2)'!$C$138)+(((W308)+(X308*2))*'MATERIALES (2)'!$C$130)+(((W308)+(X308*2))*'MATERIALES (2)'!$C$154)+(1*'MATERIALES (2)'!$C$151)+(((W308*5)*2)*'MATERIALES (2)'!$C$136)+(4*'MATERIALES (2)'!$C$137)+(0.5*'MATERIALES (2)'!$C$156)</f>
        <v>20934</v>
      </c>
      <c r="AA308" s="58">
        <f>(0.5*'MATERIALES (2)'!$D$243)</f>
        <v>0</v>
      </c>
      <c r="AB308" s="54">
        <f>((W308/2)*X308)*'MATERIALES (2)'!$D$85</f>
        <v>4440</v>
      </c>
      <c r="AC308" s="58">
        <f>SUM(Y308:AB308)</f>
        <v>132639.704</v>
      </c>
      <c r="AD308" s="67">
        <f>((((SUM(Y308:AA308)*$Y$304)+(AB308*$AB$304))*1.21)*1.05)*1.05</f>
        <v>242725.31567360999</v>
      </c>
    </row>
    <row r="309" spans="1:30" ht="15.75" thickBot="1">
      <c r="A309" s="161">
        <v>0.7</v>
      </c>
      <c r="B309" s="162">
        <v>2</v>
      </c>
      <c r="C309" s="75">
        <f>(((((A309*1)+(B309*2))*'MATERIALES (2)'!$C$33)+((A309*2)*'MATERIALES (2)'!$C$35)+((B309*1)*'MATERIALES (2)'!$C$35)+((B309*2)*'MATERIALES (2)'!$C$34))*'MATERIALES (2)'!$F$1)+'MATERIALES (2)'!$D$233</f>
        <v>97994.952999999994</v>
      </c>
      <c r="D309" s="75">
        <f>(2*'MATERIALES (2)'!$C$135)+(12*'MATERIALES (2)'!$C$147)+(12*'MATERIALES (2)'!$C$148)+((8*2)*'MATERIALES (2)'!$C$134)+(3*'MATERIALES (2)'!$C$150)+(((B309*2)+(A309*1))*'MATERIALES (2)'!$C$138)+(((A309)+(B309*2))*'MATERIALES (2)'!$C$130)+(((A309)+(B309*2))*'MATERIALES (2)'!$C$154)+(1*'MATERIALES (2)'!$C$151)+(((A309*5)*2)*'MATERIALES (2)'!$C$136)+(4*'MATERIALES (2)'!$C$137)+(0.5*'MATERIALES (2)'!$C$156)</f>
        <v>20988</v>
      </c>
      <c r="E309" s="75"/>
      <c r="F309" s="112">
        <f>((A309/2)*B309)*'MATERIALES (2)'!$D$85</f>
        <v>5180</v>
      </c>
      <c r="G309" s="75">
        <f t="shared" ref="G309:G315" si="88">SUM(C309:F309)</f>
        <v>124162.95299999999</v>
      </c>
      <c r="H309" s="160">
        <f t="shared" ref="H309:H315" si="89">((((SUM(C309:E309)*$C$304)+(F309*$F$304))*1.21)*1.05)*1.05</f>
        <v>228100.91473236377</v>
      </c>
      <c r="M309" s="42">
        <v>0.7</v>
      </c>
      <c r="N309" s="37">
        <v>2</v>
      </c>
      <c r="O309" s="38">
        <f>((((M309*1)+(N309*2))*'MATERIALES (2)'!$C$33)+((M309*2)*'MATERIALES (2)'!$C$35)+((N309*2)*'MATERIALES (2)'!$C$34))*'MATERIALES (2)'!$F$1</f>
        <v>74639.103000000003</v>
      </c>
      <c r="P309" s="59">
        <f>(2*'MATERIALES (2)'!$C$135)+(8*'MATERIALES (2)'!$C$147)+(8*'MATERIALES (2)'!$C$148)+((8*2)*'MATERIALES (2)'!$C$134)+(3*'MATERIALES (2)'!$C$150)+(((N309*2)+(M309*1))*'MATERIALES (2)'!$C$138)+(1*'MATERIALES (2)'!$C$151)+(((M309*5)*2)*'MATERIALES (2)'!$C$136)+(4*'MATERIALES (2)'!$C$137)+(0.5*'MATERIALES (2)'!$C$156)+(((M309*2)+(N309*2))*'MATERIALES (2)'!$C$154)</f>
        <v>19268</v>
      </c>
      <c r="Q309" s="75"/>
      <c r="R309" s="55">
        <f>'MATERIALES (2)'!$D$233</f>
        <v>4900</v>
      </c>
      <c r="S309" s="38">
        <f t="shared" ref="S309:S315" si="90">SUM(O309:R309)</f>
        <v>98807.103000000003</v>
      </c>
      <c r="T309" s="49">
        <f t="shared" ref="T309:T315" si="91">(((SUM(O309:R309)*$O$304)*1.21)*1.05)*1.05</f>
        <v>177945.04653242629</v>
      </c>
      <c r="W309" s="68">
        <v>0.7</v>
      </c>
      <c r="X309" s="69">
        <v>2</v>
      </c>
      <c r="Y309" s="59">
        <f>((((W309*1)+(X309*2))*'MATERIALES (2)'!$C$33)+((W309*2)*'MATERIALES (2)'!$C$35)+((X309*1)*'MATERIALES (2)'!$C$35)+((X309*2)*'MATERIALES (2)'!$C$35)+((((W309/2)-0.2)*'MATERIALES (2)'!$C$23)*(X309/0.12)))*'MATERIALES (2)'!$F$1</f>
        <v>114285.00300000001</v>
      </c>
      <c r="Z309" s="59">
        <f>(2*'MATERIALES (2)'!$C$135)+(12*'MATERIALES (2)'!$C$147)+(12*'MATERIALES (2)'!$C$148)+((8*2)*'MATERIALES (2)'!$C$134)+(3*'MATERIALES (2)'!$C$150)+(((X309*2)+(W309*1))*'MATERIALES (2)'!$C$138)+(((W309)+(X309*2))*'MATERIALES (2)'!$C$130)+(((W309)+(X309*2))*'MATERIALES (2)'!$C$154)+(1*'MATERIALES (2)'!$C$151)+(((W309*5)*2)*'MATERIALES (2)'!$C$136)+(4*'MATERIALES (2)'!$C$137)+(0.5*'MATERIALES (2)'!$C$156)</f>
        <v>20988</v>
      </c>
      <c r="AA309" s="59">
        <f>(0.5*'MATERIALES (2)'!$D$243)</f>
        <v>0</v>
      </c>
      <c r="AB309" s="55">
        <f>((W309/2)*X309)*'MATERIALES (2)'!$D$85</f>
        <v>5180</v>
      </c>
      <c r="AC309" s="59">
        <f t="shared" ref="AC309:AC315" si="92">SUM(Y309:AB309)</f>
        <v>140453.00300000003</v>
      </c>
      <c r="AD309" s="67">
        <f t="shared" ref="AD309:AD315" si="93">((((SUM(Y309:AA309)*$Y$304)+(AB309*$AB$304))*1.21)*1.05)*1.05</f>
        <v>257438.21556655131</v>
      </c>
    </row>
    <row r="310" spans="1:30" ht="15.75" thickBot="1">
      <c r="A310" s="161">
        <v>0.8</v>
      </c>
      <c r="B310" s="162">
        <v>2</v>
      </c>
      <c r="C310" s="75">
        <f>(((((A310*1)+(B310*2))*'MATERIALES (2)'!$C$33)+((A310*2)*'MATERIALES (2)'!$C$35)+((B310*1)*'MATERIALES (2)'!$C$35)+((B310*2)*'MATERIALES (2)'!$C$34))*'MATERIALES (2)'!$F$1)+'MATERIALES (2)'!$D$233</f>
        <v>100533.20199999999</v>
      </c>
      <c r="D310" s="75">
        <f>(2*'MATERIALES (2)'!$C$135)+(12*'MATERIALES (2)'!$C$147)+(12*'MATERIALES (2)'!$C$148)+((8*2)*'MATERIALES (2)'!$C$134)+(3*'MATERIALES (2)'!$C$150)+(((B310*2)+(A310*1))*'MATERIALES (2)'!$C$138)+(((A310)+(B310*2))*'MATERIALES (2)'!$C$130)+(((A310)+(B310*2))*'MATERIALES (2)'!$C$154)+(1*'MATERIALES (2)'!$C$151)+(((A310*5)*2)*'MATERIALES (2)'!$C$136)+(4*'MATERIALES (2)'!$C$137)+(0.5*'MATERIALES (2)'!$C$156)</f>
        <v>21042</v>
      </c>
      <c r="E310" s="75"/>
      <c r="F310" s="112">
        <f>((A310/2)*B310)*'MATERIALES (2)'!$D$85</f>
        <v>5920</v>
      </c>
      <c r="G310" s="75">
        <f t="shared" si="88"/>
        <v>127495.20199999999</v>
      </c>
      <c r="H310" s="160">
        <f t="shared" si="89"/>
        <v>234743.74044486752</v>
      </c>
      <c r="M310" s="42">
        <v>0.8</v>
      </c>
      <c r="N310" s="37">
        <v>2</v>
      </c>
      <c r="O310" s="38">
        <f>((((M310*1)+(N310*2))*'MATERIALES (2)'!$C$33)+((M310*2)*'MATERIALES (2)'!$C$35)+((N310*2)*'MATERIALES (2)'!$C$34))*'MATERIALES (2)'!$F$1</f>
        <v>77177.351999999999</v>
      </c>
      <c r="P310" s="59">
        <f>(2*'MATERIALES (2)'!$C$135)+(8*'MATERIALES (2)'!$C$147)+(8*'MATERIALES (2)'!$C$148)+((8*2)*'MATERIALES (2)'!$C$134)+(3*'MATERIALES (2)'!$C$150)+(((N310*2)+(M310*1))*'MATERIALES (2)'!$C$138)+(1*'MATERIALES (2)'!$C$151)+(((M310*5)*2)*'MATERIALES (2)'!$C$136)+(4*'MATERIALES (2)'!$C$137)+(0.5*'MATERIALES (2)'!$C$156)+(((M310*2)+(N310*2))*'MATERIALES (2)'!$C$154)</f>
        <v>19322</v>
      </c>
      <c r="Q310" s="75"/>
      <c r="R310" s="55">
        <f>'MATERIALES (2)'!$D$233</f>
        <v>4900</v>
      </c>
      <c r="S310" s="38">
        <f t="shared" si="90"/>
        <v>101399.352</v>
      </c>
      <c r="T310" s="49">
        <f t="shared" si="91"/>
        <v>182613.51524493002</v>
      </c>
      <c r="W310" s="68">
        <v>0.8</v>
      </c>
      <c r="X310" s="69">
        <v>2</v>
      </c>
      <c r="Y310" s="59">
        <f>((((W310*1)+(X310*2))*'MATERIALES (2)'!$C$33)+((W310*2)*'MATERIALES (2)'!$C$35)+((X310*1)*'MATERIALES (2)'!$C$35)+((X310*2)*'MATERIALES (2)'!$C$35)+((((W310/2)-0.2)*'MATERIALES (2)'!$C$23)*(X310/0.12)))*'MATERIALES (2)'!$F$1</f>
        <v>121304.30200000001</v>
      </c>
      <c r="Z310" s="59">
        <f>(2*'MATERIALES (2)'!$C$135)+(12*'MATERIALES (2)'!$C$147)+(12*'MATERIALES (2)'!$C$148)+((8*2)*'MATERIALES (2)'!$C$134)+(3*'MATERIALES (2)'!$C$150)+(((X310*2)+(W310*1))*'MATERIALES (2)'!$C$138)+(((W310)+(X310*2))*'MATERIALES (2)'!$C$130)+(((W310)+(X310*2))*'MATERIALES (2)'!$C$154)+(1*'MATERIALES (2)'!$C$151)+(((W310*5)*2)*'MATERIALES (2)'!$C$136)+(4*'MATERIALES (2)'!$C$137)+(0.5*'MATERIALES (2)'!$C$156)</f>
        <v>21042</v>
      </c>
      <c r="AA310" s="59">
        <f>(0.5*'MATERIALES (2)'!$D$243)</f>
        <v>0</v>
      </c>
      <c r="AB310" s="55">
        <f>((W310/2)*X310)*'MATERIALES (2)'!$D$85</f>
        <v>5920</v>
      </c>
      <c r="AC310" s="59">
        <f t="shared" si="92"/>
        <v>148266.30200000003</v>
      </c>
      <c r="AD310" s="67">
        <f t="shared" si="93"/>
        <v>272151.1154594926</v>
      </c>
    </row>
    <row r="311" spans="1:30" ht="15.75" thickBot="1">
      <c r="A311" s="161">
        <v>0.9</v>
      </c>
      <c r="B311" s="162">
        <v>2</v>
      </c>
      <c r="C311" s="75">
        <f>(((((A311*1)+(B311*2))*'MATERIALES (2)'!$C$33)+((A311*2)*'MATERIALES (2)'!$C$35)+((B311*1)*'MATERIALES (2)'!$C$35)+((B311*2)*'MATERIALES (2)'!$C$34))*'MATERIALES (2)'!$F$1)+'MATERIALES (2)'!$D$233</f>
        <v>103071.451</v>
      </c>
      <c r="D311" s="75">
        <f>(2*'MATERIALES (2)'!$C$135)+(12*'MATERIALES (2)'!$C$147)+(12*'MATERIALES (2)'!$C$148)+((8*2)*'MATERIALES (2)'!$C$134)+(3*'MATERIALES (2)'!$C$150)+(((B311*2)+(A311*1))*'MATERIALES (2)'!$C$138)+(((A311)+(B311*2))*'MATERIALES (2)'!$C$130)+(((A311)+(B311*2))*'MATERIALES (2)'!$C$154)+(1*'MATERIALES (2)'!$C$151)+(((A311*5)*2)*'MATERIALES (2)'!$C$136)+(4*'MATERIALES (2)'!$C$137)+(0.5*'MATERIALES (2)'!$C$156)</f>
        <v>21096</v>
      </c>
      <c r="E311" s="75"/>
      <c r="F311" s="112">
        <f>((A311/2)*B311)*'MATERIALES (2)'!$D$85</f>
        <v>6660</v>
      </c>
      <c r="G311" s="75">
        <f t="shared" si="88"/>
        <v>130827.451</v>
      </c>
      <c r="H311" s="160">
        <f t="shared" si="89"/>
        <v>241386.56615737127</v>
      </c>
      <c r="M311" s="42">
        <v>0.9</v>
      </c>
      <c r="N311" s="37">
        <v>2</v>
      </c>
      <c r="O311" s="38">
        <f>((((M311*1)+(N311*2))*'MATERIALES (2)'!$C$33)+((M311*2)*'MATERIALES (2)'!$C$35)+((N311*2)*'MATERIALES (2)'!$C$34))*'MATERIALES (2)'!$F$1</f>
        <v>79715.60100000001</v>
      </c>
      <c r="P311" s="59">
        <f>(2*'MATERIALES (2)'!$C$135)+(8*'MATERIALES (2)'!$C$147)+(8*'MATERIALES (2)'!$C$148)+((8*2)*'MATERIALES (2)'!$C$134)+(3*'MATERIALES (2)'!$C$150)+(((N311*2)+(M311*1))*'MATERIALES (2)'!$C$138)+(1*'MATERIALES (2)'!$C$151)+(((M311*5)*2)*'MATERIALES (2)'!$C$136)+(4*'MATERIALES (2)'!$C$137)+(0.5*'MATERIALES (2)'!$C$156)+(((M311*2)+(N311*2))*'MATERIALES (2)'!$C$154)</f>
        <v>19376</v>
      </c>
      <c r="Q311" s="75"/>
      <c r="R311" s="55">
        <f>'MATERIALES (2)'!$D$233</f>
        <v>4900</v>
      </c>
      <c r="S311" s="38">
        <f t="shared" si="90"/>
        <v>103991.60100000001</v>
      </c>
      <c r="T311" s="49">
        <f t="shared" si="91"/>
        <v>187281.98395743375</v>
      </c>
      <c r="W311" s="68">
        <v>0.9</v>
      </c>
      <c r="X311" s="69">
        <v>2</v>
      </c>
      <c r="Y311" s="59">
        <f>((((W311*1)+(X311*2))*'MATERIALES (2)'!$C$33)+((W311*2)*'MATERIALES (2)'!$C$35)+((X311*1)*'MATERIALES (2)'!$C$35)+((X311*2)*'MATERIALES (2)'!$C$35)+((((W311/2)-0.2)*'MATERIALES (2)'!$C$23)*(X311/0.12)))*'MATERIALES (2)'!$F$1</f>
        <v>128323.60100000001</v>
      </c>
      <c r="Z311" s="59">
        <f>(2*'MATERIALES (2)'!$C$135)+(12*'MATERIALES (2)'!$C$147)+(12*'MATERIALES (2)'!$C$148)+((8*2)*'MATERIALES (2)'!$C$134)+(3*'MATERIALES (2)'!$C$150)+(((X311*2)+(W311*1))*'MATERIALES (2)'!$C$138)+(((W311)+(X311*2))*'MATERIALES (2)'!$C$130)+(((W311)+(X311*2))*'MATERIALES (2)'!$C$154)+(1*'MATERIALES (2)'!$C$151)+(((W311*5)*2)*'MATERIALES (2)'!$C$136)+(4*'MATERIALES (2)'!$C$137)+(0.5*'MATERIALES (2)'!$C$156)</f>
        <v>21096</v>
      </c>
      <c r="AA311" s="59">
        <f>(0.5*'MATERIALES (2)'!$D$243)</f>
        <v>0</v>
      </c>
      <c r="AB311" s="55">
        <f>((W311/2)*X311)*'MATERIALES (2)'!$D$85</f>
        <v>6660</v>
      </c>
      <c r="AC311" s="59">
        <f t="shared" si="92"/>
        <v>156079.60100000002</v>
      </c>
      <c r="AD311" s="67">
        <f t="shared" si="93"/>
        <v>286864.01535243384</v>
      </c>
    </row>
    <row r="312" spans="1:30" ht="15.75" thickBot="1">
      <c r="A312" s="161">
        <v>0.6</v>
      </c>
      <c r="B312" s="162">
        <v>2.1</v>
      </c>
      <c r="C312" s="75">
        <f>(((((A312*1)+(B312*2))*'MATERIALES (2)'!$C$33)+((A312*2)*'MATERIALES (2)'!$C$35)+((B312*1)*'MATERIALES (2)'!$C$35)+((B312*2)*'MATERIALES (2)'!$C$34))*'MATERIALES (2)'!$F$1)+'MATERIALES (2)'!$D$233</f>
        <v>99223.064500000008</v>
      </c>
      <c r="D312" s="75">
        <f>(2*'MATERIALES (2)'!$C$135)+(12*'MATERIALES (2)'!$C$147)+(12*'MATERIALES (2)'!$C$148)+((8*2)*'MATERIALES (2)'!$C$134)+(3*'MATERIALES (2)'!$C$150)+(((B312*2)+(A312*1))*'MATERIALES (2)'!$C$138)+(((A312)+(B312*2))*'MATERIALES (2)'!$C$130)+(((A312)+(B312*2))*'MATERIALES (2)'!$C$154)+(1*'MATERIALES (2)'!$C$151)+(((A312*5)*2)*'MATERIALES (2)'!$C$136)+(4*'MATERIALES (2)'!$C$137)+(0.5*'MATERIALES (2)'!$C$156)</f>
        <v>21042</v>
      </c>
      <c r="E312" s="75"/>
      <c r="F312" s="112">
        <f>((A312/2)*B312)*'MATERIALES (2)'!$D$85</f>
        <v>4662</v>
      </c>
      <c r="G312" s="75">
        <f t="shared" si="88"/>
        <v>124927.06450000001</v>
      </c>
      <c r="H312" s="160">
        <f t="shared" si="89"/>
        <v>229027.86270397689</v>
      </c>
      <c r="M312" s="42">
        <v>0.6</v>
      </c>
      <c r="N312" s="37">
        <v>2.1</v>
      </c>
      <c r="O312" s="38">
        <f>((((M312*1)+(N312*2))*'MATERIALES (2)'!$C$33)+((M312*2)*'MATERIALES (2)'!$C$35)+((N312*2)*'MATERIALES (2)'!$C$34))*'MATERIALES (2)'!$F$1</f>
        <v>74944.422000000006</v>
      </c>
      <c r="P312" s="59">
        <f>(2*'MATERIALES (2)'!$C$135)+(8*'MATERIALES (2)'!$C$147)+(8*'MATERIALES (2)'!$C$148)+((8*2)*'MATERIALES (2)'!$C$134)+(3*'MATERIALES (2)'!$C$150)+(((N312*2)+(M312*1))*'MATERIALES (2)'!$C$138)+(1*'MATERIALES (2)'!$C$151)+(((M312*5)*2)*'MATERIALES (2)'!$C$136)+(4*'MATERIALES (2)'!$C$137)+(0.5*'MATERIALES (2)'!$C$156)+(((M312*2)+(N312*2))*'MATERIALES (2)'!$C$154)</f>
        <v>19274</v>
      </c>
      <c r="Q312" s="75"/>
      <c r="R312" s="55">
        <f>'MATERIALES (2)'!$D$233</f>
        <v>4900</v>
      </c>
      <c r="S312" s="38">
        <f t="shared" si="90"/>
        <v>99118.422000000006</v>
      </c>
      <c r="T312" s="49">
        <f t="shared" si="91"/>
        <v>178505.71142654255</v>
      </c>
      <c r="W312" s="68">
        <v>0.6</v>
      </c>
      <c r="X312" s="69">
        <v>2.1</v>
      </c>
      <c r="Y312" s="59">
        <f>((((W312*1)+(X312*2))*'MATERIALES (2)'!$C$33)+((W312*2)*'MATERIALES (2)'!$C$35)+((X312*1)*'MATERIALES (2)'!$C$35)+((X312*2)*'MATERIALES (2)'!$C$35)+((((W312/2)-0.2)*'MATERIALES (2)'!$C$23)*(X312/0.12)))*'MATERIALES (2)'!$F$1</f>
        <v>111867.51450000002</v>
      </c>
      <c r="Z312" s="59">
        <f>(2*'MATERIALES (2)'!$C$135)+(12*'MATERIALES (2)'!$C$147)+(12*'MATERIALES (2)'!$C$148)+((8*2)*'MATERIALES (2)'!$C$134)+(3*'MATERIALES (2)'!$C$150)+(((X312*2)+(W312*1))*'MATERIALES (2)'!$C$138)+(((W312)+(X312*2))*'MATERIALES (2)'!$C$130)+(((W312)+(X312*2))*'MATERIALES (2)'!$C$154)+(1*'MATERIALES (2)'!$C$151)+(((W312*5)*2)*'MATERIALES (2)'!$C$136)+(4*'MATERIALES (2)'!$C$137)+(0.5*'MATERIALES (2)'!$C$156)</f>
        <v>21042</v>
      </c>
      <c r="AA312" s="59">
        <f>(0.5*'MATERIALES (2)'!$D$243)</f>
        <v>0</v>
      </c>
      <c r="AB312" s="55">
        <f>((W312/2)*X312)*'MATERIALES (2)'!$D$85</f>
        <v>4662</v>
      </c>
      <c r="AC312" s="59">
        <f t="shared" si="92"/>
        <v>137571.51450000002</v>
      </c>
      <c r="AD312" s="67">
        <f t="shared" si="93"/>
        <v>251799.67945916444</v>
      </c>
    </row>
    <row r="313" spans="1:30" ht="15.75" thickBot="1">
      <c r="A313" s="161">
        <v>0.7</v>
      </c>
      <c r="B313" s="162">
        <v>2.1</v>
      </c>
      <c r="C313" s="75">
        <f>(((((A313*1)+(B313*2))*'MATERIALES (2)'!$C$33)+((A313*2)*'MATERIALES (2)'!$C$35)+((B313*1)*'MATERIALES (2)'!$C$35)+((B313*2)*'MATERIALES (2)'!$C$34))*'MATERIALES (2)'!$F$1)+'MATERIALES (2)'!$D$233</f>
        <v>101761.3135</v>
      </c>
      <c r="D313" s="75">
        <f>(2*'MATERIALES (2)'!$C$135)+(12*'MATERIALES (2)'!$C$147)+(12*'MATERIALES (2)'!$C$148)+((8*2)*'MATERIALES (2)'!$C$134)+(3*'MATERIALES (2)'!$C$150)+(((B313*2)+(A313*1))*'MATERIALES (2)'!$C$138)+(((A313)+(B313*2))*'MATERIALES (2)'!$C$130)+(((A313)+(B313*2))*'MATERIALES (2)'!$C$154)+(1*'MATERIALES (2)'!$C$151)+(((A313*5)*2)*'MATERIALES (2)'!$C$136)+(4*'MATERIALES (2)'!$C$137)+(0.5*'MATERIALES (2)'!$C$156)</f>
        <v>21096</v>
      </c>
      <c r="E313" s="75"/>
      <c r="F313" s="112">
        <f>((A313/2)*B313)*'MATERIALES (2)'!$D$85</f>
        <v>5439</v>
      </c>
      <c r="G313" s="75">
        <f t="shared" si="88"/>
        <v>128296.3135</v>
      </c>
      <c r="H313" s="160">
        <f t="shared" si="89"/>
        <v>235769.40626648066</v>
      </c>
      <c r="M313" s="42">
        <v>0.7</v>
      </c>
      <c r="N313" s="37">
        <v>2.1</v>
      </c>
      <c r="O313" s="38">
        <f>((((M313*1)+(N313*2))*'MATERIALES (2)'!$C$33)+((M313*2)*'MATERIALES (2)'!$C$35)+((N313*2)*'MATERIALES (2)'!$C$34))*'MATERIALES (2)'!$F$1</f>
        <v>77482.671000000002</v>
      </c>
      <c r="P313" s="59">
        <f>(2*'MATERIALES (2)'!$C$135)+(8*'MATERIALES (2)'!$C$147)+(8*'MATERIALES (2)'!$C$148)+((8*2)*'MATERIALES (2)'!$C$134)+(3*'MATERIALES (2)'!$C$150)+(((N313*2)+(M313*1))*'MATERIALES (2)'!$C$138)+(1*'MATERIALES (2)'!$C$151)+(((M313*5)*2)*'MATERIALES (2)'!$C$136)+(4*'MATERIALES (2)'!$C$137)+(0.5*'MATERIALES (2)'!$C$156)+(((M313*2)+(N313*2))*'MATERIALES (2)'!$C$154)</f>
        <v>19328</v>
      </c>
      <c r="Q313" s="75"/>
      <c r="R313" s="55">
        <f>'MATERIALES (2)'!$D$233</f>
        <v>4900</v>
      </c>
      <c r="S313" s="38">
        <f t="shared" si="90"/>
        <v>101710.671</v>
      </c>
      <c r="T313" s="49">
        <f t="shared" si="91"/>
        <v>183174.18013904628</v>
      </c>
      <c r="W313" s="68">
        <v>0.7</v>
      </c>
      <c r="X313" s="69">
        <v>2.1</v>
      </c>
      <c r="Y313" s="59">
        <f>((((W313*1)+(X313*2))*'MATERIALES (2)'!$C$33)+((W313*2)*'MATERIALES (2)'!$C$35)+((X313*1)*'MATERIALES (2)'!$C$35)+((X313*2)*'MATERIALES (2)'!$C$35)+((((W313/2)-0.2)*'MATERIALES (2)'!$C$23)*(X313/0.12)))*'MATERIALES (2)'!$F$1</f>
        <v>119110.86599999999</v>
      </c>
      <c r="Z313" s="59">
        <f>(2*'MATERIALES (2)'!$C$135)+(12*'MATERIALES (2)'!$C$147)+(12*'MATERIALES (2)'!$C$148)+((8*2)*'MATERIALES (2)'!$C$134)+(3*'MATERIALES (2)'!$C$150)+(((X313*2)+(W313*1))*'MATERIALES (2)'!$C$138)+(((W313)+(X313*2))*'MATERIALES (2)'!$C$130)+(((W313)+(X313*2))*'MATERIALES (2)'!$C$154)+(1*'MATERIALES (2)'!$C$151)+(((W313*5)*2)*'MATERIALES (2)'!$C$136)+(4*'MATERIALES (2)'!$C$137)+(0.5*'MATERIALES (2)'!$C$156)</f>
        <v>21096</v>
      </c>
      <c r="AA313" s="59">
        <f>(0.5*'MATERIALES (2)'!$D$243)</f>
        <v>0</v>
      </c>
      <c r="AB313" s="55">
        <f>((W313/2)*X313)*'MATERIALES (2)'!$D$85</f>
        <v>5439</v>
      </c>
      <c r="AC313" s="59">
        <f t="shared" si="92"/>
        <v>145645.86599999998</v>
      </c>
      <c r="AD313" s="67">
        <f t="shared" si="93"/>
        <v>267014.80091112747</v>
      </c>
    </row>
    <row r="314" spans="1:30" ht="15.75" thickBot="1">
      <c r="A314" s="161">
        <v>0.8</v>
      </c>
      <c r="B314" s="162">
        <v>2.1</v>
      </c>
      <c r="C314" s="75">
        <f>(((((A314*1)+(B314*2))*'MATERIALES (2)'!$C$33)+((A314*2)*'MATERIALES (2)'!$C$35)+((B314*1)*'MATERIALES (2)'!$C$35)+((B314*2)*'MATERIALES (2)'!$C$34))*'MATERIALES (2)'!$F$1)+'MATERIALES (2)'!$D$233</f>
        <v>104299.56250000001</v>
      </c>
      <c r="D314" s="75">
        <f>(2*'MATERIALES (2)'!$C$135)+(12*'MATERIALES (2)'!$C$147)+(12*'MATERIALES (2)'!$C$148)+((8*2)*'MATERIALES (2)'!$C$134)+(3*'MATERIALES (2)'!$C$150)+(((B314*2)+(A314*1))*'MATERIALES (2)'!$C$138)+(((A314)+(B314*2))*'MATERIALES (2)'!$C$130)+(((A314)+(B314*2))*'MATERIALES (2)'!$C$154)+(1*'MATERIALES (2)'!$C$151)+(((A314*5)*2)*'MATERIALES (2)'!$C$136)+(4*'MATERIALES (2)'!$C$137)+(0.5*'MATERIALES (2)'!$C$156)</f>
        <v>21150</v>
      </c>
      <c r="E314" s="75"/>
      <c r="F314" s="112">
        <f>((A314/2)*B314)*'MATERIALES (2)'!$D$85</f>
        <v>6216.0000000000009</v>
      </c>
      <c r="G314" s="75">
        <f t="shared" si="88"/>
        <v>131665.56250000003</v>
      </c>
      <c r="H314" s="160">
        <f t="shared" si="89"/>
        <v>242510.94982898442</v>
      </c>
      <c r="M314" s="42">
        <v>0.8</v>
      </c>
      <c r="N314" s="37">
        <v>2.1</v>
      </c>
      <c r="O314" s="38">
        <f>((((M314*1)+(N314*2))*'MATERIALES (2)'!$C$33)+((M314*2)*'MATERIALES (2)'!$C$35)+((N314*2)*'MATERIALES (2)'!$C$34))*'MATERIALES (2)'!$F$1</f>
        <v>80020.920000000013</v>
      </c>
      <c r="P314" s="59">
        <f>(2*'MATERIALES (2)'!$C$135)+(8*'MATERIALES (2)'!$C$147)+(8*'MATERIALES (2)'!$C$148)+((8*2)*'MATERIALES (2)'!$C$134)+(3*'MATERIALES (2)'!$C$150)+(((N314*2)+(M314*1))*'MATERIALES (2)'!$C$138)+(1*'MATERIALES (2)'!$C$151)+(((M314*5)*2)*'MATERIALES (2)'!$C$136)+(4*'MATERIALES (2)'!$C$137)+(0.5*'MATERIALES (2)'!$C$156)+(((M314*2)+(N314*2))*'MATERIALES (2)'!$C$154)</f>
        <v>19382</v>
      </c>
      <c r="Q314" s="75"/>
      <c r="R314" s="55">
        <f>'MATERIALES (2)'!$D$233</f>
        <v>4900</v>
      </c>
      <c r="S314" s="38">
        <f t="shared" si="90"/>
        <v>104302.92000000001</v>
      </c>
      <c r="T314" s="49">
        <f t="shared" si="91"/>
        <v>187842.64885155007</v>
      </c>
      <c r="W314" s="68">
        <v>0.8</v>
      </c>
      <c r="X314" s="69">
        <v>2.1</v>
      </c>
      <c r="Y314" s="59">
        <f>((((W314*1)+(X314*2))*'MATERIALES (2)'!$C$33)+((W314*2)*'MATERIALES (2)'!$C$35)+((X314*1)*'MATERIALES (2)'!$C$35)+((X314*2)*'MATERIALES (2)'!$C$35)+((((W314/2)-0.2)*'MATERIALES (2)'!$C$23)*(X314/0.12)))*'MATERIALES (2)'!$F$1</f>
        <v>126354.21750000001</v>
      </c>
      <c r="Z314" s="59">
        <f>(2*'MATERIALES (2)'!$C$135)+(12*'MATERIALES (2)'!$C$147)+(12*'MATERIALES (2)'!$C$148)+((8*2)*'MATERIALES (2)'!$C$134)+(3*'MATERIALES (2)'!$C$150)+(((X314*2)+(W314*1))*'MATERIALES (2)'!$C$138)+(((W314)+(X314*2))*'MATERIALES (2)'!$C$130)+(((W314)+(X314*2))*'MATERIALES (2)'!$C$154)+(1*'MATERIALES (2)'!$C$151)+(((W314*5)*2)*'MATERIALES (2)'!$C$136)+(4*'MATERIALES (2)'!$C$137)+(0.5*'MATERIALES (2)'!$C$156)</f>
        <v>21150</v>
      </c>
      <c r="AA314" s="59">
        <f>(0.5*'MATERIALES (2)'!$D$243)</f>
        <v>0</v>
      </c>
      <c r="AB314" s="55">
        <f>((W314/2)*X314)*'MATERIALES (2)'!$D$85</f>
        <v>6216.0000000000009</v>
      </c>
      <c r="AC314" s="59">
        <f t="shared" si="92"/>
        <v>153720.21750000003</v>
      </c>
      <c r="AD314" s="67">
        <f t="shared" si="93"/>
        <v>282229.92236309068</v>
      </c>
    </row>
    <row r="315" spans="1:30" ht="15.75" thickBot="1">
      <c r="A315" s="164">
        <v>0.9</v>
      </c>
      <c r="B315" s="165">
        <v>2.1</v>
      </c>
      <c r="C315" s="76">
        <f>(((((A315*1)+(B315*2))*'MATERIALES (2)'!$C$33)+((A315*2)*'MATERIALES (2)'!$C$35)+((B315*1)*'MATERIALES (2)'!$C$35)+((B315*2)*'MATERIALES (2)'!$C$34))*'MATERIALES (2)'!$F$1)+'MATERIALES (2)'!$D$233</f>
        <v>106837.81150000001</v>
      </c>
      <c r="D315" s="76">
        <f>(2*'MATERIALES (2)'!$C$135)+(12*'MATERIALES (2)'!$C$147)+(12*'MATERIALES (2)'!$C$148)+((8*2)*'MATERIALES (2)'!$C$134)+(3*'MATERIALES (2)'!$C$150)+(((B315*2)+(A315*1))*'MATERIALES (2)'!$C$138)+(((A315)+(B315*2))*'MATERIALES (2)'!$C$130)+(((A315)+(B315*2))*'MATERIALES (2)'!$C$154)+(1*'MATERIALES (2)'!$C$151)+(((A315*5)*2)*'MATERIALES (2)'!$C$136)+(4*'MATERIALES (2)'!$C$137)+(0.5*'MATERIALES (2)'!$C$156)</f>
        <v>21204</v>
      </c>
      <c r="E315" s="76"/>
      <c r="F315" s="113">
        <f>((A315/2)*B315)*'MATERIALES (2)'!$D$85</f>
        <v>6993.0000000000009</v>
      </c>
      <c r="G315" s="76">
        <f t="shared" si="88"/>
        <v>135034.81150000001</v>
      </c>
      <c r="H315" s="160">
        <f t="shared" si="89"/>
        <v>249252.49339148815</v>
      </c>
      <c r="M315" s="44">
        <v>0.9</v>
      </c>
      <c r="N315" s="45">
        <v>2.1</v>
      </c>
      <c r="O315" s="50">
        <f>((((M315*1)+(N315*2))*'MATERIALES (2)'!$C$33)+((M315*2)*'MATERIALES (2)'!$C$35)+((N315*2)*'MATERIALES (2)'!$C$34))*'MATERIALES (2)'!$F$1</f>
        <v>82559.169000000009</v>
      </c>
      <c r="P315" s="60">
        <f>(2*'MATERIALES (2)'!$C$135)+(8*'MATERIALES (2)'!$C$147)+(8*'MATERIALES (2)'!$C$148)+((8*2)*'MATERIALES (2)'!$C$134)+(3*'MATERIALES (2)'!$C$150)+(((N315*2)+(M315*1))*'MATERIALES (2)'!$C$138)+(1*'MATERIALES (2)'!$C$151)+(((M315*5)*2)*'MATERIALES (2)'!$C$136)+(4*'MATERIALES (2)'!$C$137)+(0.5*'MATERIALES (2)'!$C$156)+(((M315*2)+(N315*2))*'MATERIALES (2)'!$C$154)</f>
        <v>19436</v>
      </c>
      <c r="Q315" s="76"/>
      <c r="R315" s="56">
        <f>'MATERIALES (2)'!$D$233</f>
        <v>4900</v>
      </c>
      <c r="S315" s="50">
        <f t="shared" si="90"/>
        <v>106895.16900000001</v>
      </c>
      <c r="T315" s="49">
        <f t="shared" si="91"/>
        <v>192511.11756405377</v>
      </c>
      <c r="W315" s="71">
        <v>0.9</v>
      </c>
      <c r="X315" s="72">
        <v>2.1</v>
      </c>
      <c r="Y315" s="60">
        <f>((((W315*1)+(X315*2))*'MATERIALES (2)'!$C$33)+((W315*2)*'MATERIALES (2)'!$C$35)+((X315*1)*'MATERIALES (2)'!$C$35)+((X315*2)*'MATERIALES (2)'!$C$35)+((((W315/2)-0.2)*'MATERIALES (2)'!$C$23)*(X315/0.12)))*'MATERIALES (2)'!$F$1</f>
        <v>133597.56900000002</v>
      </c>
      <c r="Z315" s="60">
        <f>(2*'MATERIALES (2)'!$C$135)+(12*'MATERIALES (2)'!$C$147)+(12*'MATERIALES (2)'!$C$148)+((8*2)*'MATERIALES (2)'!$C$134)+(3*'MATERIALES (2)'!$C$150)+(((X315*2)+(W315*1))*'MATERIALES (2)'!$C$138)+(((W315)+(X315*2))*'MATERIALES (2)'!$C$130)+(((W315)+(X315*2))*'MATERIALES (2)'!$C$154)+(1*'MATERIALES (2)'!$C$151)+(((W315*5)*2)*'MATERIALES (2)'!$C$136)+(4*'MATERIALES (2)'!$C$137)+(0.5*'MATERIALES (2)'!$C$156)</f>
        <v>21204</v>
      </c>
      <c r="AA315" s="60">
        <f>(0.5*'MATERIALES (2)'!$D$243)</f>
        <v>0</v>
      </c>
      <c r="AB315" s="56">
        <f>((W315/2)*X315)*'MATERIALES (2)'!$D$85</f>
        <v>6993.0000000000009</v>
      </c>
      <c r="AC315" s="60">
        <f t="shared" si="92"/>
        <v>161794.56900000002</v>
      </c>
      <c r="AD315" s="67">
        <f t="shared" si="93"/>
        <v>297445.04381505377</v>
      </c>
    </row>
    <row r="317" spans="1:30" ht="15.75" thickBot="1"/>
    <row r="318" spans="1:30" ht="15.75" thickBot="1">
      <c r="A318" s="32"/>
      <c r="B318" s="32"/>
      <c r="C318" s="947">
        <v>1.35</v>
      </c>
      <c r="D318" s="948"/>
      <c r="E318" s="949"/>
      <c r="F318" s="728">
        <v>2</v>
      </c>
      <c r="G318" s="32"/>
      <c r="H318" s="46" t="s">
        <v>163</v>
      </c>
      <c r="M318" s="32"/>
      <c r="N318" s="32"/>
      <c r="O318" s="947">
        <v>1.35</v>
      </c>
      <c r="P318" s="948"/>
      <c r="Q318" s="949"/>
      <c r="R318" s="728">
        <v>2</v>
      </c>
      <c r="S318" s="32"/>
      <c r="T318" s="46" t="s">
        <v>163</v>
      </c>
    </row>
    <row r="319" spans="1:30" ht="15.75" thickBot="1">
      <c r="A319" s="792" t="s">
        <v>802</v>
      </c>
      <c r="B319" s="793"/>
      <c r="C319" s="793"/>
      <c r="D319" s="793"/>
      <c r="E319" s="793"/>
      <c r="F319" s="793"/>
      <c r="G319" s="793"/>
      <c r="H319" s="794"/>
      <c r="M319" s="792" t="s">
        <v>803</v>
      </c>
      <c r="N319" s="793"/>
      <c r="O319" s="793"/>
      <c r="P319" s="793"/>
      <c r="Q319" s="793"/>
      <c r="R319" s="793"/>
      <c r="S319" s="793"/>
      <c r="T319" s="794"/>
    </row>
    <row r="320" spans="1:30" ht="15.75" thickBot="1">
      <c r="A320" s="36" t="s">
        <v>116</v>
      </c>
      <c r="B320" s="36" t="s">
        <v>117</v>
      </c>
      <c r="C320" s="36" t="s">
        <v>162</v>
      </c>
      <c r="D320" s="36" t="s">
        <v>119</v>
      </c>
      <c r="E320" s="36" t="s">
        <v>120</v>
      </c>
      <c r="F320" s="36" t="s">
        <v>118</v>
      </c>
      <c r="G320" s="36" t="s">
        <v>121</v>
      </c>
      <c r="H320" s="36" t="s">
        <v>122</v>
      </c>
      <c r="M320" s="36" t="s">
        <v>116</v>
      </c>
      <c r="N320" s="36" t="s">
        <v>117</v>
      </c>
      <c r="O320" s="36" t="s">
        <v>162</v>
      </c>
      <c r="P320" s="36" t="s">
        <v>119</v>
      </c>
      <c r="Q320" s="36" t="s">
        <v>120</v>
      </c>
      <c r="R320" s="36" t="s">
        <v>118</v>
      </c>
      <c r="S320" s="36" t="s">
        <v>121</v>
      </c>
      <c r="T320" s="36" t="s">
        <v>122</v>
      </c>
    </row>
    <row r="321" spans="1:20" ht="15.75" thickBot="1">
      <c r="A321" s="795"/>
      <c r="B321" s="796"/>
      <c r="C321" s="796"/>
      <c r="D321" s="796"/>
      <c r="E321" s="796"/>
      <c r="F321" s="796"/>
      <c r="G321" s="796"/>
      <c r="H321" s="797"/>
      <c r="M321" s="795"/>
      <c r="N321" s="796"/>
      <c r="O321" s="796"/>
      <c r="P321" s="796"/>
      <c r="Q321" s="796"/>
      <c r="R321" s="796"/>
      <c r="S321" s="796"/>
      <c r="T321" s="797"/>
    </row>
    <row r="322" spans="1:20" ht="15.75" thickBot="1">
      <c r="A322" s="65">
        <v>0.6</v>
      </c>
      <c r="B322" s="66">
        <v>2</v>
      </c>
      <c r="C322" s="58">
        <f>((((A322*1)+(B322*2))*'MATERIALES (2)'!$C$33)+((A322*5)*'MATERIALES (2)'!$C$35)+((B322*2)*'MATERIALES (2)'!$C$34)+(((A322-0.2)*'MATERIALES (2)'!$C$23)*((B322/2)/0.12)))*'MATERIALES (2)'!$F$1</f>
        <v>106635.319</v>
      </c>
      <c r="D322" s="58">
        <f>(2*'MATERIALES (2)'!$C$135)+(20*'MATERIALES (2)'!$C$147)+(20*'MATERIALES (2)'!$C$148)+((8*2)*'MATERIALES (2)'!$C$134)+(3*'MATERIALES (2)'!$C$150)+(((B322*2)+(A322*1))*'MATERIALES (2)'!$C$138)+(((A322*6)+((B322/2)*2))*'MATERIALES (2)'!$C$130)+(((A322*2)+(B322/2)*2)*'MATERIALES (2)'!$C$154)+(0.5*'MATERIALES (2)'!$C$156)+(1*'MATERIALES (2)'!$C$151)+(((A322*5)*2)*'MATERIALES (2)'!$C$136)+(4*'MATERIALES (2)'!$C$137)</f>
        <v>22358</v>
      </c>
      <c r="E322" s="74"/>
      <c r="F322" s="54">
        <f>(A322*(B322/2))*'MATERIALES (2)'!$D$85</f>
        <v>4440</v>
      </c>
      <c r="G322" s="58">
        <f>SUM(C322:F322)</f>
        <v>133433.31900000002</v>
      </c>
      <c r="H322" s="67">
        <f>((((SUM(C322:E322)*$C$318)+(F322*$F$318))*1.21)*1.05)*1.05</f>
        <v>244154.56371161627</v>
      </c>
      <c r="M322" s="65">
        <v>0.6</v>
      </c>
      <c r="N322" s="66">
        <v>2</v>
      </c>
      <c r="O322" s="58">
        <f>((((M322*1)+(N322*2))*'MATERIALES (2)'!$C$33)+((M322*3)*'MATERIALES (2)'!$C$35)+(((N322/2)*2)*'MATERIALES (2)'!$C$35)+((N322*2)*'MATERIALES (2)'!$C$34)+(((M322-0.2)*'MATERIALES (2)'!$C$23)*((N322/2)/0.12)))*'MATERIALES (2)'!$F$1</f>
        <v>114017.659</v>
      </c>
      <c r="P322" s="58">
        <f>(2*'MATERIALES (2)'!$C$135)+(20*'MATERIALES (2)'!$C$147)+(20*'MATERIALES (2)'!$C$148)+((8*2)*'MATERIALES (2)'!$C$134)+(3*'MATERIALES (2)'!$C$150)+(((N322*2)+(M322*1))*'MATERIALES (2)'!$C$138)+(((M322*2)+((N322/2)*6))*'MATERIALES (2)'!$C$130)+(((M322*2)+(N322/2)*2)*'MATERIALES (2)'!$C$154)+(0.5*'MATERIALES (2)'!$C$156)+(1*'MATERIALES (2)'!$C$151)+(((M322*5)*2)*'MATERIALES (2)'!$C$136)+(4*'MATERIALES (2)'!$C$137)</f>
        <v>22742</v>
      </c>
      <c r="Q322" s="74"/>
      <c r="R322" s="54">
        <f>(M322*(N322/2))*'MATERIALES (2)'!$D$85</f>
        <v>4440</v>
      </c>
      <c r="S322" s="58">
        <f>SUM(O322:R322)</f>
        <v>141199.65899999999</v>
      </c>
      <c r="T322" s="67">
        <f>((((SUM(O322:Q322)*$O$318)+(R322*$R$318))*1.21)*1.05)*1.05</f>
        <v>258141.22753159126</v>
      </c>
    </row>
    <row r="323" spans="1:20" ht="15.75" thickBot="1">
      <c r="A323" s="68">
        <v>0.7</v>
      </c>
      <c r="B323" s="69">
        <v>2</v>
      </c>
      <c r="C323" s="59">
        <f>((((A323*1)+(B323*2))*'MATERIALES (2)'!$C$33)+((A323*5)*'MATERIALES (2)'!$C$35)+((B323*2)*'MATERIALES (2)'!$C$34)+(((A323-0.2)*'MATERIALES (2)'!$C$23)*((B323/2)/0.12)))*'MATERIALES (2)'!$F$1</f>
        <v>116422.99550000002</v>
      </c>
      <c r="D323" s="59">
        <f>(2*'MATERIALES (2)'!$C$135)+(20*'MATERIALES (2)'!$C$147)+(20*'MATERIALES (2)'!$C$148)+((8*2)*'MATERIALES (2)'!$C$134)+(3*'MATERIALES (2)'!$C$150)+(((B323*2)+(A323*1))*'MATERIALES (2)'!$C$138)+(((A323*6)+((B323/2)*2))*'MATERIALES (2)'!$C$130)+(((A323*2)+(B323/2)*2)*'MATERIALES (2)'!$C$154)+(0.5*'MATERIALES (2)'!$C$156)+(1*'MATERIALES (2)'!$C$151)+(((A323*5)*2)*'MATERIALES (2)'!$C$136)+(4*'MATERIALES (2)'!$C$137)</f>
        <v>22556</v>
      </c>
      <c r="E323" s="75"/>
      <c r="F323" s="55">
        <f>(A323*(B323/2))*'MATERIALES (2)'!$D$85</f>
        <v>5180</v>
      </c>
      <c r="G323" s="59">
        <f t="shared" ref="G323:G329" si="94">SUM(C323:F323)</f>
        <v>144158.99550000002</v>
      </c>
      <c r="H323" s="67">
        <f t="shared" ref="H323:H329" si="95">((((SUM(C323:E323)*$C$318)+(F323*$F$318))*1.21)*1.05)*1.05</f>
        <v>264112.46253704821</v>
      </c>
      <c r="M323" s="68">
        <v>0.7</v>
      </c>
      <c r="N323" s="69">
        <v>2</v>
      </c>
      <c r="O323" s="59">
        <f>((((M323*1)+(N323*2))*'MATERIALES (2)'!$C$33)+((M323*3)*'MATERIALES (2)'!$C$35)+(((N323/2)*2)*'MATERIALES (2)'!$C$35)+((N323*2)*'MATERIALES (2)'!$C$34)+(((M323-0.2)*'MATERIALES (2)'!$C$23)*((N323/2)/0.12)))*'MATERIALES (2)'!$F$1</f>
        <v>121959.75049999999</v>
      </c>
      <c r="P323" s="59">
        <f>(2*'MATERIALES (2)'!$C$135)+(20*'MATERIALES (2)'!$C$147)+(20*'MATERIALES (2)'!$C$148)+((8*2)*'MATERIALES (2)'!$C$134)+(3*'MATERIALES (2)'!$C$150)+(((N323*2)+(M323*1))*'MATERIALES (2)'!$C$138)+(((M323*2)+((N323/2)*6))*'MATERIALES (2)'!$C$130)+(((M323*2)+(N323/2)*2)*'MATERIALES (2)'!$C$154)+(0.5*'MATERIALES (2)'!$C$156)+(1*'MATERIALES (2)'!$C$151)+(((M323*5)*2)*'MATERIALES (2)'!$C$136)+(4*'MATERIALES (2)'!$C$137)</f>
        <v>22844</v>
      </c>
      <c r="Q323" s="75"/>
      <c r="R323" s="55">
        <f>(M323*(N323/2))*'MATERIALES (2)'!$D$85</f>
        <v>5180</v>
      </c>
      <c r="S323" s="59">
        <f t="shared" ref="S323:S329" si="96">SUM(O323:R323)</f>
        <v>149983.75049999999</v>
      </c>
      <c r="T323" s="67">
        <f t="shared" ref="T323:T329" si="97">((((SUM(O323:Q323)*$O$318)+(R323*$R$318))*1.21)*1.05)*1.05</f>
        <v>274602.46040202939</v>
      </c>
    </row>
    <row r="324" spans="1:20" ht="15.75" thickBot="1">
      <c r="A324" s="68">
        <v>0.8</v>
      </c>
      <c r="B324" s="69">
        <v>2</v>
      </c>
      <c r="C324" s="59">
        <f>((((A324*1)+(B324*2))*'MATERIALES (2)'!$C$33)+((A324*5)*'MATERIALES (2)'!$C$35)+((B324*2)*'MATERIALES (2)'!$C$34)+(((A324-0.2)*'MATERIALES (2)'!$C$23)*((B324/2)/0.12)))*'MATERIALES (2)'!$F$1</f>
        <v>126210.67200000002</v>
      </c>
      <c r="D324" s="59">
        <f>(2*'MATERIALES (2)'!$C$135)+(20*'MATERIALES (2)'!$C$147)+(20*'MATERIALES (2)'!$C$148)+((8*2)*'MATERIALES (2)'!$C$134)+(3*'MATERIALES (2)'!$C$150)+(((B324*2)+(A324*1))*'MATERIALES (2)'!$C$138)+(((A324*6)+((B324/2)*2))*'MATERIALES (2)'!$C$130)+(((A324*2)+(B324/2)*2)*'MATERIALES (2)'!$C$154)+(0.5*'MATERIALES (2)'!$C$156)+(1*'MATERIALES (2)'!$C$151)+(((A324*5)*2)*'MATERIALES (2)'!$C$136)+(4*'MATERIALES (2)'!$C$137)</f>
        <v>22754</v>
      </c>
      <c r="E324" s="75"/>
      <c r="F324" s="55">
        <f>(A324*(B324/2))*'MATERIALES (2)'!$D$85</f>
        <v>5920</v>
      </c>
      <c r="G324" s="59">
        <f t="shared" si="94"/>
        <v>154884.67200000002</v>
      </c>
      <c r="H324" s="67">
        <f t="shared" si="95"/>
        <v>284070.36136248009</v>
      </c>
      <c r="M324" s="68">
        <v>0.8</v>
      </c>
      <c r="N324" s="69">
        <v>2</v>
      </c>
      <c r="O324" s="59">
        <f>((((M324*1)+(N324*2))*'MATERIALES (2)'!$C$33)+((M324*3)*'MATERIALES (2)'!$C$35)+(((N324/2)*2)*'MATERIALES (2)'!$C$35)+((N324*2)*'MATERIALES (2)'!$C$34)+(((M324-0.2)*'MATERIALES (2)'!$C$23)*((N324/2)/0.12)))*'MATERIALES (2)'!$F$1</f>
        <v>129901.842</v>
      </c>
      <c r="P324" s="59">
        <f>(2*'MATERIALES (2)'!$C$135)+(20*'MATERIALES (2)'!$C$147)+(20*'MATERIALES (2)'!$C$148)+((8*2)*'MATERIALES (2)'!$C$134)+(3*'MATERIALES (2)'!$C$150)+(((N324*2)+(M324*1))*'MATERIALES (2)'!$C$138)+(((M324*2)+((N324/2)*6))*'MATERIALES (2)'!$C$130)+(((M324*2)+(N324/2)*2)*'MATERIALES (2)'!$C$154)+(0.5*'MATERIALES (2)'!$C$156)+(1*'MATERIALES (2)'!$C$151)+(((M324*5)*2)*'MATERIALES (2)'!$C$136)+(4*'MATERIALES (2)'!$C$137)</f>
        <v>22946</v>
      </c>
      <c r="Q324" s="75"/>
      <c r="R324" s="55">
        <f>(M324*(N324/2))*'MATERIALES (2)'!$D$85</f>
        <v>5920</v>
      </c>
      <c r="S324" s="59">
        <f t="shared" si="96"/>
        <v>158767.842</v>
      </c>
      <c r="T324" s="67">
        <f t="shared" si="97"/>
        <v>291063.69327246753</v>
      </c>
    </row>
    <row r="325" spans="1:20" ht="15.75" thickBot="1">
      <c r="A325" s="68">
        <v>0.9</v>
      </c>
      <c r="B325" s="69">
        <v>2</v>
      </c>
      <c r="C325" s="59">
        <f>((((A325*1)+(B325*2))*'MATERIALES (2)'!$C$33)+((A325*5)*'MATERIALES (2)'!$C$35)+((B325*2)*'MATERIALES (2)'!$C$34)+(((A325-0.2)*'MATERIALES (2)'!$C$23)*((B325/2)/0.12)))*'MATERIALES (2)'!$F$1</f>
        <v>135998.34850000002</v>
      </c>
      <c r="D325" s="59">
        <f>(2*'MATERIALES (2)'!$C$135)+(20*'MATERIALES (2)'!$C$147)+(20*'MATERIALES (2)'!$C$148)+((8*2)*'MATERIALES (2)'!$C$134)+(3*'MATERIALES (2)'!$C$150)+(((B325*2)+(A325*1))*'MATERIALES (2)'!$C$138)+(((A325*6)+((B325/2)*2))*'MATERIALES (2)'!$C$130)+(((A325*2)+(B325/2)*2)*'MATERIALES (2)'!$C$154)+(0.5*'MATERIALES (2)'!$C$156)+(1*'MATERIALES (2)'!$C$151)+(((A325*5)*2)*'MATERIALES (2)'!$C$136)+(4*'MATERIALES (2)'!$C$137)</f>
        <v>22952</v>
      </c>
      <c r="E325" s="75"/>
      <c r="F325" s="55">
        <f>(A325*(B325/2))*'MATERIALES (2)'!$D$85</f>
        <v>6660</v>
      </c>
      <c r="G325" s="59">
        <f t="shared" si="94"/>
        <v>165610.34850000002</v>
      </c>
      <c r="H325" s="67">
        <f t="shared" si="95"/>
        <v>304028.26018791198</v>
      </c>
      <c r="M325" s="68">
        <v>0.9</v>
      </c>
      <c r="N325" s="69">
        <v>2</v>
      </c>
      <c r="O325" s="59">
        <f>((((M325*1)+(N325*2))*'MATERIALES (2)'!$C$33)+((M325*3)*'MATERIALES (2)'!$C$35)+(((N325/2)*2)*'MATERIALES (2)'!$C$35)+((N325*2)*'MATERIALES (2)'!$C$34)+(((M325-0.2)*'MATERIALES (2)'!$C$23)*((N325/2)/0.12)))*'MATERIALES (2)'!$F$1</f>
        <v>137843.93350000001</v>
      </c>
      <c r="P325" s="59">
        <f>(2*'MATERIALES (2)'!$C$135)+(20*'MATERIALES (2)'!$C$147)+(20*'MATERIALES (2)'!$C$148)+((8*2)*'MATERIALES (2)'!$C$134)+(3*'MATERIALES (2)'!$C$150)+(((N325*2)+(M325*1))*'MATERIALES (2)'!$C$138)+(((M325*2)+((N325/2)*6))*'MATERIALES (2)'!$C$130)+(((M325*2)+(N325/2)*2)*'MATERIALES (2)'!$C$154)+(0.5*'MATERIALES (2)'!$C$156)+(1*'MATERIALES (2)'!$C$151)+(((M325*5)*2)*'MATERIALES (2)'!$C$136)+(4*'MATERIALES (2)'!$C$137)</f>
        <v>23048</v>
      </c>
      <c r="Q325" s="75"/>
      <c r="R325" s="55">
        <f>(M325*(N325/2))*'MATERIALES (2)'!$D$85</f>
        <v>6660</v>
      </c>
      <c r="S325" s="59">
        <f t="shared" si="96"/>
        <v>167551.93350000001</v>
      </c>
      <c r="T325" s="67">
        <f t="shared" si="97"/>
        <v>307524.92614290572</v>
      </c>
    </row>
    <row r="326" spans="1:20" ht="15.75" thickBot="1">
      <c r="A326" s="68">
        <v>0.6</v>
      </c>
      <c r="B326" s="69">
        <v>2.1</v>
      </c>
      <c r="C326" s="59">
        <f>((((A326*1)+(B326*2))*'MATERIALES (2)'!$C$33)+((A326*5)*'MATERIALES (2)'!$C$35)+((B326*2)*'MATERIALES (2)'!$C$34)+(((A326-0.2)*'MATERIALES (2)'!$C$23)*((B326/2)/0.12)))*'MATERIALES (2)'!$F$1</f>
        <v>110375.09699999999</v>
      </c>
      <c r="D326" s="59">
        <f>(2*'MATERIALES (2)'!$C$135)+(20*'MATERIALES (2)'!$C$147)+(20*'MATERIALES (2)'!$C$148)+((8*2)*'MATERIALES (2)'!$C$134)+(3*'MATERIALES (2)'!$C$150)+(((B326*2)+(A326*1))*'MATERIALES (2)'!$C$138)+(((A326*6)+((B326/2)*2))*'MATERIALES (2)'!$C$130)+(((A326*2)+(B326/2)*2)*'MATERIALES (2)'!$C$154)+(0.5*'MATERIALES (2)'!$C$156)+(1*'MATERIALES (2)'!$C$151)+(((A326*5)*2)*'MATERIALES (2)'!$C$136)+(4*'MATERIALES (2)'!$C$137)</f>
        <v>22418</v>
      </c>
      <c r="E326" s="75"/>
      <c r="F326" s="55">
        <f>(A326*(B326/2))*'MATERIALES (2)'!$D$85</f>
        <v>4662</v>
      </c>
      <c r="G326" s="59">
        <f t="shared" si="94"/>
        <v>137455.09700000001</v>
      </c>
      <c r="H326" s="67">
        <f t="shared" si="95"/>
        <v>251590.01925432382</v>
      </c>
      <c r="M326" s="68">
        <v>0.6</v>
      </c>
      <c r="N326" s="69">
        <v>2.1</v>
      </c>
      <c r="O326" s="59">
        <f>((((M326*1)+(N326*2))*'MATERIALES (2)'!$C$33)+((M326*3)*'MATERIALES (2)'!$C$35)+(((N326/2)*2)*'MATERIALES (2)'!$C$35)+((N326*2)*'MATERIALES (2)'!$C$34)+(((M326-0.2)*'MATERIALES (2)'!$C$23)*((N326/2)/0.12)))*'MATERIALES (2)'!$F$1</f>
        <v>118680.22949999999</v>
      </c>
      <c r="P326" s="59">
        <f>(2*'MATERIALES (2)'!$C$135)+(20*'MATERIALES (2)'!$C$147)+(20*'MATERIALES (2)'!$C$148)+((8*2)*'MATERIALES (2)'!$C$134)+(3*'MATERIALES (2)'!$C$150)+(((N326*2)+(M326*1))*'MATERIALES (2)'!$C$138)+(((M326*2)+((N326/2)*6))*'MATERIALES (2)'!$C$130)+(((M326*2)+(N326/2)*2)*'MATERIALES (2)'!$C$154)+(0.5*'MATERIALES (2)'!$C$156)+(1*'MATERIALES (2)'!$C$151)+(((M326*5)*2)*'MATERIALES (2)'!$C$136)+(4*'MATERIALES (2)'!$C$137)</f>
        <v>22850</v>
      </c>
      <c r="Q326" s="75"/>
      <c r="R326" s="55">
        <f>(M326*(N326/2))*'MATERIALES (2)'!$D$85</f>
        <v>4662</v>
      </c>
      <c r="S326" s="59">
        <f t="shared" si="96"/>
        <v>146192.22949999999</v>
      </c>
      <c r="T326" s="67">
        <f t="shared" si="97"/>
        <v>267325.01605179562</v>
      </c>
    </row>
    <row r="327" spans="1:20" ht="15.75" thickBot="1">
      <c r="A327" s="68">
        <v>0.7</v>
      </c>
      <c r="B327" s="69">
        <v>2.1</v>
      </c>
      <c r="C327" s="59">
        <f>((((A327*1)+(B327*2))*'MATERIALES (2)'!$C$33)+((A327*5)*'MATERIALES (2)'!$C$35)+((B327*2)*'MATERIALES (2)'!$C$34)+(((A327-0.2)*'MATERIALES (2)'!$C$23)*((B327/2)/0.12)))*'MATERIALES (2)'!$F$1</f>
        <v>120386.826</v>
      </c>
      <c r="D327" s="59">
        <f>(2*'MATERIALES (2)'!$C$135)+(20*'MATERIALES (2)'!$C$147)+(20*'MATERIALES (2)'!$C$148)+((8*2)*'MATERIALES (2)'!$C$134)+(3*'MATERIALES (2)'!$C$150)+(((B327*2)+(A327*1))*'MATERIALES (2)'!$C$138)+(((A327*6)+((B327/2)*2))*'MATERIALES (2)'!$C$130)+(((A327*2)+(B327/2)*2)*'MATERIALES (2)'!$C$154)+(0.5*'MATERIALES (2)'!$C$156)+(1*'MATERIALES (2)'!$C$151)+(((A327*5)*2)*'MATERIALES (2)'!$C$136)+(4*'MATERIALES (2)'!$C$137)</f>
        <v>22616</v>
      </c>
      <c r="E327" s="75"/>
      <c r="F327" s="55">
        <f>(A327*(B327/2))*'MATERIALES (2)'!$D$85</f>
        <v>5439</v>
      </c>
      <c r="G327" s="59">
        <f t="shared" si="94"/>
        <v>148441.826</v>
      </c>
      <c r="H327" s="67">
        <f t="shared" si="95"/>
        <v>272050.13963877753</v>
      </c>
      <c r="M327" s="68">
        <v>0.7</v>
      </c>
      <c r="N327" s="69">
        <v>2.1</v>
      </c>
      <c r="O327" s="59">
        <f>((((M327*1)+(N327*2))*'MATERIALES (2)'!$C$33)+((M327*3)*'MATERIALES (2)'!$C$35)+(((N327/2)*2)*'MATERIALES (2)'!$C$35)+((N327*2)*'MATERIALES (2)'!$C$34)+(((M327-0.2)*'MATERIALES (2)'!$C$23)*((N327/2)/0.12)))*'MATERIALES (2)'!$F$1</f>
        <v>126846.3735</v>
      </c>
      <c r="P327" s="59">
        <f>(2*'MATERIALES (2)'!$C$135)+(20*'MATERIALES (2)'!$C$147)+(20*'MATERIALES (2)'!$C$148)+((8*2)*'MATERIALES (2)'!$C$134)+(3*'MATERIALES (2)'!$C$150)+(((N327*2)+(M327*1))*'MATERIALES (2)'!$C$138)+(((M327*2)+((N327/2)*6))*'MATERIALES (2)'!$C$130)+(((M327*2)+(N327/2)*2)*'MATERIALES (2)'!$C$154)+(0.5*'MATERIALES (2)'!$C$156)+(1*'MATERIALES (2)'!$C$151)+(((M327*5)*2)*'MATERIALES (2)'!$C$136)+(4*'MATERIALES (2)'!$C$137)</f>
        <v>22952</v>
      </c>
      <c r="Q327" s="75"/>
      <c r="R327" s="55">
        <f>(M327*(N327/2))*'MATERIALES (2)'!$D$85</f>
        <v>5439</v>
      </c>
      <c r="S327" s="59">
        <f t="shared" si="96"/>
        <v>155237.37349999999</v>
      </c>
      <c r="T327" s="67">
        <f t="shared" si="97"/>
        <v>284288.47048125567</v>
      </c>
    </row>
    <row r="328" spans="1:20" ht="15.75" thickBot="1">
      <c r="A328" s="68">
        <v>0.8</v>
      </c>
      <c r="B328" s="69">
        <v>2.1</v>
      </c>
      <c r="C328" s="59">
        <f>((((A328*1)+(B328*2))*'MATERIALES (2)'!$C$33)+((A328*5)*'MATERIALES (2)'!$C$35)+((B328*2)*'MATERIALES (2)'!$C$34)+(((A328-0.2)*'MATERIALES (2)'!$C$23)*((B328/2)/0.12)))*'MATERIALES (2)'!$F$1</f>
        <v>130398.55499999999</v>
      </c>
      <c r="D328" s="59">
        <f>(2*'MATERIALES (2)'!$C$135)+(20*'MATERIALES (2)'!$C$147)+(20*'MATERIALES (2)'!$C$148)+((8*2)*'MATERIALES (2)'!$C$134)+(3*'MATERIALES (2)'!$C$150)+(((B328*2)+(A328*1))*'MATERIALES (2)'!$C$138)+(((A328*6)+((B328/2)*2))*'MATERIALES (2)'!$C$130)+(((A328*2)+(B328/2)*2)*'MATERIALES (2)'!$C$154)+(0.5*'MATERIALES (2)'!$C$156)+(1*'MATERIALES (2)'!$C$151)+(((A328*5)*2)*'MATERIALES (2)'!$C$136)+(4*'MATERIALES (2)'!$C$137)</f>
        <v>22814</v>
      </c>
      <c r="E328" s="75"/>
      <c r="F328" s="55">
        <f>(A328*(B328/2))*'MATERIALES (2)'!$D$85</f>
        <v>6216.0000000000009</v>
      </c>
      <c r="G328" s="59">
        <f t="shared" si="94"/>
        <v>159428.55499999999</v>
      </c>
      <c r="H328" s="67">
        <f t="shared" si="95"/>
        <v>292510.26002323121</v>
      </c>
      <c r="M328" s="68">
        <v>0.8</v>
      </c>
      <c r="N328" s="69">
        <v>2.1</v>
      </c>
      <c r="O328" s="59">
        <f>((((M328*1)+(N328*2))*'MATERIALES (2)'!$C$33)+((M328*3)*'MATERIALES (2)'!$C$35)+(((N328/2)*2)*'MATERIALES (2)'!$C$35)+((N328*2)*'MATERIALES (2)'!$C$34)+(((M328-0.2)*'MATERIALES (2)'!$C$23)*((N328/2)/0.12)))*'MATERIALES (2)'!$F$1</f>
        <v>135012.51750000002</v>
      </c>
      <c r="P328" s="59">
        <f>(2*'MATERIALES (2)'!$C$135)+(20*'MATERIALES (2)'!$C$147)+(20*'MATERIALES (2)'!$C$148)+((8*2)*'MATERIALES (2)'!$C$134)+(3*'MATERIALES (2)'!$C$150)+(((N328*2)+(M328*1))*'MATERIALES (2)'!$C$138)+(((M328*2)+((N328/2)*6))*'MATERIALES (2)'!$C$130)+(((M328*2)+(N328/2)*2)*'MATERIALES (2)'!$C$154)+(0.5*'MATERIALES (2)'!$C$156)+(1*'MATERIALES (2)'!$C$151)+(((M328*5)*2)*'MATERIALES (2)'!$C$136)+(4*'MATERIALES (2)'!$C$137)</f>
        <v>23054</v>
      </c>
      <c r="Q328" s="75"/>
      <c r="R328" s="55">
        <f>(M328*(N328/2))*'MATERIALES (2)'!$D$85</f>
        <v>6216.0000000000009</v>
      </c>
      <c r="S328" s="59">
        <f t="shared" si="96"/>
        <v>164282.51750000002</v>
      </c>
      <c r="T328" s="67">
        <f t="shared" si="97"/>
        <v>301251.92491071566</v>
      </c>
    </row>
    <row r="329" spans="1:20" ht="15.75" thickBot="1">
      <c r="A329" s="71">
        <v>0.9</v>
      </c>
      <c r="B329" s="72">
        <v>2.1</v>
      </c>
      <c r="C329" s="60">
        <f>((((A329*1)+(B329*2))*'MATERIALES (2)'!$C$33)+((A329*5)*'MATERIALES (2)'!$C$35)+((B329*2)*'MATERIALES (2)'!$C$34)+(((A329-0.2)*'MATERIALES (2)'!$C$23)*((B329/2)/0.12)))*'MATERIALES (2)'!$F$1</f>
        <v>140410.28400000001</v>
      </c>
      <c r="D329" s="60">
        <f>(2*'MATERIALES (2)'!$C$135)+(20*'MATERIALES (2)'!$C$147)+(20*'MATERIALES (2)'!$C$148)+((8*2)*'MATERIALES (2)'!$C$134)+(3*'MATERIALES (2)'!$C$150)+(((B329*2)+(A329*1))*'MATERIALES (2)'!$C$138)+(((A329*6)+((B329/2)*2))*'MATERIALES (2)'!$C$130)+(((A329*2)+(B329/2)*2)*'MATERIALES (2)'!$C$154)+(0.5*'MATERIALES (2)'!$C$156)+(1*'MATERIALES (2)'!$C$151)+(((A329*5)*2)*'MATERIALES (2)'!$C$136)+(4*'MATERIALES (2)'!$C$137)</f>
        <v>23012</v>
      </c>
      <c r="E329" s="76"/>
      <c r="F329" s="56">
        <f>(A329*(B329/2))*'MATERIALES (2)'!$D$85</f>
        <v>6993.0000000000009</v>
      </c>
      <c r="G329" s="60">
        <f t="shared" si="94"/>
        <v>170415.28400000001</v>
      </c>
      <c r="H329" s="67">
        <f t="shared" si="95"/>
        <v>312970.38040768506</v>
      </c>
      <c r="M329" s="71">
        <v>0.9</v>
      </c>
      <c r="N329" s="72">
        <v>2.1</v>
      </c>
      <c r="O329" s="60">
        <f>((((M329*1)+(N329*2))*'MATERIALES (2)'!$C$33)+((M329*3)*'MATERIALES (2)'!$C$35)+(((N329/2)*2)*'MATERIALES (2)'!$C$35)+((N329*2)*'MATERIALES (2)'!$C$34)+(((M329-0.2)*'MATERIALES (2)'!$C$23)*((N329/2)/0.12)))*'MATERIALES (2)'!$F$1</f>
        <v>143178.66150000002</v>
      </c>
      <c r="P329" s="60">
        <f>(2*'MATERIALES (2)'!$C$135)+(20*'MATERIALES (2)'!$C$147)+(20*'MATERIALES (2)'!$C$148)+((8*2)*'MATERIALES (2)'!$C$134)+(3*'MATERIALES (2)'!$C$150)+(((N329*2)+(M329*1))*'MATERIALES (2)'!$C$138)+(((M329*2)+((N329/2)*6))*'MATERIALES (2)'!$C$130)+(((M329*2)+(N329/2)*2)*'MATERIALES (2)'!$C$154)+(0.5*'MATERIALES (2)'!$C$156)+(1*'MATERIALES (2)'!$C$151)+(((M329*5)*2)*'MATERIALES (2)'!$C$136)+(4*'MATERIALES (2)'!$C$137)</f>
        <v>23156</v>
      </c>
      <c r="Q329" s="76"/>
      <c r="R329" s="56">
        <f>(M329*(N329/2))*'MATERIALES (2)'!$D$85</f>
        <v>6993.0000000000009</v>
      </c>
      <c r="S329" s="60">
        <f t="shared" si="96"/>
        <v>173327.66150000002</v>
      </c>
      <c r="T329" s="67">
        <f t="shared" si="97"/>
        <v>318215.37934017571</v>
      </c>
    </row>
    <row r="332" spans="1:20" ht="15.75" thickBot="1"/>
    <row r="333" spans="1:20" ht="15.75" thickBot="1">
      <c r="A333" s="32"/>
      <c r="B333" s="32"/>
      <c r="C333" s="947">
        <v>1.35</v>
      </c>
      <c r="D333" s="948"/>
      <c r="E333" s="949"/>
      <c r="F333" s="728">
        <v>2</v>
      </c>
      <c r="G333" s="32"/>
      <c r="H333" s="46" t="s">
        <v>163</v>
      </c>
      <c r="M333" s="32"/>
      <c r="N333" s="32"/>
      <c r="O333" s="947">
        <v>1.35</v>
      </c>
      <c r="P333" s="948"/>
      <c r="Q333" s="949"/>
      <c r="R333" s="728">
        <v>2</v>
      </c>
      <c r="S333" s="32"/>
      <c r="T333" s="46" t="s">
        <v>163</v>
      </c>
    </row>
    <row r="334" spans="1:20" ht="15.75" thickBot="1">
      <c r="A334" s="792" t="s">
        <v>804</v>
      </c>
      <c r="B334" s="793"/>
      <c r="C334" s="793"/>
      <c r="D334" s="793"/>
      <c r="E334" s="793"/>
      <c r="F334" s="793"/>
      <c r="G334" s="793"/>
      <c r="H334" s="794"/>
      <c r="M334" s="792" t="s">
        <v>805</v>
      </c>
      <c r="N334" s="793"/>
      <c r="O334" s="793"/>
      <c r="P334" s="793"/>
      <c r="Q334" s="793"/>
      <c r="R334" s="793"/>
      <c r="S334" s="793"/>
      <c r="T334" s="794"/>
    </row>
    <row r="335" spans="1:20" ht="15.75" thickBot="1">
      <c r="A335" s="36" t="s">
        <v>116</v>
      </c>
      <c r="B335" s="36" t="s">
        <v>117</v>
      </c>
      <c r="C335" s="36" t="s">
        <v>162</v>
      </c>
      <c r="D335" s="36" t="s">
        <v>119</v>
      </c>
      <c r="E335" s="36" t="s">
        <v>120</v>
      </c>
      <c r="F335" s="36" t="s">
        <v>118</v>
      </c>
      <c r="G335" s="36" t="s">
        <v>121</v>
      </c>
      <c r="H335" s="36" t="s">
        <v>122</v>
      </c>
      <c r="M335" s="36" t="s">
        <v>116</v>
      </c>
      <c r="N335" s="36" t="s">
        <v>117</v>
      </c>
      <c r="O335" s="36" t="s">
        <v>162</v>
      </c>
      <c r="P335" s="36" t="s">
        <v>119</v>
      </c>
      <c r="Q335" s="36" t="s">
        <v>120</v>
      </c>
      <c r="R335" s="36" t="s">
        <v>118</v>
      </c>
      <c r="S335" s="36" t="s">
        <v>121</v>
      </c>
      <c r="T335" s="36" t="s">
        <v>122</v>
      </c>
    </row>
    <row r="336" spans="1:20" ht="15.75" thickBot="1">
      <c r="A336" s="795"/>
      <c r="B336" s="796"/>
      <c r="C336" s="796"/>
      <c r="D336" s="796"/>
      <c r="E336" s="796"/>
      <c r="F336" s="796"/>
      <c r="G336" s="796"/>
      <c r="H336" s="797"/>
      <c r="M336" s="795"/>
      <c r="N336" s="796"/>
      <c r="O336" s="796"/>
      <c r="P336" s="796"/>
      <c r="Q336" s="796"/>
      <c r="R336" s="796"/>
      <c r="S336" s="796"/>
      <c r="T336" s="797"/>
    </row>
    <row r="337" spans="1:21" ht="15.75" thickBot="1">
      <c r="A337" s="40">
        <v>0.6</v>
      </c>
      <c r="B337" s="41">
        <v>2</v>
      </c>
      <c r="C337" s="47">
        <f>((((A337*1)+(B337*2))*'MATERIALES (2)'!$C$33)+((A337*3)*'MATERIALES (2)'!$C$35)+((B337*2)*'MATERIALES (2)'!$C$34)+(((A337-0.2)*'MATERIALES (2)'!$C$23)*((B337-0.36)/0.12)))*'MATERIALES (2)'!$F$1</f>
        <v>107033.29700000001</v>
      </c>
      <c r="D337" s="58">
        <f>(2*'MATERIALES (2)'!$C$135)+(12*'MATERIALES (2)'!$C$147)+(12*'MATERIALES (2)'!$C$148)+((8*2)*'MATERIALES (2)'!$C$134)+(3*'MATERIALES (2)'!$C$150)+(((B337*2)+(A337*1))*'MATERIALES (2)'!$C$138)+(((A337*2)+(0.4*2))*'MATERIALES (2)'!$C$130)+((A337*2)+(B337*2)*'MATERIALES (2)'!$C$154)+(0.5*'MATERIALES (2)'!$C$156)+(1*'MATERIALES (2)'!$C$151)+(((A337*5)*2)*'MATERIALES (2)'!$C$136)+(4*'MATERIALES (2)'!$C$137)</f>
        <v>20167.2</v>
      </c>
      <c r="E337" s="74"/>
      <c r="F337" s="54">
        <f>(A337*0.4)*'MATERIALES (2)'!$D$85</f>
        <v>1776</v>
      </c>
      <c r="G337" s="47">
        <f>SUM(C337:F337)</f>
        <v>128976.497</v>
      </c>
      <c r="H337" s="49">
        <f>((((SUM(C337:E337)*$C$333)+(F337*$F$333))*1.21)*1.05)*1.05</f>
        <v>233818.12486407379</v>
      </c>
      <c r="M337" s="65">
        <v>0.6</v>
      </c>
      <c r="N337" s="66">
        <v>2</v>
      </c>
      <c r="O337" s="58">
        <f>((((M337*1)+(N337*2))*'MATERIALES (2)'!$C$33)+((M337*3)*'MATERIALES (2)'!$C$35)+(((N337-0.3)*2)*'MATERIALES (2)'!$C$35)+((N337*2)*'MATERIALES (2)'!$C$34)+(((M337-0.2)*'MATERIALES (2)'!$C$23)*3))*'MATERIALES (2)'!$F$1</f>
        <v>115465.26599999999</v>
      </c>
      <c r="P337" s="58">
        <f>(2*'MATERIALES (2)'!$C$135)+(20*'MATERIALES (2)'!$C$147)+(20*'MATERIALES (2)'!$C$148)+((8*2)*'MATERIALES (2)'!$C$134)+(3*'MATERIALES (2)'!$C$150)+(((N337*2)+(M337*1))*'MATERIALES (2)'!$C$138)+(((M337*2)+(N337*6))*'MATERIALES (2)'!$C$130)+(((M337*2)+(N337/2)*2)*'MATERIALES (2)'!$C$154)+(0.25*'MATERIALES (2)'!$C$156)+(1*'MATERIALES (2)'!$C$151)+(((M337*5)*2)*'MATERIALES (2)'!$C$136)+(4*'MATERIALES (2)'!$C$137)</f>
        <v>22182</v>
      </c>
      <c r="Q337" s="74"/>
      <c r="R337" s="54">
        <f>(M337*(N337-0.3))*'MATERIALES (2)'!$D$85</f>
        <v>7548</v>
      </c>
      <c r="S337" s="58">
        <f>SUM(O337:R337)</f>
        <v>145195.266</v>
      </c>
      <c r="T337" s="67">
        <f>((((SUM(O337:Q337)*$O$333)+(R337*$R$333))*1.21)*1.05)*1.05</f>
        <v>268032.04833462753</v>
      </c>
    </row>
    <row r="338" spans="1:21" ht="15.75" thickBot="1">
      <c r="A338" s="42">
        <v>0.7</v>
      </c>
      <c r="B338" s="37">
        <v>2</v>
      </c>
      <c r="C338" s="38">
        <f>((((A338*1)+(B338*2))*'MATERIALES (2)'!$C$33)+((A338*3)*'MATERIALES (2)'!$C$35)+((B338*2)*'MATERIALES (2)'!$C$34)+(((A338-0.2)*'MATERIALES (2)'!$C$23)*((B338-0.36)/0.12)))*'MATERIALES (2)'!$F$1</f>
        <v>117843.2605</v>
      </c>
      <c r="D338" s="59">
        <f>(2*'MATERIALES (2)'!$C$135)+(12*'MATERIALES (2)'!$C$147)+(12*'MATERIALES (2)'!$C$148)+((8*2)*'MATERIALES (2)'!$C$134)+(3*'MATERIALES (2)'!$C$150)+(((B338*2)+(A338*1))*'MATERIALES (2)'!$C$138)+(((A338*2)+(0.4*2))*'MATERIALES (2)'!$C$130)+((A338*2)+(B338*2)*'MATERIALES (2)'!$C$154)+(0.5*'MATERIALES (2)'!$C$156)+(1*'MATERIALES (2)'!$C$151)+(((A338*5)*2)*'MATERIALES (2)'!$C$136)+(4*'MATERIALES (2)'!$C$137)</f>
        <v>20221.400000000001</v>
      </c>
      <c r="E338" s="75"/>
      <c r="F338" s="55">
        <f>(A338*0.4)*'MATERIALES (2)'!$D$85</f>
        <v>2072</v>
      </c>
      <c r="G338" s="38">
        <f t="shared" ref="G338:G344" si="98">SUM(C338:F338)</f>
        <v>140136.6605</v>
      </c>
      <c r="H338" s="49">
        <f t="shared" ref="H338:H344" si="99">((((SUM(C338:E338)*$C$333)+(F338*$F$333))*1.21)*1.05)*1.05</f>
        <v>254173.50637674189</v>
      </c>
      <c r="M338" s="68">
        <v>0.7</v>
      </c>
      <c r="N338" s="69">
        <v>2</v>
      </c>
      <c r="O338" s="59">
        <f>((((M338*1)+(N338*2))*'MATERIALES (2)'!$C$33)+((M338*3)*'MATERIALES (2)'!$C$35)+(((N338-0.3)*2)*'MATERIALES (2)'!$C$35)+((N338*2)*'MATERIALES (2)'!$C$34)+(((M338-0.2)*'MATERIALES (2)'!$C$23)*3))*'MATERIALES (2)'!$F$1</f>
        <v>120539.48550000001</v>
      </c>
      <c r="P338" s="59">
        <f>(2*'MATERIALES (2)'!$C$135)+(20*'MATERIALES (2)'!$C$147)+(20*'MATERIALES (2)'!$C$148)+((8*2)*'MATERIALES (2)'!$C$134)+(3*'MATERIALES (2)'!$C$150)+(((N338*2)+(M338*1))*'MATERIALES (2)'!$C$138)+(((M338*2)+(N338*6))*'MATERIALES (2)'!$C$130)+(((M338*2)+(N338/2)*2)*'MATERIALES (2)'!$C$154)+(0.25*'MATERIALES (2)'!$C$156)+(1*'MATERIALES (2)'!$C$151)+(((M338*5)*2)*'MATERIALES (2)'!$C$136)+(4*'MATERIALES (2)'!$C$137)</f>
        <v>22284</v>
      </c>
      <c r="Q338" s="75"/>
      <c r="R338" s="55">
        <f>(M338*(N338-0.3))*'MATERIALES (2)'!$D$85</f>
        <v>8806</v>
      </c>
      <c r="S338" s="59">
        <f t="shared" ref="S338:S344" si="100">SUM(O338:R338)</f>
        <v>151629.48550000001</v>
      </c>
      <c r="T338" s="67">
        <f t="shared" ref="T338:T344" si="101">((((SUM(O338:Q338)*$O$333)+(R338*$R$333))*1.21)*1.05)*1.05</f>
        <v>280710.48362958565</v>
      </c>
    </row>
    <row r="339" spans="1:21" ht="15.75" thickBot="1">
      <c r="A339" s="42">
        <v>0.8</v>
      </c>
      <c r="B339" s="37">
        <v>2</v>
      </c>
      <c r="C339" s="38">
        <f>((((A339*1)+(B339*2))*'MATERIALES (2)'!$C$33)+((A339*3)*'MATERIALES (2)'!$C$35)+((B339*2)*'MATERIALES (2)'!$C$34)+(((A339-0.2)*'MATERIALES (2)'!$C$23)*((B339-0.36)/0.12)))*'MATERIALES (2)'!$F$1</f>
        <v>128653.224</v>
      </c>
      <c r="D339" s="59">
        <f>(2*'MATERIALES (2)'!$C$135)+(12*'MATERIALES (2)'!$C$147)+(12*'MATERIALES (2)'!$C$148)+((8*2)*'MATERIALES (2)'!$C$134)+(3*'MATERIALES (2)'!$C$150)+(((B339*2)+(A339*1))*'MATERIALES (2)'!$C$138)+(((A339*2)+(0.4*2))*'MATERIALES (2)'!$C$130)+((A339*2)+(B339*2)*'MATERIALES (2)'!$C$154)+(0.5*'MATERIALES (2)'!$C$156)+(1*'MATERIALES (2)'!$C$151)+(((A339*5)*2)*'MATERIALES (2)'!$C$136)+(4*'MATERIALES (2)'!$C$137)</f>
        <v>20275.599999999999</v>
      </c>
      <c r="E339" s="75"/>
      <c r="F339" s="55">
        <f>(A339*0.4)*'MATERIALES (2)'!$D$85</f>
        <v>2368.0000000000005</v>
      </c>
      <c r="G339" s="38">
        <f t="shared" si="98"/>
        <v>151296.82399999999</v>
      </c>
      <c r="H339" s="49">
        <f t="shared" si="99"/>
        <v>274528.88788941002</v>
      </c>
      <c r="M339" s="68">
        <v>0.8</v>
      </c>
      <c r="N339" s="69">
        <v>2</v>
      </c>
      <c r="O339" s="59">
        <f>((((M339*1)+(N339*2))*'MATERIALES (2)'!$C$33)+((M339*3)*'MATERIALES (2)'!$C$35)+(((N339-0.3)*2)*'MATERIALES (2)'!$C$35)+((N339*2)*'MATERIALES (2)'!$C$34)+(((M339-0.2)*'MATERIALES (2)'!$C$23)*3))*'MATERIALES (2)'!$F$1</f>
        <v>125613.70500000002</v>
      </c>
      <c r="P339" s="59">
        <f>(2*'MATERIALES (2)'!$C$135)+(20*'MATERIALES (2)'!$C$147)+(20*'MATERIALES (2)'!$C$148)+((8*2)*'MATERIALES (2)'!$C$134)+(3*'MATERIALES (2)'!$C$150)+(((N339*2)+(M339*1))*'MATERIALES (2)'!$C$138)+(((M339*2)+(N339*6))*'MATERIALES (2)'!$C$130)+(((M339*2)+(N339/2)*2)*'MATERIALES (2)'!$C$154)+(0.25*'MATERIALES (2)'!$C$156)+(1*'MATERIALES (2)'!$C$151)+(((M339*5)*2)*'MATERIALES (2)'!$C$136)+(4*'MATERIALES (2)'!$C$137)</f>
        <v>22386</v>
      </c>
      <c r="Q339" s="75"/>
      <c r="R339" s="55">
        <f>(M339*(N339-0.3))*'MATERIALES (2)'!$D$85</f>
        <v>10064</v>
      </c>
      <c r="S339" s="59">
        <f t="shared" si="100"/>
        <v>158063.70500000002</v>
      </c>
      <c r="T339" s="67">
        <f t="shared" si="101"/>
        <v>293388.91892454377</v>
      </c>
    </row>
    <row r="340" spans="1:21" ht="15.75" thickBot="1">
      <c r="A340" s="42">
        <v>0.9</v>
      </c>
      <c r="B340" s="37">
        <v>2</v>
      </c>
      <c r="C340" s="38">
        <f>((((A340*1)+(B340*2))*'MATERIALES (2)'!$C$33)+((A340*3)*'MATERIALES (2)'!$C$35)+((B340*2)*'MATERIALES (2)'!$C$34)+(((A340-0.2)*'MATERIALES (2)'!$C$23)*((B340-0.36)/0.12)))*'MATERIALES (2)'!$F$1</f>
        <v>139463.1875</v>
      </c>
      <c r="D340" s="59">
        <f>(2*'MATERIALES (2)'!$C$135)+(12*'MATERIALES (2)'!$C$147)+(12*'MATERIALES (2)'!$C$148)+((8*2)*'MATERIALES (2)'!$C$134)+(3*'MATERIALES (2)'!$C$150)+(((B340*2)+(A340*1))*'MATERIALES (2)'!$C$138)+(((A340*2)+(0.4*2))*'MATERIALES (2)'!$C$130)+((A340*2)+(B340*2)*'MATERIALES (2)'!$C$154)+(0.5*'MATERIALES (2)'!$C$156)+(1*'MATERIALES (2)'!$C$151)+(((A340*5)*2)*'MATERIALES (2)'!$C$136)+(4*'MATERIALES (2)'!$C$137)</f>
        <v>20329.8</v>
      </c>
      <c r="E340" s="75"/>
      <c r="F340" s="55">
        <f>(A340*0.4)*'MATERIALES (2)'!$D$85</f>
        <v>2664.0000000000005</v>
      </c>
      <c r="G340" s="38">
        <f t="shared" si="98"/>
        <v>162456.98749999999</v>
      </c>
      <c r="H340" s="49">
        <f t="shared" si="99"/>
        <v>294884.26940207812</v>
      </c>
      <c r="M340" s="68">
        <v>0.9</v>
      </c>
      <c r="N340" s="69">
        <v>2</v>
      </c>
      <c r="O340" s="59">
        <f>((((M340*1)+(N340*2))*'MATERIALES (2)'!$C$33)+((M340*3)*'MATERIALES (2)'!$C$35)+(((N340-0.3)*2)*'MATERIALES (2)'!$C$35)+((N340*2)*'MATERIALES (2)'!$C$34)+(((M340-0.2)*'MATERIALES (2)'!$C$23)*3))*'MATERIALES (2)'!$F$1</f>
        <v>130687.92449999999</v>
      </c>
      <c r="P340" s="59">
        <f>(2*'MATERIALES (2)'!$C$135)+(20*'MATERIALES (2)'!$C$147)+(20*'MATERIALES (2)'!$C$148)+((8*2)*'MATERIALES (2)'!$C$134)+(3*'MATERIALES (2)'!$C$150)+(((N340*2)+(M340*1))*'MATERIALES (2)'!$C$138)+(((M340*2)+(N340*6))*'MATERIALES (2)'!$C$130)+(((M340*2)+(N340/2)*2)*'MATERIALES (2)'!$C$154)+(0.25*'MATERIALES (2)'!$C$156)+(1*'MATERIALES (2)'!$C$151)+(((M340*5)*2)*'MATERIALES (2)'!$C$136)+(4*'MATERIALES (2)'!$C$137)</f>
        <v>22488</v>
      </c>
      <c r="Q340" s="75"/>
      <c r="R340" s="55">
        <f>(M340*(N340-0.3))*'MATERIALES (2)'!$D$85</f>
        <v>11322</v>
      </c>
      <c r="S340" s="59">
        <f t="shared" si="100"/>
        <v>164497.92449999999</v>
      </c>
      <c r="T340" s="67">
        <f t="shared" si="101"/>
        <v>306067.3542195019</v>
      </c>
    </row>
    <row r="341" spans="1:21" ht="15.75" thickBot="1">
      <c r="A341" s="42">
        <v>0.6</v>
      </c>
      <c r="B341" s="37">
        <v>2.1</v>
      </c>
      <c r="C341" s="38">
        <f>((((A341*1)+(B341*2))*'MATERIALES (2)'!$C$33)+((A341*3)*'MATERIALES (2)'!$C$35)+((B341*2)*'MATERIALES (2)'!$C$34)+(((A341-0.2)*'MATERIALES (2)'!$C$23)*((B341-0.36)/0.12)))*'MATERIALES (2)'!$F$1</f>
        <v>111669.28499999999</v>
      </c>
      <c r="D341" s="59">
        <f>(2*'MATERIALES (2)'!$C$135)+(12*'MATERIALES (2)'!$C$147)+(12*'MATERIALES (2)'!$C$148)+((8*2)*'MATERIALES (2)'!$C$134)+(3*'MATERIALES (2)'!$C$150)+(((B341*2)+(A341*1))*'MATERIALES (2)'!$C$138)+(((A341*2)+(0.4*2))*'MATERIALES (2)'!$C$130)+((A341*2)+(B341*2)*'MATERIALES (2)'!$C$154)+(0.5*'MATERIALES (2)'!$C$156)+(1*'MATERIALES (2)'!$C$151)+(((A341*5)*2)*'MATERIALES (2)'!$C$136)+(4*'MATERIALES (2)'!$C$137)</f>
        <v>20227.2</v>
      </c>
      <c r="E341" s="75"/>
      <c r="F341" s="55">
        <f>(A341*0.4)*'MATERIALES (2)'!$D$85</f>
        <v>1776</v>
      </c>
      <c r="G341" s="38">
        <f t="shared" si="98"/>
        <v>133672.48499999999</v>
      </c>
      <c r="H341" s="49">
        <f t="shared" si="99"/>
        <v>242275.28814286873</v>
      </c>
      <c r="M341" s="68">
        <v>0.6</v>
      </c>
      <c r="N341" s="69">
        <v>2.1</v>
      </c>
      <c r="O341" s="59">
        <f>((((M341*1)+(N341*2))*'MATERIALES (2)'!$C$33)+((M341*3)*'MATERIALES (2)'!$C$35)+(((N341-0.3)*2)*'MATERIALES (2)'!$C$35)+((N341*2)*'MATERIALES (2)'!$C$34)+(((M341-0.2)*'MATERIALES (2)'!$C$23)*3))*'MATERIALES (2)'!$F$1</f>
        <v>120154.41899999999</v>
      </c>
      <c r="P341" s="59">
        <f>(2*'MATERIALES (2)'!$C$135)+(20*'MATERIALES (2)'!$C$147)+(20*'MATERIALES (2)'!$C$148)+((8*2)*'MATERIALES (2)'!$C$134)+(3*'MATERIALES (2)'!$C$150)+(((N341*2)+(M341*1))*'MATERIALES (2)'!$C$138)+(((M341*2)+(N341*6))*'MATERIALES (2)'!$C$130)+(((M341*2)+(N341/2)*2)*'MATERIALES (2)'!$C$154)+(0.25*'MATERIALES (2)'!$C$156)+(1*'MATERIALES (2)'!$C$151)+(((M341*5)*2)*'MATERIALES (2)'!$C$136)+(4*'MATERIALES (2)'!$C$137)</f>
        <v>22362</v>
      </c>
      <c r="Q341" s="75"/>
      <c r="R341" s="55">
        <f>(M341*(N341-0.3))*'MATERIALES (2)'!$D$85</f>
        <v>7992.0000000000009</v>
      </c>
      <c r="S341" s="59">
        <f t="shared" si="100"/>
        <v>150508.41899999999</v>
      </c>
      <c r="T341" s="67">
        <f t="shared" si="101"/>
        <v>277985.68450624129</v>
      </c>
    </row>
    <row r="342" spans="1:21" ht="15.75" thickBot="1">
      <c r="A342" s="42">
        <v>0.7</v>
      </c>
      <c r="B342" s="37">
        <v>2.1</v>
      </c>
      <c r="C342" s="38">
        <f>((((A342*1)+(B342*2))*'MATERIALES (2)'!$C$33)+((A342*3)*'MATERIALES (2)'!$C$35)+((B342*2)*'MATERIALES (2)'!$C$34)+(((A342-0.2)*'MATERIALES (2)'!$C$23)*((B342-0.36)/0.12)))*'MATERIALES (2)'!$F$1</f>
        <v>122927.35349999998</v>
      </c>
      <c r="D342" s="59">
        <f>(2*'MATERIALES (2)'!$C$135)+(12*'MATERIALES (2)'!$C$147)+(12*'MATERIALES (2)'!$C$148)+((8*2)*'MATERIALES (2)'!$C$134)+(3*'MATERIALES (2)'!$C$150)+(((B342*2)+(A342*1))*'MATERIALES (2)'!$C$138)+(((A342*2)+(0.4*2))*'MATERIALES (2)'!$C$130)+((A342*2)+(B342*2)*'MATERIALES (2)'!$C$154)+(0.5*'MATERIALES (2)'!$C$156)+(1*'MATERIALES (2)'!$C$151)+(((A342*5)*2)*'MATERIALES (2)'!$C$136)+(4*'MATERIALES (2)'!$C$137)</f>
        <v>20281.400000000001</v>
      </c>
      <c r="E342" s="75"/>
      <c r="F342" s="55">
        <f>(A342*0.4)*'MATERIALES (2)'!$D$85</f>
        <v>2072</v>
      </c>
      <c r="G342" s="38">
        <f t="shared" si="98"/>
        <v>145280.75349999999</v>
      </c>
      <c r="H342" s="49">
        <f t="shared" si="99"/>
        <v>263437.67707358068</v>
      </c>
      <c r="M342" s="68">
        <v>0.7</v>
      </c>
      <c r="N342" s="69">
        <v>2.1</v>
      </c>
      <c r="O342" s="59">
        <f>((((M342*1)+(N342*2))*'MATERIALES (2)'!$C$33)+((M342*3)*'MATERIALES (2)'!$C$35)+(((N342-0.3)*2)*'MATERIALES (2)'!$C$35)+((N342*2)*'MATERIALES (2)'!$C$34)+(((M342-0.2)*'MATERIALES (2)'!$C$23)*3))*'MATERIALES (2)'!$F$1</f>
        <v>125228.6385</v>
      </c>
      <c r="P342" s="59">
        <f>(2*'MATERIALES (2)'!$C$135)+(20*'MATERIALES (2)'!$C$147)+(20*'MATERIALES (2)'!$C$148)+((8*2)*'MATERIALES (2)'!$C$134)+(3*'MATERIALES (2)'!$C$150)+(((N342*2)+(M342*1))*'MATERIALES (2)'!$C$138)+(((M342*2)+(N342*6))*'MATERIALES (2)'!$C$130)+(((M342*2)+(N342/2)*2)*'MATERIALES (2)'!$C$154)+(0.25*'MATERIALES (2)'!$C$156)+(1*'MATERIALES (2)'!$C$151)+(((M342*5)*2)*'MATERIALES (2)'!$C$136)+(4*'MATERIALES (2)'!$C$137)</f>
        <v>22464</v>
      </c>
      <c r="Q342" s="75"/>
      <c r="R342" s="55">
        <f>(M342*(N342-0.3))*'MATERIALES (2)'!$D$85</f>
        <v>9324</v>
      </c>
      <c r="S342" s="59">
        <f t="shared" si="100"/>
        <v>157016.6385</v>
      </c>
      <c r="T342" s="67">
        <f t="shared" si="101"/>
        <v>290861.55550119944</v>
      </c>
    </row>
    <row r="343" spans="1:21" ht="15.75" thickBot="1">
      <c r="A343" s="42">
        <v>0.8</v>
      </c>
      <c r="B343" s="37">
        <v>2.1</v>
      </c>
      <c r="C343" s="38">
        <f>((((A343*1)+(B343*2))*'MATERIALES (2)'!$C$33)+((A343*3)*'MATERIALES (2)'!$C$35)+((B343*2)*'MATERIALES (2)'!$C$34)+(((A343-0.2)*'MATERIALES (2)'!$C$23)*((B343-0.36)/0.12)))*'MATERIALES (2)'!$F$1</f>
        <v>134185.42200000002</v>
      </c>
      <c r="D343" s="59">
        <f>(2*'MATERIALES (2)'!$C$135)+(12*'MATERIALES (2)'!$C$147)+(12*'MATERIALES (2)'!$C$148)+((8*2)*'MATERIALES (2)'!$C$134)+(3*'MATERIALES (2)'!$C$150)+(((B343*2)+(A343*1))*'MATERIALES (2)'!$C$138)+(((A343*2)+(0.4*2))*'MATERIALES (2)'!$C$130)+((A343*2)+(B343*2)*'MATERIALES (2)'!$C$154)+(0.5*'MATERIALES (2)'!$C$156)+(1*'MATERIALES (2)'!$C$151)+(((A343*5)*2)*'MATERIALES (2)'!$C$136)+(4*'MATERIALES (2)'!$C$137)</f>
        <v>20335.599999999999</v>
      </c>
      <c r="E343" s="75"/>
      <c r="F343" s="55">
        <f>(A343*0.4)*'MATERIALES (2)'!$D$85</f>
        <v>2368.0000000000005</v>
      </c>
      <c r="G343" s="38">
        <f t="shared" si="98"/>
        <v>156889.02200000003</v>
      </c>
      <c r="H343" s="49">
        <f t="shared" si="99"/>
        <v>284600.06600429257</v>
      </c>
      <c r="M343" s="68">
        <v>0.8</v>
      </c>
      <c r="N343" s="69">
        <v>2.1</v>
      </c>
      <c r="O343" s="59">
        <f>((((M343*1)+(N343*2))*'MATERIALES (2)'!$C$33)+((M343*3)*'MATERIALES (2)'!$C$35)+(((N343-0.3)*2)*'MATERIALES (2)'!$C$35)+((N343*2)*'MATERIALES (2)'!$C$34)+(((M343-0.2)*'MATERIALES (2)'!$C$23)*3))*'MATERIALES (2)'!$F$1</f>
        <v>130302.85800000002</v>
      </c>
      <c r="P343" s="59">
        <f>(2*'MATERIALES (2)'!$C$135)+(20*'MATERIALES (2)'!$C$147)+(20*'MATERIALES (2)'!$C$148)+((8*2)*'MATERIALES (2)'!$C$134)+(3*'MATERIALES (2)'!$C$150)+(((N343*2)+(M343*1))*'MATERIALES (2)'!$C$138)+(((M343*2)+(N343*6))*'MATERIALES (2)'!$C$130)+(((M343*2)+(N343/2)*2)*'MATERIALES (2)'!$C$154)+(0.25*'MATERIALES (2)'!$C$156)+(1*'MATERIALES (2)'!$C$151)+(((M343*5)*2)*'MATERIALES (2)'!$C$136)+(4*'MATERIALES (2)'!$C$137)</f>
        <v>22566</v>
      </c>
      <c r="Q343" s="75"/>
      <c r="R343" s="55">
        <f>(M343*(N343-0.3))*'MATERIALES (2)'!$D$85</f>
        <v>10656.000000000002</v>
      </c>
      <c r="S343" s="59">
        <f t="shared" si="100"/>
        <v>163524.85800000001</v>
      </c>
      <c r="T343" s="67">
        <f t="shared" si="101"/>
        <v>303737.42649615754</v>
      </c>
    </row>
    <row r="344" spans="1:21" ht="15.75" thickBot="1">
      <c r="A344" s="44">
        <v>0.9</v>
      </c>
      <c r="B344" s="45">
        <v>2.1</v>
      </c>
      <c r="C344" s="50">
        <f>((((A344*1)+(B344*2))*'MATERIALES (2)'!$C$33)+((A344*3)*'MATERIALES (2)'!$C$35)+((B344*2)*'MATERIALES (2)'!$C$34)+(((A344-0.2)*'MATERIALES (2)'!$C$23)*((B344-0.36)/0.12)))*'MATERIALES (2)'!$F$1</f>
        <v>145443.49050000001</v>
      </c>
      <c r="D344" s="60">
        <f>(2*'MATERIALES (2)'!$C$135)+(12*'MATERIALES (2)'!$C$147)+(12*'MATERIALES (2)'!$C$148)+((8*2)*'MATERIALES (2)'!$C$134)+(3*'MATERIALES (2)'!$C$150)+(((B344*2)+(A344*1))*'MATERIALES (2)'!$C$138)+(((A344*2)+(0.4*2))*'MATERIALES (2)'!$C$130)+((A344*2)+(B344*2)*'MATERIALES (2)'!$C$154)+(0.5*'MATERIALES (2)'!$C$156)+(1*'MATERIALES (2)'!$C$151)+(((A344*5)*2)*'MATERIALES (2)'!$C$136)+(4*'MATERIALES (2)'!$C$137)</f>
        <v>20389.8</v>
      </c>
      <c r="E344" s="76"/>
      <c r="F344" s="56">
        <f>(A344*0.4)*'MATERIALES (2)'!$D$85</f>
        <v>2664.0000000000005</v>
      </c>
      <c r="G344" s="50">
        <f t="shared" si="98"/>
        <v>168497.2905</v>
      </c>
      <c r="H344" s="49">
        <f t="shared" si="99"/>
        <v>305762.45493500441</v>
      </c>
      <c r="M344" s="71">
        <v>0.9</v>
      </c>
      <c r="N344" s="72">
        <v>2.1</v>
      </c>
      <c r="O344" s="60">
        <f>((((M344*1)+(N344*2))*'MATERIALES (2)'!$C$33)+((M344*3)*'MATERIALES (2)'!$C$35)+(((N344-0.3)*2)*'MATERIALES (2)'!$C$35)+((N344*2)*'MATERIALES (2)'!$C$34)+(((M344-0.2)*'MATERIALES (2)'!$C$23)*3))*'MATERIALES (2)'!$F$1</f>
        <v>135377.07750000001</v>
      </c>
      <c r="P344" s="60">
        <f>(2*'MATERIALES (2)'!$C$135)+(20*'MATERIALES (2)'!$C$147)+(20*'MATERIALES (2)'!$C$148)+((8*2)*'MATERIALES (2)'!$C$134)+(3*'MATERIALES (2)'!$C$150)+(((N344*2)+(M344*1))*'MATERIALES (2)'!$C$138)+(((M344*2)+(N344*6))*'MATERIALES (2)'!$C$130)+(((M344*2)+(N344/2)*2)*'MATERIALES (2)'!$C$154)+(0.25*'MATERIALES (2)'!$C$156)+(1*'MATERIALES (2)'!$C$151)+(((M344*5)*2)*'MATERIALES (2)'!$C$136)+(4*'MATERIALES (2)'!$C$137)</f>
        <v>22668</v>
      </c>
      <c r="Q344" s="76"/>
      <c r="R344" s="56">
        <f>(M344*(N344-0.3))*'MATERIALES (2)'!$D$85</f>
        <v>11988</v>
      </c>
      <c r="S344" s="60">
        <f t="shared" si="100"/>
        <v>170033.07750000001</v>
      </c>
      <c r="T344" s="67">
        <f t="shared" si="101"/>
        <v>316613.29749111569</v>
      </c>
    </row>
    <row r="346" spans="1:21" ht="15.75" thickBot="1">
      <c r="O346" s="78"/>
    </row>
    <row r="347" spans="1:21" ht="15.75" thickBot="1">
      <c r="A347" s="32"/>
      <c r="B347" s="32"/>
      <c r="C347" s="947">
        <v>1.35</v>
      </c>
      <c r="D347" s="948"/>
      <c r="E347" s="949"/>
      <c r="F347" s="728">
        <v>2</v>
      </c>
      <c r="G347" s="32"/>
      <c r="H347" s="46" t="s">
        <v>163</v>
      </c>
      <c r="M347" s="32"/>
      <c r="N347" s="32"/>
      <c r="O347" s="947">
        <v>1.35</v>
      </c>
      <c r="P347" s="948"/>
      <c r="Q347" s="949"/>
      <c r="R347" s="728">
        <v>2</v>
      </c>
      <c r="S347" s="32"/>
      <c r="T347" s="46" t="s">
        <v>163</v>
      </c>
    </row>
    <row r="348" spans="1:21" ht="15.75" thickBot="1">
      <c r="A348" s="792" t="s">
        <v>806</v>
      </c>
      <c r="B348" s="793"/>
      <c r="C348" s="793"/>
      <c r="D348" s="793"/>
      <c r="E348" s="793"/>
      <c r="F348" s="793"/>
      <c r="G348" s="793"/>
      <c r="H348" s="794"/>
      <c r="M348" s="792" t="s">
        <v>807</v>
      </c>
      <c r="N348" s="793"/>
      <c r="O348" s="793"/>
      <c r="P348" s="793"/>
      <c r="Q348" s="793"/>
      <c r="R348" s="793"/>
      <c r="S348" s="793"/>
      <c r="T348" s="794"/>
      <c r="U348" s="882" t="s">
        <v>254</v>
      </c>
    </row>
    <row r="349" spans="1:21" ht="15.75" thickBot="1">
      <c r="A349" s="36" t="s">
        <v>116</v>
      </c>
      <c r="B349" s="36" t="s">
        <v>117</v>
      </c>
      <c r="C349" s="36" t="s">
        <v>162</v>
      </c>
      <c r="D349" s="36" t="s">
        <v>119</v>
      </c>
      <c r="E349" s="36" t="s">
        <v>120</v>
      </c>
      <c r="F349" s="36" t="s">
        <v>118</v>
      </c>
      <c r="G349" s="36" t="s">
        <v>121</v>
      </c>
      <c r="H349" s="36" t="s">
        <v>122</v>
      </c>
      <c r="M349" s="36" t="s">
        <v>116</v>
      </c>
      <c r="N349" s="36" t="s">
        <v>117</v>
      </c>
      <c r="O349" s="36" t="s">
        <v>162</v>
      </c>
      <c r="P349" s="36" t="s">
        <v>119</v>
      </c>
      <c r="Q349" s="36" t="s">
        <v>120</v>
      </c>
      <c r="R349" s="36" t="s">
        <v>118</v>
      </c>
      <c r="S349" s="36" t="s">
        <v>121</v>
      </c>
      <c r="T349" s="36" t="s">
        <v>122</v>
      </c>
      <c r="U349" s="883"/>
    </row>
    <row r="350" spans="1:21" ht="15.75" thickBot="1">
      <c r="A350" s="795"/>
      <c r="B350" s="796"/>
      <c r="C350" s="796"/>
      <c r="D350" s="796"/>
      <c r="E350" s="796"/>
      <c r="F350" s="796"/>
      <c r="G350" s="796"/>
      <c r="H350" s="797"/>
      <c r="M350" s="795"/>
      <c r="N350" s="796"/>
      <c r="O350" s="796"/>
      <c r="P350" s="796"/>
      <c r="Q350" s="796"/>
      <c r="R350" s="796"/>
      <c r="S350" s="796"/>
      <c r="T350" s="797"/>
      <c r="U350" s="883"/>
    </row>
    <row r="351" spans="1:21" ht="15.75" thickBot="1">
      <c r="A351" s="40">
        <v>0.6</v>
      </c>
      <c r="B351" s="41">
        <v>2</v>
      </c>
      <c r="C351" s="47">
        <f>((((A351*1)+(B351*2))*'MATERIALES (2)'!$C$33)+((A351*4)*'MATERIALES (2)'!$C$35)+((B351*2)*'MATERIALES (2)'!$C$34)+(((A351-0.2)*'MATERIALES (2)'!$C$23)*((B351-0.12)/0.12)))*'MATERIALES (2)'!$F$1</f>
        <v>116871.86</v>
      </c>
      <c r="D351" s="58">
        <f>(2*'MATERIALES (2)'!$C$135)+(16*'MATERIALES (2)'!$C$147)+(16*'MATERIALES (2)'!$C$148)+((8*2)*'MATERIALES (2)'!$C$134)+(3*'MATERIALES (2)'!$C$150)+(((B351*2)+(A351*1))*'MATERIALES (2)'!$C$138)+(((A351*2)+(0.2*4))*'MATERIALES (2)'!$C$130)+((A351*2)+(B351*2)*'MATERIALES (2)'!$C$154)+(0.5*'MATERIALES (2)'!$C$156)+(1*'MATERIALES (2)'!$C$151)+(((A351*5)*2)*'MATERIALES (2)'!$C$136)+(4*'MATERIALES (2)'!$C$137)</f>
        <v>20927.2</v>
      </c>
      <c r="E351" s="74"/>
      <c r="F351" s="54">
        <f>(A351*0.2)*'MATERIALES (2)'!$D$85</f>
        <v>888</v>
      </c>
      <c r="G351" s="47">
        <f>SUM(C351:F351)</f>
        <v>138687.06</v>
      </c>
      <c r="H351" s="49">
        <f>((((SUM(C351:E351)*$C$347)+(F351*$F$347))*1.21)*1.05)*1.05</f>
        <v>250536.20627227504</v>
      </c>
      <c r="M351" s="96">
        <v>0.6</v>
      </c>
      <c r="N351" s="97">
        <v>2</v>
      </c>
      <c r="O351" s="99">
        <f>((((M351*1)+(N351*2))*'MATERIALES (2)'!$C$33)+((M351*2)*'MATERIALES (2)'!$C$35)+((N351*2)*'MATERIALES (2)'!$C$34)+(((M351*2)+(N351*2))*'MATERIALES (2)'!$C$31)+((M351*2)+(N351)*'MATERIALES (2)'!$C$32))*'MATERIALES (2)'!$F$1</f>
        <v>108347.23199999999</v>
      </c>
      <c r="P351" s="99">
        <f>(2*'MATERIALES (2)'!$C$135)+(14*'MATERIALES (2)'!$C$147)+(14*'MATERIALES (2)'!$C$148)+((8*2)*'MATERIALES (2)'!$C$134)+(3*'MATERIALES (2)'!$C$150)+(((N351*2)+(M351*1))*'MATERIALES (2)'!$C$138)+(((M351*6)+(N351*4))*'MATERIALES (2)'!$C$155)+(1*'MATERIALES (2)'!$C$151)+(((M351*5)*2)*'MATERIALES (2)'!$C$136)+(4*'MATERIALES (2)'!$C$137)</f>
        <v>16266</v>
      </c>
      <c r="Q351" s="229"/>
      <c r="R351" s="100">
        <f>(M351*N351)*'MATERIALES (2)'!$D$85</f>
        <v>8880</v>
      </c>
      <c r="S351" s="99">
        <f>SUM(O351:R351)</f>
        <v>133493.23199999999</v>
      </c>
      <c r="T351" s="101">
        <f>(((((SUM(O351:Q351)*$O$347)+(R351*$R$347)))*1.21)*1.05)*1.05</f>
        <v>248112.45920538003</v>
      </c>
      <c r="U351" s="787"/>
    </row>
    <row r="352" spans="1:21" ht="15.75" thickBot="1">
      <c r="A352" s="42">
        <v>0.7</v>
      </c>
      <c r="B352" s="37">
        <v>2</v>
      </c>
      <c r="C352" s="38">
        <f>((((A352*1)+(B352*2))*'MATERIALES (2)'!$C$33)+((A352*4)*'MATERIALES (2)'!$C$35)+((B352*2)*'MATERIALES (2)'!$C$34)+(((A352-0.2)*'MATERIALES (2)'!$C$23)*((B352-0.12)/0.12)))*'MATERIALES (2)'!$F$1</f>
        <v>129680.068</v>
      </c>
      <c r="D352" s="59">
        <f>(2*'MATERIALES (2)'!$C$135)+(16*'MATERIALES (2)'!$C$147)+(16*'MATERIALES (2)'!$C$148)+((8*2)*'MATERIALES (2)'!$C$134)+(3*'MATERIALES (2)'!$C$150)+(((B352*2)+(A352*1))*'MATERIALES (2)'!$C$138)+(((A352*2)+(0.2*4))*'MATERIALES (2)'!$C$130)+((A352*2)+(B352*2)*'MATERIALES (2)'!$C$154)+(0.5*'MATERIALES (2)'!$C$156)+(1*'MATERIALES (2)'!$C$151)+(((A352*5)*2)*'MATERIALES (2)'!$C$136)+(4*'MATERIALES (2)'!$C$137)</f>
        <v>20981.4</v>
      </c>
      <c r="E352" s="75"/>
      <c r="F352" s="55">
        <f>(A352*0.2)*'MATERIALES (2)'!$D$85</f>
        <v>1036</v>
      </c>
      <c r="G352" s="38">
        <f t="shared" ref="G352:G358" si="102">SUM(C352:F352)</f>
        <v>151697.46799999999</v>
      </c>
      <c r="H352" s="49">
        <f t="shared" ref="H352:H358" si="103">((((SUM(C352:E352)*$C$347)+(F352*$F$347))*1.21)*1.05)*1.05</f>
        <v>274095.42234574503</v>
      </c>
      <c r="M352" s="102">
        <v>0.7</v>
      </c>
      <c r="N352" s="103">
        <v>2</v>
      </c>
      <c r="O352" s="98">
        <f>((((M352*1)+(N352*2))*'MATERIALES (2)'!$C$33)+((M352*2)*'MATERIALES (2)'!$C$35)+((N352*2)*'MATERIALES (2)'!$C$34)+(((M352*2)+(N352*2))*'MATERIALES (2)'!$C$31)+((M352*2)+(N352)*'MATERIALES (2)'!$C$32))*'MATERIALES (2)'!$F$1</f>
        <v>113717.6565</v>
      </c>
      <c r="P352" s="98">
        <f>(2*'MATERIALES (2)'!$C$135)+(14*'MATERIALES (2)'!$C$147)+(14*'MATERIALES (2)'!$C$148)+((8*2)*'MATERIALES (2)'!$C$134)+(3*'MATERIALES (2)'!$C$150)+(((N352*2)+(M352*1))*'MATERIALES (2)'!$C$138)+(((M352*6)+(N352*4))*'MATERIALES (2)'!$C$155)+(1*'MATERIALES (2)'!$C$151)+(((M352*5)*2)*'MATERIALES (2)'!$C$136)+(4*'MATERIALES (2)'!$C$137)</f>
        <v>16332</v>
      </c>
      <c r="Q352" s="230"/>
      <c r="R352" s="104">
        <f>(M352*N352)*'MATERIALES (2)'!$D$85</f>
        <v>10360</v>
      </c>
      <c r="S352" s="98">
        <f t="shared" ref="S352:S358" si="104">SUM(O352:R352)</f>
        <v>140409.65649999998</v>
      </c>
      <c r="T352" s="101">
        <f t="shared" ref="T352:T358" si="105">(((((SUM(O352:Q352)*$O$347)+(R352*$R$347)))*1.21)*1.05)*1.05</f>
        <v>261851.8135667569</v>
      </c>
      <c r="U352" s="787"/>
    </row>
    <row r="353" spans="1:21" ht="15.75" thickBot="1">
      <c r="A353" s="42">
        <v>0.8</v>
      </c>
      <c r="B353" s="37">
        <v>2</v>
      </c>
      <c r="C353" s="38">
        <f>((((A353*1)+(B353*2))*'MATERIALES (2)'!$C$33)+((A353*4)*'MATERIALES (2)'!$C$35)+((B353*2)*'MATERIALES (2)'!$C$34)+(((A353-0.2)*'MATERIALES (2)'!$C$23)*((B353-0.12)/0.12)))*'MATERIALES (2)'!$F$1</f>
        <v>142488.27600000001</v>
      </c>
      <c r="D353" s="59">
        <f>(2*'MATERIALES (2)'!$C$135)+(16*'MATERIALES (2)'!$C$147)+(16*'MATERIALES (2)'!$C$148)+((8*2)*'MATERIALES (2)'!$C$134)+(3*'MATERIALES (2)'!$C$150)+(((B353*2)+(A353*1))*'MATERIALES (2)'!$C$138)+(((A353*2)+(0.2*4))*'MATERIALES (2)'!$C$130)+((A353*2)+(B353*2)*'MATERIALES (2)'!$C$154)+(0.5*'MATERIALES (2)'!$C$156)+(1*'MATERIALES (2)'!$C$151)+(((A353*5)*2)*'MATERIALES (2)'!$C$136)+(4*'MATERIALES (2)'!$C$137)</f>
        <v>21035.599999999999</v>
      </c>
      <c r="E353" s="75"/>
      <c r="F353" s="55">
        <f>(A353*0.2)*'MATERIALES (2)'!$D$85</f>
        <v>1184.0000000000002</v>
      </c>
      <c r="G353" s="38">
        <f t="shared" si="102"/>
        <v>164707.87600000002</v>
      </c>
      <c r="H353" s="49">
        <f t="shared" si="103"/>
        <v>297654.63841921504</v>
      </c>
      <c r="M353" s="102">
        <v>0.8</v>
      </c>
      <c r="N353" s="103">
        <v>2</v>
      </c>
      <c r="O353" s="98">
        <f>((((M353*1)+(N353*2))*'MATERIALES (2)'!$C$33)+((M353*2)*'MATERIALES (2)'!$C$35)+((N353*2)*'MATERIALES (2)'!$C$34)+(((M353*2)+(N353*2))*'MATERIALES (2)'!$C$31)+((M353*2)+(N353)*'MATERIALES (2)'!$C$32))*'MATERIALES (2)'!$F$1</f>
        <v>119088.08099999999</v>
      </c>
      <c r="P353" s="98">
        <f>(2*'MATERIALES (2)'!$C$135)+(14*'MATERIALES (2)'!$C$147)+(14*'MATERIALES (2)'!$C$148)+((8*2)*'MATERIALES (2)'!$C$134)+(3*'MATERIALES (2)'!$C$150)+(((N353*2)+(M353*1))*'MATERIALES (2)'!$C$138)+(((M353*6)+(N353*4))*'MATERIALES (2)'!$C$155)+(1*'MATERIALES (2)'!$C$151)+(((M353*5)*2)*'MATERIALES (2)'!$C$136)+(4*'MATERIALES (2)'!$C$137)</f>
        <v>16398</v>
      </c>
      <c r="Q353" s="230"/>
      <c r="R353" s="104">
        <f>(M353*N353)*'MATERIALES (2)'!$D$85</f>
        <v>11840</v>
      </c>
      <c r="S353" s="98">
        <f t="shared" si="104"/>
        <v>147326.08100000001</v>
      </c>
      <c r="T353" s="101">
        <f t="shared" si="105"/>
        <v>275591.1679281338</v>
      </c>
      <c r="U353" s="787"/>
    </row>
    <row r="354" spans="1:21" ht="15.75" thickBot="1">
      <c r="A354" s="42">
        <v>0.9</v>
      </c>
      <c r="B354" s="37">
        <v>2</v>
      </c>
      <c r="C354" s="38">
        <f>((((A354*1)+(B354*2))*'MATERIALES (2)'!$C$33)+((A354*4)*'MATERIALES (2)'!$C$35)+((B354*2)*'MATERIALES (2)'!$C$34)+(((A354-0.2)*'MATERIALES (2)'!$C$23)*((B354-0.12)/0.12)))*'MATERIALES (2)'!$F$1</f>
        <v>155296.48400000003</v>
      </c>
      <c r="D354" s="59">
        <f>(2*'MATERIALES (2)'!$C$135)+(16*'MATERIALES (2)'!$C$147)+(16*'MATERIALES (2)'!$C$148)+((8*2)*'MATERIALES (2)'!$C$134)+(3*'MATERIALES (2)'!$C$150)+(((B354*2)+(A354*1))*'MATERIALES (2)'!$C$138)+(((A354*2)+(0.2*4))*'MATERIALES (2)'!$C$130)+((A354*2)+(B354*2)*'MATERIALES (2)'!$C$154)+(0.5*'MATERIALES (2)'!$C$156)+(1*'MATERIALES (2)'!$C$151)+(((A354*5)*2)*'MATERIALES (2)'!$C$136)+(4*'MATERIALES (2)'!$C$137)</f>
        <v>21089.8</v>
      </c>
      <c r="E354" s="75"/>
      <c r="F354" s="55">
        <f>(A354*0.2)*'MATERIALES (2)'!$D$85</f>
        <v>1332.0000000000002</v>
      </c>
      <c r="G354" s="38">
        <f t="shared" si="102"/>
        <v>177718.28400000001</v>
      </c>
      <c r="H354" s="49">
        <f t="shared" si="103"/>
        <v>321213.85449268512</v>
      </c>
      <c r="M354" s="102">
        <v>0.9</v>
      </c>
      <c r="N354" s="103">
        <v>2</v>
      </c>
      <c r="O354" s="98">
        <f>((((M354*1)+(N354*2))*'MATERIALES (2)'!$C$33)+((M354*2)*'MATERIALES (2)'!$C$35)+((N354*2)*'MATERIALES (2)'!$C$34)+(((M354*2)+(N354*2))*'MATERIALES (2)'!$C$31)+((M354*2)+(N354)*'MATERIALES (2)'!$C$32))*'MATERIALES (2)'!$F$1</f>
        <v>124458.50550000001</v>
      </c>
      <c r="P354" s="98">
        <f>(2*'MATERIALES (2)'!$C$135)+(14*'MATERIALES (2)'!$C$147)+(14*'MATERIALES (2)'!$C$148)+((8*2)*'MATERIALES (2)'!$C$134)+(3*'MATERIALES (2)'!$C$150)+(((N354*2)+(M354*1))*'MATERIALES (2)'!$C$138)+(((M354*6)+(N354*4))*'MATERIALES (2)'!$C$155)+(1*'MATERIALES (2)'!$C$151)+(((M354*5)*2)*'MATERIALES (2)'!$C$136)+(4*'MATERIALES (2)'!$C$137)</f>
        <v>16464</v>
      </c>
      <c r="Q354" s="230"/>
      <c r="R354" s="104">
        <f>(M354*N354)*'MATERIALES (2)'!$D$85</f>
        <v>13320</v>
      </c>
      <c r="S354" s="98">
        <f t="shared" si="104"/>
        <v>154242.50550000003</v>
      </c>
      <c r="T354" s="101">
        <f t="shared" si="105"/>
        <v>289330.5222895107</v>
      </c>
      <c r="U354" s="787"/>
    </row>
    <row r="355" spans="1:21" ht="15.75" thickBot="1">
      <c r="A355" s="42">
        <v>0.6</v>
      </c>
      <c r="B355" s="37">
        <v>2.1</v>
      </c>
      <c r="C355" s="38">
        <f>((((A355*1)+(B355*2))*'MATERIALES (2)'!$C$33)+((A355*4)*'MATERIALES (2)'!$C$35)+((B355*2)*'MATERIALES (2)'!$C$34)+(((A355-0.2)*'MATERIALES (2)'!$C$23)*((B355-0.12)/0.12)))*'MATERIALES (2)'!$F$1</f>
        <v>121507.848</v>
      </c>
      <c r="D355" s="59">
        <f>(2*'MATERIALES (2)'!$C$135)+(16*'MATERIALES (2)'!$C$147)+(16*'MATERIALES (2)'!$C$148)+((8*2)*'MATERIALES (2)'!$C$134)+(3*'MATERIALES (2)'!$C$150)+(((B355*2)+(A355*1))*'MATERIALES (2)'!$C$138)+(((A355*2)+(0.2*4))*'MATERIALES (2)'!$C$130)+((A355*2)+(B355*2)*'MATERIALES (2)'!$C$154)+(0.5*'MATERIALES (2)'!$C$156)+(1*'MATERIALES (2)'!$C$151)+(((A355*5)*2)*'MATERIALES (2)'!$C$136)+(4*'MATERIALES (2)'!$C$137)</f>
        <v>20987.200000000001</v>
      </c>
      <c r="E355" s="75"/>
      <c r="F355" s="55">
        <f>(A355*0.2)*'MATERIALES (2)'!$D$85</f>
        <v>888</v>
      </c>
      <c r="G355" s="38">
        <f t="shared" si="102"/>
        <v>143383.04800000001</v>
      </c>
      <c r="H355" s="49">
        <f t="shared" si="103"/>
        <v>258993.36955107006</v>
      </c>
      <c r="M355" s="102">
        <v>0.6</v>
      </c>
      <c r="N355" s="103">
        <v>2.1</v>
      </c>
      <c r="O355" s="98">
        <f>((((M355*1)+(N355*2))*'MATERIALES (2)'!$C$33)+((M355*2)*'MATERIALES (2)'!$C$35)+((N355*2)*'MATERIALES (2)'!$C$34)+(((M355*2)+(N355*2))*'MATERIALES (2)'!$C$31)+((M355*2)+(N355)*'MATERIALES (2)'!$C$32))*'MATERIALES (2)'!$F$1</f>
        <v>112153.46625</v>
      </c>
      <c r="P355" s="98">
        <f>(2*'MATERIALES (2)'!$C$135)+(14*'MATERIALES (2)'!$C$147)+(14*'MATERIALES (2)'!$C$148)+((8*2)*'MATERIALES (2)'!$C$134)+(3*'MATERIALES (2)'!$C$150)+(((N355*2)+(M355*1))*'MATERIALES (2)'!$C$138)+(((M355*6)+(N355*4))*'MATERIALES (2)'!$C$155)+(1*'MATERIALES (2)'!$C$151)+(((M355*5)*2)*'MATERIALES (2)'!$C$136)+(4*'MATERIALES (2)'!$C$137)</f>
        <v>16318</v>
      </c>
      <c r="Q355" s="230"/>
      <c r="R355" s="104">
        <f>(M355*N355)*'MATERIALES (2)'!$D$85</f>
        <v>9324</v>
      </c>
      <c r="S355" s="98">
        <f t="shared" si="104"/>
        <v>137795.46625</v>
      </c>
      <c r="T355" s="101">
        <f t="shared" si="105"/>
        <v>256245.49768161098</v>
      </c>
      <c r="U355" s="787"/>
    </row>
    <row r="356" spans="1:21" ht="15.75" thickBot="1">
      <c r="A356" s="42">
        <v>0.7</v>
      </c>
      <c r="B356" s="37">
        <v>2.1</v>
      </c>
      <c r="C356" s="38">
        <f>((((A356*1)+(B356*2))*'MATERIALES (2)'!$C$33)+((A356*4)*'MATERIALES (2)'!$C$35)+((B356*2)*'MATERIALES (2)'!$C$34)+(((A356-0.2)*'MATERIALES (2)'!$C$23)*((B356-0.12)/0.12)))*'MATERIALES (2)'!$F$1</f>
        <v>134764.16099999999</v>
      </c>
      <c r="D356" s="59">
        <f>(2*'MATERIALES (2)'!$C$135)+(16*'MATERIALES (2)'!$C$147)+(16*'MATERIALES (2)'!$C$148)+((8*2)*'MATERIALES (2)'!$C$134)+(3*'MATERIALES (2)'!$C$150)+(((B356*2)+(A356*1))*'MATERIALES (2)'!$C$138)+(((A356*2)+(0.2*4))*'MATERIALES (2)'!$C$130)+((A356*2)+(B356*2)*'MATERIALES (2)'!$C$154)+(0.5*'MATERIALES (2)'!$C$156)+(1*'MATERIALES (2)'!$C$151)+(((A356*5)*2)*'MATERIALES (2)'!$C$136)+(4*'MATERIALES (2)'!$C$137)</f>
        <v>21041.4</v>
      </c>
      <c r="E356" s="75"/>
      <c r="F356" s="55">
        <f>(A356*0.2)*'MATERIALES (2)'!$D$85</f>
        <v>1036</v>
      </c>
      <c r="G356" s="38">
        <f t="shared" si="102"/>
        <v>156841.56099999999</v>
      </c>
      <c r="H356" s="49">
        <f t="shared" si="103"/>
        <v>283359.59304258373</v>
      </c>
      <c r="M356" s="102">
        <v>0.7</v>
      </c>
      <c r="N356" s="103">
        <v>2.1</v>
      </c>
      <c r="O356" s="98">
        <f>((((M356*1)+(N356*2))*'MATERIALES (2)'!$C$33)+((M356*2)*'MATERIALES (2)'!$C$35)+((N356*2)*'MATERIALES (2)'!$C$34)+(((M356*2)+(N356*2))*'MATERIALES (2)'!$C$31)+((M356*2)+(N356)*'MATERIALES (2)'!$C$32))*'MATERIALES (2)'!$F$1</f>
        <v>117523.89074999999</v>
      </c>
      <c r="P356" s="98">
        <f>(2*'MATERIALES (2)'!$C$135)+(14*'MATERIALES (2)'!$C$147)+(14*'MATERIALES (2)'!$C$148)+((8*2)*'MATERIALES (2)'!$C$134)+(3*'MATERIALES (2)'!$C$150)+(((N356*2)+(M356*1))*'MATERIALES (2)'!$C$138)+(((M356*6)+(N356*4))*'MATERIALES (2)'!$C$155)+(1*'MATERIALES (2)'!$C$151)+(((M356*5)*2)*'MATERIALES (2)'!$C$136)+(4*'MATERIALES (2)'!$C$137)</f>
        <v>16384</v>
      </c>
      <c r="Q356" s="230"/>
      <c r="R356" s="104">
        <f>(M356*N356)*'MATERIALES (2)'!$D$85</f>
        <v>10878</v>
      </c>
      <c r="S356" s="98">
        <f t="shared" si="104"/>
        <v>144785.89074999999</v>
      </c>
      <c r="T356" s="101">
        <f t="shared" si="105"/>
        <v>270182.28774298786</v>
      </c>
      <c r="U356" s="787"/>
    </row>
    <row r="357" spans="1:21" ht="15.75" thickBot="1">
      <c r="A357" s="42">
        <v>0.8</v>
      </c>
      <c r="B357" s="37">
        <v>2.1</v>
      </c>
      <c r="C357" s="38">
        <f>((((A357*1)+(B357*2))*'MATERIALES (2)'!$C$33)+((A357*4)*'MATERIALES (2)'!$C$35)+((B357*2)*'MATERIALES (2)'!$C$34)+(((A357-0.2)*'MATERIALES (2)'!$C$23)*((B357-0.12)/0.12)))*'MATERIALES (2)'!$F$1</f>
        <v>148020.47400000002</v>
      </c>
      <c r="D357" s="59">
        <f>(2*'MATERIALES (2)'!$C$135)+(16*'MATERIALES (2)'!$C$147)+(16*'MATERIALES (2)'!$C$148)+((8*2)*'MATERIALES (2)'!$C$134)+(3*'MATERIALES (2)'!$C$150)+(((B357*2)+(A357*1))*'MATERIALES (2)'!$C$138)+(((A357*2)+(0.2*4))*'MATERIALES (2)'!$C$130)+((A357*2)+(B357*2)*'MATERIALES (2)'!$C$154)+(0.5*'MATERIALES (2)'!$C$156)+(1*'MATERIALES (2)'!$C$151)+(((A357*5)*2)*'MATERIALES (2)'!$C$136)+(4*'MATERIALES (2)'!$C$137)</f>
        <v>21095.599999999999</v>
      </c>
      <c r="E357" s="75"/>
      <c r="F357" s="55">
        <f>(A357*0.2)*'MATERIALES (2)'!$D$85</f>
        <v>1184.0000000000002</v>
      </c>
      <c r="G357" s="38">
        <f t="shared" si="102"/>
        <v>170300.07400000002</v>
      </c>
      <c r="H357" s="49">
        <f t="shared" si="103"/>
        <v>307725.8165340976</v>
      </c>
      <c r="M357" s="102">
        <v>0.8</v>
      </c>
      <c r="N357" s="103">
        <v>2.1</v>
      </c>
      <c r="O357" s="98">
        <f>((((M357*1)+(N357*2))*'MATERIALES (2)'!$C$33)+((M357*2)*'MATERIALES (2)'!$C$35)+((N357*2)*'MATERIALES (2)'!$C$34)+(((M357*2)+(N357*2))*'MATERIALES (2)'!$C$31)+((M357*2)+(N357)*'MATERIALES (2)'!$C$32))*'MATERIALES (2)'!$F$1</f>
        <v>122894.31525000003</v>
      </c>
      <c r="P357" s="98">
        <f>(2*'MATERIALES (2)'!$C$135)+(14*'MATERIALES (2)'!$C$147)+(14*'MATERIALES (2)'!$C$148)+((8*2)*'MATERIALES (2)'!$C$134)+(3*'MATERIALES (2)'!$C$150)+(((N357*2)+(M357*1))*'MATERIALES (2)'!$C$138)+(((M357*6)+(N357*4))*'MATERIALES (2)'!$C$155)+(1*'MATERIALES (2)'!$C$151)+(((M357*5)*2)*'MATERIALES (2)'!$C$136)+(4*'MATERIALES (2)'!$C$137)</f>
        <v>16450</v>
      </c>
      <c r="Q357" s="230"/>
      <c r="R357" s="104">
        <f>(M357*N357)*'MATERIALES (2)'!$D$85</f>
        <v>12432.000000000002</v>
      </c>
      <c r="S357" s="98">
        <f t="shared" si="104"/>
        <v>151776.31525000004</v>
      </c>
      <c r="T357" s="101">
        <f t="shared" si="105"/>
        <v>284119.07780436473</v>
      </c>
      <c r="U357" s="787"/>
    </row>
    <row r="358" spans="1:21" ht="15.75" thickBot="1">
      <c r="A358" s="44">
        <v>0.9</v>
      </c>
      <c r="B358" s="45">
        <v>2.1</v>
      </c>
      <c r="C358" s="50">
        <f>((((A358*1)+(B358*2))*'MATERIALES (2)'!$C$33)+((A358*4)*'MATERIALES (2)'!$C$35)+((B358*2)*'MATERIALES (2)'!$C$34)+(((A358-0.2)*'MATERIALES (2)'!$C$23)*((B358-0.12)/0.12)))*'MATERIALES (2)'!$F$1</f>
        <v>161276.78699999998</v>
      </c>
      <c r="D358" s="60">
        <f>(2*'MATERIALES (2)'!$C$135)+(16*'MATERIALES (2)'!$C$147)+(16*'MATERIALES (2)'!$C$148)+((8*2)*'MATERIALES (2)'!$C$134)+(3*'MATERIALES (2)'!$C$150)+(((B358*2)+(A358*1))*'MATERIALES (2)'!$C$138)+(((A358*2)+(0.2*4))*'MATERIALES (2)'!$C$130)+((A358*2)+(B358*2)*'MATERIALES (2)'!$C$154)+(0.5*'MATERIALES (2)'!$C$156)+(1*'MATERIALES (2)'!$C$151)+(((A358*5)*2)*'MATERIALES (2)'!$C$136)+(4*'MATERIALES (2)'!$C$137)</f>
        <v>21149.8</v>
      </c>
      <c r="E358" s="76"/>
      <c r="F358" s="56">
        <f>(A358*0.2)*'MATERIALES (2)'!$D$85</f>
        <v>1332.0000000000002</v>
      </c>
      <c r="G358" s="50">
        <f t="shared" si="102"/>
        <v>183758.58699999997</v>
      </c>
      <c r="H358" s="49">
        <f t="shared" si="103"/>
        <v>332092.04002561123</v>
      </c>
      <c r="M358" s="106">
        <v>0.9</v>
      </c>
      <c r="N358" s="107">
        <v>2.1</v>
      </c>
      <c r="O358" s="108">
        <f>((((M358*1)+(N358*2))*'MATERIALES (2)'!$C$33)+((M358*2)*'MATERIALES (2)'!$C$35)+((N358*2)*'MATERIALES (2)'!$C$34)+(((M358*2)+(N358*2))*'MATERIALES (2)'!$C$31)+((M358*2)+(N358)*'MATERIALES (2)'!$C$32))*'MATERIALES (2)'!$F$1</f>
        <v>128264.73975000001</v>
      </c>
      <c r="P358" s="108">
        <f>(2*'MATERIALES (2)'!$C$135)+(14*'MATERIALES (2)'!$C$147)+(14*'MATERIALES (2)'!$C$148)+((8*2)*'MATERIALES (2)'!$C$134)+(3*'MATERIALES (2)'!$C$150)+(((N358*2)+(M358*1))*'MATERIALES (2)'!$C$138)+(((M358*6)+(N358*4))*'MATERIALES (2)'!$C$155)+(1*'MATERIALES (2)'!$C$151)+(((M358*5)*2)*'MATERIALES (2)'!$C$136)+(4*'MATERIALES (2)'!$C$137)</f>
        <v>16516</v>
      </c>
      <c r="Q358" s="231"/>
      <c r="R358" s="109">
        <f>(M358*N358)*'MATERIALES (2)'!$D$85</f>
        <v>13986.000000000002</v>
      </c>
      <c r="S358" s="108">
        <f t="shared" si="104"/>
        <v>158766.73975000001</v>
      </c>
      <c r="T358" s="101">
        <f t="shared" si="105"/>
        <v>298055.8678657416</v>
      </c>
      <c r="U358" s="788"/>
    </row>
    <row r="359" spans="1:21">
      <c r="C359" t="s">
        <v>755</v>
      </c>
    </row>
    <row r="360" spans="1:21" ht="15.75" thickBot="1">
      <c r="O360" s="78"/>
    </row>
    <row r="361" spans="1:21" ht="15.75" thickBot="1">
      <c r="A361" s="32"/>
      <c r="B361" s="32"/>
      <c r="C361" s="947">
        <v>1.35</v>
      </c>
      <c r="D361" s="948"/>
      <c r="E361" s="949"/>
      <c r="F361" s="728">
        <v>2</v>
      </c>
      <c r="G361" s="32"/>
      <c r="H361" s="46" t="s">
        <v>163</v>
      </c>
      <c r="M361" s="32"/>
      <c r="N361" s="32"/>
      <c r="O361" s="947">
        <v>1.35</v>
      </c>
      <c r="P361" s="948"/>
      <c r="Q361" s="949"/>
      <c r="R361" s="728">
        <v>2</v>
      </c>
      <c r="S361" s="32"/>
      <c r="T361" s="46" t="s">
        <v>163</v>
      </c>
    </row>
    <row r="362" spans="1:21" ht="15.75" thickBot="1">
      <c r="A362" s="792" t="s">
        <v>808</v>
      </c>
      <c r="B362" s="793"/>
      <c r="C362" s="793"/>
      <c r="D362" s="793"/>
      <c r="E362" s="793"/>
      <c r="F362" s="793"/>
      <c r="G362" s="793"/>
      <c r="H362" s="794"/>
      <c r="M362" s="792" t="s">
        <v>809</v>
      </c>
      <c r="N362" s="793"/>
      <c r="O362" s="793"/>
      <c r="P362" s="793"/>
      <c r="Q362" s="793"/>
      <c r="R362" s="793"/>
      <c r="S362" s="793"/>
      <c r="T362" s="794"/>
      <c r="U362" s="882" t="s">
        <v>254</v>
      </c>
    </row>
    <row r="363" spans="1:21" ht="15.75" thickBot="1">
      <c r="A363" s="36" t="s">
        <v>116</v>
      </c>
      <c r="B363" s="36" t="s">
        <v>117</v>
      </c>
      <c r="C363" s="36" t="s">
        <v>162</v>
      </c>
      <c r="D363" s="36" t="s">
        <v>119</v>
      </c>
      <c r="E363" s="36" t="s">
        <v>120</v>
      </c>
      <c r="F363" s="36" t="s">
        <v>118</v>
      </c>
      <c r="G363" s="36" t="s">
        <v>121</v>
      </c>
      <c r="H363" s="36" t="s">
        <v>122</v>
      </c>
      <c r="M363" s="36" t="s">
        <v>116</v>
      </c>
      <c r="N363" s="36" t="s">
        <v>117</v>
      </c>
      <c r="O363" s="36" t="s">
        <v>162</v>
      </c>
      <c r="P363" s="36" t="s">
        <v>119</v>
      </c>
      <c r="Q363" s="36" t="s">
        <v>120</v>
      </c>
      <c r="R363" s="36" t="s">
        <v>118</v>
      </c>
      <c r="S363" s="36" t="s">
        <v>121</v>
      </c>
      <c r="T363" s="36" t="s">
        <v>122</v>
      </c>
      <c r="U363" s="883"/>
    </row>
    <row r="364" spans="1:21" ht="15.75" thickBot="1">
      <c r="A364" s="795"/>
      <c r="B364" s="796"/>
      <c r="C364" s="796"/>
      <c r="D364" s="796"/>
      <c r="E364" s="796"/>
      <c r="F364" s="796"/>
      <c r="G364" s="796"/>
      <c r="H364" s="797"/>
      <c r="M364" s="795"/>
      <c r="N364" s="796"/>
      <c r="O364" s="796"/>
      <c r="P364" s="796"/>
      <c r="Q364" s="796"/>
      <c r="R364" s="796"/>
      <c r="S364" s="796"/>
      <c r="T364" s="797"/>
      <c r="U364" s="883"/>
    </row>
    <row r="365" spans="1:21" ht="15.75" thickBot="1">
      <c r="A365" s="40">
        <v>0.6</v>
      </c>
      <c r="B365" s="41">
        <v>2</v>
      </c>
      <c r="C365" s="47">
        <f>((((A365*1)+(B365*2))*'MATERIALES (2)'!$C$33)+((A365*3)*'MATERIALES (2)'!$C$35)+((0.4*2)*'MATERIALES (2)'!$C$35)+((B365*2)*'MATERIALES (2)'!$C$34)+(((A365-0.2)*'MATERIALES (2)'!$C$23)*((B365-0.36)/0.12)))*'MATERIALES (2)'!$F$1</f>
        <v>114415.637</v>
      </c>
      <c r="D365" s="58">
        <f>(2*'MATERIALES (2)'!$C$135)+(20*'MATERIALES (2)'!$C$147)+(20*'MATERIALES (2)'!$C$148)+((8*2)*'MATERIALES (2)'!$C$134)+(3*'MATERIALES (2)'!$C$150)+(((B365*2)+(A365*1))*'MATERIALES (2)'!$C$138)+(((A365*2)+(0.4*6))*'MATERIALES (2)'!$C$130)+((A365*2)+(B365*2)*'MATERIALES (2)'!$C$154)+(0.5*'MATERIALES (2)'!$C$156)+(1*'MATERIALES (2)'!$C$151)+(((A365*5)*2)*'MATERIALES (2)'!$C$136)+(4*'MATERIALES (2)'!$C$137)</f>
        <v>22071.200000000001</v>
      </c>
      <c r="E365" s="74"/>
      <c r="F365" s="54">
        <f>(A365*0.4)*'MATERIALES (2)'!$D$85</f>
        <v>1776</v>
      </c>
      <c r="G365" s="47">
        <f>SUM(C365:F365)</f>
        <v>138262.837</v>
      </c>
      <c r="H365" s="49">
        <f>(((((SUM(C365:E365)*$C$361)+(F365*$F$361)))*1.21)*1.05)*1.05</f>
        <v>250542.20798404876</v>
      </c>
      <c r="M365" s="65">
        <v>0.6</v>
      </c>
      <c r="N365" s="66">
        <v>2</v>
      </c>
      <c r="O365" s="58">
        <f>((((M365*1)+(N365*2))*'MATERIALES (2)'!$C$33)+((M365*3)*'MATERIALES (2)'!$C$35)+((N365*2)*'MATERIALES (2)'!$C$34)+(((M365-0.2)*'MATERIALES (2)'!$C$23)*(0.6/0.12))+(((M365*2)+(N365*2))*'MATERIALES (2)'!$C$31)+((M365*2)+(N365)*'MATERIALES (2)'!$C$32))*'MATERIALES (2)'!$F$1</f>
        <v>124638.50699999998</v>
      </c>
      <c r="P365" s="58">
        <f>(2*'MATERIALES (2)'!$C$135)+(18*'MATERIALES (2)'!$C$147)+(18*'MATERIALES (2)'!$C$148)+((8*2)*'MATERIALES (2)'!$C$134)+(3*'MATERIALES (2)'!$C$150)+(((N365*2)+(M365*1))*'MATERIALES (2)'!$C$138)+(((M365*6)+(N365*4))*'MATERIALES (2)'!$C$155)+(0.25*'MATERIALES (2)'!$C$156)+(((M365*2)+(0.6*2))*'MATERIALES (2)'!$C$154)+(1*'MATERIALES (2)'!$C$151)+(((M365*5)*2)*'MATERIALES (2)'!$C$136)+(4*'MATERIALES (2)'!$C$137)</f>
        <v>19602</v>
      </c>
      <c r="Q365" s="74"/>
      <c r="R365" s="54">
        <f>(M365*N365)*'MATERIALES (2)'!$D$85</f>
        <v>8880</v>
      </c>
      <c r="S365" s="58">
        <f>SUM(O365:R365)</f>
        <v>153120.50699999998</v>
      </c>
      <c r="T365" s="67">
        <f>((((SUM(O365:Q365)*$O$361)+(R365*$R$361))*1.21)*1.05)*1.05</f>
        <v>283459.88117341133</v>
      </c>
      <c r="U365" s="787"/>
    </row>
    <row r="366" spans="1:21" ht="15.75" thickBot="1">
      <c r="A366" s="42">
        <v>0.7</v>
      </c>
      <c r="B366" s="37">
        <v>2</v>
      </c>
      <c r="C366" s="38">
        <f>((((A366*1)+(B366*2))*'MATERIALES (2)'!$C$33)+((A366*3)*'MATERIALES (2)'!$C$35)+((0.4*2)*'MATERIALES (2)'!$C$35)+((B366*2)*'MATERIALES (2)'!$C$34)+(((A366-0.2)*'MATERIALES (2)'!$C$23)*((B366-0.36)/0.12)))*'MATERIALES (2)'!$F$1</f>
        <v>125225.6005</v>
      </c>
      <c r="D366" s="59">
        <f>(2*'MATERIALES (2)'!$C$135)+(20*'MATERIALES (2)'!$C$147)+(20*'MATERIALES (2)'!$C$148)+((8*2)*'MATERIALES (2)'!$C$134)+(3*'MATERIALES (2)'!$C$150)+(((B366*2)+(A366*1))*'MATERIALES (2)'!$C$138)+(((A366*2)+(0.4*6))*'MATERIALES (2)'!$C$130)+((A366*2)+(B366*2)*'MATERIALES (2)'!$C$154)+(0.5*'MATERIALES (2)'!$C$156)+(1*'MATERIALES (2)'!$C$151)+(((A366*5)*2)*'MATERIALES (2)'!$C$136)+(4*'MATERIALES (2)'!$C$137)</f>
        <v>22125.4</v>
      </c>
      <c r="E366" s="75"/>
      <c r="F366" s="55">
        <f>(A366*0.4)*'MATERIALES (2)'!$D$85</f>
        <v>2072</v>
      </c>
      <c r="G366" s="38">
        <f t="shared" ref="G366:G372" si="106">SUM(C366:F366)</f>
        <v>149423.00049999999</v>
      </c>
      <c r="H366" s="49">
        <f t="shared" ref="H366:H372" si="107">(((((SUM(C366:E366)*$C$361)+(F366*$F$361)))*1.21)*1.05)*1.05</f>
        <v>270897.58949671686</v>
      </c>
      <c r="M366" s="68">
        <v>0.7</v>
      </c>
      <c r="N366" s="69">
        <v>2</v>
      </c>
      <c r="O366" s="59">
        <f>((((M366*1)+(N366*2))*'MATERIALES (2)'!$C$33)+((M366*3)*'MATERIALES (2)'!$C$35)+((N366*2)*'MATERIALES (2)'!$C$34)+(((M366-0.2)*'MATERIALES (2)'!$C$23)*(0.6/0.12))+(((M366*2)+(N366*2))*'MATERIALES (2)'!$C$31)+((M366*2)+(N366)*'MATERIALES (2)'!$C$32))*'MATERIALES (2)'!$F$1</f>
        <v>133620.35400000002</v>
      </c>
      <c r="P366" s="59">
        <f>(2*'MATERIALES (2)'!$C$135)+(18*'MATERIALES (2)'!$C$147)+(18*'MATERIALES (2)'!$C$148)+((8*2)*'MATERIALES (2)'!$C$134)+(3*'MATERIALES (2)'!$C$150)+(((N366*2)+(M366*1))*'MATERIALES (2)'!$C$138)+(((M366*6)+(N366*4))*'MATERIALES (2)'!$C$155)+(0.25*'MATERIALES (2)'!$C$156)+(((M366*2)+(0.6*2))*'MATERIALES (2)'!$C$154)+(1*'MATERIALES (2)'!$C$151)+(((M366*5)*2)*'MATERIALES (2)'!$C$136)+(4*'MATERIALES (2)'!$C$137)</f>
        <v>19716</v>
      </c>
      <c r="Q366" s="75"/>
      <c r="R366" s="55">
        <f>(M366*N366)*'MATERIALES (2)'!$D$85</f>
        <v>10360</v>
      </c>
      <c r="S366" s="59">
        <f t="shared" ref="S366:S372" si="108">SUM(O366:R366)</f>
        <v>163696.35400000002</v>
      </c>
      <c r="T366" s="67">
        <f t="shared" ref="T366:T372" si="109">((((SUM(O366:Q366)*$O$361)+(R366*$R$361))*1.21)*1.05)*1.05</f>
        <v>303789.61302054755</v>
      </c>
      <c r="U366" s="787"/>
    </row>
    <row r="367" spans="1:21" ht="15.75" thickBot="1">
      <c r="A367" s="42">
        <v>0.8</v>
      </c>
      <c r="B367" s="37">
        <v>2</v>
      </c>
      <c r="C367" s="38">
        <f>((((A367*1)+(B367*2))*'MATERIALES (2)'!$C$33)+((A367*3)*'MATERIALES (2)'!$C$35)+((0.4*2)*'MATERIALES (2)'!$C$35)+((B367*2)*'MATERIALES (2)'!$C$34)+(((A367-0.2)*'MATERIALES (2)'!$C$23)*((B367-0.36)/0.12)))*'MATERIALES (2)'!$F$1</f>
        <v>136035.56400000001</v>
      </c>
      <c r="D367" s="59">
        <f>(2*'MATERIALES (2)'!$C$135)+(20*'MATERIALES (2)'!$C$147)+(20*'MATERIALES (2)'!$C$148)+((8*2)*'MATERIALES (2)'!$C$134)+(3*'MATERIALES (2)'!$C$150)+(((B367*2)+(A367*1))*'MATERIALES (2)'!$C$138)+(((A367*2)+(0.4*6))*'MATERIALES (2)'!$C$130)+((A367*2)+(B367*2)*'MATERIALES (2)'!$C$154)+(0.5*'MATERIALES (2)'!$C$156)+(1*'MATERIALES (2)'!$C$151)+(((A367*5)*2)*'MATERIALES (2)'!$C$136)+(4*'MATERIALES (2)'!$C$137)</f>
        <v>22179.599999999999</v>
      </c>
      <c r="E367" s="75"/>
      <c r="F367" s="55">
        <f>(A367*0.4)*'MATERIALES (2)'!$D$85</f>
        <v>2368.0000000000005</v>
      </c>
      <c r="G367" s="38">
        <f t="shared" si="106"/>
        <v>160583.16400000002</v>
      </c>
      <c r="H367" s="49">
        <f t="shared" si="107"/>
        <v>291252.97100938507</v>
      </c>
      <c r="M367" s="68">
        <v>0.8</v>
      </c>
      <c r="N367" s="69">
        <v>2</v>
      </c>
      <c r="O367" s="59">
        <f>((((M367*1)+(N367*2))*'MATERIALES (2)'!$C$33)+((M367*3)*'MATERIALES (2)'!$C$35)+((N367*2)*'MATERIALES (2)'!$C$34)+(((M367-0.2)*'MATERIALES (2)'!$C$23)*(0.6/0.12))+(((M367*2)+(N367*2))*'MATERIALES (2)'!$C$31)+((M367*2)+(N367)*'MATERIALES (2)'!$C$32))*'MATERIALES (2)'!$F$1</f>
        <v>142602.201</v>
      </c>
      <c r="P367" s="59">
        <f>(2*'MATERIALES (2)'!$C$135)+(18*'MATERIALES (2)'!$C$147)+(18*'MATERIALES (2)'!$C$148)+((8*2)*'MATERIALES (2)'!$C$134)+(3*'MATERIALES (2)'!$C$150)+(((N367*2)+(M367*1))*'MATERIALES (2)'!$C$138)+(((M367*6)+(N367*4))*'MATERIALES (2)'!$C$155)+(0.25*'MATERIALES (2)'!$C$156)+(((M367*2)+(0.6*2))*'MATERIALES (2)'!$C$154)+(1*'MATERIALES (2)'!$C$151)+(((M367*5)*2)*'MATERIALES (2)'!$C$136)+(4*'MATERIALES (2)'!$C$137)</f>
        <v>19830</v>
      </c>
      <c r="Q367" s="75"/>
      <c r="R367" s="55">
        <f>(M367*N367)*'MATERIALES (2)'!$D$85</f>
        <v>11840</v>
      </c>
      <c r="S367" s="59">
        <f t="shared" si="108"/>
        <v>174272.201</v>
      </c>
      <c r="T367" s="67">
        <f t="shared" si="109"/>
        <v>324119.34486768383</v>
      </c>
      <c r="U367" s="787"/>
    </row>
    <row r="368" spans="1:21" ht="15.75" thickBot="1">
      <c r="A368" s="42">
        <v>0.9</v>
      </c>
      <c r="B368" s="37">
        <v>2</v>
      </c>
      <c r="C368" s="38">
        <f>((((A368*1)+(B368*2))*'MATERIALES (2)'!$C$33)+((A368*3)*'MATERIALES (2)'!$C$35)+((0.4*2)*'MATERIALES (2)'!$C$35)+((B368*2)*'MATERIALES (2)'!$C$34)+(((A368-0.2)*'MATERIALES (2)'!$C$23)*((B368-0.36)/0.12)))*'MATERIALES (2)'!$F$1</f>
        <v>146845.5275</v>
      </c>
      <c r="D368" s="59">
        <f>(2*'MATERIALES (2)'!$C$135)+(20*'MATERIALES (2)'!$C$147)+(20*'MATERIALES (2)'!$C$148)+((8*2)*'MATERIALES (2)'!$C$134)+(3*'MATERIALES (2)'!$C$150)+(((B368*2)+(A368*1))*'MATERIALES (2)'!$C$138)+(((A368*2)+(0.4*6))*'MATERIALES (2)'!$C$130)+((A368*2)+(B368*2)*'MATERIALES (2)'!$C$154)+(0.5*'MATERIALES (2)'!$C$156)+(1*'MATERIALES (2)'!$C$151)+(((A368*5)*2)*'MATERIALES (2)'!$C$136)+(4*'MATERIALES (2)'!$C$137)</f>
        <v>22233.8</v>
      </c>
      <c r="E368" s="75"/>
      <c r="F368" s="55">
        <f>(A368*0.4)*'MATERIALES (2)'!$D$85</f>
        <v>2664.0000000000005</v>
      </c>
      <c r="G368" s="38">
        <f t="shared" si="106"/>
        <v>171743.32749999998</v>
      </c>
      <c r="H368" s="49">
        <f t="shared" si="107"/>
        <v>311608.35252205317</v>
      </c>
      <c r="M368" s="68">
        <v>0.9</v>
      </c>
      <c r="N368" s="69">
        <v>2</v>
      </c>
      <c r="O368" s="59">
        <f>((((M368*1)+(N368*2))*'MATERIALES (2)'!$C$33)+((M368*3)*'MATERIALES (2)'!$C$35)+((N368*2)*'MATERIALES (2)'!$C$34)+(((M368-0.2)*'MATERIALES (2)'!$C$23)*(0.6/0.12))+(((M368*2)+(N368*2))*'MATERIALES (2)'!$C$31)+((M368*2)+(N368)*'MATERIALES (2)'!$C$32))*'MATERIALES (2)'!$F$1</f>
        <v>151584.04799999998</v>
      </c>
      <c r="P368" s="59">
        <f>(2*'MATERIALES (2)'!$C$135)+(18*'MATERIALES (2)'!$C$147)+(18*'MATERIALES (2)'!$C$148)+((8*2)*'MATERIALES (2)'!$C$134)+(3*'MATERIALES (2)'!$C$150)+(((N368*2)+(M368*1))*'MATERIALES (2)'!$C$138)+(((M368*6)+(N368*4))*'MATERIALES (2)'!$C$155)+(0.25*'MATERIALES (2)'!$C$156)+(((M368*2)+(0.6*2))*'MATERIALES (2)'!$C$154)+(1*'MATERIALES (2)'!$C$151)+(((M368*5)*2)*'MATERIALES (2)'!$C$136)+(4*'MATERIALES (2)'!$C$137)</f>
        <v>19944</v>
      </c>
      <c r="Q368" s="75"/>
      <c r="R368" s="55">
        <f>(M368*N368)*'MATERIALES (2)'!$D$85</f>
        <v>13320</v>
      </c>
      <c r="S368" s="59">
        <f t="shared" si="108"/>
        <v>184848.04799999998</v>
      </c>
      <c r="T368" s="67">
        <f t="shared" si="109"/>
        <v>344449.07671482005</v>
      </c>
      <c r="U368" s="787"/>
    </row>
    <row r="369" spans="1:21" ht="15.75" thickBot="1">
      <c r="A369" s="42">
        <v>0.6</v>
      </c>
      <c r="B369" s="37">
        <v>2.1</v>
      </c>
      <c r="C369" s="38">
        <f>((((A369*1)+(B369*2))*'MATERIALES (2)'!$C$33)+((A369*3)*'MATERIALES (2)'!$C$35)+((0.4*2)*'MATERIALES (2)'!$C$35)+((B369*2)*'MATERIALES (2)'!$C$34)+(((A369-0.2)*'MATERIALES (2)'!$C$23)*((B369-0.36)/0.12)))*'MATERIALES (2)'!$F$1</f>
        <v>119051.62500000001</v>
      </c>
      <c r="D369" s="59">
        <f>(2*'MATERIALES (2)'!$C$135)+(20*'MATERIALES (2)'!$C$147)+(20*'MATERIALES (2)'!$C$148)+((8*2)*'MATERIALES (2)'!$C$134)+(3*'MATERIALES (2)'!$C$150)+(((B369*2)+(A369*1))*'MATERIALES (2)'!$C$138)+(((A369*2)+(0.4*6))*'MATERIALES (2)'!$C$130)+((A369*2)+(B369*2)*'MATERIALES (2)'!$C$154)+(0.5*'MATERIALES (2)'!$C$156)+(1*'MATERIALES (2)'!$C$151)+(((A369*5)*2)*'MATERIALES (2)'!$C$136)+(4*'MATERIALES (2)'!$C$137)</f>
        <v>22131.200000000001</v>
      </c>
      <c r="E369" s="75"/>
      <c r="F369" s="55">
        <f>(A369*0.4)*'MATERIALES (2)'!$D$85</f>
        <v>1776</v>
      </c>
      <c r="G369" s="38">
        <f t="shared" si="106"/>
        <v>142958.82500000001</v>
      </c>
      <c r="H369" s="49">
        <f t="shared" si="107"/>
        <v>258999.37126284381</v>
      </c>
      <c r="M369" s="68">
        <v>0.6</v>
      </c>
      <c r="N369" s="69">
        <v>2.1</v>
      </c>
      <c r="O369" s="59">
        <f>((((M369*1)+(N369*2))*'MATERIALES (2)'!$C$33)+((M369*3)*'MATERIALES (2)'!$C$35)+((N369*2)*'MATERIALES (2)'!$C$34)+(((M369-0.2)*'MATERIALES (2)'!$C$23)*(0.6/0.12))+(((M369*2)+(N369*2))*'MATERIALES (2)'!$C$31)+((M369*2)+(N369)*'MATERIALES (2)'!$C$32))*'MATERIALES (2)'!$F$1</f>
        <v>128444.74124999999</v>
      </c>
      <c r="P369" s="59">
        <f>(2*'MATERIALES (2)'!$C$135)+(18*'MATERIALES (2)'!$C$147)+(18*'MATERIALES (2)'!$C$148)+((8*2)*'MATERIALES (2)'!$C$134)+(3*'MATERIALES (2)'!$C$150)+(((N369*2)+(M369*1))*'MATERIALES (2)'!$C$138)+(((M369*6)+(N369*4))*'MATERIALES (2)'!$C$155)+(0.25*'MATERIALES (2)'!$C$156)+(((M369*2)+(0.6*2))*'MATERIALES (2)'!$C$154)+(1*'MATERIALES (2)'!$C$151)+(((M369*5)*2)*'MATERIALES (2)'!$C$136)+(4*'MATERIALES (2)'!$C$137)</f>
        <v>19654</v>
      </c>
      <c r="Q369" s="75"/>
      <c r="R369" s="55">
        <f>(M369*N369)*'MATERIALES (2)'!$D$85</f>
        <v>9324</v>
      </c>
      <c r="S369" s="59">
        <f t="shared" si="108"/>
        <v>157422.74124999999</v>
      </c>
      <c r="T369" s="67">
        <f t="shared" si="109"/>
        <v>291592.91964964219</v>
      </c>
      <c r="U369" s="787"/>
    </row>
    <row r="370" spans="1:21" ht="15.75" thickBot="1">
      <c r="A370" s="42">
        <v>0.7</v>
      </c>
      <c r="B370" s="37">
        <v>2.1</v>
      </c>
      <c r="C370" s="38">
        <f>((((A370*1)+(B370*2))*'MATERIALES (2)'!$C$33)+((A370*3)*'MATERIALES (2)'!$C$35)+((0.4*2)*'MATERIALES (2)'!$C$35)+((B370*2)*'MATERIALES (2)'!$C$34)+(((A370-0.2)*'MATERIALES (2)'!$C$23)*((B370-0.36)/0.12)))*'MATERIALES (2)'!$F$1</f>
        <v>130309.69350000002</v>
      </c>
      <c r="D370" s="59">
        <f>(2*'MATERIALES (2)'!$C$135)+(20*'MATERIALES (2)'!$C$147)+(20*'MATERIALES (2)'!$C$148)+((8*2)*'MATERIALES (2)'!$C$134)+(3*'MATERIALES (2)'!$C$150)+(((B370*2)+(A370*1))*'MATERIALES (2)'!$C$138)+(((A370*2)+(0.4*6))*'MATERIALES (2)'!$C$130)+((A370*2)+(B370*2)*'MATERIALES (2)'!$C$154)+(0.5*'MATERIALES (2)'!$C$156)+(1*'MATERIALES (2)'!$C$151)+(((A370*5)*2)*'MATERIALES (2)'!$C$136)+(4*'MATERIALES (2)'!$C$137)</f>
        <v>22185.4</v>
      </c>
      <c r="E370" s="75"/>
      <c r="F370" s="55">
        <f>(A370*0.4)*'MATERIALES (2)'!$D$85</f>
        <v>2072</v>
      </c>
      <c r="G370" s="38">
        <f t="shared" si="106"/>
        <v>154567.09350000002</v>
      </c>
      <c r="H370" s="49">
        <f t="shared" si="107"/>
        <v>280161.76019355573</v>
      </c>
      <c r="M370" s="68">
        <v>0.7</v>
      </c>
      <c r="N370" s="69">
        <v>2.1</v>
      </c>
      <c r="O370" s="59">
        <f>((((M370*1)+(N370*2))*'MATERIALES (2)'!$C$33)+((M370*3)*'MATERIALES (2)'!$C$35)+((N370*2)*'MATERIALES (2)'!$C$34)+(((M370-0.2)*'MATERIALES (2)'!$C$23)*(0.6/0.12))+(((M370*2)+(N370*2))*'MATERIALES (2)'!$C$31)+((M370*2)+(N370)*'MATERIALES (2)'!$C$32))*'MATERIALES (2)'!$F$1</f>
        <v>137426.58825</v>
      </c>
      <c r="P370" s="59">
        <f>(2*'MATERIALES (2)'!$C$135)+(18*'MATERIALES (2)'!$C$147)+(18*'MATERIALES (2)'!$C$148)+((8*2)*'MATERIALES (2)'!$C$134)+(3*'MATERIALES (2)'!$C$150)+(((N370*2)+(M370*1))*'MATERIALES (2)'!$C$138)+(((M370*6)+(N370*4))*'MATERIALES (2)'!$C$155)+(0.25*'MATERIALES (2)'!$C$156)+(((M370*2)+(0.6*2))*'MATERIALES (2)'!$C$154)+(1*'MATERIALES (2)'!$C$151)+(((M370*5)*2)*'MATERIALES (2)'!$C$136)+(4*'MATERIALES (2)'!$C$137)</f>
        <v>19768</v>
      </c>
      <c r="Q370" s="75"/>
      <c r="R370" s="55">
        <f>(M370*N370)*'MATERIALES (2)'!$D$85</f>
        <v>10878</v>
      </c>
      <c r="S370" s="59">
        <f t="shared" si="108"/>
        <v>168072.58825</v>
      </c>
      <c r="T370" s="67">
        <f t="shared" si="109"/>
        <v>312120.08719677845</v>
      </c>
      <c r="U370" s="787"/>
    </row>
    <row r="371" spans="1:21" ht="15.75" thickBot="1">
      <c r="A371" s="42">
        <v>0.8</v>
      </c>
      <c r="B371" s="37">
        <v>2.1</v>
      </c>
      <c r="C371" s="38">
        <f>((((A371*1)+(B371*2))*'MATERIALES (2)'!$C$33)+((A371*3)*'MATERIALES (2)'!$C$35)+((0.4*2)*'MATERIALES (2)'!$C$35)+((B371*2)*'MATERIALES (2)'!$C$34)+(((A371-0.2)*'MATERIALES (2)'!$C$23)*((B371-0.36)/0.12)))*'MATERIALES (2)'!$F$1</f>
        <v>141567.76200000002</v>
      </c>
      <c r="D371" s="59">
        <f>(2*'MATERIALES (2)'!$C$135)+(20*'MATERIALES (2)'!$C$147)+(20*'MATERIALES (2)'!$C$148)+((8*2)*'MATERIALES (2)'!$C$134)+(3*'MATERIALES (2)'!$C$150)+(((B371*2)+(A371*1))*'MATERIALES (2)'!$C$138)+(((A371*2)+(0.4*6))*'MATERIALES (2)'!$C$130)+((A371*2)+(B371*2)*'MATERIALES (2)'!$C$154)+(0.5*'MATERIALES (2)'!$C$156)+(1*'MATERIALES (2)'!$C$151)+(((A371*5)*2)*'MATERIALES (2)'!$C$136)+(4*'MATERIALES (2)'!$C$137)</f>
        <v>22239.599999999999</v>
      </c>
      <c r="E371" s="75"/>
      <c r="F371" s="55">
        <f>(A371*0.4)*'MATERIALES (2)'!$D$85</f>
        <v>2368.0000000000005</v>
      </c>
      <c r="G371" s="38">
        <f t="shared" si="106"/>
        <v>166175.36200000002</v>
      </c>
      <c r="H371" s="49">
        <f t="shared" si="107"/>
        <v>301324.14912426763</v>
      </c>
      <c r="M371" s="68">
        <v>0.8</v>
      </c>
      <c r="N371" s="69">
        <v>2.1</v>
      </c>
      <c r="O371" s="59">
        <f>((((M371*1)+(N371*2))*'MATERIALES (2)'!$C$33)+((M371*3)*'MATERIALES (2)'!$C$35)+((N371*2)*'MATERIALES (2)'!$C$34)+(((M371-0.2)*'MATERIALES (2)'!$C$23)*(0.6/0.12))+(((M371*2)+(N371*2))*'MATERIALES (2)'!$C$31)+((M371*2)+(N371)*'MATERIALES (2)'!$C$32))*'MATERIALES (2)'!$F$1</f>
        <v>146408.43525000001</v>
      </c>
      <c r="P371" s="59">
        <f>(2*'MATERIALES (2)'!$C$135)+(18*'MATERIALES (2)'!$C$147)+(18*'MATERIALES (2)'!$C$148)+((8*2)*'MATERIALES (2)'!$C$134)+(3*'MATERIALES (2)'!$C$150)+(((N371*2)+(M371*1))*'MATERIALES (2)'!$C$138)+(((M371*6)+(N371*4))*'MATERIALES (2)'!$C$155)+(0.25*'MATERIALES (2)'!$C$156)+(((M371*2)+(0.6*2))*'MATERIALES (2)'!$C$154)+(1*'MATERIALES (2)'!$C$151)+(((M371*5)*2)*'MATERIALES (2)'!$C$136)+(4*'MATERIALES (2)'!$C$137)</f>
        <v>19882</v>
      </c>
      <c r="Q371" s="75"/>
      <c r="R371" s="55">
        <f>(M371*N371)*'MATERIALES (2)'!$D$85</f>
        <v>12432.000000000002</v>
      </c>
      <c r="S371" s="59">
        <f t="shared" si="108"/>
        <v>178722.43525000001</v>
      </c>
      <c r="T371" s="67">
        <f t="shared" si="109"/>
        <v>332647.25474391476</v>
      </c>
      <c r="U371" s="787"/>
    </row>
    <row r="372" spans="1:21" ht="15.75" thickBot="1">
      <c r="A372" s="44">
        <v>0.9</v>
      </c>
      <c r="B372" s="45">
        <v>2.1</v>
      </c>
      <c r="C372" s="50">
        <f>((((A372*1)+(B372*2))*'MATERIALES (2)'!$C$33)+((A372*3)*'MATERIALES (2)'!$C$35)+((0.4*2)*'MATERIALES (2)'!$C$35)+((B372*2)*'MATERIALES (2)'!$C$34)+(((A372-0.2)*'MATERIALES (2)'!$C$23)*((B372-0.36)/0.12)))*'MATERIALES (2)'!$F$1</f>
        <v>152825.83050000001</v>
      </c>
      <c r="D372" s="60">
        <f>(2*'MATERIALES (2)'!$C$135)+(20*'MATERIALES (2)'!$C$147)+(20*'MATERIALES (2)'!$C$148)+((8*2)*'MATERIALES (2)'!$C$134)+(3*'MATERIALES (2)'!$C$150)+(((B372*2)+(A372*1))*'MATERIALES (2)'!$C$138)+(((A372*2)+(0.4*6))*'MATERIALES (2)'!$C$130)+((A372*2)+(B372*2)*'MATERIALES (2)'!$C$154)+(0.5*'MATERIALES (2)'!$C$156)+(1*'MATERIALES (2)'!$C$151)+(((A372*5)*2)*'MATERIALES (2)'!$C$136)+(4*'MATERIALES (2)'!$C$137)</f>
        <v>22293.8</v>
      </c>
      <c r="E372" s="76"/>
      <c r="F372" s="56">
        <f>(A372*0.4)*'MATERIALES (2)'!$D$85</f>
        <v>2664.0000000000005</v>
      </c>
      <c r="G372" s="50">
        <f t="shared" si="106"/>
        <v>177783.6305</v>
      </c>
      <c r="H372" s="49">
        <f t="shared" si="107"/>
        <v>322486.53805497941</v>
      </c>
      <c r="M372" s="71">
        <v>0.9</v>
      </c>
      <c r="N372" s="72">
        <v>2.1</v>
      </c>
      <c r="O372" s="60">
        <f>((((M372*1)+(N372*2))*'MATERIALES (2)'!$C$33)+((M372*3)*'MATERIALES (2)'!$C$35)+((N372*2)*'MATERIALES (2)'!$C$34)+(((M372-0.2)*'MATERIALES (2)'!$C$23)*(0.6/0.12))+(((M372*2)+(N372*2))*'MATERIALES (2)'!$C$31)+((M372*2)+(N372)*'MATERIALES (2)'!$C$32))*'MATERIALES (2)'!$F$1</f>
        <v>155390.28225000002</v>
      </c>
      <c r="P372" s="60">
        <f>(2*'MATERIALES (2)'!$C$135)+(18*'MATERIALES (2)'!$C$147)+(18*'MATERIALES (2)'!$C$148)+((8*2)*'MATERIALES (2)'!$C$134)+(3*'MATERIALES (2)'!$C$150)+(((N372*2)+(M372*1))*'MATERIALES (2)'!$C$138)+(((M372*6)+(N372*4))*'MATERIALES (2)'!$C$155)+(0.25*'MATERIALES (2)'!$C$156)+(((M372*2)+(0.6*2))*'MATERIALES (2)'!$C$154)+(1*'MATERIALES (2)'!$C$151)+(((M372*5)*2)*'MATERIALES (2)'!$C$136)+(4*'MATERIALES (2)'!$C$137)</f>
        <v>19996</v>
      </c>
      <c r="Q372" s="76"/>
      <c r="R372" s="56">
        <f>(M372*N372)*'MATERIALES (2)'!$D$85</f>
        <v>13986.000000000002</v>
      </c>
      <c r="S372" s="60">
        <f t="shared" si="108"/>
        <v>189372.28225000002</v>
      </c>
      <c r="T372" s="67">
        <f t="shared" si="109"/>
        <v>353174.42229105107</v>
      </c>
      <c r="U372" s="788"/>
    </row>
    <row r="374" spans="1:21" ht="15.75" thickBot="1">
      <c r="C374" s="78"/>
      <c r="O374" s="78"/>
    </row>
    <row r="375" spans="1:21" ht="15.75" thickBot="1">
      <c r="A375" s="32"/>
      <c r="B375" s="32"/>
      <c r="C375" s="947">
        <v>1.35</v>
      </c>
      <c r="D375" s="948"/>
      <c r="E375" s="949"/>
      <c r="F375" s="728">
        <v>2</v>
      </c>
      <c r="G375" s="32"/>
      <c r="H375" s="46" t="s">
        <v>163</v>
      </c>
      <c r="M375" s="32"/>
      <c r="N375" s="32"/>
      <c r="O375" s="947">
        <v>1.35</v>
      </c>
      <c r="P375" s="948"/>
      <c r="Q375" s="949"/>
      <c r="R375" s="728">
        <v>2</v>
      </c>
      <c r="S375" s="32"/>
      <c r="T375" s="46" t="s">
        <v>163</v>
      </c>
    </row>
    <row r="376" spans="1:21" ht="15.75" thickBot="1">
      <c r="A376" s="792" t="s">
        <v>810</v>
      </c>
      <c r="B376" s="793"/>
      <c r="C376" s="793"/>
      <c r="D376" s="793"/>
      <c r="E376" s="793"/>
      <c r="F376" s="793"/>
      <c r="G376" s="793"/>
      <c r="H376" s="794"/>
      <c r="I376" s="882" t="s">
        <v>255</v>
      </c>
      <c r="M376" s="792" t="s">
        <v>811</v>
      </c>
      <c r="N376" s="793"/>
      <c r="O376" s="793"/>
      <c r="P376" s="793"/>
      <c r="Q376" s="793"/>
      <c r="R376" s="793"/>
      <c r="S376" s="793"/>
      <c r="T376" s="794"/>
      <c r="U376" s="882" t="s">
        <v>255</v>
      </c>
    </row>
    <row r="377" spans="1:21" ht="15.75" thickBot="1">
      <c r="A377" s="36" t="s">
        <v>116</v>
      </c>
      <c r="B377" s="36" t="s">
        <v>117</v>
      </c>
      <c r="C377" s="36" t="s">
        <v>162</v>
      </c>
      <c r="D377" s="36" t="s">
        <v>119</v>
      </c>
      <c r="E377" s="36" t="s">
        <v>120</v>
      </c>
      <c r="F377" s="36" t="s">
        <v>118</v>
      </c>
      <c r="G377" s="36" t="s">
        <v>121</v>
      </c>
      <c r="H377" s="36" t="s">
        <v>122</v>
      </c>
      <c r="I377" s="883"/>
      <c r="M377" s="36" t="s">
        <v>116</v>
      </c>
      <c r="N377" s="36" t="s">
        <v>117</v>
      </c>
      <c r="O377" s="36" t="s">
        <v>162</v>
      </c>
      <c r="P377" s="36" t="s">
        <v>119</v>
      </c>
      <c r="Q377" s="36" t="s">
        <v>120</v>
      </c>
      <c r="R377" s="36" t="s">
        <v>118</v>
      </c>
      <c r="S377" s="36" t="s">
        <v>121</v>
      </c>
      <c r="T377" s="36" t="s">
        <v>122</v>
      </c>
      <c r="U377" s="883"/>
    </row>
    <row r="378" spans="1:21" ht="15.75" thickBot="1">
      <c r="A378" s="795"/>
      <c r="B378" s="796"/>
      <c r="C378" s="796"/>
      <c r="D378" s="796"/>
      <c r="E378" s="796"/>
      <c r="F378" s="796"/>
      <c r="G378" s="796"/>
      <c r="H378" s="797"/>
      <c r="I378" s="883"/>
      <c r="M378" s="795"/>
      <c r="N378" s="796"/>
      <c r="O378" s="796"/>
      <c r="P378" s="796"/>
      <c r="Q378" s="796"/>
      <c r="R378" s="796"/>
      <c r="S378" s="796"/>
      <c r="T378" s="797"/>
      <c r="U378" s="883"/>
    </row>
    <row r="379" spans="1:21" ht="15.75" thickBot="1">
      <c r="A379" s="65">
        <v>0.6</v>
      </c>
      <c r="B379" s="66">
        <v>2</v>
      </c>
      <c r="C379" s="58">
        <f>((((A379*1)+(B379*2))*'MATERIALES (2)'!$C$33)+((A379*3)*'MATERIALES (2)'!$C$35)+((B379*2)*'MATERIALES (2)'!$C$34)+(((A379-0.2)*'MATERIALES (2)'!$C$23)*((B379-0.36)/0.12))+(((A379*2)+(0.6*2))*'MATERIALES (2)'!$C$31)+((A379+0.6)*'MATERIALES (2)'!$C$32))*'MATERIALES (2)'!$F$1</f>
        <v>118585.29199999999</v>
      </c>
      <c r="D379" s="58">
        <f>(2*'MATERIALES (2)'!$C$135)+(16*'MATERIALES (2)'!$C$147)+(16*'MATERIALES (2)'!$C$148)+((8*2)*'MATERIALES (2)'!$C$134)+(3*'MATERIALES (2)'!$C$150)+(((B379*2)+(A379*1))*'MATERIALES (2)'!$C$138)+(((A379*4)+(0.6*4))*'MATERIALES (2)'!$C$155)+(0.5*'MATERIALES (2)'!$C$55)+(((A379*2)+(B379*2))*'MATERIALES (2)'!$C$154)+(1*'MATERIALES (2)'!$C$151)+(((A379*5)*2)*'MATERIALES (2)'!$C$136)+(4*'MATERIALES (2)'!$C$137)</f>
        <v>17214.3115</v>
      </c>
      <c r="E379" s="74"/>
      <c r="F379" s="54">
        <f>(A379*0.6)*'MATERIALES (2)'!$D$85</f>
        <v>2664</v>
      </c>
      <c r="G379" s="58">
        <f>SUM(C379:F379)</f>
        <v>138463.6035</v>
      </c>
      <c r="H379" s="67">
        <f>(((((SUM(C379:E379)*$C$375)+(F379*$F$375)))*1.21)*1.05)*1.05</f>
        <v>251673.77437976812</v>
      </c>
      <c r="I379" s="787"/>
      <c r="M379" s="65">
        <v>0.6</v>
      </c>
      <c r="N379" s="66">
        <v>2</v>
      </c>
      <c r="O379" s="58">
        <f>((((M379*1)+(N379*2))*'MATERIALES (2)'!$C$33)+((M379*3)*'MATERIALES (2)'!$C$35)+((N379*2)*'MATERIALES (2)'!$C$34)+(((M379-0.2)*'MATERIALES (2)'!$C$23)*((N379/2)/0.12))+(((M379*2)+((N379/2)*2))*'MATERIALES (2)'!$C$31)+((M379+(N379/2))*'MATERIALES (2)'!$C$32))*'MATERIALES (2)'!$F$1</f>
        <v>110964.469</v>
      </c>
      <c r="P379" s="58">
        <f>(2*'MATERIALES (2)'!$C$135)+(16*'MATERIALES (2)'!$C$147)+(16*'MATERIALES (2)'!$C$148)+((8*2)*'MATERIALES (2)'!$C$134)+(3*'MATERIALES (2)'!$C$150)+(((N379*2)+(M379*1))*'MATERIALES (2)'!$C$138)+(((M379*2)+((N379/2)*2))*'MATERIALES (2)'!$C$154)+(1*'MATERIALES (2)'!$C$151)+(0.5*'MATERIALES (2)'!$C$156)+(((M379*5)*2)*'MATERIALES (2)'!$C$136)+(4*'MATERIALES (2)'!$C$137)</f>
        <v>20254</v>
      </c>
      <c r="Q379" s="74"/>
      <c r="R379" s="54">
        <f>(M379*(N379/2))*'MATERIALES (2)'!$D$85</f>
        <v>4440</v>
      </c>
      <c r="S379" s="58">
        <f>SUM(O379:R379)</f>
        <v>135658.46899999998</v>
      </c>
      <c r="T379" s="67">
        <f>((((SUM(O379:Q379)*$O$375)+(R379*$R$375))*1.21)*1.05)*1.05</f>
        <v>248161.91144542876</v>
      </c>
      <c r="U379" s="787"/>
    </row>
    <row r="380" spans="1:21" ht="15.75" thickBot="1">
      <c r="A380" s="68">
        <v>0.7</v>
      </c>
      <c r="B380" s="69">
        <v>2</v>
      </c>
      <c r="C380" s="59">
        <f>((((A380*1)+(B380*2))*'MATERIALES (2)'!$C$33)+((A380*3)*'MATERIALES (2)'!$C$35)+((B380*2)*'MATERIALES (2)'!$C$34)+(((A380-0.2)*'MATERIALES (2)'!$C$23)*((B380-0.36)/0.12))+(((A380*2)+(0.6*2))*'MATERIALES (2)'!$C$31)+((A380+0.6)*'MATERIALES (2)'!$C$32))*'MATERIALES (2)'!$F$1</f>
        <v>130357.92175000001</v>
      </c>
      <c r="D380" s="59">
        <f>(2*'MATERIALES (2)'!$C$135)+(16*'MATERIALES (2)'!$C$147)+(16*'MATERIALES (2)'!$C$148)+((8*2)*'MATERIALES (2)'!$C$134)+(3*'MATERIALES (2)'!$C$150)+(((B380*2)+(A380*1))*'MATERIALES (2)'!$C$138)+(((A380*4)+(0.6*4))*'MATERIALES (2)'!$C$155)+(0.5*'MATERIALES (2)'!$C$55)+(((A380*2)+(B380*2))*'MATERIALES (2)'!$C$154)+(1*'MATERIALES (2)'!$C$151)+(((A380*5)*2)*'MATERIALES (2)'!$C$136)+(4*'MATERIALES (2)'!$C$137)</f>
        <v>17308.3115</v>
      </c>
      <c r="E380" s="75"/>
      <c r="F380" s="55">
        <f>(A380*0.6)*'MATERIALES (2)'!$D$85</f>
        <v>3108</v>
      </c>
      <c r="G380" s="59">
        <f t="shared" ref="G380:G386" si="110">SUM(C380:F380)</f>
        <v>150774.23325000002</v>
      </c>
      <c r="H380" s="67">
        <f t="shared" ref="H380:H386" si="111">(((((SUM(C380:E380)*$C$375)+(F380*$F$375)))*1.21)*1.05)*1.05</f>
        <v>274229.40259529726</v>
      </c>
      <c r="I380" s="787"/>
      <c r="M380" s="68">
        <v>0.7</v>
      </c>
      <c r="N380" s="69">
        <v>2</v>
      </c>
      <c r="O380" s="59">
        <f>((((M380*1)+(N380*2))*'MATERIALES (2)'!$C$33)+((M380*3)*'MATERIALES (2)'!$C$35)+((N380*2)*'MATERIALES (2)'!$C$34)+(((M380-0.2)*'MATERIALES (2)'!$C$23)*((N380/2)/0.12))+(((M380*2)+((N380/2)*2))*'MATERIALES (2)'!$C$31)+((M380+(N380/2))*'MATERIALES (2)'!$C$32))*'MATERIALES (2)'!$F$1</f>
        <v>119869.22675000002</v>
      </c>
      <c r="P380" s="59">
        <f>(2*'MATERIALES (2)'!$C$135)+(16*'MATERIALES (2)'!$C$147)+(16*'MATERIALES (2)'!$C$148)+((8*2)*'MATERIALES (2)'!$C$134)+(3*'MATERIALES (2)'!$C$150)+(((N380*2)+(M380*1))*'MATERIALES (2)'!$C$138)+(((M380*2)+((N380/2)*2))*'MATERIALES (2)'!$C$154)+(1*'MATERIALES (2)'!$C$151)+(0.5*'MATERIALES (2)'!$C$156)+(((M380*5)*2)*'MATERIALES (2)'!$C$136)+(4*'MATERIALES (2)'!$C$137)</f>
        <v>20308</v>
      </c>
      <c r="Q380" s="75"/>
      <c r="R380" s="55">
        <f>(M380*(N380/2))*'MATERIALES (2)'!$D$85</f>
        <v>5180</v>
      </c>
      <c r="S380" s="59">
        <f t="shared" ref="S380:S386" si="112">SUM(O380:R380)</f>
        <v>145357.22675000003</v>
      </c>
      <c r="T380" s="67">
        <f t="shared" ref="T380:T386" si="113">((((SUM(O380:Q380)*$O$375)+(R380*$R$375))*1.21)*1.05)*1.05</f>
        <v>266270.39763547789</v>
      </c>
      <c r="U380" s="787"/>
    </row>
    <row r="381" spans="1:21" ht="15.75" thickBot="1">
      <c r="A381" s="68">
        <v>0.8</v>
      </c>
      <c r="B381" s="69">
        <v>2</v>
      </c>
      <c r="C381" s="59">
        <f>((((A381*1)+(B381*2))*'MATERIALES (2)'!$C$33)+((A381*3)*'MATERIALES (2)'!$C$35)+((B381*2)*'MATERIALES (2)'!$C$34)+(((A381-0.2)*'MATERIALES (2)'!$C$23)*((B381-0.36)/0.12))+(((A381*2)+(0.6*2))*'MATERIALES (2)'!$C$31)+((A381+0.6)*'MATERIALES (2)'!$C$32))*'MATERIALES (2)'!$F$1</f>
        <v>142130.5515</v>
      </c>
      <c r="D381" s="59">
        <f>(2*'MATERIALES (2)'!$C$135)+(16*'MATERIALES (2)'!$C$147)+(16*'MATERIALES (2)'!$C$148)+((8*2)*'MATERIALES (2)'!$C$134)+(3*'MATERIALES (2)'!$C$150)+(((B381*2)+(A381*1))*'MATERIALES (2)'!$C$138)+(((A381*4)+(0.6*4))*'MATERIALES (2)'!$C$155)+(0.5*'MATERIALES (2)'!$C$55)+(((A381*2)+(B381*2))*'MATERIALES (2)'!$C$154)+(1*'MATERIALES (2)'!$C$151)+(((A381*5)*2)*'MATERIALES (2)'!$C$136)+(4*'MATERIALES (2)'!$C$137)</f>
        <v>17402.3115</v>
      </c>
      <c r="E381" s="75"/>
      <c r="F381" s="55">
        <f>(A381*0.6)*'MATERIALES (2)'!$D$85</f>
        <v>3552</v>
      </c>
      <c r="G381" s="59">
        <f t="shared" si="110"/>
        <v>163084.86300000001</v>
      </c>
      <c r="H381" s="67">
        <f t="shared" si="111"/>
        <v>296785.03081082628</v>
      </c>
      <c r="I381" s="787"/>
      <c r="M381" s="68">
        <v>0.8</v>
      </c>
      <c r="N381" s="69">
        <v>2</v>
      </c>
      <c r="O381" s="59">
        <f>((((M381*1)+(N381*2))*'MATERIALES (2)'!$C$33)+((M381*3)*'MATERIALES (2)'!$C$35)+((N381*2)*'MATERIALES (2)'!$C$34)+(((M381-0.2)*'MATERIALES (2)'!$C$23)*((N381/2)/0.12))+(((M381*2)+((N381/2)*2))*'MATERIALES (2)'!$C$31)+((M381+(N381/2))*'MATERIALES (2)'!$C$32))*'MATERIALES (2)'!$F$1</f>
        <v>128773.98450000001</v>
      </c>
      <c r="P381" s="59">
        <f>(2*'MATERIALES (2)'!$C$135)+(16*'MATERIALES (2)'!$C$147)+(16*'MATERIALES (2)'!$C$148)+((8*2)*'MATERIALES (2)'!$C$134)+(3*'MATERIALES (2)'!$C$150)+(((N381*2)+(M381*1))*'MATERIALES (2)'!$C$138)+(((M381*2)+((N381/2)*2))*'MATERIALES (2)'!$C$154)+(1*'MATERIALES (2)'!$C$151)+(0.5*'MATERIALES (2)'!$C$156)+(((M381*5)*2)*'MATERIALES (2)'!$C$136)+(4*'MATERIALES (2)'!$C$137)</f>
        <v>20362</v>
      </c>
      <c r="Q381" s="75"/>
      <c r="R381" s="55">
        <f>(M381*(N381/2))*'MATERIALES (2)'!$D$85</f>
        <v>5920</v>
      </c>
      <c r="S381" s="59">
        <f t="shared" si="112"/>
        <v>155055.98450000002</v>
      </c>
      <c r="T381" s="67">
        <f t="shared" si="113"/>
        <v>284378.88382552692</v>
      </c>
      <c r="U381" s="787"/>
    </row>
    <row r="382" spans="1:21" ht="15.75" thickBot="1">
      <c r="A382" s="68">
        <v>0.9</v>
      </c>
      <c r="B382" s="69">
        <v>2</v>
      </c>
      <c r="C382" s="59">
        <f>((((A382*1)+(B382*2))*'MATERIALES (2)'!$C$33)+((A382*3)*'MATERIALES (2)'!$C$35)+((B382*2)*'MATERIALES (2)'!$C$34)+(((A382-0.2)*'MATERIALES (2)'!$C$23)*((B382-0.36)/0.12))+(((A382*2)+(0.6*2))*'MATERIALES (2)'!$C$31)+((A382+0.6)*'MATERIALES (2)'!$C$32))*'MATERIALES (2)'!$F$1</f>
        <v>153903.18124999999</v>
      </c>
      <c r="D382" s="59">
        <f>(2*'MATERIALES (2)'!$C$135)+(16*'MATERIALES (2)'!$C$147)+(16*'MATERIALES (2)'!$C$148)+((8*2)*'MATERIALES (2)'!$C$134)+(3*'MATERIALES (2)'!$C$150)+(((B382*2)+(A382*1))*'MATERIALES (2)'!$C$138)+(((A382*4)+(0.6*4))*'MATERIALES (2)'!$C$155)+(0.5*'MATERIALES (2)'!$C$55)+(((A382*2)+(B382*2))*'MATERIALES (2)'!$C$154)+(1*'MATERIALES (2)'!$C$151)+(((A382*5)*2)*'MATERIALES (2)'!$C$136)+(4*'MATERIALES (2)'!$C$137)</f>
        <v>17496.3115</v>
      </c>
      <c r="E382" s="75"/>
      <c r="F382" s="55">
        <f>(A382*0.6)*'MATERIALES (2)'!$D$85</f>
        <v>3996.0000000000005</v>
      </c>
      <c r="G382" s="59">
        <f t="shared" si="110"/>
        <v>175395.49275</v>
      </c>
      <c r="H382" s="67">
        <f t="shared" si="111"/>
        <v>319340.65902635537</v>
      </c>
      <c r="I382" s="787"/>
      <c r="M382" s="68">
        <v>0.9</v>
      </c>
      <c r="N382" s="69">
        <v>2</v>
      </c>
      <c r="O382" s="59">
        <f>((((M382*1)+(N382*2))*'MATERIALES (2)'!$C$33)+((M382*3)*'MATERIALES (2)'!$C$35)+((N382*2)*'MATERIALES (2)'!$C$34)+(((M382-0.2)*'MATERIALES (2)'!$C$23)*((N382/2)/0.12))+(((M382*2)+((N382/2)*2))*'MATERIALES (2)'!$C$31)+((M382+(N382/2))*'MATERIALES (2)'!$C$32))*'MATERIALES (2)'!$F$1</f>
        <v>137678.74225000001</v>
      </c>
      <c r="P382" s="59">
        <f>(2*'MATERIALES (2)'!$C$135)+(16*'MATERIALES (2)'!$C$147)+(16*'MATERIALES (2)'!$C$148)+((8*2)*'MATERIALES (2)'!$C$134)+(3*'MATERIALES (2)'!$C$150)+(((N382*2)+(M382*1))*'MATERIALES (2)'!$C$138)+(((M382*2)+((N382/2)*2))*'MATERIALES (2)'!$C$154)+(1*'MATERIALES (2)'!$C$151)+(0.5*'MATERIALES (2)'!$C$156)+(((M382*5)*2)*'MATERIALES (2)'!$C$136)+(4*'MATERIALES (2)'!$C$137)</f>
        <v>20416</v>
      </c>
      <c r="Q382" s="75"/>
      <c r="R382" s="55">
        <f>(M382*(N382/2))*'MATERIALES (2)'!$D$85</f>
        <v>6660</v>
      </c>
      <c r="S382" s="59">
        <f t="shared" si="112"/>
        <v>164754.74225000001</v>
      </c>
      <c r="T382" s="67">
        <f t="shared" si="113"/>
        <v>302487.37001557596</v>
      </c>
      <c r="U382" s="787"/>
    </row>
    <row r="383" spans="1:21" ht="15.75" thickBot="1">
      <c r="A383" s="68">
        <v>0.6</v>
      </c>
      <c r="B383" s="69">
        <v>2.1</v>
      </c>
      <c r="C383" s="59">
        <f>((((A383*1)+(B383*2))*'MATERIALES (2)'!$C$33)+((A383*3)*'MATERIALES (2)'!$C$35)+((B383*2)*'MATERIALES (2)'!$C$34)+(((A383-0.2)*'MATERIALES (2)'!$C$23)*((B383-0.36)/0.12))+(((A383*2)+(0.6*2))*'MATERIALES (2)'!$C$31)+((A383+0.6)*'MATERIALES (2)'!$C$32))*'MATERIALES (2)'!$F$1</f>
        <v>123221.27999999998</v>
      </c>
      <c r="D383" s="59">
        <f>(2*'MATERIALES (2)'!$C$135)+(16*'MATERIALES (2)'!$C$147)+(16*'MATERIALES (2)'!$C$148)+((8*2)*'MATERIALES (2)'!$C$134)+(3*'MATERIALES (2)'!$C$150)+(((B383*2)+(A383*1))*'MATERIALES (2)'!$C$138)+(((A383*4)+(0.6*4))*'MATERIALES (2)'!$C$155)+(0.5*'MATERIALES (2)'!$C$55)+(((A383*2)+(B383*2))*'MATERIALES (2)'!$C$154)+(1*'MATERIALES (2)'!$C$151)+(((A383*5)*2)*'MATERIALES (2)'!$C$136)+(4*'MATERIALES (2)'!$C$137)</f>
        <v>17274.3115</v>
      </c>
      <c r="E383" s="75"/>
      <c r="F383" s="55">
        <f>(A383*0.6)*'MATERIALES (2)'!$D$85</f>
        <v>2664</v>
      </c>
      <c r="G383" s="59">
        <f t="shared" si="110"/>
        <v>143159.59149999998</v>
      </c>
      <c r="H383" s="67">
        <f t="shared" si="111"/>
        <v>260130.93765856314</v>
      </c>
      <c r="I383" s="787"/>
      <c r="M383" s="68">
        <v>0.6</v>
      </c>
      <c r="N383" s="69">
        <v>2.1</v>
      </c>
      <c r="O383" s="59">
        <f>((((M383*1)+(N383*2))*'MATERIALES (2)'!$C$33)+((M383*3)*'MATERIALES (2)'!$C$35)+((N383*2)*'MATERIALES (2)'!$C$34)+(((M383-0.2)*'MATERIALES (2)'!$C$23)*((N383/2)/0.12))+(((M383*2)+((N383/2)*2))*'MATERIALES (2)'!$C$31)+((M383+(N383/2))*'MATERIALES (2)'!$C$32))*'MATERIALES (2)'!$F$1</f>
        <v>115185.58012499998</v>
      </c>
      <c r="P383" s="59">
        <f>(2*'MATERIALES (2)'!$C$135)+(16*'MATERIALES (2)'!$C$147)+(16*'MATERIALES (2)'!$C$148)+((8*2)*'MATERIALES (2)'!$C$134)+(3*'MATERIALES (2)'!$C$150)+(((N383*2)+(M383*1))*'MATERIALES (2)'!$C$138)+(((M383*2)+((N383/2)*2))*'MATERIALES (2)'!$C$154)+(1*'MATERIALES (2)'!$C$151)+(0.5*'MATERIALES (2)'!$C$156)+(((M383*5)*2)*'MATERIALES (2)'!$C$136)+(4*'MATERIALES (2)'!$C$137)</f>
        <v>20290</v>
      </c>
      <c r="Q383" s="75"/>
      <c r="R383" s="55">
        <f>(M383*(N383/2))*'MATERIALES (2)'!$D$85</f>
        <v>4662</v>
      </c>
      <c r="S383" s="59">
        <f t="shared" si="112"/>
        <v>140137.58012499998</v>
      </c>
      <c r="T383" s="67">
        <f t="shared" si="113"/>
        <v>256420.99364794168</v>
      </c>
      <c r="U383" s="787"/>
    </row>
    <row r="384" spans="1:21" ht="15.75" thickBot="1">
      <c r="A384" s="68">
        <v>0.7</v>
      </c>
      <c r="B384" s="69">
        <v>2.1</v>
      </c>
      <c r="C384" s="59">
        <f>((((A384*1)+(B384*2))*'MATERIALES (2)'!$C$33)+((A384*3)*'MATERIALES (2)'!$C$35)+((B384*2)*'MATERIALES (2)'!$C$34)+(((A384-0.2)*'MATERIALES (2)'!$C$23)*((B384-0.36)/0.12))+(((A384*2)+(0.6*2))*'MATERIALES (2)'!$C$31)+((A384+0.6)*'MATERIALES (2)'!$C$32))*'MATERIALES (2)'!$F$1</f>
        <v>135442.01474999997</v>
      </c>
      <c r="D384" s="59">
        <f>(2*'MATERIALES (2)'!$C$135)+(16*'MATERIALES (2)'!$C$147)+(16*'MATERIALES (2)'!$C$148)+((8*2)*'MATERIALES (2)'!$C$134)+(3*'MATERIALES (2)'!$C$150)+(((B384*2)+(A384*1))*'MATERIALES (2)'!$C$138)+(((A384*4)+(0.6*4))*'MATERIALES (2)'!$C$155)+(0.5*'MATERIALES (2)'!$C$55)+(((A384*2)+(B384*2))*'MATERIALES (2)'!$C$154)+(1*'MATERIALES (2)'!$C$151)+(((A384*5)*2)*'MATERIALES (2)'!$C$136)+(4*'MATERIALES (2)'!$C$137)</f>
        <v>17368.3115</v>
      </c>
      <c r="E384" s="75"/>
      <c r="F384" s="55">
        <f>(A384*0.6)*'MATERIALES (2)'!$D$85</f>
        <v>3108</v>
      </c>
      <c r="G384" s="59">
        <f t="shared" si="110"/>
        <v>155918.32624999998</v>
      </c>
      <c r="H384" s="67">
        <f t="shared" si="111"/>
        <v>283493.57329213596</v>
      </c>
      <c r="I384" s="787"/>
      <c r="M384" s="68">
        <v>0.7</v>
      </c>
      <c r="N384" s="69">
        <v>2.1</v>
      </c>
      <c r="O384" s="59">
        <f>((((M384*1)+(N384*2))*'MATERIALES (2)'!$C$33)+((M384*3)*'MATERIALES (2)'!$C$35)+((N384*2)*'MATERIALES (2)'!$C$34)+(((M384-0.2)*'MATERIALES (2)'!$C$23)*((N384/2)/0.12))+(((M384*2)+((N384/2)*2))*'MATERIALES (2)'!$C$31)+((M384+(N384/2))*'MATERIALES (2)'!$C$32))*'MATERIALES (2)'!$F$1</f>
        <v>124314.39037499999</v>
      </c>
      <c r="P384" s="59">
        <f>(2*'MATERIALES (2)'!$C$135)+(16*'MATERIALES (2)'!$C$147)+(16*'MATERIALES (2)'!$C$148)+((8*2)*'MATERIALES (2)'!$C$134)+(3*'MATERIALES (2)'!$C$150)+(((N384*2)+(M384*1))*'MATERIALES (2)'!$C$138)+(((M384*2)+((N384/2)*2))*'MATERIALES (2)'!$C$154)+(1*'MATERIALES (2)'!$C$151)+(0.5*'MATERIALES (2)'!$C$156)+(((M384*5)*2)*'MATERIALES (2)'!$C$136)+(4*'MATERIALES (2)'!$C$137)</f>
        <v>20344</v>
      </c>
      <c r="Q384" s="75"/>
      <c r="R384" s="55">
        <f>(M384*(N384/2))*'MATERIALES (2)'!$D$85</f>
        <v>5439</v>
      </c>
      <c r="S384" s="59">
        <f t="shared" si="112"/>
        <v>150097.39037499999</v>
      </c>
      <c r="T384" s="67">
        <f t="shared" si="113"/>
        <v>275031.70139701269</v>
      </c>
      <c r="U384" s="787"/>
    </row>
    <row r="385" spans="1:30" ht="15.75" thickBot="1">
      <c r="A385" s="68">
        <v>0.8</v>
      </c>
      <c r="B385" s="69">
        <v>2.1</v>
      </c>
      <c r="C385" s="59">
        <f>((((A385*1)+(B385*2))*'MATERIALES (2)'!$C$33)+((A385*3)*'MATERIALES (2)'!$C$35)+((B385*2)*'MATERIALES (2)'!$C$34)+(((A385-0.2)*'MATERIALES (2)'!$C$23)*((B385-0.36)/0.12))+(((A385*2)+(0.6*2))*'MATERIALES (2)'!$C$31)+((A385+0.6)*'MATERIALES (2)'!$C$32))*'MATERIALES (2)'!$F$1</f>
        <v>147662.74950000001</v>
      </c>
      <c r="D385" s="59">
        <f>(2*'MATERIALES (2)'!$C$135)+(16*'MATERIALES (2)'!$C$147)+(16*'MATERIALES (2)'!$C$148)+((8*2)*'MATERIALES (2)'!$C$134)+(3*'MATERIALES (2)'!$C$150)+(((B385*2)+(A385*1))*'MATERIALES (2)'!$C$138)+(((A385*4)+(0.6*4))*'MATERIALES (2)'!$C$155)+(0.5*'MATERIALES (2)'!$C$55)+(((A385*2)+(B385*2))*'MATERIALES (2)'!$C$154)+(1*'MATERIALES (2)'!$C$151)+(((A385*5)*2)*'MATERIALES (2)'!$C$136)+(4*'MATERIALES (2)'!$C$137)</f>
        <v>17462.3115</v>
      </c>
      <c r="E385" s="75"/>
      <c r="F385" s="55">
        <f>(A385*0.6)*'MATERIALES (2)'!$D$85</f>
        <v>3552</v>
      </c>
      <c r="G385" s="59">
        <f t="shared" si="110"/>
        <v>168677.06100000002</v>
      </c>
      <c r="H385" s="67">
        <f t="shared" si="111"/>
        <v>306856.20892570878</v>
      </c>
      <c r="I385" s="787"/>
      <c r="M385" s="68">
        <v>0.8</v>
      </c>
      <c r="N385" s="69">
        <v>2.1</v>
      </c>
      <c r="O385" s="59">
        <f>((((M385*1)+(N385*2))*'MATERIALES (2)'!$C$33)+((M385*3)*'MATERIALES (2)'!$C$35)+((N385*2)*'MATERIALES (2)'!$C$34)+(((M385-0.2)*'MATERIALES (2)'!$C$23)*((N385/2)/0.12))+(((M385*2)+((N385/2)*2))*'MATERIALES (2)'!$C$31)+((M385+(N385/2))*'MATERIALES (2)'!$C$32))*'MATERIALES (2)'!$F$1</f>
        <v>133443.200625</v>
      </c>
      <c r="P385" s="59">
        <f>(2*'MATERIALES (2)'!$C$135)+(16*'MATERIALES (2)'!$C$147)+(16*'MATERIALES (2)'!$C$148)+((8*2)*'MATERIALES (2)'!$C$134)+(3*'MATERIALES (2)'!$C$150)+(((N385*2)+(M385*1))*'MATERIALES (2)'!$C$138)+(((M385*2)+((N385/2)*2))*'MATERIALES (2)'!$C$154)+(1*'MATERIALES (2)'!$C$151)+(0.5*'MATERIALES (2)'!$C$156)+(((M385*5)*2)*'MATERIALES (2)'!$C$136)+(4*'MATERIALES (2)'!$C$137)</f>
        <v>20398</v>
      </c>
      <c r="Q385" s="75"/>
      <c r="R385" s="55">
        <f>(M385*(N385/2))*'MATERIALES (2)'!$D$85</f>
        <v>6216.0000000000009</v>
      </c>
      <c r="S385" s="59">
        <f t="shared" si="112"/>
        <v>160057.200625</v>
      </c>
      <c r="T385" s="67">
        <f t="shared" si="113"/>
        <v>293642.40914608364</v>
      </c>
      <c r="U385" s="787"/>
    </row>
    <row r="386" spans="1:30" ht="15.75" thickBot="1">
      <c r="A386" s="71">
        <v>0.9</v>
      </c>
      <c r="B386" s="72">
        <v>2.1</v>
      </c>
      <c r="C386" s="60">
        <f>((((A386*1)+(B386*2))*'MATERIALES (2)'!$C$33)+((A386*3)*'MATERIALES (2)'!$C$35)+((B386*2)*'MATERIALES (2)'!$C$34)+(((A386-0.2)*'MATERIALES (2)'!$C$23)*((B386-0.36)/0.12))+(((A386*2)+(0.6*2))*'MATERIALES (2)'!$C$31)+((A386+0.6)*'MATERIALES (2)'!$C$32))*'MATERIALES (2)'!$F$1</f>
        <v>159883.48424999998</v>
      </c>
      <c r="D386" s="60">
        <f>(2*'MATERIALES (2)'!$C$135)+(16*'MATERIALES (2)'!$C$147)+(16*'MATERIALES (2)'!$C$148)+((8*2)*'MATERIALES (2)'!$C$134)+(3*'MATERIALES (2)'!$C$150)+(((B386*2)+(A386*1))*'MATERIALES (2)'!$C$138)+(((A386*4)+(0.6*4))*'MATERIALES (2)'!$C$155)+(0.5*'MATERIALES (2)'!$C$55)+(((A386*2)+(B386*2))*'MATERIALES (2)'!$C$154)+(1*'MATERIALES (2)'!$C$151)+(((A386*5)*2)*'MATERIALES (2)'!$C$136)+(4*'MATERIALES (2)'!$C$137)</f>
        <v>17556.3115</v>
      </c>
      <c r="E386" s="76"/>
      <c r="F386" s="56">
        <f>(A386*0.6)*'MATERIALES (2)'!$D$85</f>
        <v>3996.0000000000005</v>
      </c>
      <c r="G386" s="60">
        <f t="shared" si="110"/>
        <v>181435.79574999999</v>
      </c>
      <c r="H386" s="67">
        <f t="shared" si="111"/>
        <v>330218.84455928154</v>
      </c>
      <c r="I386" s="788"/>
      <c r="M386" s="71">
        <v>0.9</v>
      </c>
      <c r="N386" s="72">
        <v>2.1</v>
      </c>
      <c r="O386" s="60">
        <f>((((M386*1)+(N386*2))*'MATERIALES (2)'!$C$33)+((M386*3)*'MATERIALES (2)'!$C$35)+((N386*2)*'MATERIALES (2)'!$C$34)+(((M386-0.2)*'MATERIALES (2)'!$C$23)*((N386/2)/0.12))+(((M386*2)+((N386/2)*2))*'MATERIALES (2)'!$C$31)+((M386+(N386/2))*'MATERIALES (2)'!$C$32))*'MATERIALES (2)'!$F$1</f>
        <v>142572.01087500001</v>
      </c>
      <c r="P386" s="60">
        <f>(2*'MATERIALES (2)'!$C$135)+(16*'MATERIALES (2)'!$C$147)+(16*'MATERIALES (2)'!$C$148)+((8*2)*'MATERIALES (2)'!$C$134)+(3*'MATERIALES (2)'!$C$150)+(((N386*2)+(M386*1))*'MATERIALES (2)'!$C$138)+(((M386*2)+((N386/2)*2))*'MATERIALES (2)'!$C$154)+(1*'MATERIALES (2)'!$C$151)+(0.5*'MATERIALES (2)'!$C$156)+(((M386*5)*2)*'MATERIALES (2)'!$C$136)+(4*'MATERIALES (2)'!$C$137)</f>
        <v>20452</v>
      </c>
      <c r="Q386" s="76"/>
      <c r="R386" s="56">
        <f>(M386*(N386/2))*'MATERIALES (2)'!$D$85</f>
        <v>6993.0000000000009</v>
      </c>
      <c r="S386" s="60">
        <f t="shared" si="112"/>
        <v>170017.01087500001</v>
      </c>
      <c r="T386" s="67">
        <f t="shared" si="113"/>
        <v>312253.11689515458</v>
      </c>
      <c r="U386" s="788"/>
    </row>
    <row r="389" spans="1:30">
      <c r="A389" s="430"/>
      <c r="B389" s="430"/>
      <c r="C389" s="430"/>
      <c r="D389" s="430"/>
      <c r="E389" s="430"/>
      <c r="F389" s="430"/>
      <c r="G389" s="430"/>
      <c r="H389" s="430"/>
      <c r="I389" s="430"/>
      <c r="J389" s="430"/>
      <c r="K389" s="430"/>
      <c r="L389" s="430"/>
      <c r="M389" s="430"/>
      <c r="N389" s="430"/>
      <c r="O389" s="430"/>
      <c r="P389" s="430"/>
      <c r="Q389" s="430"/>
      <c r="R389" s="430"/>
      <c r="S389" s="430"/>
      <c r="T389" s="430"/>
      <c r="U389" s="430"/>
      <c r="V389" s="430"/>
      <c r="W389" s="430"/>
      <c r="X389" s="430"/>
      <c r="Y389" s="430"/>
      <c r="Z389" s="430"/>
      <c r="AA389" s="430"/>
      <c r="AB389" s="430"/>
      <c r="AC389" s="430"/>
      <c r="AD389" s="430"/>
    </row>
    <row r="390" spans="1:30" ht="15.75" thickBot="1"/>
    <row r="391" spans="1:30" ht="15.75" thickBot="1">
      <c r="A391" s="32"/>
      <c r="B391" s="32"/>
      <c r="C391" s="807">
        <v>1.4</v>
      </c>
      <c r="D391" s="808"/>
      <c r="E391" s="809"/>
      <c r="F391" s="545">
        <v>2</v>
      </c>
      <c r="G391" s="32"/>
      <c r="H391" s="46" t="s">
        <v>163</v>
      </c>
    </row>
    <row r="392" spans="1:30" ht="15.75" thickBot="1">
      <c r="A392" s="792" t="s">
        <v>870</v>
      </c>
      <c r="B392" s="793"/>
      <c r="C392" s="793"/>
      <c r="D392" s="793"/>
      <c r="E392" s="793"/>
      <c r="F392" s="793"/>
      <c r="G392" s="793"/>
      <c r="H392" s="794"/>
    </row>
    <row r="393" spans="1:30" ht="15.75" thickBot="1">
      <c r="A393" s="36" t="s">
        <v>116</v>
      </c>
      <c r="B393" s="36" t="s">
        <v>117</v>
      </c>
      <c r="C393" s="36" t="s">
        <v>162</v>
      </c>
      <c r="D393" s="36" t="s">
        <v>119</v>
      </c>
      <c r="E393" s="36" t="s">
        <v>874</v>
      </c>
      <c r="F393" s="36" t="s">
        <v>873</v>
      </c>
      <c r="G393" s="36" t="s">
        <v>121</v>
      </c>
      <c r="H393" s="36" t="s">
        <v>122</v>
      </c>
    </row>
    <row r="394" spans="1:30" ht="15.75" thickBot="1">
      <c r="A394" s="795"/>
      <c r="B394" s="796"/>
      <c r="C394" s="796"/>
      <c r="D394" s="796"/>
      <c r="E394" s="796"/>
      <c r="F394" s="796"/>
      <c r="G394" s="796"/>
      <c r="H394" s="797"/>
    </row>
    <row r="395" spans="1:30" ht="15.75" thickBot="1">
      <c r="A395" s="40">
        <v>0.8</v>
      </c>
      <c r="B395" s="41">
        <v>2</v>
      </c>
      <c r="C395" s="655">
        <f>(((A395*2)+(B395*2)+(B395)*'MATERIALES (2)'!$C$16)+((A395*2)*'MATERIALES (2)'!$C$17))*'MATERIALES (2)'!$F$1</f>
        <v>80781.938999999998</v>
      </c>
      <c r="D395" s="58">
        <f>(4*'MATERIALES (2)'!$C$160)+(((A395*4)+(B395*2))*'MATERIALES (2)'!$C$159)+(8*'MATERIALES (2)'!$C$163)+(3*'MATERIALES (2)'!$C$165)+(4*'MATERIALES (2)'!$C$137)+(((A395*5)*2)*'MATERIALES (2)'!$C$136)+(20*'MATERIALES (2)'!$C$134)+(2*'MATERIALES (2)'!$C$127)</f>
        <v>4776</v>
      </c>
      <c r="E395" s="655">
        <f>((A395*B395)*'MATERIALES (2)'!$C$158)</f>
        <v>13616</v>
      </c>
      <c r="F395" s="54">
        <v>0</v>
      </c>
      <c r="G395" s="47">
        <f>SUM(C395:F395)</f>
        <v>99173.938999999998</v>
      </c>
      <c r="H395" s="49">
        <f>(((SUM(C395+D395+F395)*$C$391+(E395*$F$391))*1.21)*1.05)*1.05</f>
        <v>196119.17020426498</v>
      </c>
      <c r="I395" t="s">
        <v>871</v>
      </c>
    </row>
    <row r="396" spans="1:30" ht="15.75" thickBot="1">
      <c r="A396" s="42">
        <v>0.8</v>
      </c>
      <c r="B396" s="37">
        <v>2</v>
      </c>
      <c r="C396" s="654">
        <f>(((A396*2)+(B396*2)+(B396)*'MATERIALES (2)'!$C$16)+((A396*2)*'MATERIALES (2)'!$C$17))*'MATERIALES (2)'!$F$1</f>
        <v>80781.938999999998</v>
      </c>
      <c r="D396" s="59">
        <f>(4*'MATERIALES (2)'!$C$160)+(((A396*4)+(B396*2))*'MATERIALES (2)'!$C$159)+(8*'MATERIALES (2)'!$C$163)+(3*'MATERIALES (2)'!$C$165)+(4*'MATERIALES (2)'!$C$137)+(((A396*5)*2)*'MATERIALES (2)'!$C$136)+(20*'MATERIALES (2)'!$C$134)+(2*'MATERIALES (2)'!$C$127)</f>
        <v>4776</v>
      </c>
      <c r="E396" s="654">
        <f>((A396*B396)*'MATERIALES (2)'!$C$158)</f>
        <v>13616</v>
      </c>
      <c r="F396" s="55">
        <f>(A396*'MATERIALES (2)'!$C$23)*'MATERIALES (2)'!$F$1</f>
        <v>4301.808</v>
      </c>
      <c r="G396" s="38">
        <f>SUM(C396:F396)</f>
        <v>103475.747</v>
      </c>
      <c r="H396" s="49">
        <f t="shared" ref="H396:H397" si="114">(((SUM(C396+D396+F396)*$C$391+(E396*$F$391))*1.21)*1.05)*1.05</f>
        <v>204153.37738834502</v>
      </c>
      <c r="I396" t="s">
        <v>38</v>
      </c>
    </row>
    <row r="397" spans="1:30" ht="15.75" thickBot="1">
      <c r="A397" s="44">
        <v>0.8</v>
      </c>
      <c r="B397" s="45">
        <v>2</v>
      </c>
      <c r="C397" s="656">
        <f>(((A397*2)+(B397*2)+(B397)*'MATERIALES (2)'!$C$16)+((A397*2)*'MATERIALES (2)'!$C$17))*'MATERIALES (2)'!$F$1</f>
        <v>80781.938999999998</v>
      </c>
      <c r="D397" s="60">
        <f>(4*'MATERIALES (2)'!$C$160)+(((A397*4)+(B397*2))*'MATERIALES (2)'!$C$159)+(8*'MATERIALES (2)'!$C$163)+(3*'MATERIALES (2)'!$C$165)+(4*'MATERIALES (2)'!$C$137)+(((A397*5)*2)*'MATERIALES (2)'!$C$136)+(20*'MATERIALES (2)'!$C$134)+(2*'MATERIALES (2)'!$C$127)</f>
        <v>4776</v>
      </c>
      <c r="E397" s="656">
        <f>((A397*B397)*'MATERIALES (2)'!$C$158)</f>
        <v>13616</v>
      </c>
      <c r="F397" s="56">
        <f>(A397*'MATERIALES (2)'!$C$30)*'MATERIALES (2)'!$F$1</f>
        <v>9004.6319999999996</v>
      </c>
      <c r="G397" s="50">
        <f>SUM(C397:F397)</f>
        <v>108178.571</v>
      </c>
      <c r="H397" s="49">
        <f t="shared" si="114"/>
        <v>212936.53608958499</v>
      </c>
      <c r="I397" t="s">
        <v>872</v>
      </c>
    </row>
  </sheetData>
  <mergeCells count="196">
    <mergeCell ref="O87:Q87"/>
    <mergeCell ref="O217:Q217"/>
    <mergeCell ref="O347:Q347"/>
    <mergeCell ref="U246:U256"/>
    <mergeCell ref="A248:H248"/>
    <mergeCell ref="M248:T248"/>
    <mergeCell ref="C245:E245"/>
    <mergeCell ref="O245:Q245"/>
    <mergeCell ref="A246:H246"/>
    <mergeCell ref="I246:I256"/>
    <mergeCell ref="M246:T246"/>
    <mergeCell ref="C231:E231"/>
    <mergeCell ref="O231:Q231"/>
    <mergeCell ref="A232:H232"/>
    <mergeCell ref="M232:T232"/>
    <mergeCell ref="U232:U242"/>
    <mergeCell ref="A234:H234"/>
    <mergeCell ref="M234:T234"/>
    <mergeCell ref="C217:E217"/>
    <mergeCell ref="A218:H218"/>
    <mergeCell ref="M218:T218"/>
    <mergeCell ref="U218:U228"/>
    <mergeCell ref="A220:H220"/>
    <mergeCell ref="M220:T220"/>
    <mergeCell ref="C203:E203"/>
    <mergeCell ref="O203:Q203"/>
    <mergeCell ref="A204:H204"/>
    <mergeCell ref="M204:T204"/>
    <mergeCell ref="A206:H206"/>
    <mergeCell ref="M206:T206"/>
    <mergeCell ref="C188:E188"/>
    <mergeCell ref="O188:Q188"/>
    <mergeCell ref="A189:H189"/>
    <mergeCell ref="M189:T189"/>
    <mergeCell ref="A191:H191"/>
    <mergeCell ref="M191:T191"/>
    <mergeCell ref="A175:H175"/>
    <mergeCell ref="M175:T175"/>
    <mergeCell ref="W175:AD175"/>
    <mergeCell ref="A177:H177"/>
    <mergeCell ref="M177:T177"/>
    <mergeCell ref="W177:AD177"/>
    <mergeCell ref="Y173:AB173"/>
    <mergeCell ref="C174:E174"/>
    <mergeCell ref="O174:R174"/>
    <mergeCell ref="Y174:AA174"/>
    <mergeCell ref="C173:F173"/>
    <mergeCell ref="O173:R173"/>
    <mergeCell ref="C160:E160"/>
    <mergeCell ref="O160:Q160"/>
    <mergeCell ref="A161:H161"/>
    <mergeCell ref="M161:T161"/>
    <mergeCell ref="A163:H163"/>
    <mergeCell ref="M163:T163"/>
    <mergeCell ref="M149:T149"/>
    <mergeCell ref="C132:E132"/>
    <mergeCell ref="O132:R132"/>
    <mergeCell ref="A133:H133"/>
    <mergeCell ref="M133:T133"/>
    <mergeCell ref="A135:H135"/>
    <mergeCell ref="M135:T135"/>
    <mergeCell ref="A118:H118"/>
    <mergeCell ref="M118:T118"/>
    <mergeCell ref="C101:E101"/>
    <mergeCell ref="O101:Q101"/>
    <mergeCell ref="A102:H102"/>
    <mergeCell ref="M102:T102"/>
    <mergeCell ref="U102:U112"/>
    <mergeCell ref="A104:H104"/>
    <mergeCell ref="M104:T104"/>
    <mergeCell ref="C115:E115"/>
    <mergeCell ref="O115:Q115"/>
    <mergeCell ref="A116:H116"/>
    <mergeCell ref="I116:I126"/>
    <mergeCell ref="M116:T116"/>
    <mergeCell ref="W45:AD45"/>
    <mergeCell ref="A47:H47"/>
    <mergeCell ref="M47:T47"/>
    <mergeCell ref="W47:AD47"/>
    <mergeCell ref="C43:F43"/>
    <mergeCell ref="O43:R43"/>
    <mergeCell ref="Y43:AB43"/>
    <mergeCell ref="C44:E44"/>
    <mergeCell ref="O44:R44"/>
    <mergeCell ref="Y44:AA44"/>
    <mergeCell ref="U88:U98"/>
    <mergeCell ref="A90:H90"/>
    <mergeCell ref="C2:E2"/>
    <mergeCell ref="O2:R2"/>
    <mergeCell ref="A3:H3"/>
    <mergeCell ref="M3:T3"/>
    <mergeCell ref="A5:H5"/>
    <mergeCell ref="M5:T5"/>
    <mergeCell ref="C262:E262"/>
    <mergeCell ref="O262:R262"/>
    <mergeCell ref="A76:H76"/>
    <mergeCell ref="M76:T76"/>
    <mergeCell ref="C58:E58"/>
    <mergeCell ref="O58:Q58"/>
    <mergeCell ref="A59:H59"/>
    <mergeCell ref="M59:T59"/>
    <mergeCell ref="A61:H61"/>
    <mergeCell ref="M61:T61"/>
    <mergeCell ref="C87:E87"/>
    <mergeCell ref="M90:T90"/>
    <mergeCell ref="C73:E73"/>
    <mergeCell ref="C146:E146"/>
    <mergeCell ref="O146:Q146"/>
    <mergeCell ref="U116:U126"/>
    <mergeCell ref="A263:H263"/>
    <mergeCell ref="M263:T263"/>
    <mergeCell ref="C30:E30"/>
    <mergeCell ref="O30:Q30"/>
    <mergeCell ref="A31:H31"/>
    <mergeCell ref="M31:T31"/>
    <mergeCell ref="A33:H33"/>
    <mergeCell ref="M33:T33"/>
    <mergeCell ref="C16:E16"/>
    <mergeCell ref="O16:Q16"/>
    <mergeCell ref="A17:H17"/>
    <mergeCell ref="M17:T17"/>
    <mergeCell ref="A19:H19"/>
    <mergeCell ref="M19:T19"/>
    <mergeCell ref="A45:H45"/>
    <mergeCell ref="M45:T45"/>
    <mergeCell ref="O73:Q73"/>
    <mergeCell ref="A74:H74"/>
    <mergeCell ref="M74:T74"/>
    <mergeCell ref="A88:H88"/>
    <mergeCell ref="M88:T88"/>
    <mergeCell ref="A147:H147"/>
    <mergeCell ref="M147:T147"/>
    <mergeCell ref="A149:H149"/>
    <mergeCell ref="A265:H265"/>
    <mergeCell ref="M265:T265"/>
    <mergeCell ref="C276:E276"/>
    <mergeCell ref="O276:Q276"/>
    <mergeCell ref="A277:H277"/>
    <mergeCell ref="M277:T277"/>
    <mergeCell ref="A279:H279"/>
    <mergeCell ref="M279:T279"/>
    <mergeCell ref="C290:E290"/>
    <mergeCell ref="O290:Q290"/>
    <mergeCell ref="A291:H291"/>
    <mergeCell ref="M291:T291"/>
    <mergeCell ref="A293:H293"/>
    <mergeCell ref="M293:T293"/>
    <mergeCell ref="C303:F303"/>
    <mergeCell ref="O303:R303"/>
    <mergeCell ref="Y303:AB303"/>
    <mergeCell ref="C304:E304"/>
    <mergeCell ref="O304:R304"/>
    <mergeCell ref="Y304:AA304"/>
    <mergeCell ref="A305:H305"/>
    <mergeCell ref="M305:T305"/>
    <mergeCell ref="W305:AD305"/>
    <mergeCell ref="A307:H307"/>
    <mergeCell ref="M307:T307"/>
    <mergeCell ref="W307:AD307"/>
    <mergeCell ref="C318:E318"/>
    <mergeCell ref="O318:Q318"/>
    <mergeCell ref="A319:H319"/>
    <mergeCell ref="M319:T319"/>
    <mergeCell ref="A321:H321"/>
    <mergeCell ref="M321:T321"/>
    <mergeCell ref="C333:E333"/>
    <mergeCell ref="O333:Q333"/>
    <mergeCell ref="A334:H334"/>
    <mergeCell ref="M334:T334"/>
    <mergeCell ref="A336:H336"/>
    <mergeCell ref="M336:T336"/>
    <mergeCell ref="C347:E347"/>
    <mergeCell ref="AW3:AW18"/>
    <mergeCell ref="C391:E391"/>
    <mergeCell ref="A392:H392"/>
    <mergeCell ref="A394:H394"/>
    <mergeCell ref="C375:E375"/>
    <mergeCell ref="O375:Q375"/>
    <mergeCell ref="A376:H376"/>
    <mergeCell ref="I376:I386"/>
    <mergeCell ref="M376:T376"/>
    <mergeCell ref="U376:U386"/>
    <mergeCell ref="A378:H378"/>
    <mergeCell ref="M378:T378"/>
    <mergeCell ref="A348:H348"/>
    <mergeCell ref="M348:T348"/>
    <mergeCell ref="U348:U358"/>
    <mergeCell ref="A350:H350"/>
    <mergeCell ref="M350:T350"/>
    <mergeCell ref="C361:E361"/>
    <mergeCell ref="O361:Q361"/>
    <mergeCell ref="A362:H362"/>
    <mergeCell ref="M362:T362"/>
    <mergeCell ref="U362:U372"/>
    <mergeCell ref="A364:H364"/>
    <mergeCell ref="M364:T364"/>
  </mergeCells>
  <pageMargins left="0.79" right="0.39370078740157483" top="0.47244094488188981" bottom="0.74803149606299213" header="0.31496062992125984" footer="0.31496062992125984"/>
  <pageSetup scale="5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60"/>
  <sheetViews>
    <sheetView topLeftCell="U209" zoomScale="90" zoomScaleNormal="90" workbookViewId="0">
      <selection activeCell="U212" sqref="U212"/>
    </sheetView>
  </sheetViews>
  <sheetFormatPr baseColWidth="10" defaultRowHeight="15"/>
  <cols>
    <col min="1" max="1" width="7" style="32" hidden="1" customWidth="1"/>
    <col min="2" max="2" width="4.7109375" style="32" hidden="1" customWidth="1"/>
    <col min="3" max="3" width="13.28515625" style="32" hidden="1" customWidth="1"/>
    <col min="4" max="4" width="12.140625" style="32" hidden="1" customWidth="1"/>
    <col min="5" max="5" width="8.140625" style="32" hidden="1" customWidth="1"/>
    <col min="6" max="6" width="12.140625" style="32" hidden="1" customWidth="1"/>
    <col min="7" max="7" width="13.28515625" style="32" hidden="1" customWidth="1"/>
    <col min="8" max="8" width="13.28515625" style="2" hidden="1" customWidth="1"/>
    <col min="9" max="9" width="13.28515625" hidden="1" customWidth="1"/>
    <col min="10" max="10" width="13.28515625" style="77" hidden="1" customWidth="1"/>
    <col min="11" max="13" width="13.28515625" hidden="1" customWidth="1"/>
    <col min="14" max="14" width="30.42578125" style="32" hidden="1" customWidth="1"/>
    <col min="15" max="15" width="12.140625" style="32" hidden="1" customWidth="1"/>
    <col min="16" max="16" width="11.140625" style="32" hidden="1" customWidth="1"/>
    <col min="17" max="17" width="13.28515625" style="32" hidden="1" customWidth="1"/>
    <col min="18" max="19" width="12.140625" style="32" hidden="1" customWidth="1"/>
    <col min="20" max="20" width="13.28515625" style="32" hidden="1" customWidth="1"/>
    <col min="21" max="21" width="13.28515625" style="2" bestFit="1" customWidth="1"/>
    <col min="22" max="22" width="16.140625" bestFit="1" customWidth="1"/>
    <col min="23" max="23" width="16.28515625" customWidth="1"/>
    <col min="24" max="24" width="16.42578125" customWidth="1"/>
    <col min="25" max="25" width="16.28515625" customWidth="1"/>
    <col min="26" max="27" width="17.28515625" customWidth="1"/>
    <col min="28" max="28" width="11.42578125" customWidth="1"/>
    <col min="29" max="29" width="14.85546875" customWidth="1"/>
  </cols>
  <sheetData>
    <row r="1" spans="1:30" ht="15.75" hidden="1" thickBot="1"/>
    <row r="2" spans="1:30" ht="15.75" hidden="1" thickBot="1">
      <c r="C2" s="941">
        <v>1.35</v>
      </c>
      <c r="D2" s="942"/>
      <c r="E2" s="943"/>
      <c r="F2" s="807">
        <v>2</v>
      </c>
      <c r="G2" s="809"/>
      <c r="H2" s="740">
        <v>1.5</v>
      </c>
      <c r="I2" s="62" t="s">
        <v>163</v>
      </c>
      <c r="N2" s="117"/>
      <c r="O2" s="117"/>
      <c r="Q2" s="807">
        <v>1.35</v>
      </c>
      <c r="R2" s="808"/>
      <c r="S2" s="809"/>
      <c r="T2" s="807">
        <v>2</v>
      </c>
      <c r="U2" s="809"/>
      <c r="V2" s="740">
        <v>1.5</v>
      </c>
      <c r="W2" s="62" t="s">
        <v>163</v>
      </c>
      <c r="AC2" s="9"/>
      <c r="AD2" s="9"/>
    </row>
    <row r="3" spans="1:30" ht="15.75" hidden="1" thickBot="1">
      <c r="A3" s="792" t="s">
        <v>264</v>
      </c>
      <c r="B3" s="793"/>
      <c r="C3" s="793"/>
      <c r="D3" s="793"/>
      <c r="E3" s="793"/>
      <c r="F3" s="793"/>
      <c r="G3" s="793"/>
      <c r="H3" s="793"/>
      <c r="I3" s="793"/>
      <c r="J3" s="793"/>
      <c r="K3" s="794"/>
      <c r="L3" s="94"/>
      <c r="N3" s="94"/>
      <c r="O3" s="792" t="s">
        <v>265</v>
      </c>
      <c r="P3" s="793"/>
      <c r="Q3" s="793"/>
      <c r="R3" s="793"/>
      <c r="S3" s="793"/>
      <c r="T3" s="793"/>
      <c r="U3" s="793"/>
      <c r="V3" s="793"/>
      <c r="W3" s="793"/>
      <c r="X3" s="793"/>
      <c r="Y3" s="794"/>
      <c r="Z3" s="94"/>
      <c r="AC3" s="9"/>
      <c r="AD3" s="9"/>
    </row>
    <row r="4" spans="1:30" ht="15.75" hidden="1" thickBot="1">
      <c r="A4" s="36" t="s">
        <v>116</v>
      </c>
      <c r="B4" s="36" t="s">
        <v>117</v>
      </c>
      <c r="C4" s="36" t="s">
        <v>162</v>
      </c>
      <c r="D4" s="36" t="s">
        <v>119</v>
      </c>
      <c r="E4" s="36" t="s">
        <v>120</v>
      </c>
      <c r="F4" s="36" t="s">
        <v>520</v>
      </c>
      <c r="G4" s="114" t="s">
        <v>260</v>
      </c>
      <c r="H4" s="36" t="s">
        <v>259</v>
      </c>
      <c r="I4" s="36" t="s">
        <v>521</v>
      </c>
      <c r="J4" s="349" t="s">
        <v>262</v>
      </c>
      <c r="K4" s="116" t="s">
        <v>263</v>
      </c>
      <c r="M4" s="9"/>
      <c r="N4" s="9"/>
      <c r="O4" s="36" t="s">
        <v>116</v>
      </c>
      <c r="P4" s="36" t="s">
        <v>117</v>
      </c>
      <c r="Q4" s="36" t="s">
        <v>162</v>
      </c>
      <c r="R4" s="36" t="s">
        <v>119</v>
      </c>
      <c r="S4" s="36" t="s">
        <v>120</v>
      </c>
      <c r="T4" s="36" t="s">
        <v>520</v>
      </c>
      <c r="U4" s="114" t="s">
        <v>260</v>
      </c>
      <c r="V4" s="36" t="s">
        <v>259</v>
      </c>
      <c r="W4" s="36" t="s">
        <v>521</v>
      </c>
      <c r="X4" s="116" t="s">
        <v>262</v>
      </c>
      <c r="Y4" s="116" t="s">
        <v>263</v>
      </c>
      <c r="AA4" s="9"/>
      <c r="AB4" s="9"/>
    </row>
    <row r="5" spans="1:30" ht="15.75" hidden="1" thickBot="1">
      <c r="A5" s="795"/>
      <c r="B5" s="796"/>
      <c r="C5" s="796"/>
      <c r="D5" s="796"/>
      <c r="E5" s="796"/>
      <c r="F5" s="796"/>
      <c r="G5" s="796"/>
      <c r="H5" s="796"/>
      <c r="I5" s="796"/>
      <c r="J5" s="796"/>
      <c r="K5" s="797"/>
      <c r="M5" s="402" t="s">
        <v>646</v>
      </c>
      <c r="N5" s="9"/>
      <c r="O5" s="91"/>
      <c r="P5" s="92"/>
      <c r="Q5" s="92"/>
      <c r="R5" s="92"/>
      <c r="S5" s="92"/>
      <c r="T5" s="92"/>
      <c r="U5" s="92"/>
      <c r="V5" s="92"/>
      <c r="W5" s="92"/>
      <c r="X5" s="92"/>
      <c r="Y5" s="93"/>
      <c r="AA5" s="9"/>
      <c r="AB5" s="9"/>
    </row>
    <row r="6" spans="1:30" ht="15.75" hidden="1" thickBot="1">
      <c r="A6" s="65">
        <v>0.6</v>
      </c>
      <c r="B6" s="66">
        <v>0.4</v>
      </c>
      <c r="C6" s="58">
        <f>(((A6*2)*'MATERIALES (2)'!$C$49)+((B6*2)*'MATERIALES (2)'!$C$50)+((B6*2)*'MATERIALES (2)'!$C$51)+((B6*2)*'MATERIALES (2)'!$C$55)+((A6*2)*'MATERIALES (2)'!$C$52))*'MATERIALES (2)'!$F$2</f>
        <v>46244.436000000009</v>
      </c>
      <c r="D6" s="58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(2)'!$C$163)+(((A6*4)+(B6*6))*'MATERIALES (2)'!$C$177)+(((A6*2)+(B6*4))*'MATERIALES (2)'!$C$130)+(4*'MATERIALES (2)'!$C$137)+(((A6*5)*2)*'MATERIALES (2)'!$C$136)+(2*'MATERIALES (2)'!$C$176)+(8*'MATERIALES (2)'!$C$163)+(2*'MATERIALES (2)'!$C$176)</f>
        <v>19888</v>
      </c>
      <c r="E6" s="74"/>
      <c r="F6" s="54">
        <f>(A6*B6)*'MATERIALES (2)'!$D$85</f>
        <v>1776</v>
      </c>
      <c r="G6" s="54">
        <f>(((A6*B6)*2)*'MATERIALES (2)'!$D$86)+(8*'MATERIALES (2)'!$C$218)+(((A6*2)+(B6*4))*'MATERIALES (2)'!$C$219)+(((A6*2)+(B6*4))*'MATERIALES (2)'!$C$220)+((((A6*2)+(B6*2))/15)*'MATERIALES (2)'!$C$221)+((((A6*2)+(B6*2))/15)*('MATERIALES (2)'!$C$222*0.15))</f>
        <v>8520.6833333333325</v>
      </c>
      <c r="H6" s="54">
        <f>(A6*B6)*'MATERIALES (2)'!$D$92</f>
        <v>8676</v>
      </c>
      <c r="I6" s="125">
        <f>((((SUM(C6:E6)*$C$2)+(F6*$F$2))*1.21)*1.05)*1.05</f>
        <v>123838.59276211505</v>
      </c>
      <c r="J6" s="125">
        <f>((((SUM(C6:E6)*$C$2)+(G6*$F$2))*1.21)*1.05)*1.05</f>
        <v>141833.74512961504</v>
      </c>
      <c r="K6" s="67">
        <f>((((SUM(C6:E6)*$C$2)+(H6*$F$2))*1.21)*1.05)*1.05</f>
        <v>142248.13776211505</v>
      </c>
      <c r="L6" s="53"/>
      <c r="M6" s="403">
        <f>(W6-I6)</f>
        <v>18071.037490274975</v>
      </c>
      <c r="N6" s="9"/>
      <c r="O6" s="65">
        <v>0.6</v>
      </c>
      <c r="P6" s="66">
        <v>0.4</v>
      </c>
      <c r="Q6" s="58">
        <f>(((O6*2)*'MATERIALES (2)'!$C$49)+((P6*2)*'MATERIALES (2)'!$C$50)+((P6*2)*'MATERIALES (2)'!$C$51)+((P6*2)*'MATERIALES (2)'!$C$55)+((O6*2)*'MATERIALES (2)'!$C$52)+((P6*2)*'MATERIALES (2)'!$C$67)+(P6*'MATERIALES (2)'!$C$68)+(P6*'MATERIALES (2)'!$C$78))*'MATERIALES (2)'!$F$2</f>
        <v>56178.696000000004</v>
      </c>
      <c r="R6" s="58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(2)'!$C$163)+(((O6*4)+(P6*6))*'MATERIALES (2)'!$C$177)+(((O6*2)+(P6*4))*'MATERIALES (2)'!$C$130)+(4*'MATERIALES (2)'!$C$137)+(((O6*5)*2)*'MATERIALES (2)'!$C$136)+(10*'MATERIALES (2)'!$C$134)+(2*'MATERIALES (2)'!$C$177)</f>
        <v>19988</v>
      </c>
      <c r="S6" s="74"/>
      <c r="T6" s="54">
        <f>(O6*P6)*'MATERIALES (2)'!$D$85</f>
        <v>1776</v>
      </c>
      <c r="U6" s="54">
        <f>(((O6*P6)*2)*'MATERIALES (2)'!$D$86)+(8*'MATERIALES (2)'!$C$218)+(((O6*2)+(P6*4))*'MATERIALES (2)'!$C$219)+(((O6*2)+(P6*4))*'MATERIALES (2)'!$C$220)+((((O6*2)+(P6*2))/15)*'MATERIALES (2)'!$C$221)+((((O6*2)+(P6*2))/15)*('MATERIALES (2)'!$C$222*0.15))</f>
        <v>8520.6833333333325</v>
      </c>
      <c r="V6" s="54">
        <f>(O6*P6)*'MATERIALES (2)'!$D$92</f>
        <v>8676</v>
      </c>
      <c r="W6" s="125">
        <f>((((SUM(Q6:S6)*$Q$2)+(T6*$T$2))*1.21)*1.05)*1.05</f>
        <v>141909.63025239002</v>
      </c>
      <c r="X6" s="125">
        <f>((((SUM(Q6:S6)*$Q$2)+(U6*$T$2))*1.21)*1.05)*1.05</f>
        <v>159904.78261989</v>
      </c>
      <c r="Y6" s="67">
        <f>((((SUM(Q6:S6)*$Q$2)+(V6*$T$2))*1.21)*1.05)*1.05</f>
        <v>160319.17525239001</v>
      </c>
      <c r="Z6" s="53"/>
      <c r="AA6" s="9"/>
      <c r="AB6" s="9"/>
    </row>
    <row r="7" spans="1:30" ht="15.75" hidden="1" thickBot="1">
      <c r="A7" s="68">
        <v>0.6</v>
      </c>
      <c r="B7" s="69">
        <v>0.6</v>
      </c>
      <c r="C7" s="59">
        <f>(((A7*2)*'MATERIALES (2)'!$C$49)+((B7*2)*'MATERIALES (2)'!$C$50)+((B7*2)*'MATERIALES (2)'!$C$51)+((B7*2)*'MATERIALES (2)'!$C$55)+((A7*2)*'MATERIALES (2)'!$C$52))*'MATERIALES (2)'!$F$2</f>
        <v>55422.233999999997</v>
      </c>
      <c r="D7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(2)'!$C$163)+(((A7*4)+(B7*6))*'MATERIALES (2)'!$C$177)+(((A7*2)+(B7*4))*'MATERIALES (2)'!$C$130)+(4*'MATERIALES (2)'!$C$137)+(((A7*5)*2)*'MATERIALES (2)'!$C$136)+(2*'MATERIALES (2)'!$C$176)+(8*'MATERIALES (2)'!$C$163)+(2*'MATERIALES (2)'!$C$176)</f>
        <v>20344</v>
      </c>
      <c r="E7" s="75"/>
      <c r="F7" s="55">
        <f>(A7*B7)*'MATERIALES (2)'!$D$85</f>
        <v>2664</v>
      </c>
      <c r="G7" s="55">
        <f>(((A7*B7)*2)*'MATERIALES (2)'!$D$86)+(8*'MATERIALES (2)'!$C$218)+(((A7*2)+(B7*4))*'MATERIALES (2)'!$C$219)+(((A7*2)+(B7*4))*'MATERIALES (2)'!$C$220)+((((A7*2)+(B7*2))/15)*'MATERIALES (2)'!$C$221)+((((A7*2)+(B7*2))/15)*('MATERIALES (2)'!$C$222*0.15))</f>
        <v>11606.1</v>
      </c>
      <c r="H7" s="55">
        <f>(A7*B7)*'MATERIALES (2)'!$D$92</f>
        <v>13014</v>
      </c>
      <c r="I7" s="125">
        <f t="shared" ref="I7:I59" si="0">((((SUM(C7:E7)*$C$2)+(F7*$F$2))*1.21)*1.05)*1.05</f>
        <v>143557.65312099754</v>
      </c>
      <c r="J7" s="125">
        <f t="shared" ref="J7:J59" si="1">((((SUM(C7:E7)*$C$2)+(G7*$F$2))*1.21)*1.05)*1.05</f>
        <v>167415.62302599751</v>
      </c>
      <c r="K7" s="67">
        <f t="shared" ref="K7:K59" si="2">((((SUM(C7:E7)*$C$2)+(H7*$F$2))*1.21)*1.05)*1.05</f>
        <v>171171.97062099751</v>
      </c>
      <c r="M7" s="403">
        <f t="shared" ref="M7:M70" si="3">(W7-I7)</f>
        <v>27016.509547912487</v>
      </c>
      <c r="N7" s="9"/>
      <c r="O7" s="68">
        <v>0.6</v>
      </c>
      <c r="P7" s="69">
        <v>0.6</v>
      </c>
      <c r="Q7" s="59">
        <f>(((O7*2)*'MATERIALES (2)'!$C$49)+((P7*2)*'MATERIALES (2)'!$C$50)+((P7*2)*'MATERIALES (2)'!$C$51)+((P7*2)*'MATERIALES (2)'!$C$55)+((O7*2)*'MATERIALES (2)'!$C$52)+((P7*2)*'MATERIALES (2)'!$C$67)+(P7*'MATERIALES (2)'!$C$68)+(P7*'MATERIALES (2)'!$C$78))*'MATERIALES (2)'!$F$2</f>
        <v>70323.623999999996</v>
      </c>
      <c r="R7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(2)'!$C$163)+(((O7*4)+(P7*6))*'MATERIALES (2)'!$C$177)+(((O7*2)+(P7*4))*'MATERIALES (2)'!$C$130)+(4*'MATERIALES (2)'!$C$137)+(((O7*5)*2)*'MATERIALES (2)'!$C$136)+(10*'MATERIALES (2)'!$C$134)+(2*'MATERIALES (2)'!$C$177)</f>
        <v>20444</v>
      </c>
      <c r="S7" s="75"/>
      <c r="T7" s="55">
        <f>(O7*P7)*'MATERIALES (2)'!$D$85</f>
        <v>2664</v>
      </c>
      <c r="U7" s="55">
        <f>(((O7*P7)*2)*'MATERIALES (2)'!$D$86)+(8*'MATERIALES (2)'!$C$218)+(((O7*2)+(P7*4))*'MATERIALES (2)'!$C$219)+(((O7*2)+(P7*4))*'MATERIALES (2)'!$C$220)+((((O7*2)+(P7*2))/15)*'MATERIALES (2)'!$C$221)+((((O7*2)+(P7*2))/15)*('MATERIALES (2)'!$C$222*0.15))</f>
        <v>11606.1</v>
      </c>
      <c r="V7" s="55">
        <f>(O7*P7)*'MATERIALES (2)'!$D$92</f>
        <v>13014</v>
      </c>
      <c r="W7" s="125">
        <f t="shared" ref="W7:W59" si="4">((((SUM(Q7:S7)*$Q$2)+(T7*$T$2))*1.21)*1.05)*1.05</f>
        <v>170574.16266891002</v>
      </c>
      <c r="X7" s="125">
        <f t="shared" ref="X7:X59" si="5">((((SUM(Q7:S7)*$Q$2)+(U7*$T$2))*1.21)*1.05)*1.05</f>
        <v>194432.13257391006</v>
      </c>
      <c r="Y7" s="67">
        <f t="shared" ref="Y7:Y59" si="6">((((SUM(Q7:S7)*$Q$2)+(V7*$T$2))*1.21)*1.05)*1.05</f>
        <v>198188.48016891003</v>
      </c>
      <c r="AA7" s="9"/>
      <c r="AB7" s="9"/>
    </row>
    <row r="8" spans="1:30" ht="15.75" hidden="1" thickBot="1">
      <c r="A8" s="68">
        <v>0.8</v>
      </c>
      <c r="B8" s="69">
        <v>0.4</v>
      </c>
      <c r="C8" s="59">
        <f>(((A8*2)*'MATERIALES (2)'!$C$49)+((B8*2)*'MATERIALES (2)'!$C$50)+((B8*2)*'MATERIALES (2)'!$C$51)+((B8*2)*'MATERIALES (2)'!$C$55)+((A8*2)*'MATERIALES (2)'!$C$52))*'MATERIALES (2)'!$F$2</f>
        <v>55540.716000000008</v>
      </c>
      <c r="D8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(2)'!$C$163)+(((A8*4)+(B8*6))*'MATERIALES (2)'!$C$177)+(((A8*2)+(B8*4))*'MATERIALES (2)'!$C$130)+(4*'MATERIALES (2)'!$C$137)+(((A8*5)*2)*'MATERIALES (2)'!$C$136)+(2*'MATERIALES (2)'!$C$176)+(8*'MATERIALES (2)'!$C$163)+(2*'MATERIALES (2)'!$C$176)</f>
        <v>20160</v>
      </c>
      <c r="E8" s="75"/>
      <c r="F8" s="55">
        <f>(A8*B8)*'MATERIALES (2)'!$D$85</f>
        <v>2368.0000000000005</v>
      </c>
      <c r="G8" s="55">
        <f>(((A8*B8)*2)*'MATERIALES (2)'!$D$86)+(8*'MATERIALES (2)'!$C$218)+(((A8*2)+(B8*4))*'MATERIALES (2)'!$C$219)+(((A8*2)+(B8*4))*'MATERIALES (2)'!$C$220)+((((A8*2)+(B8*2))/15)*'MATERIALES (2)'!$C$221)+((((A8*2)+(B8*2))/15)*('MATERIALES (2)'!$C$222*0.15))</f>
        <v>10608.500000000002</v>
      </c>
      <c r="H8" s="55">
        <f>(A8*B8)*'MATERIALES (2)'!$D$92</f>
        <v>11568.000000000002</v>
      </c>
      <c r="I8" s="125">
        <f t="shared" si="0"/>
        <v>142649.91674356503</v>
      </c>
      <c r="J8" s="125">
        <f t="shared" si="1"/>
        <v>164635.98276856504</v>
      </c>
      <c r="K8" s="67">
        <f t="shared" si="2"/>
        <v>167195.97674356506</v>
      </c>
      <c r="M8" s="403">
        <f t="shared" si="3"/>
        <v>18071.037490274961</v>
      </c>
      <c r="N8" s="9"/>
      <c r="O8" s="68">
        <v>0.8</v>
      </c>
      <c r="P8" s="69">
        <v>0.4</v>
      </c>
      <c r="Q8" s="59">
        <f>(((O8*2)*'MATERIALES (2)'!$C$49)+((P8*2)*'MATERIALES (2)'!$C$50)+((P8*2)*'MATERIALES (2)'!$C$51)+((P8*2)*'MATERIALES (2)'!$C$55)+((O8*2)*'MATERIALES (2)'!$C$52)+((P8*2)*'MATERIALES (2)'!$C$67)+(P8*'MATERIALES (2)'!$C$68)+(P8*'MATERIALES (2)'!$C$78))*'MATERIALES (2)'!$F$2</f>
        <v>65474.975999999995</v>
      </c>
      <c r="R8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(2)'!$C$163)+(((O8*4)+(P8*6))*'MATERIALES (2)'!$C$177)+(((O8*2)+(P8*4))*'MATERIALES (2)'!$C$130)+(4*'MATERIALES (2)'!$C$137)+(((O8*5)*2)*'MATERIALES (2)'!$C$136)+(10*'MATERIALES (2)'!$C$134)+(2*'MATERIALES (2)'!$C$177)</f>
        <v>20260</v>
      </c>
      <c r="S8" s="75"/>
      <c r="T8" s="55">
        <f>(O8*P8)*'MATERIALES (2)'!$D$85</f>
        <v>2368.0000000000005</v>
      </c>
      <c r="U8" s="55">
        <f>(((O8*P8)*2)*'MATERIALES (2)'!$D$86)+(8*'MATERIALES (2)'!$C$218)+(((O8*2)+(P8*4))*'MATERIALES (2)'!$C$219)+(((O8*2)+(P8*4))*'MATERIALES (2)'!$C$220)+((((O8*2)+(P8*2))/15)*'MATERIALES (2)'!$C$221)+((((O8*2)+(P8*2))/15)*('MATERIALES (2)'!$C$222*0.15))</f>
        <v>10608.500000000002</v>
      </c>
      <c r="V8" s="55">
        <f>(O8*P8)*'MATERIALES (2)'!$D$92</f>
        <v>11568.000000000002</v>
      </c>
      <c r="W8" s="125">
        <f t="shared" si="4"/>
        <v>160720.95423383999</v>
      </c>
      <c r="X8" s="125">
        <f t="shared" si="5"/>
        <v>182707.02025884003</v>
      </c>
      <c r="Y8" s="67">
        <f t="shared" si="6"/>
        <v>185267.01423384002</v>
      </c>
      <c r="AA8" s="9"/>
      <c r="AB8" s="9"/>
    </row>
    <row r="9" spans="1:30" ht="15.75" hidden="1" thickBot="1">
      <c r="A9" s="68">
        <v>0.8</v>
      </c>
      <c r="B9" s="69">
        <v>0.6</v>
      </c>
      <c r="C9" s="59">
        <f>(((A9*2)*'MATERIALES (2)'!$C$49)+((B9*2)*'MATERIALES (2)'!$C$50)+((B9*2)*'MATERIALES (2)'!$C$51)+((B9*2)*'MATERIALES (2)'!$C$55)+((A9*2)*'MATERIALES (2)'!$C$52))*'MATERIALES (2)'!$F$2</f>
        <v>64718.514000000003</v>
      </c>
      <c r="D9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(2)'!$C$163)+(((A9*4)+(B9*6))*'MATERIALES (2)'!$C$177)+(((A9*2)+(B9*4))*'MATERIALES (2)'!$C$130)+(4*'MATERIALES (2)'!$C$137)+(((A9*5)*2)*'MATERIALES (2)'!$C$136)+(2*'MATERIALES (2)'!$C$176)+(8*'MATERIALES (2)'!$C$163)+(2*'MATERIALES (2)'!$C$176)</f>
        <v>20616</v>
      </c>
      <c r="E9" s="75"/>
      <c r="F9" s="55">
        <f>(A9*B9)*'MATERIALES (2)'!$D$85</f>
        <v>3552</v>
      </c>
      <c r="G9" s="55">
        <f>(((A9*B9)*2)*'MATERIALES (2)'!$D$86)+(8*'MATERIALES (2)'!$C$218)+(((A9*2)+(B9*4))*'MATERIALES (2)'!$C$219)+(((A9*2)+(B9*4))*'MATERIALES (2)'!$C$220)+((((A9*2)+(B9*2))/15)*'MATERIALES (2)'!$C$221)+((((A9*2)+(B9*2))/15)*('MATERIALES (2)'!$C$222*0.15))</f>
        <v>14399.516666666665</v>
      </c>
      <c r="H9" s="55">
        <f>(A9*B9)*'MATERIALES (2)'!$D$92</f>
        <v>17352</v>
      </c>
      <c r="I9" s="125">
        <f t="shared" si="0"/>
        <v>163158.71990244751</v>
      </c>
      <c r="J9" s="125">
        <f t="shared" si="1"/>
        <v>192100.43674494751</v>
      </c>
      <c r="K9" s="67">
        <f t="shared" si="2"/>
        <v>199977.80990244754</v>
      </c>
      <c r="M9" s="403">
        <f t="shared" si="3"/>
        <v>27016.509547912545</v>
      </c>
      <c r="N9"/>
      <c r="O9" s="68">
        <v>0.8</v>
      </c>
      <c r="P9" s="69">
        <v>0.6</v>
      </c>
      <c r="Q9" s="59">
        <f>(((O9*2)*'MATERIALES (2)'!$C$49)+((P9*2)*'MATERIALES (2)'!$C$50)+((P9*2)*'MATERIALES (2)'!$C$51)+((P9*2)*'MATERIALES (2)'!$C$55)+((O9*2)*'MATERIALES (2)'!$C$52)+((P9*2)*'MATERIALES (2)'!$C$67)+(P9*'MATERIALES (2)'!$C$68)+(P9*'MATERIALES (2)'!$C$78))*'MATERIALES (2)'!$F$2</f>
        <v>79619.90400000001</v>
      </c>
      <c r="R9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(2)'!$C$163)+(((O9*4)+(P9*6))*'MATERIALES (2)'!$C$177)+(((O9*2)+(P9*4))*'MATERIALES (2)'!$C$130)+(4*'MATERIALES (2)'!$C$137)+(((O9*5)*2)*'MATERIALES (2)'!$C$136)+(10*'MATERIALES (2)'!$C$134)+(2*'MATERIALES (2)'!$C$177)</f>
        <v>20716</v>
      </c>
      <c r="S9" s="75"/>
      <c r="T9" s="55">
        <f>(O9*P9)*'MATERIALES (2)'!$D$85</f>
        <v>3552</v>
      </c>
      <c r="U9" s="55">
        <f>(((O9*P9)*2)*'MATERIALES (2)'!$D$86)+(8*'MATERIALES (2)'!$C$218)+(((O9*2)+(P9*4))*'MATERIALES (2)'!$C$219)+(((O9*2)+(P9*4))*'MATERIALES (2)'!$C$220)+((((O9*2)+(P9*2))/15)*'MATERIALES (2)'!$C$221)+((((O9*2)+(P9*2))/15)*('MATERIALES (2)'!$C$222*0.15))</f>
        <v>14399.516666666665</v>
      </c>
      <c r="V9" s="55">
        <f>(O9*P9)*'MATERIALES (2)'!$D$92</f>
        <v>17352</v>
      </c>
      <c r="W9" s="125">
        <f t="shared" si="4"/>
        <v>190175.22945036006</v>
      </c>
      <c r="X9" s="125">
        <f t="shared" si="5"/>
        <v>219116.94629286003</v>
      </c>
      <c r="Y9" s="67">
        <f t="shared" si="6"/>
        <v>226994.31945036005</v>
      </c>
    </row>
    <row r="10" spans="1:30" ht="15.75" hidden="1" thickBot="1">
      <c r="A10" s="68">
        <v>0.8</v>
      </c>
      <c r="B10" s="69">
        <v>0.8</v>
      </c>
      <c r="C10" s="59">
        <f>(((A10*2)*'MATERIALES (2)'!$C$49)+((B10*2)*'MATERIALES (2)'!$C$50)+((B10*2)*'MATERIALES (2)'!$C$51)+((B10*2)*'MATERIALES (2)'!$C$55)+((A10*2)*'MATERIALES (2)'!$C$52))*'MATERIALES (2)'!$F$2</f>
        <v>73896.311999999991</v>
      </c>
      <c r="D10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(2)'!$C$163)+(((A10*4)+(B10*6))*'MATERIALES (2)'!$C$177)+(((A10*2)+(B10*4))*'MATERIALES (2)'!$C$130)+(4*'MATERIALES (2)'!$C$137)+(((A10*5)*2)*'MATERIALES (2)'!$C$136)+(2*'MATERIALES (2)'!$C$176)+(8*'MATERIALES (2)'!$C$163)+(2*'MATERIALES (2)'!$C$176)</f>
        <v>21072</v>
      </c>
      <c r="E10" s="75"/>
      <c r="F10" s="55">
        <f>(A10*B10)*'MATERIALES (2)'!$D$85</f>
        <v>4736.0000000000009</v>
      </c>
      <c r="G10" s="55">
        <f>(((A10*B10)*2)*'MATERIALES (2)'!$D$86)+(8*'MATERIALES (2)'!$C$218)+(((A10*2)+(B10*4))*'MATERIALES (2)'!$C$219)+(((A10*2)+(B10*4))*'MATERIALES (2)'!$C$220)+((((A10*2)+(B10*2))/15)*'MATERIALES (2)'!$C$221)+((((A10*2)+(B10*2))/15)*('MATERIALES (2)'!$C$222*0.15))</f>
        <v>18190.533333333333</v>
      </c>
      <c r="H10" s="55">
        <f>(A10*B10)*'MATERIALES (2)'!$D$92</f>
        <v>23136.000000000004</v>
      </c>
      <c r="I10" s="125">
        <f t="shared" si="0"/>
        <v>183667.52306133002</v>
      </c>
      <c r="J10" s="125">
        <f t="shared" si="1"/>
        <v>219564.89072133001</v>
      </c>
      <c r="K10" s="67">
        <f t="shared" si="2"/>
        <v>232759.64306133002</v>
      </c>
      <c r="M10" s="403">
        <f t="shared" si="3"/>
        <v>35961.981605549983</v>
      </c>
      <c r="N10"/>
      <c r="O10" s="68">
        <v>0.8</v>
      </c>
      <c r="P10" s="69">
        <v>0.8</v>
      </c>
      <c r="Q10" s="59">
        <f>(((O10*2)*'MATERIALES (2)'!$C$49)+((P10*2)*'MATERIALES (2)'!$C$50)+((P10*2)*'MATERIALES (2)'!$C$51)+((P10*2)*'MATERIALES (2)'!$C$55)+((O10*2)*'MATERIALES (2)'!$C$52)+((P10*2)*'MATERIALES (2)'!$C$67)+(P10*'MATERIALES (2)'!$C$68)+(P10*'MATERIALES (2)'!$C$78))*'MATERIALES (2)'!$F$2</f>
        <v>93764.831999999995</v>
      </c>
      <c r="R10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(2)'!$C$163)+(((O10*4)+(P10*6))*'MATERIALES (2)'!$C$177)+(((O10*2)+(P10*4))*'MATERIALES (2)'!$C$130)+(4*'MATERIALES (2)'!$C$137)+(((O10*5)*2)*'MATERIALES (2)'!$C$136)+(10*'MATERIALES (2)'!$C$134)+(2*'MATERIALES (2)'!$C$177)</f>
        <v>21172</v>
      </c>
      <c r="S10" s="75"/>
      <c r="T10" s="55">
        <f>(O10*P10)*'MATERIALES (2)'!$D$85</f>
        <v>4736.0000000000009</v>
      </c>
      <c r="U10" s="55">
        <f>(((O10*P10)*2)*'MATERIALES (2)'!$D$86)+(8*'MATERIALES (2)'!$C$218)+(((O10*2)+(P10*4))*'MATERIALES (2)'!$C$219)+(((O10*2)+(P10*4))*'MATERIALES (2)'!$C$220)+((((O10*2)+(P10*2))/15)*'MATERIALES (2)'!$C$221)+((((O10*2)+(P10*2))/15)*('MATERIALES (2)'!$C$222*0.15))</f>
        <v>18190.533333333333</v>
      </c>
      <c r="V10" s="55">
        <f>(O10*P10)*'MATERIALES (2)'!$D$92</f>
        <v>23136.000000000004</v>
      </c>
      <c r="W10" s="125">
        <f t="shared" si="4"/>
        <v>219629.50466688001</v>
      </c>
      <c r="X10" s="125">
        <f t="shared" si="5"/>
        <v>255526.87232687999</v>
      </c>
      <c r="Y10" s="67">
        <f t="shared" si="6"/>
        <v>268721.62466688</v>
      </c>
    </row>
    <row r="11" spans="1:30" ht="15.75" hidden="1" thickBot="1">
      <c r="A11" s="68">
        <v>1</v>
      </c>
      <c r="B11" s="69">
        <v>0.4</v>
      </c>
      <c r="C11" s="59">
        <f>(((A11*2)*'MATERIALES (2)'!$C$49)+((B11*2)*'MATERIALES (2)'!$C$50)+((B11*2)*'MATERIALES (2)'!$C$51)+((B11*2)*'MATERIALES (2)'!$C$55)+((A11*2)*'MATERIALES (2)'!$C$52))*'MATERIALES (2)'!$F$2</f>
        <v>64836.995999999992</v>
      </c>
      <c r="D11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(2)'!$C$163)+(((A11*4)+(B11*6))*'MATERIALES (2)'!$C$177)+(((A11*2)+(B11*4))*'MATERIALES (2)'!$C$130)+(4*'MATERIALES (2)'!$C$137)+(((A11*5)*2)*'MATERIALES (2)'!$C$136)+(2*'MATERIALES (2)'!$C$176)+(8*'MATERIALES (2)'!$C$163)+(2*'MATERIALES (2)'!$C$176)</f>
        <v>20432</v>
      </c>
      <c r="E11" s="75"/>
      <c r="F11" s="55">
        <f>(A11*B11)*'MATERIALES (2)'!$D$85</f>
        <v>2960</v>
      </c>
      <c r="G11" s="55">
        <f>(((A11*B11)*2)*'MATERIALES (2)'!$D$86)+(8*'MATERIALES (2)'!$C$218)+(((A11*2)+(B11*4))*'MATERIALES (2)'!$C$219)+(((A11*2)+(B11*4))*'MATERIALES (2)'!$C$220)+((((A11*2)+(B11*2))/15)*'MATERIALES (2)'!$C$221)+((((A11*2)+(B11*2))/15)*('MATERIALES (2)'!$C$222*0.15))</f>
        <v>12696.316666666666</v>
      </c>
      <c r="H11" s="55">
        <f>(A11*B11)*'MATERIALES (2)'!$D$92</f>
        <v>14460</v>
      </c>
      <c r="I11" s="125">
        <f t="shared" si="0"/>
        <v>161461.240725015</v>
      </c>
      <c r="J11" s="125">
        <f t="shared" si="1"/>
        <v>187438.22040751495</v>
      </c>
      <c r="K11" s="67">
        <f t="shared" si="2"/>
        <v>192143.81572501498</v>
      </c>
      <c r="M11" s="403">
        <f t="shared" si="3"/>
        <v>18071.03749027499</v>
      </c>
      <c r="N11"/>
      <c r="O11" s="68">
        <v>1</v>
      </c>
      <c r="P11" s="69">
        <v>0.4</v>
      </c>
      <c r="Q11" s="59">
        <f>(((O11*2)*'MATERIALES (2)'!$C$49)+((P11*2)*'MATERIALES (2)'!$C$50)+((P11*2)*'MATERIALES (2)'!$C$51)+((P11*2)*'MATERIALES (2)'!$C$55)+((O11*2)*'MATERIALES (2)'!$C$52)+((P11*2)*'MATERIALES (2)'!$C$67)+(P11*'MATERIALES (2)'!$C$68)+(P11*'MATERIALES (2)'!$C$78))*'MATERIALES (2)'!$F$2</f>
        <v>74771.255999999979</v>
      </c>
      <c r="R11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(2)'!$C$163)+(((O11*4)+(P11*6))*'MATERIALES (2)'!$C$177)+(((O11*2)+(P11*4))*'MATERIALES (2)'!$C$130)+(4*'MATERIALES (2)'!$C$137)+(((O11*5)*2)*'MATERIALES (2)'!$C$136)+(10*'MATERIALES (2)'!$C$134)+(2*'MATERIALES (2)'!$C$177)</f>
        <v>20532</v>
      </c>
      <c r="S11" s="75"/>
      <c r="T11" s="55">
        <f>(O11*P11)*'MATERIALES (2)'!$D$85</f>
        <v>2960</v>
      </c>
      <c r="U11" s="55">
        <f>(((O11*P11)*2)*'MATERIALES (2)'!$D$86)+(8*'MATERIALES (2)'!$C$218)+(((O11*2)+(P11*4))*'MATERIALES (2)'!$C$219)+(((O11*2)+(P11*4))*'MATERIALES (2)'!$C$220)+((((O11*2)+(P11*2))/15)*'MATERIALES (2)'!$C$221)+((((O11*2)+(P11*2))/15)*('MATERIALES (2)'!$C$222*0.15))</f>
        <v>12696.316666666666</v>
      </c>
      <c r="V11" s="55">
        <f>(O11*P11)*'MATERIALES (2)'!$D$92</f>
        <v>14460</v>
      </c>
      <c r="W11" s="125">
        <f t="shared" si="4"/>
        <v>179532.27821528999</v>
      </c>
      <c r="X11" s="125">
        <f t="shared" si="5"/>
        <v>205509.25789778997</v>
      </c>
      <c r="Y11" s="67">
        <f t="shared" si="6"/>
        <v>210214.85321529</v>
      </c>
    </row>
    <row r="12" spans="1:30" ht="15.75" hidden="1" thickBot="1">
      <c r="A12" s="68">
        <v>1</v>
      </c>
      <c r="B12" s="69">
        <v>0.6</v>
      </c>
      <c r="C12" s="59">
        <f>(((A12*2)*'MATERIALES (2)'!$C$49)+((B12*2)*'MATERIALES (2)'!$C$50)+((B12*2)*'MATERIALES (2)'!$C$51)+((B12*2)*'MATERIALES (2)'!$C$55)+((A12*2)*'MATERIALES (2)'!$C$52))*'MATERIALES (2)'!$F$2</f>
        <v>74014.794000000009</v>
      </c>
      <c r="D12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(2)'!$C$163)+(((A12*4)+(B12*6))*'MATERIALES (2)'!$C$177)+(((A12*2)+(B12*4))*'MATERIALES (2)'!$C$130)+(4*'MATERIALES (2)'!$C$137)+(((A12*5)*2)*'MATERIALES (2)'!$C$136)+(2*'MATERIALES (2)'!$C$176)+(8*'MATERIALES (2)'!$C$163)+(2*'MATERIALES (2)'!$C$176)</f>
        <v>20888</v>
      </c>
      <c r="E12" s="75"/>
      <c r="F12" s="55">
        <f>(A12*B12)*'MATERIALES (2)'!$D$85</f>
        <v>4440</v>
      </c>
      <c r="G12" s="55">
        <f>(((A12*B12)*2)*'MATERIALES (2)'!$D$86)+(8*'MATERIALES (2)'!$C$218)+(((A12*2)+(B12*4))*'MATERIALES (2)'!$C$219)+(((A12*2)+(B12*4))*'MATERIALES (2)'!$C$220)+((((A12*2)+(B12*2))/15)*'MATERIALES (2)'!$C$221)+((((A12*2)+(B12*2))/15)*('MATERIALES (2)'!$C$222*0.15))</f>
        <v>17192.933333333331</v>
      </c>
      <c r="H12" s="55">
        <f>(A12*B12)*'MATERIALES (2)'!$D$92</f>
        <v>21690</v>
      </c>
      <c r="I12" s="125">
        <f t="shared" si="0"/>
        <v>182759.78668389755</v>
      </c>
      <c r="J12" s="125">
        <f t="shared" si="1"/>
        <v>216785.25046389757</v>
      </c>
      <c r="K12" s="67">
        <f t="shared" si="2"/>
        <v>228783.64918389756</v>
      </c>
      <c r="M12" s="403">
        <f t="shared" si="3"/>
        <v>27016.509547912516</v>
      </c>
      <c r="N12"/>
      <c r="O12" s="68">
        <v>1</v>
      </c>
      <c r="P12" s="69">
        <v>0.6</v>
      </c>
      <c r="Q12" s="59">
        <f>(((O12*2)*'MATERIALES (2)'!$C$49)+((P12*2)*'MATERIALES (2)'!$C$50)+((P12*2)*'MATERIALES (2)'!$C$51)+((P12*2)*'MATERIALES (2)'!$C$55)+((O12*2)*'MATERIALES (2)'!$C$52)+((P12*2)*'MATERIALES (2)'!$C$67)+(P12*'MATERIALES (2)'!$C$68)+(P12*'MATERIALES (2)'!$C$78))*'MATERIALES (2)'!$F$2</f>
        <v>88916.184000000008</v>
      </c>
      <c r="R12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(2)'!$C$163)+(((O12*4)+(P12*6))*'MATERIALES (2)'!$C$177)+(((O12*2)+(P12*4))*'MATERIALES (2)'!$C$130)+(4*'MATERIALES (2)'!$C$137)+(((O12*5)*2)*'MATERIALES (2)'!$C$136)+(10*'MATERIALES (2)'!$C$134)+(2*'MATERIALES (2)'!$C$177)</f>
        <v>20988</v>
      </c>
      <c r="S12" s="75"/>
      <c r="T12" s="55">
        <f>(O12*P12)*'MATERIALES (2)'!$D$85</f>
        <v>4440</v>
      </c>
      <c r="U12" s="55">
        <f>(((O12*P12)*2)*'MATERIALES (2)'!$D$86)+(8*'MATERIALES (2)'!$C$218)+(((O12*2)+(P12*4))*'MATERIALES (2)'!$C$219)+(((O12*2)+(P12*4))*'MATERIALES (2)'!$C$220)+((((O12*2)+(P12*2))/15)*'MATERIALES (2)'!$C$221)+((((O12*2)+(P12*2))/15)*('MATERIALES (2)'!$C$222*0.15))</f>
        <v>17192.933333333331</v>
      </c>
      <c r="V12" s="55">
        <f>(O12*P12)*'MATERIALES (2)'!$D$92</f>
        <v>21690</v>
      </c>
      <c r="W12" s="125">
        <f t="shared" si="4"/>
        <v>209776.29623181006</v>
      </c>
      <c r="X12" s="125">
        <f t="shared" si="5"/>
        <v>243801.76001181005</v>
      </c>
      <c r="Y12" s="67">
        <f t="shared" si="6"/>
        <v>255800.15873181005</v>
      </c>
    </row>
    <row r="13" spans="1:30" ht="15.75" hidden="1" thickBot="1">
      <c r="A13" s="68">
        <v>1</v>
      </c>
      <c r="B13" s="69">
        <v>0.8</v>
      </c>
      <c r="C13" s="59">
        <f>(((A13*2)*'MATERIALES (2)'!$C$49)+((B13*2)*'MATERIALES (2)'!$C$50)+((B13*2)*'MATERIALES (2)'!$C$51)+((B13*2)*'MATERIALES (2)'!$C$55)+((A13*2)*'MATERIALES (2)'!$C$52))*'MATERIALES (2)'!$F$2</f>
        <v>83192.592000000004</v>
      </c>
      <c r="D13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(2)'!$C$163)+(((A13*4)+(B13*6))*'MATERIALES (2)'!$C$177)+(((A13*2)+(B13*4))*'MATERIALES (2)'!$C$130)+(4*'MATERIALES (2)'!$C$137)+(((A13*5)*2)*'MATERIALES (2)'!$C$136)+(2*'MATERIALES (2)'!$C$176)+(8*'MATERIALES (2)'!$C$163)+(2*'MATERIALES (2)'!$C$176)</f>
        <v>21344</v>
      </c>
      <c r="E13" s="75"/>
      <c r="F13" s="55">
        <f>(A13*B13)*'MATERIALES (2)'!$D$85</f>
        <v>5920</v>
      </c>
      <c r="G13" s="55">
        <f>(((A13*B13)*2)*'MATERIALES (2)'!$D$86)+(8*'MATERIALES (2)'!$C$218)+(((A13*2)+(B13*4))*'MATERIALES (2)'!$C$219)+(((A13*2)+(B13*4))*'MATERIALES (2)'!$C$220)+((((A13*2)+(B13*2))/15)*'MATERIALES (2)'!$C$221)+((((A13*2)+(B13*2))/15)*('MATERIALES (2)'!$C$222*0.15))</f>
        <v>21689.55</v>
      </c>
      <c r="H13" s="55">
        <f>(A13*B13)*'MATERIALES (2)'!$D$92</f>
        <v>28920</v>
      </c>
      <c r="I13" s="125">
        <f t="shared" si="0"/>
        <v>204058.33264278003</v>
      </c>
      <c r="J13" s="125">
        <f t="shared" si="1"/>
        <v>246132.28052028001</v>
      </c>
      <c r="K13" s="67">
        <f t="shared" si="2"/>
        <v>265423.48264278006</v>
      </c>
      <c r="M13" s="403">
        <f t="shared" si="3"/>
        <v>35961.981605549983</v>
      </c>
      <c r="N13"/>
      <c r="O13" s="68">
        <v>1</v>
      </c>
      <c r="P13" s="69">
        <v>0.8</v>
      </c>
      <c r="Q13" s="59">
        <f>(((O13*2)*'MATERIALES (2)'!$C$49)+((P13*2)*'MATERIALES (2)'!$C$50)+((P13*2)*'MATERIALES (2)'!$C$51)+((P13*2)*'MATERIALES (2)'!$C$55)+((O13*2)*'MATERIALES (2)'!$C$52)+((P13*2)*'MATERIALES (2)'!$C$67)+(P13*'MATERIALES (2)'!$C$68)+(P13*'MATERIALES (2)'!$C$78))*'MATERIALES (2)'!$F$2</f>
        <v>103061.11199999998</v>
      </c>
      <c r="R13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(2)'!$C$163)+(((O13*4)+(P13*6))*'MATERIALES (2)'!$C$177)+(((O13*2)+(P13*4))*'MATERIALES (2)'!$C$130)+(4*'MATERIALES (2)'!$C$137)+(((O13*5)*2)*'MATERIALES (2)'!$C$136)+(10*'MATERIALES (2)'!$C$134)+(2*'MATERIALES (2)'!$C$177)</f>
        <v>21444</v>
      </c>
      <c r="S13" s="75"/>
      <c r="T13" s="55">
        <f>(O13*P13)*'MATERIALES (2)'!$D$85</f>
        <v>5920</v>
      </c>
      <c r="U13" s="55">
        <f>(((O13*P13)*2)*'MATERIALES (2)'!$D$86)+(8*'MATERIALES (2)'!$C$218)+(((O13*2)+(P13*4))*'MATERIALES (2)'!$C$219)+(((O13*2)+(P13*4))*'MATERIALES (2)'!$C$220)+((((O13*2)+(P13*2))/15)*'MATERIALES (2)'!$C$221)+((((O13*2)+(P13*2))/15)*('MATERIALES (2)'!$C$222*0.15))</f>
        <v>21689.55</v>
      </c>
      <c r="V13" s="55">
        <f>(O13*P13)*'MATERIALES (2)'!$D$92</f>
        <v>28920</v>
      </c>
      <c r="W13" s="125">
        <f t="shared" si="4"/>
        <v>240020.31424833002</v>
      </c>
      <c r="X13" s="125">
        <f t="shared" si="5"/>
        <v>282094.26212582999</v>
      </c>
      <c r="Y13" s="67">
        <f t="shared" si="6"/>
        <v>301385.46424833004</v>
      </c>
    </row>
    <row r="14" spans="1:30" ht="15.75" hidden="1" thickBot="1">
      <c r="A14" s="68">
        <v>1</v>
      </c>
      <c r="B14" s="69">
        <v>1</v>
      </c>
      <c r="C14" s="59">
        <f>(((A14*2)*'MATERIALES (2)'!$C$49)+((B14*2)*'MATERIALES (2)'!$C$50)+((B14*2)*'MATERIALES (2)'!$C$51)+((B14*2)*'MATERIALES (2)'!$C$55)+((A14*2)*'MATERIALES (2)'!$C$52))*'MATERIALES (2)'!$F$2</f>
        <v>92370.389999999985</v>
      </c>
      <c r="D14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(2)'!$C$163)+(((A14*4)+(B14*6))*'MATERIALES (2)'!$C$177)+(((A14*2)+(B14*4))*'MATERIALES (2)'!$C$130)+(4*'MATERIALES (2)'!$C$137)+(((A14*5)*2)*'MATERIALES (2)'!$C$136)+(2*'MATERIALES (2)'!$C$176)+(8*'MATERIALES (2)'!$C$163)+(2*'MATERIALES (2)'!$C$176)</f>
        <v>21800</v>
      </c>
      <c r="E14" s="75"/>
      <c r="F14" s="55">
        <f>(A14*B14)*'MATERIALES (2)'!$D$85</f>
        <v>7400</v>
      </c>
      <c r="G14" s="55">
        <f>(((A14*B14)*2)*'MATERIALES (2)'!$D$86)+(8*'MATERIALES (2)'!$C$218)+(((A14*2)+(B14*4))*'MATERIALES (2)'!$C$219)+(((A14*2)+(B14*4))*'MATERIALES (2)'!$C$220)+((((A14*2)+(B14*2))/15)*'MATERIALES (2)'!$C$221)+((((A14*2)+(B14*2))/15)*('MATERIALES (2)'!$C$222*0.15))</f>
        <v>26186.166666666668</v>
      </c>
      <c r="H14" s="55">
        <f>(A14*B14)*'MATERIALES (2)'!$D$92</f>
        <v>36150</v>
      </c>
      <c r="I14" s="125">
        <f t="shared" si="0"/>
        <v>225356.87860166247</v>
      </c>
      <c r="J14" s="125">
        <f t="shared" si="1"/>
        <v>275479.31057666248</v>
      </c>
      <c r="K14" s="67">
        <f t="shared" si="2"/>
        <v>302063.31610166247</v>
      </c>
      <c r="M14" s="403">
        <f t="shared" si="3"/>
        <v>44907.453663187509</v>
      </c>
      <c r="N14"/>
      <c r="O14" s="68">
        <v>1</v>
      </c>
      <c r="P14" s="69">
        <v>1</v>
      </c>
      <c r="Q14" s="59">
        <f>(((O14*2)*'MATERIALES (2)'!$C$49)+((P14*2)*'MATERIALES (2)'!$C$50)+((P14*2)*'MATERIALES (2)'!$C$51)+((P14*2)*'MATERIALES (2)'!$C$55)+((O14*2)*'MATERIALES (2)'!$C$52)+((P14*2)*'MATERIALES (2)'!$C$67)+(P14*'MATERIALES (2)'!$C$68)+(P14*'MATERIALES (2)'!$C$78))*'MATERIALES (2)'!$F$2</f>
        <v>117206.03999999998</v>
      </c>
      <c r="R14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(2)'!$C$163)+(((O14*4)+(P14*6))*'MATERIALES (2)'!$C$177)+(((O14*2)+(P14*4))*'MATERIALES (2)'!$C$130)+(4*'MATERIALES (2)'!$C$137)+(((O14*5)*2)*'MATERIALES (2)'!$C$136)+(10*'MATERIALES (2)'!$C$134)+(2*'MATERIALES (2)'!$C$177)</f>
        <v>21900</v>
      </c>
      <c r="S14" s="75"/>
      <c r="T14" s="55">
        <f>(O14*P14)*'MATERIALES (2)'!$D$85</f>
        <v>7400</v>
      </c>
      <c r="U14" s="55">
        <f>(((O14*P14)*2)*'MATERIALES (2)'!$D$86)+(8*'MATERIALES (2)'!$C$218)+(((O14*2)+(P14*4))*'MATERIALES (2)'!$C$219)+(((O14*2)+(P14*4))*'MATERIALES (2)'!$C$220)+((((O14*2)+(P14*2))/15)*'MATERIALES (2)'!$C$221)+((((O14*2)+(P14*2))/15)*('MATERIALES (2)'!$C$222*0.15))</f>
        <v>26186.166666666668</v>
      </c>
      <c r="V14" s="55">
        <f>(O14*P14)*'MATERIALES (2)'!$D$92</f>
        <v>36150</v>
      </c>
      <c r="W14" s="125">
        <f t="shared" si="4"/>
        <v>270264.33226484997</v>
      </c>
      <c r="X14" s="125">
        <f t="shared" si="5"/>
        <v>320386.76423984999</v>
      </c>
      <c r="Y14" s="67">
        <f t="shared" si="6"/>
        <v>346970.76976484997</v>
      </c>
    </row>
    <row r="15" spans="1:30" ht="15.75" hidden="1" thickBot="1">
      <c r="A15" s="68">
        <v>1</v>
      </c>
      <c r="B15" s="69">
        <v>1.1000000000000001</v>
      </c>
      <c r="C15" s="59">
        <f>(((A15*2)*'MATERIALES (2)'!$C$49)+((B15*2)*'MATERIALES (2)'!$C$50)+((B15*2)*'MATERIALES (2)'!$C$51)+((B15*2)*'MATERIALES (2)'!$C$55)+((A15*2)*'MATERIALES (2)'!$C$52))*'MATERIALES (2)'!$F$2</f>
        <v>96959.28899999999</v>
      </c>
      <c r="D15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(2)'!$C$163)+(((A15*4)+(B15*6))*'MATERIALES (2)'!$C$177)+(((A15*2)+(B15*4))*'MATERIALES (2)'!$C$130)+(4*'MATERIALES (2)'!$C$137)+(((A15*5)*2)*'MATERIALES (2)'!$C$136)+(2*'MATERIALES (2)'!$C$176)+(8*'MATERIALES (2)'!$C$163)+(2*'MATERIALES (2)'!$C$176)</f>
        <v>22028</v>
      </c>
      <c r="E15" s="75"/>
      <c r="F15" s="55">
        <f>(A15*B15)*'MATERIALES (2)'!$D$85</f>
        <v>8140.0000000000009</v>
      </c>
      <c r="G15" s="55">
        <f>(((A15*B15)*2)*'MATERIALES (2)'!$D$86)+(8*'MATERIALES (2)'!$C$218)+(((A15*2)+(B15*4))*'MATERIALES (2)'!$C$219)+(((A15*2)+(B15*4))*'MATERIALES (2)'!$C$220)+((((A15*2)+(B15*2))/15)*'MATERIALES (2)'!$C$221)+((((A15*2)+(B15*2))/15)*('MATERIALES (2)'!$C$222*0.15))</f>
        <v>28434.474999999999</v>
      </c>
      <c r="H15" s="55">
        <f>(A15*B15)*'MATERIALES (2)'!$D$92</f>
        <v>39765</v>
      </c>
      <c r="I15" s="125">
        <f t="shared" si="0"/>
        <v>236006.15158110377</v>
      </c>
      <c r="J15" s="125">
        <f t="shared" si="1"/>
        <v>290152.8256048538</v>
      </c>
      <c r="K15" s="67">
        <f t="shared" si="2"/>
        <v>320383.23283110373</v>
      </c>
      <c r="M15" s="403">
        <f t="shared" si="3"/>
        <v>49380.189692006184</v>
      </c>
      <c r="N15"/>
      <c r="O15" s="68">
        <v>1</v>
      </c>
      <c r="P15" s="69">
        <v>1.1000000000000001</v>
      </c>
      <c r="Q15" s="59">
        <f>(((O15*2)*'MATERIALES (2)'!$C$49)+((P15*2)*'MATERIALES (2)'!$C$50)+((P15*2)*'MATERIALES (2)'!$C$51)+((P15*2)*'MATERIALES (2)'!$C$55)+((O15*2)*'MATERIALES (2)'!$C$52)+((P15*2)*'MATERIALES (2)'!$C$67)+(P15*'MATERIALES (2)'!$C$68)+(P15*'MATERIALES (2)'!$C$78))*'MATERIALES (2)'!$F$2</f>
        <v>124278.50399999999</v>
      </c>
      <c r="R15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(2)'!$C$163)+(((O15*4)+(P15*6))*'MATERIALES (2)'!$C$177)+(((O15*2)+(P15*4))*'MATERIALES (2)'!$C$130)+(4*'MATERIALES (2)'!$C$137)+(((O15*5)*2)*'MATERIALES (2)'!$C$136)+(10*'MATERIALES (2)'!$C$134)+(2*'MATERIALES (2)'!$C$177)</f>
        <v>22128</v>
      </c>
      <c r="S15" s="75"/>
      <c r="T15" s="55">
        <f>(O15*P15)*'MATERIALES (2)'!$D$85</f>
        <v>8140.0000000000009</v>
      </c>
      <c r="U15" s="55">
        <f>(((O15*P15)*2)*'MATERIALES (2)'!$D$86)+(8*'MATERIALES (2)'!$C$218)+(((O15*2)+(P15*4))*'MATERIALES (2)'!$C$219)+(((O15*2)+(P15*4))*'MATERIALES (2)'!$C$220)+((((O15*2)+(P15*2))/15)*'MATERIALES (2)'!$C$221)+((((O15*2)+(P15*2))/15)*('MATERIALES (2)'!$C$222*0.15))</f>
        <v>28434.474999999999</v>
      </c>
      <c r="V15" s="55">
        <f>(O15*P15)*'MATERIALES (2)'!$D$92</f>
        <v>39765</v>
      </c>
      <c r="W15" s="125">
        <f t="shared" si="4"/>
        <v>285386.34127310995</v>
      </c>
      <c r="X15" s="125">
        <f t="shared" si="5"/>
        <v>339533.01529686002</v>
      </c>
      <c r="Y15" s="67">
        <f t="shared" si="6"/>
        <v>369763.42252311</v>
      </c>
    </row>
    <row r="16" spans="1:30" ht="15.75" hidden="1" thickBot="1">
      <c r="A16" s="68">
        <v>1</v>
      </c>
      <c r="B16" s="69">
        <v>1.2</v>
      </c>
      <c r="C16" s="59">
        <f>(((A16*2)*'MATERIALES (2)'!$C$49)+((B16*2)*'MATERIALES (2)'!$C$50)+((B16*2)*'MATERIALES (2)'!$C$51)+((B16*2)*'MATERIALES (2)'!$C$55)+((A16*2)*'MATERIALES (2)'!$C$52))*'MATERIALES (2)'!$F$2</f>
        <v>101548.18800000001</v>
      </c>
      <c r="D16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(2)'!$C$163)+(((A16*4)+(B16*6))*'MATERIALES (2)'!$C$177)+(((A16*2)+(B16*4))*'MATERIALES (2)'!$C$130)+(4*'MATERIALES (2)'!$C$137)+(((A16*5)*2)*'MATERIALES (2)'!$C$136)+(2*'MATERIALES (2)'!$C$176)+(8*'MATERIALES (2)'!$C$163)+(2*'MATERIALES (2)'!$C$176)</f>
        <v>22256</v>
      </c>
      <c r="E16" s="75"/>
      <c r="F16" s="55">
        <f>(A16*B16)*'MATERIALES (2)'!$D$85</f>
        <v>8880</v>
      </c>
      <c r="G16" s="55">
        <f>(((A16*B16)*2)*'MATERIALES (2)'!$D$86)+(8*'MATERIALES (2)'!$C$218)+(((A16*2)+(B16*4))*'MATERIALES (2)'!$C$219)+(((A16*2)+(B16*4))*'MATERIALES (2)'!$C$220)+((((A16*2)+(B16*2))/15)*'MATERIALES (2)'!$C$221)+((((A16*2)+(B16*2))/15)*('MATERIALES (2)'!$C$222*0.15))</f>
        <v>30682.783333333333</v>
      </c>
      <c r="H16" s="55">
        <f>(A16*B16)*'MATERIALES (2)'!$D$92</f>
        <v>43380</v>
      </c>
      <c r="I16" s="125">
        <f t="shared" si="0"/>
        <v>246655.42456054507</v>
      </c>
      <c r="J16" s="125">
        <f t="shared" si="1"/>
        <v>304826.34063304507</v>
      </c>
      <c r="K16" s="67">
        <f t="shared" si="2"/>
        <v>338703.14956054505</v>
      </c>
      <c r="M16" s="403">
        <f t="shared" si="3"/>
        <v>53852.92572082486</v>
      </c>
      <c r="N16"/>
      <c r="O16" s="68">
        <v>1</v>
      </c>
      <c r="P16" s="69">
        <v>1.2</v>
      </c>
      <c r="Q16" s="59">
        <f>(((O16*2)*'MATERIALES (2)'!$C$49)+((P16*2)*'MATERIALES (2)'!$C$50)+((P16*2)*'MATERIALES (2)'!$C$51)+((P16*2)*'MATERIALES (2)'!$C$55)+((O16*2)*'MATERIALES (2)'!$C$52)+((P16*2)*'MATERIALES (2)'!$C$67)+(P16*'MATERIALES (2)'!$C$68)+(P16*'MATERIALES (2)'!$C$78))*'MATERIALES (2)'!$F$2</f>
        <v>131350.96799999999</v>
      </c>
      <c r="R16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(2)'!$C$163)+(((O16*4)+(P16*6))*'MATERIALES (2)'!$C$177)+(((O16*2)+(P16*4))*'MATERIALES (2)'!$C$130)+(4*'MATERIALES (2)'!$C$137)+(((O16*5)*2)*'MATERIALES (2)'!$C$136)+(10*'MATERIALES (2)'!$C$134)+(2*'MATERIALES (2)'!$C$177)</f>
        <v>22356</v>
      </c>
      <c r="S16" s="75"/>
      <c r="T16" s="55">
        <f>(O16*P16)*'MATERIALES (2)'!$D$85</f>
        <v>8880</v>
      </c>
      <c r="U16" s="55">
        <f>(((O16*P16)*2)*'MATERIALES (2)'!$D$86)+(8*'MATERIALES (2)'!$C$218)+(((O16*2)+(P16*4))*'MATERIALES (2)'!$C$219)+(((O16*2)+(P16*4))*'MATERIALES (2)'!$C$220)+((((O16*2)+(P16*2))/15)*'MATERIALES (2)'!$C$221)+((((O16*2)+(P16*2))/15)*('MATERIALES (2)'!$C$222*0.15))</f>
        <v>30682.783333333333</v>
      </c>
      <c r="V16" s="55">
        <f>(O16*P16)*'MATERIALES (2)'!$D$92</f>
        <v>43380</v>
      </c>
      <c r="W16" s="125">
        <f t="shared" si="4"/>
        <v>300508.35028136993</v>
      </c>
      <c r="X16" s="125">
        <f t="shared" si="5"/>
        <v>358679.26635386999</v>
      </c>
      <c r="Y16" s="67">
        <f t="shared" si="6"/>
        <v>392556.07528137002</v>
      </c>
    </row>
    <row r="17" spans="1:26" ht="15.75" hidden="1" thickBot="1">
      <c r="A17" s="68">
        <v>1</v>
      </c>
      <c r="B17" s="69">
        <v>1.5</v>
      </c>
      <c r="C17" s="59">
        <f>(((A17*2)*'MATERIALES (2)'!$C$49)+((B17*2)*'MATERIALES (2)'!$C$50)+((B17*2)*'MATERIALES (2)'!$C$51)+((B17*2)*'MATERIALES (2)'!$C$55)+((A17*2)*'MATERIALES (2)'!$C$52))*'MATERIALES (2)'!$F$2</f>
        <v>115314.88499999999</v>
      </c>
      <c r="D17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(2)'!$C$163)+(((A17*4)+(B17*6))*'MATERIALES (2)'!$C$177)+(((A17*2)+(B17*4))*'MATERIALES (2)'!$C$130)+(4*'MATERIALES (2)'!$C$137)+(((A17*5)*2)*'MATERIALES (2)'!$C$136)+(2*'MATERIALES (2)'!$C$176)+(8*'MATERIALES (2)'!$C$163)+(2*'MATERIALES (2)'!$C$176)</f>
        <v>22940</v>
      </c>
      <c r="E17" s="75"/>
      <c r="F17" s="55">
        <f>(A17*B17)*'MATERIALES (2)'!$D$85</f>
        <v>11100</v>
      </c>
      <c r="G17" s="55">
        <f>(((A17*B17)*2)*'MATERIALES (2)'!$D$86)+(8*'MATERIALES (2)'!$C$218)+(((A17*2)+(B17*4))*'MATERIALES (2)'!$C$219)+(((A17*2)+(B17*4))*'MATERIALES (2)'!$C$220)+((((A17*2)+(B17*2))/15)*'MATERIALES (2)'!$C$221)+((((A17*2)+(B17*2))/15)*('MATERIALES (2)'!$C$222*0.15))</f>
        <v>37427.708333333336</v>
      </c>
      <c r="H17" s="55">
        <f>(A17*B17)*'MATERIALES (2)'!$D$92</f>
        <v>54225</v>
      </c>
      <c r="I17" s="125">
        <f t="shared" si="0"/>
        <v>278603.24349886877</v>
      </c>
      <c r="J17" s="125">
        <f t="shared" si="1"/>
        <v>348846.88571761874</v>
      </c>
      <c r="K17" s="67">
        <f t="shared" si="2"/>
        <v>393662.89974886877</v>
      </c>
      <c r="M17" s="403">
        <f t="shared" si="3"/>
        <v>67271.133807281265</v>
      </c>
      <c r="N17"/>
      <c r="O17" s="68">
        <v>1</v>
      </c>
      <c r="P17" s="69">
        <v>1.5</v>
      </c>
      <c r="Q17" s="59">
        <f>(((O17*2)*'MATERIALES (2)'!$C$49)+((P17*2)*'MATERIALES (2)'!$C$50)+((P17*2)*'MATERIALES (2)'!$C$51)+((P17*2)*'MATERIALES (2)'!$C$55)+((O17*2)*'MATERIALES (2)'!$C$52)+((P17*2)*'MATERIALES (2)'!$C$67)+(P17*'MATERIALES (2)'!$C$68)+(P17*'MATERIALES (2)'!$C$78))*'MATERIALES (2)'!$F$2</f>
        <v>152568.35999999999</v>
      </c>
      <c r="R17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(2)'!$C$163)+(((O17*4)+(P17*6))*'MATERIALES (2)'!$C$177)+(((O17*2)+(P17*4))*'MATERIALES (2)'!$C$130)+(4*'MATERIALES (2)'!$C$137)+(((O17*5)*2)*'MATERIALES (2)'!$C$136)+(10*'MATERIALES (2)'!$C$134)+(2*'MATERIALES (2)'!$C$177)</f>
        <v>23040</v>
      </c>
      <c r="S17" s="75"/>
      <c r="T17" s="55">
        <f>(O17*P17)*'MATERIALES (2)'!$D$85</f>
        <v>11100</v>
      </c>
      <c r="U17" s="55">
        <f>(((O17*P17)*2)*'MATERIALES (2)'!$D$86)+(8*'MATERIALES (2)'!$C$218)+(((O17*2)+(P17*4))*'MATERIALES (2)'!$C$219)+(((O17*2)+(P17*4))*'MATERIALES (2)'!$C$220)+((((O17*2)+(P17*2))/15)*'MATERIALES (2)'!$C$221)+((((O17*2)+(P17*2))/15)*('MATERIALES (2)'!$C$222*0.15))</f>
        <v>37427.708333333336</v>
      </c>
      <c r="V17" s="55">
        <f>(O17*P17)*'MATERIALES (2)'!$D$92</f>
        <v>54225</v>
      </c>
      <c r="W17" s="125">
        <f t="shared" si="4"/>
        <v>345874.37730615004</v>
      </c>
      <c r="X17" s="125">
        <f t="shared" si="5"/>
        <v>416118.01952490001</v>
      </c>
      <c r="Y17" s="67">
        <f t="shared" si="6"/>
        <v>460934.03355614998</v>
      </c>
    </row>
    <row r="18" spans="1:26" ht="15.75" hidden="1" thickBot="1">
      <c r="A18" s="68">
        <v>1.2</v>
      </c>
      <c r="B18" s="69">
        <v>0.4</v>
      </c>
      <c r="C18" s="59">
        <f>(((A18*2)*'MATERIALES (2)'!$C$49)+((B18*2)*'MATERIALES (2)'!$C$50)+((B18*2)*'MATERIALES (2)'!$C$51)+((B18*2)*'MATERIALES (2)'!$C$55)+((A18*2)*'MATERIALES (2)'!$C$52))*'MATERIALES (2)'!$F$2</f>
        <v>74133.275999999998</v>
      </c>
      <c r="D18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(2)'!$C$163)+(((A18*4)+(B18*6))*'MATERIALES (2)'!$C$177)+(((A18*2)+(B18*4))*'MATERIALES (2)'!$C$130)+(4*'MATERIALES (2)'!$C$137)+(((A18*5)*2)*'MATERIALES (2)'!$C$136)+(2*'MATERIALES (2)'!$C$176)+(8*'MATERIALES (2)'!$C$163)+(2*'MATERIALES (2)'!$C$176)</f>
        <v>20704</v>
      </c>
      <c r="E18" s="75"/>
      <c r="F18" s="55">
        <f>(A18*B18)*'MATERIALES (2)'!$D$85</f>
        <v>3552</v>
      </c>
      <c r="G18" s="55">
        <f>(((A18*B18)*2)*'MATERIALES (2)'!$D$86)+(8*'MATERIALES (2)'!$C$218)+(((A18*2)+(B18*4))*'MATERIALES (2)'!$C$219)+(((A18*2)+(B18*4))*'MATERIALES (2)'!$C$220)+((((A18*2)+(B18*2))/15)*'MATERIALES (2)'!$C$221)+((((A18*2)+(B18*2))/15)*('MATERIALES (2)'!$C$222*0.15))</f>
        <v>14784.133333333333</v>
      </c>
      <c r="H18" s="55">
        <f>(A18*B18)*'MATERIALES (2)'!$D$92</f>
        <v>17352</v>
      </c>
      <c r="I18" s="125">
        <f t="shared" si="0"/>
        <v>180272.56470646503</v>
      </c>
      <c r="J18" s="125">
        <f t="shared" si="1"/>
        <v>210240.45804646501</v>
      </c>
      <c r="K18" s="67">
        <f t="shared" si="2"/>
        <v>217091.65470646505</v>
      </c>
      <c r="M18" s="403">
        <f t="shared" si="3"/>
        <v>18071.037490274961</v>
      </c>
      <c r="N18"/>
      <c r="O18" s="68">
        <v>1.2</v>
      </c>
      <c r="P18" s="69">
        <v>0.4</v>
      </c>
      <c r="Q18" s="59">
        <f>(((O18*2)*'MATERIALES (2)'!$C$49)+((P18*2)*'MATERIALES (2)'!$C$50)+((P18*2)*'MATERIALES (2)'!$C$51)+((P18*2)*'MATERIALES (2)'!$C$55)+((O18*2)*'MATERIALES (2)'!$C$52)+((P18*2)*'MATERIALES (2)'!$C$67)+(P18*'MATERIALES (2)'!$C$68)+(P18*'MATERIALES (2)'!$C$78))*'MATERIALES (2)'!$F$2</f>
        <v>84067.535999999993</v>
      </c>
      <c r="R18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(2)'!$C$163)+(((O18*4)+(P18*6))*'MATERIALES (2)'!$C$177)+(((O18*2)+(P18*4))*'MATERIALES (2)'!$C$130)+(4*'MATERIALES (2)'!$C$137)+(((O18*5)*2)*'MATERIALES (2)'!$C$136)+(10*'MATERIALES (2)'!$C$134)+(2*'MATERIALES (2)'!$C$177)</f>
        <v>20804</v>
      </c>
      <c r="S18" s="75"/>
      <c r="T18" s="55">
        <f>(O18*P18)*'MATERIALES (2)'!$D$85</f>
        <v>3552</v>
      </c>
      <c r="U18" s="55">
        <f>(((O18*P18)*2)*'MATERIALES (2)'!$D$86)+(8*'MATERIALES (2)'!$C$218)+(((O18*2)+(P18*4))*'MATERIALES (2)'!$C$219)+(((O18*2)+(P18*4))*'MATERIALES (2)'!$C$220)+((((O18*2)+(P18*2))/15)*'MATERIALES (2)'!$C$221)+((((O18*2)+(P18*2))/15)*('MATERIALES (2)'!$C$222*0.15))</f>
        <v>14784.133333333333</v>
      </c>
      <c r="V18" s="55">
        <f>(O18*P18)*'MATERIALES (2)'!$D$92</f>
        <v>17352</v>
      </c>
      <c r="W18" s="125">
        <f t="shared" si="4"/>
        <v>198343.60219673999</v>
      </c>
      <c r="X18" s="125">
        <f t="shared" si="5"/>
        <v>228311.49553674003</v>
      </c>
      <c r="Y18" s="67">
        <f t="shared" si="6"/>
        <v>235162.69219674001</v>
      </c>
    </row>
    <row r="19" spans="1:26" ht="15.75" hidden="1" thickBot="1">
      <c r="A19" s="68">
        <v>1.2</v>
      </c>
      <c r="B19" s="69">
        <v>0.6</v>
      </c>
      <c r="C19" s="59">
        <f>(((A19*2)*'MATERIALES (2)'!$C$49)+((B19*2)*'MATERIALES (2)'!$C$50)+((B19*2)*'MATERIALES (2)'!$C$51)+((B19*2)*'MATERIALES (2)'!$C$55)+((A19*2)*'MATERIALES (2)'!$C$52))*'MATERIALES (2)'!$F$2</f>
        <v>83311.074000000008</v>
      </c>
      <c r="D19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(2)'!$C$163)+(((A19*4)+(B19*6))*'MATERIALES (2)'!$C$177)+(((A19*2)+(B19*4))*'MATERIALES (2)'!$C$130)+(4*'MATERIALES (2)'!$C$137)+(((A19*5)*2)*'MATERIALES (2)'!$C$136)+(2*'MATERIALES (2)'!$C$176)+(8*'MATERIALES (2)'!$C$163)+(2*'MATERIALES (2)'!$C$176)</f>
        <v>21160</v>
      </c>
      <c r="E19" s="75"/>
      <c r="F19" s="55">
        <f>(A19*B19)*'MATERIALES (2)'!$D$85</f>
        <v>5328</v>
      </c>
      <c r="G19" s="55">
        <f>(((A19*B19)*2)*'MATERIALES (2)'!$D$86)+(8*'MATERIALES (2)'!$C$218)+(((A19*2)+(B19*4))*'MATERIALES (2)'!$C$219)+(((A19*2)+(B19*4))*'MATERIALES (2)'!$C$220)+((((A19*2)+(B19*2))/15)*'MATERIALES (2)'!$C$221)+((((A19*2)+(B19*2))/15)*('MATERIALES (2)'!$C$222*0.15))</f>
        <v>19986.349999999999</v>
      </c>
      <c r="H19" s="55">
        <f>(A19*B19)*'MATERIALES (2)'!$D$92</f>
        <v>26028</v>
      </c>
      <c r="I19" s="125">
        <f t="shared" si="0"/>
        <v>202360.85346534752</v>
      </c>
      <c r="J19" s="125">
        <f t="shared" si="1"/>
        <v>241470.06418284753</v>
      </c>
      <c r="K19" s="67">
        <f t="shared" si="2"/>
        <v>257589.48846534753</v>
      </c>
      <c r="M19" s="403">
        <f t="shared" si="3"/>
        <v>27016.509547912487</v>
      </c>
      <c r="N19"/>
      <c r="O19" s="68">
        <v>1.2</v>
      </c>
      <c r="P19" s="69">
        <v>0.6</v>
      </c>
      <c r="Q19" s="59">
        <f>(((O19*2)*'MATERIALES (2)'!$C$49)+((P19*2)*'MATERIALES (2)'!$C$50)+((P19*2)*'MATERIALES (2)'!$C$51)+((P19*2)*'MATERIALES (2)'!$C$55)+((O19*2)*'MATERIALES (2)'!$C$52)+((P19*2)*'MATERIALES (2)'!$C$67)+(P19*'MATERIALES (2)'!$C$68)+(P19*'MATERIALES (2)'!$C$78))*'MATERIALES (2)'!$F$2</f>
        <v>98212.464000000007</v>
      </c>
      <c r="R19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(2)'!$C$163)+(((O19*4)+(P19*6))*'MATERIALES (2)'!$C$177)+(((O19*2)+(P19*4))*'MATERIALES (2)'!$C$130)+(4*'MATERIALES (2)'!$C$137)+(((O19*5)*2)*'MATERIALES (2)'!$C$136)+(10*'MATERIALES (2)'!$C$134)+(2*'MATERIALES (2)'!$C$177)</f>
        <v>21260</v>
      </c>
      <c r="S19" s="75"/>
      <c r="T19" s="55">
        <f>(O19*P19)*'MATERIALES (2)'!$D$85</f>
        <v>5328</v>
      </c>
      <c r="U19" s="55">
        <f>(((O19*P19)*2)*'MATERIALES (2)'!$D$86)+(8*'MATERIALES (2)'!$C$218)+(((O19*2)+(P19*4))*'MATERIALES (2)'!$C$219)+(((O19*2)+(P19*4))*'MATERIALES (2)'!$C$220)+((((O19*2)+(P19*2))/15)*'MATERIALES (2)'!$C$221)+((((O19*2)+(P19*2))/15)*('MATERIALES (2)'!$C$222*0.15))</f>
        <v>19986.349999999999</v>
      </c>
      <c r="V19" s="55">
        <f>(O19*P19)*'MATERIALES (2)'!$D$92</f>
        <v>26028</v>
      </c>
      <c r="W19" s="125">
        <f t="shared" si="4"/>
        <v>229377.36301326001</v>
      </c>
      <c r="X19" s="125">
        <f t="shared" si="5"/>
        <v>268486.57373076008</v>
      </c>
      <c r="Y19" s="67">
        <f t="shared" si="6"/>
        <v>284605.99801326008</v>
      </c>
    </row>
    <row r="20" spans="1:26" ht="15.75" hidden="1" thickBot="1">
      <c r="A20" s="68">
        <v>1.2</v>
      </c>
      <c r="B20" s="69">
        <v>0.8</v>
      </c>
      <c r="C20" s="59">
        <f>(((A20*2)*'MATERIALES (2)'!$C$49)+((B20*2)*'MATERIALES (2)'!$C$50)+((B20*2)*'MATERIALES (2)'!$C$51)+((B20*2)*'MATERIALES (2)'!$C$55)+((A20*2)*'MATERIALES (2)'!$C$52))*'MATERIALES (2)'!$F$2</f>
        <v>92488.872000000018</v>
      </c>
      <c r="D20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(2)'!$C$163)+(((A20*4)+(B20*6))*'MATERIALES (2)'!$C$177)+(((A20*2)+(B20*4))*'MATERIALES (2)'!$C$130)+(4*'MATERIALES (2)'!$C$137)+(((A20*5)*2)*'MATERIALES (2)'!$C$136)+(2*'MATERIALES (2)'!$C$176)+(8*'MATERIALES (2)'!$C$163)+(2*'MATERIALES (2)'!$C$176)</f>
        <v>21616</v>
      </c>
      <c r="E20" s="75"/>
      <c r="F20" s="55">
        <f>(A20*B20)*'MATERIALES (2)'!$D$85</f>
        <v>7104</v>
      </c>
      <c r="G20" s="55">
        <f>(((A20*B20)*2)*'MATERIALES (2)'!$D$86)+(8*'MATERIALES (2)'!$C$218)+(((A20*2)+(B20*4))*'MATERIALES (2)'!$C$219)+(((A20*2)+(B20*4))*'MATERIALES (2)'!$C$220)+((((A20*2)+(B20*2))/15)*'MATERIALES (2)'!$C$221)+((((A20*2)+(B20*2))/15)*('MATERIALES (2)'!$C$222*0.15))</f>
        <v>25188.566666666666</v>
      </c>
      <c r="H20" s="55">
        <f>(A20*B20)*'MATERIALES (2)'!$D$92</f>
        <v>34704</v>
      </c>
      <c r="I20" s="125">
        <f t="shared" si="0"/>
        <v>224449.14222423008</v>
      </c>
      <c r="J20" s="125">
        <f t="shared" si="1"/>
        <v>272699.67031923006</v>
      </c>
      <c r="K20" s="67">
        <f t="shared" si="2"/>
        <v>298087.32222423004</v>
      </c>
      <c r="M20" s="403">
        <f t="shared" si="3"/>
        <v>35961.981605549925</v>
      </c>
      <c r="N20"/>
      <c r="O20" s="68">
        <v>1.2</v>
      </c>
      <c r="P20" s="69">
        <v>0.8</v>
      </c>
      <c r="Q20" s="59">
        <f>(((O20*2)*'MATERIALES (2)'!$C$49)+((P20*2)*'MATERIALES (2)'!$C$50)+((P20*2)*'MATERIALES (2)'!$C$51)+((P20*2)*'MATERIALES (2)'!$C$55)+((O20*2)*'MATERIALES (2)'!$C$52)+((P20*2)*'MATERIALES (2)'!$C$67)+(P20*'MATERIALES (2)'!$C$68)+(P20*'MATERIALES (2)'!$C$78))*'MATERIALES (2)'!$F$2</f>
        <v>112357.39200000001</v>
      </c>
      <c r="R20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(2)'!$C$163)+(((O20*4)+(P20*6))*'MATERIALES (2)'!$C$177)+(((O20*2)+(P20*4))*'MATERIALES (2)'!$C$130)+(4*'MATERIALES (2)'!$C$137)+(((O20*5)*2)*'MATERIALES (2)'!$C$136)+(10*'MATERIALES (2)'!$C$134)+(2*'MATERIALES (2)'!$C$177)</f>
        <v>21716</v>
      </c>
      <c r="S20" s="75"/>
      <c r="T20" s="55">
        <f>(O20*P20)*'MATERIALES (2)'!$D$85</f>
        <v>7104</v>
      </c>
      <c r="U20" s="55">
        <f>(((O20*P20)*2)*'MATERIALES (2)'!$D$86)+(8*'MATERIALES (2)'!$C$218)+(((O20*2)+(P20*4))*'MATERIALES (2)'!$C$219)+(((O20*2)+(P20*4))*'MATERIALES (2)'!$C$220)+((((O20*2)+(P20*2))/15)*'MATERIALES (2)'!$C$221)+((((O20*2)+(P20*2))/15)*('MATERIALES (2)'!$C$222*0.15))</f>
        <v>25188.566666666666</v>
      </c>
      <c r="V20" s="55">
        <f>(O20*P20)*'MATERIALES (2)'!$D$92</f>
        <v>34704</v>
      </c>
      <c r="W20" s="125">
        <f t="shared" si="4"/>
        <v>260411.12382978</v>
      </c>
      <c r="X20" s="125">
        <f t="shared" si="5"/>
        <v>308661.65192478005</v>
      </c>
      <c r="Y20" s="67">
        <f t="shared" si="6"/>
        <v>334049.30382978002</v>
      </c>
    </row>
    <row r="21" spans="1:26" ht="15.75" hidden="1" thickBot="1">
      <c r="A21" s="68">
        <v>1.2</v>
      </c>
      <c r="B21" s="69">
        <v>1</v>
      </c>
      <c r="C21" s="59">
        <f>(((A21*2)*'MATERIALES (2)'!$C$49)+((B21*2)*'MATERIALES (2)'!$C$50)+((B21*2)*'MATERIALES (2)'!$C$51)+((B21*2)*'MATERIALES (2)'!$C$55)+((A21*2)*'MATERIALES (2)'!$C$52))*'MATERIALES (2)'!$F$2</f>
        <v>101666.67</v>
      </c>
      <c r="D21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(2)'!$C$163)+(((A21*4)+(B21*6))*'MATERIALES (2)'!$C$177)+(((A21*2)+(B21*4))*'MATERIALES (2)'!$C$130)+(4*'MATERIALES (2)'!$C$137)+(((A21*5)*2)*'MATERIALES (2)'!$C$136)+(2*'MATERIALES (2)'!$C$176)+(8*'MATERIALES (2)'!$C$163)+(2*'MATERIALES (2)'!$C$176)</f>
        <v>22072</v>
      </c>
      <c r="E21" s="75"/>
      <c r="F21" s="55">
        <f>(A21*B21)*'MATERIALES (2)'!$D$85</f>
        <v>8880</v>
      </c>
      <c r="G21" s="55">
        <f>(((A21*B21)*2)*'MATERIALES (2)'!$D$86)+(8*'MATERIALES (2)'!$C$218)+(((A21*2)+(B21*4))*'MATERIALES (2)'!$C$219)+(((A21*2)+(B21*4))*'MATERIALES (2)'!$C$220)+((((A21*2)+(B21*2))/15)*'MATERIALES (2)'!$C$221)+((((A21*2)+(B21*2))/15)*('MATERIALES (2)'!$C$222*0.15))</f>
        <v>30390.783333333333</v>
      </c>
      <c r="H21" s="55">
        <f>(A21*B21)*'MATERIALES (2)'!$D$92</f>
        <v>43380</v>
      </c>
      <c r="I21" s="125">
        <f t="shared" si="0"/>
        <v>246537.43098311251</v>
      </c>
      <c r="J21" s="125">
        <f t="shared" si="1"/>
        <v>303929.27645561256</v>
      </c>
      <c r="K21" s="67">
        <f t="shared" si="2"/>
        <v>338585.15598311258</v>
      </c>
      <c r="M21" s="403">
        <f t="shared" si="3"/>
        <v>44907.453663187596</v>
      </c>
      <c r="N21"/>
      <c r="O21" s="68">
        <v>1.2</v>
      </c>
      <c r="P21" s="69">
        <v>1</v>
      </c>
      <c r="Q21" s="59">
        <f>(((O21*2)*'MATERIALES (2)'!$C$49)+((P21*2)*'MATERIALES (2)'!$C$50)+((P21*2)*'MATERIALES (2)'!$C$51)+((P21*2)*'MATERIALES (2)'!$C$55)+((O21*2)*'MATERIALES (2)'!$C$52)+((P21*2)*'MATERIALES (2)'!$C$67)+(P21*'MATERIALES (2)'!$C$68)+(P21*'MATERIALES (2)'!$C$78))*'MATERIALES (2)'!$F$2</f>
        <v>126502.31999999999</v>
      </c>
      <c r="R21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(2)'!$C$163)+(((O21*4)+(P21*6))*'MATERIALES (2)'!$C$177)+(((O21*2)+(P21*4))*'MATERIALES (2)'!$C$130)+(4*'MATERIALES (2)'!$C$137)+(((O21*5)*2)*'MATERIALES (2)'!$C$136)+(10*'MATERIALES (2)'!$C$134)+(2*'MATERIALES (2)'!$C$177)</f>
        <v>22172</v>
      </c>
      <c r="S21" s="75"/>
      <c r="T21" s="55">
        <f>(O21*P21)*'MATERIALES (2)'!$D$85</f>
        <v>8880</v>
      </c>
      <c r="U21" s="55">
        <f>(((O21*P21)*2)*'MATERIALES (2)'!$D$86)+(8*'MATERIALES (2)'!$C$218)+(((O21*2)+(P21*4))*'MATERIALES (2)'!$C$219)+(((O21*2)+(P21*4))*'MATERIALES (2)'!$C$220)+((((O21*2)+(P21*2))/15)*'MATERIALES (2)'!$C$221)+((((O21*2)+(P21*2))/15)*('MATERIALES (2)'!$C$222*0.15))</f>
        <v>30390.783333333333</v>
      </c>
      <c r="V21" s="55">
        <f>(O21*P21)*'MATERIALES (2)'!$D$92</f>
        <v>43380</v>
      </c>
      <c r="W21" s="125">
        <f t="shared" si="4"/>
        <v>291444.88464630011</v>
      </c>
      <c r="X21" s="125">
        <f t="shared" si="5"/>
        <v>348836.73011880013</v>
      </c>
      <c r="Y21" s="67">
        <f t="shared" si="6"/>
        <v>383492.60964630009</v>
      </c>
    </row>
    <row r="22" spans="1:26" ht="15.75" hidden="1" thickBot="1">
      <c r="A22" s="68">
        <v>1.2</v>
      </c>
      <c r="B22" s="69">
        <v>1.1000000000000001</v>
      </c>
      <c r="C22" s="59">
        <f>(((A22*2)*'MATERIALES (2)'!$C$49)+((B22*2)*'MATERIALES (2)'!$C$50)+((B22*2)*'MATERIALES (2)'!$C$51)+((B22*2)*'MATERIALES (2)'!$C$55)+((A22*2)*'MATERIALES (2)'!$C$52))*'MATERIALES (2)'!$F$2</f>
        <v>106255.56899999999</v>
      </c>
      <c r="D22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(2)'!$C$163)+(((A22*4)+(B22*6))*'MATERIALES (2)'!$C$177)+(((A22*2)+(B22*4))*'MATERIALES (2)'!$C$130)+(4*'MATERIALES (2)'!$C$137)+(((A22*5)*2)*'MATERIALES (2)'!$C$136)+(2*'MATERIALES (2)'!$C$176)+(8*'MATERIALES (2)'!$C$163)+(2*'MATERIALES (2)'!$C$176)</f>
        <v>22300</v>
      </c>
      <c r="E22" s="75"/>
      <c r="F22" s="55">
        <f>(A22*B22)*'MATERIALES (2)'!$D$85</f>
        <v>9768</v>
      </c>
      <c r="G22" s="55">
        <f>(((A22*B22)*2)*'MATERIALES (2)'!$D$86)+(8*'MATERIALES (2)'!$C$218)+(((A22*2)+(B22*4))*'MATERIALES (2)'!$C$219)+(((A22*2)+(B22*4))*'MATERIALES (2)'!$C$220)+((((A22*2)+(B22*2))/15)*'MATERIALES (2)'!$C$221)+((((A22*2)+(B22*2))/15)*('MATERIALES (2)'!$C$222*0.15))</f>
        <v>32991.89166666667</v>
      </c>
      <c r="H22" s="55">
        <f>(A22*B22)*'MATERIALES (2)'!$D$92</f>
        <v>47718</v>
      </c>
      <c r="I22" s="125">
        <f t="shared" si="0"/>
        <v>257581.57536255376</v>
      </c>
      <c r="J22" s="125">
        <f t="shared" si="1"/>
        <v>319544.07952380378</v>
      </c>
      <c r="K22" s="67">
        <f t="shared" si="2"/>
        <v>358834.07286255376</v>
      </c>
      <c r="M22" s="403">
        <f t="shared" si="3"/>
        <v>49380.189692006272</v>
      </c>
      <c r="N22"/>
      <c r="O22" s="68">
        <v>1.2</v>
      </c>
      <c r="P22" s="69">
        <v>1.1000000000000001</v>
      </c>
      <c r="Q22" s="59">
        <f>(((O22*2)*'MATERIALES (2)'!$C$49)+((P22*2)*'MATERIALES (2)'!$C$50)+((P22*2)*'MATERIALES (2)'!$C$51)+((P22*2)*'MATERIALES (2)'!$C$55)+((O22*2)*'MATERIALES (2)'!$C$52)+((P22*2)*'MATERIALES (2)'!$C$67)+(P22*'MATERIALES (2)'!$C$68)+(P22*'MATERIALES (2)'!$C$78))*'MATERIALES (2)'!$F$2</f>
        <v>133574.78399999999</v>
      </c>
      <c r="R22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(2)'!$C$163)+(((O22*4)+(P22*6))*'MATERIALES (2)'!$C$177)+(((O22*2)+(P22*4))*'MATERIALES (2)'!$C$130)+(4*'MATERIALES (2)'!$C$137)+(((O22*5)*2)*'MATERIALES (2)'!$C$136)+(10*'MATERIALES (2)'!$C$134)+(2*'MATERIALES (2)'!$C$177)</f>
        <v>22400</v>
      </c>
      <c r="S22" s="75"/>
      <c r="T22" s="55">
        <f>(O22*P22)*'MATERIALES (2)'!$D$85</f>
        <v>9768</v>
      </c>
      <c r="U22" s="55">
        <f>(((O22*P22)*2)*'MATERIALES (2)'!$D$86)+(8*'MATERIALES (2)'!$C$218)+(((O22*2)+(P22*4))*'MATERIALES (2)'!$C$219)+(((O22*2)+(P22*4))*'MATERIALES (2)'!$C$220)+((((O22*2)+(P22*2))/15)*'MATERIALES (2)'!$C$221)+((((O22*2)+(P22*2))/15)*('MATERIALES (2)'!$C$222*0.15))</f>
        <v>32991.89166666667</v>
      </c>
      <c r="V22" s="55">
        <f>(O22*P22)*'MATERIALES (2)'!$D$92</f>
        <v>47718</v>
      </c>
      <c r="W22" s="125">
        <f t="shared" si="4"/>
        <v>306961.76505456003</v>
      </c>
      <c r="X22" s="125">
        <f t="shared" si="5"/>
        <v>368924.26921581</v>
      </c>
      <c r="Y22" s="67">
        <f t="shared" si="6"/>
        <v>408214.26255456003</v>
      </c>
    </row>
    <row r="23" spans="1:26" ht="15.75" hidden="1" thickBot="1">
      <c r="A23" s="68">
        <v>1.2</v>
      </c>
      <c r="B23" s="69">
        <v>1.2</v>
      </c>
      <c r="C23" s="59">
        <f>(((A23*2)*'MATERIALES (2)'!$C$49)+((B23*2)*'MATERIALES (2)'!$C$50)+((B23*2)*'MATERIALES (2)'!$C$51)+((B23*2)*'MATERIALES (2)'!$C$55)+((A23*2)*'MATERIALES (2)'!$C$52))*'MATERIALES (2)'!$F$2</f>
        <v>110844.46799999999</v>
      </c>
      <c r="D23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(2)'!$C$163)+(((A23*4)+(B23*6))*'MATERIALES (2)'!$C$177)+(((A23*2)+(B23*4))*'MATERIALES (2)'!$C$130)+(4*'MATERIALES (2)'!$C$137)+(((A23*5)*2)*'MATERIALES (2)'!$C$136)+(2*'MATERIALES (2)'!$C$176)+(8*'MATERIALES (2)'!$C$163)+(2*'MATERIALES (2)'!$C$176)</f>
        <v>22528</v>
      </c>
      <c r="E23" s="75"/>
      <c r="F23" s="55">
        <f>(A23*B23)*'MATERIALES (2)'!$D$85</f>
        <v>10656</v>
      </c>
      <c r="G23" s="55">
        <f>(((A23*B23)*2)*'MATERIALES (2)'!$D$86)+(8*'MATERIALES (2)'!$C$218)+(((A23*2)+(B23*4))*'MATERIALES (2)'!$C$219)+(((A23*2)+(B23*4))*'MATERIALES (2)'!$C$220)+((((A23*2)+(B23*2))/15)*'MATERIALES (2)'!$C$221)+((((A23*2)+(B23*2))/15)*('MATERIALES (2)'!$C$222*0.15))</f>
        <v>35593</v>
      </c>
      <c r="H23" s="55">
        <f>(A23*B23)*'MATERIALES (2)'!$D$92</f>
        <v>52056</v>
      </c>
      <c r="I23" s="125">
        <f t="shared" si="0"/>
        <v>268625.71974199504</v>
      </c>
      <c r="J23" s="125">
        <f t="shared" si="1"/>
        <v>335158.882591995</v>
      </c>
      <c r="K23" s="67">
        <f t="shared" si="2"/>
        <v>379082.98974199506</v>
      </c>
      <c r="M23" s="403">
        <f t="shared" si="3"/>
        <v>53852.925720824976</v>
      </c>
      <c r="N23"/>
      <c r="O23" s="68">
        <v>1.2</v>
      </c>
      <c r="P23" s="69">
        <v>1.2</v>
      </c>
      <c r="Q23" s="59">
        <f>(((O23*2)*'MATERIALES (2)'!$C$49)+((P23*2)*'MATERIALES (2)'!$C$50)+((P23*2)*'MATERIALES (2)'!$C$51)+((P23*2)*'MATERIALES (2)'!$C$55)+((O23*2)*'MATERIALES (2)'!$C$52)+((P23*2)*'MATERIALES (2)'!$C$67)+(P23*'MATERIALES (2)'!$C$68)+(P23*'MATERIALES (2)'!$C$78))*'MATERIALES (2)'!$F$2</f>
        <v>140647.24799999999</v>
      </c>
      <c r="R23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(2)'!$C$163)+(((O23*4)+(P23*6))*'MATERIALES (2)'!$C$177)+(((O23*2)+(P23*4))*'MATERIALES (2)'!$C$130)+(4*'MATERIALES (2)'!$C$137)+(((O23*5)*2)*'MATERIALES (2)'!$C$136)+(10*'MATERIALES (2)'!$C$134)+(2*'MATERIALES (2)'!$C$177)</f>
        <v>22628</v>
      </c>
      <c r="S23" s="75"/>
      <c r="T23" s="55">
        <f>(O23*P23)*'MATERIALES (2)'!$D$85</f>
        <v>10656</v>
      </c>
      <c r="U23" s="55">
        <f>(((O23*P23)*2)*'MATERIALES (2)'!$D$86)+(8*'MATERIALES (2)'!$C$218)+(((O23*2)+(P23*4))*'MATERIALES (2)'!$C$219)+(((O23*2)+(P23*4))*'MATERIALES (2)'!$C$220)+((((O23*2)+(P23*2))/15)*'MATERIALES (2)'!$C$221)+((((O23*2)+(P23*2))/15)*('MATERIALES (2)'!$C$222*0.15))</f>
        <v>35593</v>
      </c>
      <c r="V23" s="55">
        <f>(O23*P23)*'MATERIALES (2)'!$D$92</f>
        <v>52056</v>
      </c>
      <c r="W23" s="125">
        <f t="shared" si="4"/>
        <v>322478.64546282002</v>
      </c>
      <c r="X23" s="125">
        <f t="shared" si="5"/>
        <v>389011.80831282004</v>
      </c>
      <c r="Y23" s="67">
        <f t="shared" si="6"/>
        <v>432935.91546282009</v>
      </c>
    </row>
    <row r="24" spans="1:26" ht="15.75" hidden="1" thickBot="1">
      <c r="A24" s="68">
        <v>1.2</v>
      </c>
      <c r="B24" s="69">
        <v>1.5</v>
      </c>
      <c r="C24" s="59">
        <f>(((A24*2)*'MATERIALES (2)'!$C$49)+((B24*2)*'MATERIALES (2)'!$C$50)+((B24*2)*'MATERIALES (2)'!$C$51)+((B24*2)*'MATERIALES (2)'!$C$55)+((A24*2)*'MATERIALES (2)'!$C$52))*'MATERIALES (2)'!$F$2</f>
        <v>124611.16500000001</v>
      </c>
      <c r="D24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(2)'!$C$163)+(((A24*4)+(B24*6))*'MATERIALES (2)'!$C$177)+(((A24*2)+(B24*4))*'MATERIALES (2)'!$C$130)+(4*'MATERIALES (2)'!$C$137)+(((A24*5)*2)*'MATERIALES (2)'!$C$136)+(2*'MATERIALES (2)'!$C$176)+(8*'MATERIALES (2)'!$C$163)+(2*'MATERIALES (2)'!$C$176)</f>
        <v>23212</v>
      </c>
      <c r="E24" s="75"/>
      <c r="F24" s="55">
        <f>(A24*B24)*'MATERIALES (2)'!$D$85</f>
        <v>13319.999999999998</v>
      </c>
      <c r="G24" s="55">
        <f>(((A24*B24)*2)*'MATERIALES (2)'!$D$86)+(8*'MATERIALES (2)'!$C$218)+(((A24*2)+(B24*4))*'MATERIALES (2)'!$C$219)+(((A24*2)+(B24*4))*'MATERIALES (2)'!$C$220)+((((A24*2)+(B24*2))/15)*'MATERIALES (2)'!$C$221)+((((A24*2)+(B24*2))/15)*('MATERIALES (2)'!$C$222*0.15))</f>
        <v>43396.324999999997</v>
      </c>
      <c r="H24" s="55">
        <f>(A24*B24)*'MATERIALES (2)'!$D$92</f>
        <v>65069.999999999993</v>
      </c>
      <c r="I24" s="125">
        <f t="shared" si="0"/>
        <v>301758.15288031881</v>
      </c>
      <c r="J24" s="125">
        <f t="shared" si="1"/>
        <v>382003.29179656884</v>
      </c>
      <c r="K24" s="67">
        <f t="shared" si="2"/>
        <v>439829.74038031878</v>
      </c>
      <c r="M24" s="403">
        <f t="shared" si="3"/>
        <v>67271.133807281265</v>
      </c>
      <c r="N24"/>
      <c r="O24" s="68">
        <v>1.2</v>
      </c>
      <c r="P24" s="69">
        <v>1.5</v>
      </c>
      <c r="Q24" s="59">
        <f>(((O24*2)*'MATERIALES (2)'!$C$49)+((P24*2)*'MATERIALES (2)'!$C$50)+((P24*2)*'MATERIALES (2)'!$C$51)+((P24*2)*'MATERIALES (2)'!$C$55)+((O24*2)*'MATERIALES (2)'!$C$52)+((P24*2)*'MATERIALES (2)'!$C$67)+(P24*'MATERIALES (2)'!$C$68)+(P24*'MATERIALES (2)'!$C$78))*'MATERIALES (2)'!$F$2</f>
        <v>161864.64000000001</v>
      </c>
      <c r="R24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(2)'!$C$163)+(((O24*4)+(P24*6))*'MATERIALES (2)'!$C$177)+(((O24*2)+(P24*4))*'MATERIALES (2)'!$C$130)+(4*'MATERIALES (2)'!$C$137)+(((O24*5)*2)*'MATERIALES (2)'!$C$136)+(10*'MATERIALES (2)'!$C$134)+(2*'MATERIALES (2)'!$C$177)</f>
        <v>23312</v>
      </c>
      <c r="S24" s="75"/>
      <c r="T24" s="55">
        <f>(O24*P24)*'MATERIALES (2)'!$D$85</f>
        <v>13319.999999999998</v>
      </c>
      <c r="U24" s="55">
        <f>(((O24*P24)*2)*'MATERIALES (2)'!$D$86)+(8*'MATERIALES (2)'!$C$218)+(((O24*2)+(P24*4))*'MATERIALES (2)'!$C$219)+(((O24*2)+(P24*4))*'MATERIALES (2)'!$C$220)+((((O24*2)+(P24*2))/15)*'MATERIALES (2)'!$C$221)+((((O24*2)+(P24*2))/15)*('MATERIALES (2)'!$C$222*0.15))</f>
        <v>43396.324999999997</v>
      </c>
      <c r="V24" s="55">
        <f>(O24*P24)*'MATERIALES (2)'!$D$92</f>
        <v>65069.999999999993</v>
      </c>
      <c r="W24" s="125">
        <f t="shared" si="4"/>
        <v>369029.28668760008</v>
      </c>
      <c r="X24" s="125">
        <f t="shared" si="5"/>
        <v>449274.4256038501</v>
      </c>
      <c r="Y24" s="67">
        <f t="shared" si="6"/>
        <v>507100.87418760004</v>
      </c>
    </row>
    <row r="25" spans="1:26" ht="15.75" hidden="1" thickBot="1">
      <c r="A25" s="68">
        <v>1.2</v>
      </c>
      <c r="B25" s="69">
        <v>1.8</v>
      </c>
      <c r="C25" s="59">
        <f>(((A25*2)*'MATERIALES (2)'!$C$49)+((B25*2)*'MATERIALES (2)'!$C$50)+((B25*2)*'MATERIALES (2)'!$C$51)+((B25*2)*'MATERIALES (2)'!$C$55)+((A25*2)*'MATERIALES (2)'!$C$52))*'MATERIALES (2)'!$F$2</f>
        <v>138377.86199999999</v>
      </c>
      <c r="D25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(2)'!$C$163)+(((A25*4)+(B25*6))*'MATERIALES (2)'!$C$177)+(((A25*2)+(B25*4))*'MATERIALES (2)'!$C$130)+(4*'MATERIALES (2)'!$C$137)+(((A25*5)*2)*'MATERIALES (2)'!$C$136)+(2*'MATERIALES (2)'!$C$176)+(8*'MATERIALES (2)'!$C$163)+(2*'MATERIALES (2)'!$C$176)</f>
        <v>23896</v>
      </c>
      <c r="E25" s="75"/>
      <c r="F25" s="55">
        <f>(A25*B25)*'MATERIALES (2)'!$D$85</f>
        <v>15984.000000000002</v>
      </c>
      <c r="G25" s="55">
        <f>(((A25*B25)*2)*'MATERIALES (2)'!$D$86)+(8*'MATERIALES (2)'!$C$218)+(((A25*2)+(B25*4))*'MATERIALES (2)'!$C$219)+(((A25*2)+(B25*4))*'MATERIALES (2)'!$C$220)+((((A25*2)+(B25*2))/15)*'MATERIALES (2)'!$C$221)+((((A25*2)+(B25*2))/15)*('MATERIALES (2)'!$C$222*0.15))</f>
        <v>51199.65</v>
      </c>
      <c r="H25" s="55">
        <f>(A25*B25)*'MATERIALES (2)'!$D$92</f>
        <v>78084</v>
      </c>
      <c r="I25" s="125">
        <f t="shared" si="0"/>
        <v>334890.58601864253</v>
      </c>
      <c r="J25" s="125">
        <f t="shared" si="1"/>
        <v>428847.70100114256</v>
      </c>
      <c r="K25" s="67">
        <f t="shared" si="2"/>
        <v>500576.4910186425</v>
      </c>
      <c r="M25" s="403">
        <f t="shared" si="3"/>
        <v>80689.341893737495</v>
      </c>
      <c r="N25"/>
      <c r="O25" s="68">
        <v>1.2</v>
      </c>
      <c r="P25" s="69">
        <v>1.8</v>
      </c>
      <c r="Q25" s="59">
        <f>(((O25*2)*'MATERIALES (2)'!$C$49)+((P25*2)*'MATERIALES (2)'!$C$50)+((P25*2)*'MATERIALES (2)'!$C$51)+((P25*2)*'MATERIALES (2)'!$C$55)+((O25*2)*'MATERIALES (2)'!$C$52)+((P25*2)*'MATERIALES (2)'!$C$67)+(P25*'MATERIALES (2)'!$C$68)+(P25*'MATERIALES (2)'!$C$78))*'MATERIALES (2)'!$F$2</f>
        <v>183082.03200000001</v>
      </c>
      <c r="R25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(2)'!$C$163)+(((O25*4)+(P25*6))*'MATERIALES (2)'!$C$177)+(((O25*2)+(P25*4))*'MATERIALES (2)'!$C$130)+(4*'MATERIALES (2)'!$C$137)+(((O25*5)*2)*'MATERIALES (2)'!$C$136)+(10*'MATERIALES (2)'!$C$134)+(2*'MATERIALES (2)'!$C$177)</f>
        <v>23996</v>
      </c>
      <c r="S25" s="75"/>
      <c r="T25" s="55">
        <f>(O25*P25)*'MATERIALES (2)'!$D$85</f>
        <v>15984.000000000002</v>
      </c>
      <c r="U25" s="55">
        <f>(((O25*P25)*2)*'MATERIALES (2)'!$D$86)+(8*'MATERIALES (2)'!$C$218)+(((O25*2)+(P25*4))*'MATERIALES (2)'!$C$219)+(((O25*2)+(P25*4))*'MATERIALES (2)'!$C$220)+((((O25*2)+(P25*2))/15)*'MATERIALES (2)'!$C$221)+((((O25*2)+(P25*2))/15)*('MATERIALES (2)'!$C$222*0.15))</f>
        <v>51199.65</v>
      </c>
      <c r="V25" s="55">
        <f>(O25*P25)*'MATERIALES (2)'!$D$92</f>
        <v>78084</v>
      </c>
      <c r="W25" s="125">
        <f t="shared" si="4"/>
        <v>415579.92791238002</v>
      </c>
      <c r="X25" s="125">
        <f t="shared" si="5"/>
        <v>509537.04289488005</v>
      </c>
      <c r="Y25" s="67">
        <f t="shared" si="6"/>
        <v>581265.83291237999</v>
      </c>
    </row>
    <row r="26" spans="1:26" ht="15.75" hidden="1" thickBot="1">
      <c r="A26" s="68">
        <v>1.5</v>
      </c>
      <c r="B26" s="69">
        <v>0.4</v>
      </c>
      <c r="C26" s="59">
        <f>(((A26*2)*'MATERIALES (2)'!$C$49)+((B26*2)*'MATERIALES (2)'!$C$50)+((B26*2)*'MATERIALES (2)'!$C$51)+((B26*2)*'MATERIALES (2)'!$C$55)+((A26*2)*'MATERIALES (2)'!$C$52))*'MATERIALES (2)'!$F$2</f>
        <v>88077.695999999996</v>
      </c>
      <c r="D26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(2)'!$C$163)+(((A26*4)+(B26*6))*'MATERIALES (2)'!$C$177)+(((A26*2)+(B26*4))*'MATERIALES (2)'!$C$130)+(4*'MATERIALES (2)'!$C$137)+(((A26*5)*2)*'MATERIALES (2)'!$C$136)+(2*'MATERIALES (2)'!$C$176)+(8*'MATERIALES (2)'!$C$163)+(2*'MATERIALES (2)'!$C$176)</f>
        <v>21112</v>
      </c>
      <c r="E26" s="75"/>
      <c r="F26" s="55">
        <f>(A26*B26)*'MATERIALES (2)'!$D$85</f>
        <v>4440.0000000000009</v>
      </c>
      <c r="G26" s="55">
        <f>(((A26*B26)*2)*'MATERIALES (2)'!$D$86)+(8*'MATERIALES (2)'!$C$218)+(((A26*2)+(B26*4))*'MATERIALES (2)'!$C$219)+(((A26*2)+(B26*4))*'MATERIALES (2)'!$C$220)+((((A26*2)+(B26*2))/15)*'MATERIALES (2)'!$C$221)+((((A26*2)+(B26*2))/15)*('MATERIALES (2)'!$C$222*0.15))</f>
        <v>17915.858333333337</v>
      </c>
      <c r="H26" s="55">
        <f>(A26*B26)*'MATERIALES (2)'!$D$92</f>
        <v>21690.000000000004</v>
      </c>
      <c r="I26" s="125">
        <f t="shared" si="0"/>
        <v>208489.55067864002</v>
      </c>
      <c r="J26" s="125">
        <f t="shared" si="1"/>
        <v>244443.81450489003</v>
      </c>
      <c r="K26" s="67">
        <f t="shared" si="2"/>
        <v>254513.41317864004</v>
      </c>
      <c r="M26" s="403">
        <f t="shared" si="3"/>
        <v>18071.03749027499</v>
      </c>
      <c r="N26"/>
      <c r="O26" s="68">
        <v>1.5</v>
      </c>
      <c r="P26" s="69">
        <v>0.4</v>
      </c>
      <c r="Q26" s="59">
        <f>(((O26*2)*'MATERIALES (2)'!$C$49)+((P26*2)*'MATERIALES (2)'!$C$50)+((P26*2)*'MATERIALES (2)'!$C$51)+((P26*2)*'MATERIALES (2)'!$C$55)+((O26*2)*'MATERIALES (2)'!$C$52)+((P26*2)*'MATERIALES (2)'!$C$67)+(P26*'MATERIALES (2)'!$C$68)+(P26*'MATERIALES (2)'!$C$78))*'MATERIALES (2)'!$F$2</f>
        <v>98011.955999999991</v>
      </c>
      <c r="R26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(2)'!$C$163)+(((O26*4)+(P26*6))*'MATERIALES (2)'!$C$177)+(((O26*2)+(P26*4))*'MATERIALES (2)'!$C$130)+(4*'MATERIALES (2)'!$C$137)+(((O26*5)*2)*'MATERIALES (2)'!$C$136)+(10*'MATERIALES (2)'!$C$134)+(2*'MATERIALES (2)'!$C$177)</f>
        <v>21212</v>
      </c>
      <c r="S26" s="75"/>
      <c r="T26" s="55">
        <f>(O26*P26)*'MATERIALES (2)'!$D$85</f>
        <v>4440.0000000000009</v>
      </c>
      <c r="U26" s="55">
        <f>(((O26*P26)*2)*'MATERIALES (2)'!$D$86)+(8*'MATERIALES (2)'!$C$218)+(((O26*2)+(P26*4))*'MATERIALES (2)'!$C$219)+(((O26*2)+(P26*4))*'MATERIALES (2)'!$C$220)+((((O26*2)+(P26*2))/15)*'MATERIALES (2)'!$C$221)+((((O26*2)+(P26*2))/15)*('MATERIALES (2)'!$C$222*0.15))</f>
        <v>17915.858333333337</v>
      </c>
      <c r="V26" s="55">
        <f>(O26*P26)*'MATERIALES (2)'!$D$92</f>
        <v>21690.000000000004</v>
      </c>
      <c r="W26" s="125">
        <f t="shared" si="4"/>
        <v>226560.58816891501</v>
      </c>
      <c r="X26" s="125">
        <f t="shared" si="5"/>
        <v>262514.85199516499</v>
      </c>
      <c r="Y26" s="67">
        <f t="shared" si="6"/>
        <v>272584.450668915</v>
      </c>
    </row>
    <row r="27" spans="1:26" ht="15.75" hidden="1" thickBot="1">
      <c r="A27" s="68">
        <v>1.5</v>
      </c>
      <c r="B27" s="69">
        <v>0.6</v>
      </c>
      <c r="C27" s="59">
        <f>(((A27*2)*'MATERIALES (2)'!$C$49)+((B27*2)*'MATERIALES (2)'!$C$50)+((B27*2)*'MATERIALES (2)'!$C$51)+((B27*2)*'MATERIALES (2)'!$C$55)+((A27*2)*'MATERIALES (2)'!$C$52))*'MATERIALES (2)'!$F$2</f>
        <v>97255.493999999992</v>
      </c>
      <c r="D27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(2)'!$C$163)+(((A27*4)+(B27*6))*'MATERIALES (2)'!$C$177)+(((A27*2)+(B27*4))*'MATERIALES (2)'!$C$130)+(4*'MATERIALES (2)'!$C$137)+(((A27*5)*2)*'MATERIALES (2)'!$C$136)+(2*'MATERIALES (2)'!$C$176)+(8*'MATERIALES (2)'!$C$163)+(2*'MATERIALES (2)'!$C$176)</f>
        <v>21568</v>
      </c>
      <c r="E27" s="75"/>
      <c r="F27" s="55">
        <f>(A27*B27)*'MATERIALES (2)'!$D$85</f>
        <v>6659.9999999999991</v>
      </c>
      <c r="G27" s="55">
        <f>(((A27*B27)*2)*'MATERIALES (2)'!$D$86)+(8*'MATERIALES (2)'!$C$218)+(((A27*2)+(B27*4))*'MATERIALES (2)'!$C$219)+(((A27*2)+(B27*4))*'MATERIALES (2)'!$C$220)+((((A27*2)+(B27*2))/15)*'MATERIALES (2)'!$C$221)+((((A27*2)+(B27*2))/15)*('MATERIALES (2)'!$C$222*0.15))</f>
        <v>24176.474999999999</v>
      </c>
      <c r="H27" s="55">
        <f>(A27*B27)*'MATERIALES (2)'!$D$92</f>
        <v>32534.999999999996</v>
      </c>
      <c r="I27" s="125">
        <f t="shared" si="0"/>
        <v>231762.45363752253</v>
      </c>
      <c r="J27" s="125">
        <f t="shared" si="1"/>
        <v>278497.28476127255</v>
      </c>
      <c r="K27" s="67">
        <f t="shared" si="2"/>
        <v>300798.24738752248</v>
      </c>
      <c r="M27" s="403">
        <f t="shared" si="3"/>
        <v>27016.509547912487</v>
      </c>
      <c r="N27"/>
      <c r="O27" s="68">
        <v>1.5</v>
      </c>
      <c r="P27" s="69">
        <v>0.6</v>
      </c>
      <c r="Q27" s="59">
        <f>(((O27*2)*'MATERIALES (2)'!$C$49)+((P27*2)*'MATERIALES (2)'!$C$50)+((P27*2)*'MATERIALES (2)'!$C$51)+((P27*2)*'MATERIALES (2)'!$C$55)+((O27*2)*'MATERIALES (2)'!$C$52)+((P27*2)*'MATERIALES (2)'!$C$67)+(P27*'MATERIALES (2)'!$C$68)+(P27*'MATERIALES (2)'!$C$78))*'MATERIALES (2)'!$F$2</f>
        <v>112156.88399999999</v>
      </c>
      <c r="R27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(2)'!$C$163)+(((O27*4)+(P27*6))*'MATERIALES (2)'!$C$177)+(((O27*2)+(P27*4))*'MATERIALES (2)'!$C$130)+(4*'MATERIALES (2)'!$C$137)+(((O27*5)*2)*'MATERIALES (2)'!$C$136)+(10*'MATERIALES (2)'!$C$134)+(2*'MATERIALES (2)'!$C$177)</f>
        <v>21668</v>
      </c>
      <c r="S27" s="75"/>
      <c r="T27" s="55">
        <f>(O27*P27)*'MATERIALES (2)'!$D$85</f>
        <v>6659.9999999999991</v>
      </c>
      <c r="U27" s="55">
        <f>(((O27*P27)*2)*'MATERIALES (2)'!$D$86)+(8*'MATERIALES (2)'!$C$218)+(((O27*2)+(P27*4))*'MATERIALES (2)'!$C$219)+(((O27*2)+(P27*4))*'MATERIALES (2)'!$C$220)+((((O27*2)+(P27*2))/15)*'MATERIALES (2)'!$C$221)+((((O27*2)+(P27*2))/15)*('MATERIALES (2)'!$C$222*0.15))</f>
        <v>24176.474999999999</v>
      </c>
      <c r="V27" s="55">
        <f>(O27*P27)*'MATERIALES (2)'!$D$92</f>
        <v>32534.999999999996</v>
      </c>
      <c r="W27" s="125">
        <f t="shared" si="4"/>
        <v>258778.96318543502</v>
      </c>
      <c r="X27" s="125">
        <f t="shared" si="5"/>
        <v>305513.79430918506</v>
      </c>
      <c r="Y27" s="67">
        <f t="shared" si="6"/>
        <v>327814.75693543506</v>
      </c>
    </row>
    <row r="28" spans="1:26" ht="15.75" hidden="1" thickBot="1">
      <c r="A28" s="68">
        <v>1.5</v>
      </c>
      <c r="B28" s="69">
        <v>0.8</v>
      </c>
      <c r="C28" s="59">
        <f>(((A28*2)*'MATERIALES (2)'!$C$49)+((B28*2)*'MATERIALES (2)'!$C$50)+((B28*2)*'MATERIALES (2)'!$C$51)+((B28*2)*'MATERIALES (2)'!$C$55)+((A28*2)*'MATERIALES (2)'!$C$52))*'MATERIALES (2)'!$F$2</f>
        <v>106433.292</v>
      </c>
      <c r="D28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(2)'!$C$163)+(((A28*4)+(B28*6))*'MATERIALES (2)'!$C$177)+(((A28*2)+(B28*4))*'MATERIALES (2)'!$C$130)+(4*'MATERIALES (2)'!$C$137)+(((A28*5)*2)*'MATERIALES (2)'!$C$136)+(2*'MATERIALES (2)'!$C$176)+(8*'MATERIALES (2)'!$C$163)+(2*'MATERIALES (2)'!$C$176)</f>
        <v>22024</v>
      </c>
      <c r="E28" s="75"/>
      <c r="F28" s="55">
        <f>(A28*B28)*'MATERIALES (2)'!$D$85</f>
        <v>8880.0000000000018</v>
      </c>
      <c r="G28" s="55">
        <f>(((A28*B28)*2)*'MATERIALES (2)'!$D$86)+(8*'MATERIALES (2)'!$C$218)+(((A28*2)+(B28*4))*'MATERIALES (2)'!$C$219)+(((A28*2)+(B28*4))*'MATERIALES (2)'!$C$220)+((((A28*2)+(B28*2))/15)*'MATERIALES (2)'!$C$221)+((((A28*2)+(B28*2))/15)*('MATERIALES (2)'!$C$222*0.15))</f>
        <v>30437.091666666671</v>
      </c>
      <c r="H28" s="55">
        <f>(A28*B28)*'MATERIALES (2)'!$D$92</f>
        <v>43380.000000000007</v>
      </c>
      <c r="I28" s="125">
        <f t="shared" si="0"/>
        <v>255035.35659640504</v>
      </c>
      <c r="J28" s="125">
        <f t="shared" si="1"/>
        <v>312550.75501765509</v>
      </c>
      <c r="K28" s="67">
        <f t="shared" si="2"/>
        <v>347083.08159640513</v>
      </c>
      <c r="M28" s="403">
        <f t="shared" si="3"/>
        <v>35961.981605549925</v>
      </c>
      <c r="N28"/>
      <c r="O28" s="68">
        <v>1.5</v>
      </c>
      <c r="P28" s="69">
        <v>0.8</v>
      </c>
      <c r="Q28" s="59">
        <f>(((O28*2)*'MATERIALES (2)'!$C$49)+((P28*2)*'MATERIALES (2)'!$C$50)+((P28*2)*'MATERIALES (2)'!$C$51)+((P28*2)*'MATERIALES (2)'!$C$55)+((O28*2)*'MATERIALES (2)'!$C$52)+((P28*2)*'MATERIALES (2)'!$C$67)+(P28*'MATERIALES (2)'!$C$68)+(P28*'MATERIALES (2)'!$C$78))*'MATERIALES (2)'!$F$2</f>
        <v>126301.81199999998</v>
      </c>
      <c r="R28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(2)'!$C$163)+(((O28*4)+(P28*6))*'MATERIALES (2)'!$C$177)+(((O28*2)+(P28*4))*'MATERIALES (2)'!$C$130)+(4*'MATERIALES (2)'!$C$137)+(((O28*5)*2)*'MATERIALES (2)'!$C$136)+(10*'MATERIALES (2)'!$C$134)+(2*'MATERIALES (2)'!$C$177)</f>
        <v>22124</v>
      </c>
      <c r="S28" s="75"/>
      <c r="T28" s="55">
        <f>(O28*P28)*'MATERIALES (2)'!$D$85</f>
        <v>8880.0000000000018</v>
      </c>
      <c r="U28" s="55">
        <f>(((O28*P28)*2)*'MATERIALES (2)'!$D$86)+(8*'MATERIALES (2)'!$C$218)+(((O28*2)+(P28*4))*'MATERIALES (2)'!$C$219)+(((O28*2)+(P28*4))*'MATERIALES (2)'!$C$220)+((((O28*2)+(P28*2))/15)*'MATERIALES (2)'!$C$221)+((((O28*2)+(P28*2))/15)*('MATERIALES (2)'!$C$222*0.15))</f>
        <v>30437.091666666671</v>
      </c>
      <c r="V28" s="55">
        <f>(O28*P28)*'MATERIALES (2)'!$D$92</f>
        <v>43380.000000000007</v>
      </c>
      <c r="W28" s="125">
        <f t="shared" si="4"/>
        <v>290997.33820195496</v>
      </c>
      <c r="X28" s="125">
        <f t="shared" si="5"/>
        <v>348512.73662320501</v>
      </c>
      <c r="Y28" s="67">
        <f t="shared" si="6"/>
        <v>383045.063201955</v>
      </c>
    </row>
    <row r="29" spans="1:26" ht="15.75" hidden="1" thickBot="1">
      <c r="A29" s="68">
        <v>1.5</v>
      </c>
      <c r="B29" s="69">
        <v>1</v>
      </c>
      <c r="C29" s="59">
        <f>(((A29*2)*'MATERIALES (2)'!$C$49)+((B29*2)*'MATERIALES (2)'!$C$50)+((B29*2)*'MATERIALES (2)'!$C$51)+((B29*2)*'MATERIALES (2)'!$C$55)+((A29*2)*'MATERIALES (2)'!$C$52))*'MATERIALES (2)'!$F$2</f>
        <v>115611.09</v>
      </c>
      <c r="D29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(2)'!$C$163)+(((A29*4)+(B29*6))*'MATERIALES (2)'!$C$177)+(((A29*2)+(B29*4))*'MATERIALES (2)'!$C$130)+(4*'MATERIALES (2)'!$C$137)+(((A29*5)*2)*'MATERIALES (2)'!$C$136)+(2*'MATERIALES (2)'!$C$176)+(8*'MATERIALES (2)'!$C$163)+(2*'MATERIALES (2)'!$C$176)</f>
        <v>22480</v>
      </c>
      <c r="E29" s="75"/>
      <c r="F29" s="55">
        <f>(A29*B29)*'MATERIALES (2)'!$D$85</f>
        <v>11100</v>
      </c>
      <c r="G29" s="55">
        <f>(((A29*B29)*2)*'MATERIALES (2)'!$D$86)+(8*'MATERIALES (2)'!$C$218)+(((A29*2)+(B29*4))*'MATERIALES (2)'!$C$219)+(((A29*2)+(B29*4))*'MATERIALES (2)'!$C$220)+((((A29*2)+(B29*2))/15)*'MATERIALES (2)'!$C$221)+((((A29*2)+(B29*2))/15)*('MATERIALES (2)'!$C$222*0.15))</f>
        <v>36697.708333333336</v>
      </c>
      <c r="H29" s="55">
        <f>(A29*B29)*'MATERIALES (2)'!$D$92</f>
        <v>54225</v>
      </c>
      <c r="I29" s="125">
        <f t="shared" si="0"/>
        <v>278308.25955528748</v>
      </c>
      <c r="J29" s="125">
        <f t="shared" si="1"/>
        <v>346604.22527403757</v>
      </c>
      <c r="K29" s="67">
        <f t="shared" si="2"/>
        <v>393367.91580528748</v>
      </c>
      <c r="M29" s="403">
        <f t="shared" si="3"/>
        <v>44907.453663187451</v>
      </c>
      <c r="N29"/>
      <c r="O29" s="68">
        <v>1.5</v>
      </c>
      <c r="P29" s="69">
        <v>1</v>
      </c>
      <c r="Q29" s="59">
        <f>(((O29*2)*'MATERIALES (2)'!$C$49)+((P29*2)*'MATERIALES (2)'!$C$50)+((P29*2)*'MATERIALES (2)'!$C$51)+((P29*2)*'MATERIALES (2)'!$C$55)+((O29*2)*'MATERIALES (2)'!$C$52)+((P29*2)*'MATERIALES (2)'!$C$67)+(P29*'MATERIALES (2)'!$C$68)+(P29*'MATERIALES (2)'!$C$78))*'MATERIALES (2)'!$F$2</f>
        <v>140446.74</v>
      </c>
      <c r="R29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(2)'!$C$163)+(((O29*4)+(P29*6))*'MATERIALES (2)'!$C$177)+(((O29*2)+(P29*4))*'MATERIALES (2)'!$C$130)+(4*'MATERIALES (2)'!$C$137)+(((O29*5)*2)*'MATERIALES (2)'!$C$136)+(10*'MATERIALES (2)'!$C$134)+(2*'MATERIALES (2)'!$C$177)</f>
        <v>22580</v>
      </c>
      <c r="S29" s="75"/>
      <c r="T29" s="55">
        <f>(O29*P29)*'MATERIALES (2)'!$D$85</f>
        <v>11100</v>
      </c>
      <c r="U29" s="55">
        <f>(((O29*P29)*2)*'MATERIALES (2)'!$D$86)+(8*'MATERIALES (2)'!$C$218)+(((O29*2)+(P29*4))*'MATERIALES (2)'!$C$219)+(((O29*2)+(P29*4))*'MATERIALES (2)'!$C$220)+((((O29*2)+(P29*2))/15)*'MATERIALES (2)'!$C$221)+((((O29*2)+(P29*2))/15)*('MATERIALES (2)'!$C$222*0.15))</f>
        <v>36697.708333333336</v>
      </c>
      <c r="V29" s="55">
        <f>(O29*P29)*'MATERIALES (2)'!$D$92</f>
        <v>54225</v>
      </c>
      <c r="W29" s="125">
        <f t="shared" si="4"/>
        <v>323215.71321847494</v>
      </c>
      <c r="X29" s="125">
        <f t="shared" si="5"/>
        <v>391511.67893722508</v>
      </c>
      <c r="Y29" s="67">
        <f t="shared" si="6"/>
        <v>438275.36946847505</v>
      </c>
    </row>
    <row r="30" spans="1:26" ht="15.75" hidden="1" thickBot="1">
      <c r="A30" s="68">
        <v>1.5</v>
      </c>
      <c r="B30" s="69">
        <v>1.1000000000000001</v>
      </c>
      <c r="C30" s="59">
        <f>(((A30*2)*'MATERIALES (2)'!$C$49)+((B30*2)*'MATERIALES (2)'!$C$50)+((B30*2)*'MATERIALES (2)'!$C$51)+((B30*2)*'MATERIALES (2)'!$C$55)+((A30*2)*'MATERIALES (2)'!$C$52))*'MATERIALES (2)'!$F$2</f>
        <v>120199.989</v>
      </c>
      <c r="D30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(2)'!$C$163)+(((A30*4)+(B30*6))*'MATERIALES (2)'!$C$177)+(((A30*2)+(B30*4))*'MATERIALES (2)'!$C$130)+(4*'MATERIALES (2)'!$C$137)+(((A30*5)*2)*'MATERIALES (2)'!$C$136)+(2*'MATERIALES (2)'!$C$176)+(8*'MATERIALES (2)'!$C$163)+(2*'MATERIALES (2)'!$C$176)</f>
        <v>22708</v>
      </c>
      <c r="E30" s="75"/>
      <c r="F30" s="55">
        <f>(A30*B30)*'MATERIALES (2)'!$D$85</f>
        <v>12210.000000000002</v>
      </c>
      <c r="G30" s="55">
        <f>(((A30*B30)*2)*'MATERIALES (2)'!$D$86)+(8*'MATERIALES (2)'!$C$218)+(((A30*2)+(B30*4))*'MATERIALES (2)'!$C$219)+(((A30*2)+(B30*4))*'MATERIALES (2)'!$C$220)+((((A30*2)+(B30*2))/15)*'MATERIALES (2)'!$C$221)+((((A30*2)+(B30*2))/15)*('MATERIALES (2)'!$C$222*0.15))</f>
        <v>39828.016666666663</v>
      </c>
      <c r="H30" s="55">
        <f>(A30*B30)*'MATERIALES (2)'!$D$92</f>
        <v>59647.500000000007</v>
      </c>
      <c r="I30" s="125">
        <f t="shared" si="0"/>
        <v>289944.7110347288</v>
      </c>
      <c r="J30" s="125">
        <f t="shared" si="1"/>
        <v>363630.96040222881</v>
      </c>
      <c r="K30" s="67">
        <f t="shared" si="2"/>
        <v>416510.33290972881</v>
      </c>
      <c r="M30" s="403">
        <f t="shared" si="3"/>
        <v>49380.189692006272</v>
      </c>
      <c r="N30"/>
      <c r="O30" s="68">
        <v>1.5</v>
      </c>
      <c r="P30" s="69">
        <v>1.1000000000000001</v>
      </c>
      <c r="Q30" s="59">
        <f>(((O30*2)*'MATERIALES (2)'!$C$49)+((P30*2)*'MATERIALES (2)'!$C$50)+((P30*2)*'MATERIALES (2)'!$C$51)+((P30*2)*'MATERIALES (2)'!$C$55)+((O30*2)*'MATERIALES (2)'!$C$52)+((P30*2)*'MATERIALES (2)'!$C$67)+(P30*'MATERIALES (2)'!$C$68)+(P30*'MATERIALES (2)'!$C$78))*'MATERIALES (2)'!$F$2</f>
        <v>147519.20400000003</v>
      </c>
      <c r="R30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(2)'!$C$163)+(((O30*4)+(P30*6))*'MATERIALES (2)'!$C$177)+(((O30*2)+(P30*4))*'MATERIALES (2)'!$C$130)+(4*'MATERIALES (2)'!$C$137)+(((O30*5)*2)*'MATERIALES (2)'!$C$136)+(10*'MATERIALES (2)'!$C$134)+(2*'MATERIALES (2)'!$C$177)</f>
        <v>22808</v>
      </c>
      <c r="S30" s="75"/>
      <c r="T30" s="55">
        <f>(O30*P30)*'MATERIALES (2)'!$D$85</f>
        <v>12210.000000000002</v>
      </c>
      <c r="U30" s="55">
        <f>(((O30*P30)*2)*'MATERIALES (2)'!$D$86)+(8*'MATERIALES (2)'!$C$218)+(((O30*2)+(P30*4))*'MATERIALES (2)'!$C$219)+(((O30*2)+(P30*4))*'MATERIALES (2)'!$C$220)+((((O30*2)+(P30*2))/15)*'MATERIALES (2)'!$C$221)+((((O30*2)+(P30*2))/15)*('MATERIALES (2)'!$C$222*0.15))</f>
        <v>39828.016666666663</v>
      </c>
      <c r="V30" s="55">
        <f>(O30*P30)*'MATERIALES (2)'!$D$92</f>
        <v>59647.500000000007</v>
      </c>
      <c r="W30" s="125">
        <f t="shared" si="4"/>
        <v>339324.90072673507</v>
      </c>
      <c r="X30" s="125">
        <f t="shared" si="5"/>
        <v>413011.15009423508</v>
      </c>
      <c r="Y30" s="67">
        <f t="shared" si="6"/>
        <v>465890.52260173508</v>
      </c>
    </row>
    <row r="31" spans="1:26" ht="15.75" hidden="1" thickBot="1">
      <c r="A31" s="68">
        <v>1.5</v>
      </c>
      <c r="B31" s="69">
        <v>1.2</v>
      </c>
      <c r="C31" s="59">
        <f>(((A31*2)*'MATERIALES (2)'!$C$49)+((B31*2)*'MATERIALES (2)'!$C$50)+((B31*2)*'MATERIALES (2)'!$C$51)+((B31*2)*'MATERIALES (2)'!$C$55)+((A31*2)*'MATERIALES (2)'!$C$52))*'MATERIALES (2)'!$F$2</f>
        <v>124788.88800000002</v>
      </c>
      <c r="D31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(2)'!$C$163)+(((A31*4)+(B31*6))*'MATERIALES (2)'!$C$177)+(((A31*2)+(B31*4))*'MATERIALES (2)'!$C$130)+(4*'MATERIALES (2)'!$C$137)+(((A31*5)*2)*'MATERIALES (2)'!$C$136)+(2*'MATERIALES (2)'!$C$176)+(8*'MATERIALES (2)'!$C$163)+(2*'MATERIALES (2)'!$C$176)</f>
        <v>22936</v>
      </c>
      <c r="E31" s="75"/>
      <c r="F31" s="55">
        <f>(A31*B31)*'MATERIALES (2)'!$D$85</f>
        <v>13319.999999999998</v>
      </c>
      <c r="G31" s="55">
        <f>(((A31*B31)*2)*'MATERIALES (2)'!$D$86)+(8*'MATERIALES (2)'!$C$218)+(((A31*2)+(B31*4))*'MATERIALES (2)'!$C$219)+(((A31*2)+(B31*4))*'MATERIALES (2)'!$C$220)+((((A31*2)+(B31*2))/15)*'MATERIALES (2)'!$C$221)+((((A31*2)+(B31*2))/15)*('MATERIALES (2)'!$C$222*0.15))</f>
        <v>42958.324999999997</v>
      </c>
      <c r="H31" s="55">
        <f>(A31*B31)*'MATERIALES (2)'!$D$92</f>
        <v>65069.999999999993</v>
      </c>
      <c r="I31" s="125">
        <f t="shared" si="0"/>
        <v>301581.16251417011</v>
      </c>
      <c r="J31" s="125">
        <f t="shared" si="1"/>
        <v>380657.69553042011</v>
      </c>
      <c r="K31" s="67">
        <f t="shared" si="2"/>
        <v>439652.75001417007</v>
      </c>
      <c r="M31" s="403">
        <f t="shared" si="3"/>
        <v>53852.925720824918</v>
      </c>
      <c r="N31"/>
      <c r="O31" s="68">
        <v>1.5</v>
      </c>
      <c r="P31" s="69">
        <v>1.2</v>
      </c>
      <c r="Q31" s="59">
        <f>(((O31*2)*'MATERIALES (2)'!$C$49)+((P31*2)*'MATERIALES (2)'!$C$50)+((P31*2)*'MATERIALES (2)'!$C$51)+((P31*2)*'MATERIALES (2)'!$C$55)+((O31*2)*'MATERIALES (2)'!$C$52)+((P31*2)*'MATERIALES (2)'!$C$67)+(P31*'MATERIALES (2)'!$C$68)+(P31*'MATERIALES (2)'!$C$78))*'MATERIALES (2)'!$F$2</f>
        <v>154591.66800000001</v>
      </c>
      <c r="R31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(2)'!$C$163)+(((O31*4)+(P31*6))*'MATERIALES (2)'!$C$177)+(((O31*2)+(P31*4))*'MATERIALES (2)'!$C$130)+(4*'MATERIALES (2)'!$C$137)+(((O31*5)*2)*'MATERIALES (2)'!$C$136)+(10*'MATERIALES (2)'!$C$134)+(2*'MATERIALES (2)'!$C$177)</f>
        <v>23036</v>
      </c>
      <c r="S31" s="75"/>
      <c r="T31" s="55">
        <f>(O31*P31)*'MATERIALES (2)'!$D$85</f>
        <v>13319.999999999998</v>
      </c>
      <c r="U31" s="55">
        <f>(((O31*P31)*2)*'MATERIALES (2)'!$D$86)+(8*'MATERIALES (2)'!$C$218)+(((O31*2)+(P31*4))*'MATERIALES (2)'!$C$219)+(((O31*2)+(P31*4))*'MATERIALES (2)'!$C$220)+((((O31*2)+(P31*2))/15)*'MATERIALES (2)'!$C$221)+((((O31*2)+(P31*2))/15)*('MATERIALES (2)'!$C$222*0.15))</f>
        <v>42958.324999999997</v>
      </c>
      <c r="V31" s="55">
        <f>(O31*P31)*'MATERIALES (2)'!$D$92</f>
        <v>65069.999999999993</v>
      </c>
      <c r="W31" s="125">
        <f t="shared" si="4"/>
        <v>355434.08823499503</v>
      </c>
      <c r="X31" s="125">
        <f t="shared" si="5"/>
        <v>434510.62125124503</v>
      </c>
      <c r="Y31" s="67">
        <f t="shared" si="6"/>
        <v>493505.67573499499</v>
      </c>
    </row>
    <row r="32" spans="1:26" ht="15" hidden="1" customHeight="1" thickBot="1">
      <c r="A32" s="68">
        <v>1.5</v>
      </c>
      <c r="B32" s="69">
        <v>1.5</v>
      </c>
      <c r="C32" s="59">
        <f>(((A32*2)*'MATERIALES (2)'!$C$49)+((B32*2)*'MATERIALES (2)'!$C$50)+((B32*2)*'MATERIALES (2)'!$C$51)+((B32*2)*'MATERIALES (2)'!$C$55)+((A32*2)*'MATERIALES (2)'!$C$52))*'MATERIALES (2)'!$F$2</f>
        <v>138555.58500000002</v>
      </c>
      <c r="D32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(2)'!$C$163)+(((A32*4)+(B32*6))*'MATERIALES (2)'!$C$177)+(((A32*2)+(B32*4))*'MATERIALES (2)'!$C$130)+(4*'MATERIALES (2)'!$C$137)+(((A32*5)*2)*'MATERIALES (2)'!$C$136)+(2*'MATERIALES (2)'!$C$176)+(8*'MATERIALES (2)'!$C$163)+(2*'MATERIALES (2)'!$C$176)</f>
        <v>23620</v>
      </c>
      <c r="E32" s="75"/>
      <c r="F32" s="55">
        <f>(A32*B32)*'MATERIALES (2)'!$D$85</f>
        <v>16650</v>
      </c>
      <c r="G32" s="55">
        <f>(((A32*B32)*2)*'MATERIALES (2)'!$D$86)+(8*'MATERIALES (2)'!$C$218)+(((A32*2)+(B32*4))*'MATERIALES (2)'!$C$219)+(((A32*2)+(B32*4))*'MATERIALES (2)'!$C$220)+((((A32*2)+(B32*2))/15)*'MATERIALES (2)'!$C$221)+((((A32*2)+(B32*2))/15)*('MATERIALES (2)'!$C$222*0.15))</f>
        <v>52349.25</v>
      </c>
      <c r="H32" s="55">
        <f>(A32*B32)*'MATERIALES (2)'!$D$92</f>
        <v>81337.5</v>
      </c>
      <c r="I32" s="125">
        <f t="shared" si="0"/>
        <v>336490.51695249387</v>
      </c>
      <c r="J32" s="125">
        <f t="shared" si="1"/>
        <v>431737.90091499384</v>
      </c>
      <c r="K32" s="67">
        <f t="shared" si="2"/>
        <v>509080.00132749387</v>
      </c>
      <c r="L32" s="57"/>
      <c r="M32" s="403">
        <f t="shared" si="3"/>
        <v>67271.133807281207</v>
      </c>
      <c r="N32"/>
      <c r="O32" s="68">
        <v>1.5</v>
      </c>
      <c r="P32" s="69">
        <v>1.5</v>
      </c>
      <c r="Q32" s="59">
        <f>(((O32*2)*'MATERIALES (2)'!$C$49)+((P32*2)*'MATERIALES (2)'!$C$50)+((P32*2)*'MATERIALES (2)'!$C$51)+((P32*2)*'MATERIALES (2)'!$C$55)+((O32*2)*'MATERIALES (2)'!$C$52)+((P32*2)*'MATERIALES (2)'!$C$67)+(P32*'MATERIALES (2)'!$C$68)+(P32*'MATERIALES (2)'!$C$78))*'MATERIALES (2)'!$F$2</f>
        <v>175809.06</v>
      </c>
      <c r="R32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(2)'!$C$163)+(((O32*4)+(P32*6))*'MATERIALES (2)'!$C$177)+(((O32*2)+(P32*4))*'MATERIALES (2)'!$C$130)+(4*'MATERIALES (2)'!$C$137)+(((O32*5)*2)*'MATERIALES (2)'!$C$136)+(10*'MATERIALES (2)'!$C$134)+(2*'MATERIALES (2)'!$C$177)</f>
        <v>23720</v>
      </c>
      <c r="S32" s="75"/>
      <c r="T32" s="55">
        <f>(O32*P32)*'MATERIALES (2)'!$D$85</f>
        <v>16650</v>
      </c>
      <c r="U32" s="55">
        <f>(((O32*P32)*2)*'MATERIALES (2)'!$D$86)+(8*'MATERIALES (2)'!$C$218)+(((O32*2)+(P32*4))*'MATERIALES (2)'!$C$219)+(((O32*2)+(P32*4))*'MATERIALES (2)'!$C$220)+((((O32*2)+(P32*2))/15)*'MATERIALES (2)'!$C$221)+((((O32*2)+(P32*2))/15)*('MATERIALES (2)'!$C$222*0.15))</f>
        <v>52349.25</v>
      </c>
      <c r="V32" s="55">
        <f>(O32*P32)*'MATERIALES (2)'!$D$92</f>
        <v>81337.5</v>
      </c>
      <c r="W32" s="125">
        <f t="shared" si="4"/>
        <v>403761.65075977508</v>
      </c>
      <c r="X32" s="125">
        <f t="shared" si="5"/>
        <v>499009.03472227504</v>
      </c>
      <c r="Y32" s="67">
        <f t="shared" si="6"/>
        <v>576351.13513477508</v>
      </c>
      <c r="Z32" s="57"/>
    </row>
    <row r="33" spans="1:26" ht="15.75" hidden="1" thickBot="1">
      <c r="A33" s="68">
        <v>1.5</v>
      </c>
      <c r="B33" s="69">
        <v>1.8</v>
      </c>
      <c r="C33" s="59">
        <f>(((A33*2)*'MATERIALES (2)'!$C$49)+((B33*2)*'MATERIALES (2)'!$C$50)+((B33*2)*'MATERIALES (2)'!$C$51)+((B33*2)*'MATERIALES (2)'!$C$55)+((A33*2)*'MATERIALES (2)'!$C$52))*'MATERIALES (2)'!$F$2</f>
        <v>152322.28200000001</v>
      </c>
      <c r="D33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(2)'!$C$163)+(((A33*4)+(B33*6))*'MATERIALES (2)'!$C$177)+(((A33*2)+(B33*4))*'MATERIALES (2)'!$C$130)+(4*'MATERIALES (2)'!$C$137)+(((A33*5)*2)*'MATERIALES (2)'!$C$136)+(2*'MATERIALES (2)'!$C$176)+(8*'MATERIALES (2)'!$C$163)+(2*'MATERIALES (2)'!$C$176)</f>
        <v>24304</v>
      </c>
      <c r="E33" s="75"/>
      <c r="F33" s="55">
        <f>(A33*B33)*'MATERIALES (2)'!$D$85</f>
        <v>19980</v>
      </c>
      <c r="G33" s="55">
        <f>(((A33*B33)*2)*'MATERIALES (2)'!$D$86)+(8*'MATERIALES (2)'!$C$218)+(((A33*2)+(B33*4))*'MATERIALES (2)'!$C$219)+(((A33*2)+(B33*4))*'MATERIALES (2)'!$C$220)+((((A33*2)+(B33*2))/15)*'MATERIALES (2)'!$C$221)+((((A33*2)+(B33*2))/15)*('MATERIALES (2)'!$C$222*0.15))</f>
        <v>61740.175000000003</v>
      </c>
      <c r="H33" s="55">
        <f>(A33*B33)*'MATERIALES (2)'!$D$92</f>
        <v>97605</v>
      </c>
      <c r="I33" s="125">
        <f t="shared" si="0"/>
        <v>371399.87139081757</v>
      </c>
      <c r="J33" s="125">
        <f t="shared" si="1"/>
        <v>482818.10629956756</v>
      </c>
      <c r="K33" s="67">
        <f t="shared" si="2"/>
        <v>578507.25264081755</v>
      </c>
      <c r="L33" s="57"/>
      <c r="M33" s="403">
        <f t="shared" si="3"/>
        <v>80689.341893737554</v>
      </c>
      <c r="N33"/>
      <c r="O33" s="68">
        <v>1.5</v>
      </c>
      <c r="P33" s="69">
        <v>1.8</v>
      </c>
      <c r="Q33" s="59">
        <f>(((O33*2)*'MATERIALES (2)'!$C$49)+((P33*2)*'MATERIALES (2)'!$C$50)+((P33*2)*'MATERIALES (2)'!$C$51)+((P33*2)*'MATERIALES (2)'!$C$55)+((O33*2)*'MATERIALES (2)'!$C$52)+((P33*2)*'MATERIALES (2)'!$C$67)+(P33*'MATERIALES (2)'!$C$68)+(P33*'MATERIALES (2)'!$C$78))*'MATERIALES (2)'!$F$2</f>
        <v>197026.45200000005</v>
      </c>
      <c r="R33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(2)'!$C$163)+(((O33*4)+(P33*6))*'MATERIALES (2)'!$C$177)+(((O33*2)+(P33*4))*'MATERIALES (2)'!$C$130)+(4*'MATERIALES (2)'!$C$137)+(((O33*5)*2)*'MATERIALES (2)'!$C$136)+(10*'MATERIALES (2)'!$C$134)+(2*'MATERIALES (2)'!$C$177)</f>
        <v>24404</v>
      </c>
      <c r="S33" s="75"/>
      <c r="T33" s="55">
        <f>(O33*P33)*'MATERIALES (2)'!$D$85</f>
        <v>19980</v>
      </c>
      <c r="U33" s="55">
        <f>(((O33*P33)*2)*'MATERIALES (2)'!$D$86)+(8*'MATERIALES (2)'!$C$218)+(((O33*2)+(P33*4))*'MATERIALES (2)'!$C$219)+(((O33*2)+(P33*4))*'MATERIALES (2)'!$C$220)+((((O33*2)+(P33*2))/15)*'MATERIALES (2)'!$C$221)+((((O33*2)+(P33*2))/15)*('MATERIALES (2)'!$C$222*0.15))</f>
        <v>61740.175000000003</v>
      </c>
      <c r="V33" s="55">
        <f>(O33*P33)*'MATERIALES (2)'!$D$92</f>
        <v>97605</v>
      </c>
      <c r="W33" s="125">
        <f t="shared" si="4"/>
        <v>452089.21328455512</v>
      </c>
      <c r="X33" s="125">
        <f t="shared" si="5"/>
        <v>563507.44819330517</v>
      </c>
      <c r="Y33" s="67">
        <f t="shared" si="6"/>
        <v>659196.5945345551</v>
      </c>
      <c r="Z33" s="57"/>
    </row>
    <row r="34" spans="1:26" ht="15.75" hidden="1" thickBot="1">
      <c r="A34" s="68">
        <v>1.8</v>
      </c>
      <c r="B34" s="69">
        <v>0.8</v>
      </c>
      <c r="C34" s="59">
        <f>(((A34*2)*'MATERIALES (2)'!$C$49)+((B34*2)*'MATERIALES (2)'!$C$50)+((B34*2)*'MATERIALES (2)'!$C$51)+((B34*2)*'MATERIALES (2)'!$C$55)+((A34*2)*'MATERIALES (2)'!$C$52))*'MATERIALES (2)'!$F$2</f>
        <v>120377.712</v>
      </c>
      <c r="D34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(2)'!$C$163)+(((A34*4)+(B34*6))*'MATERIALES (2)'!$C$177)+(((A34*2)+(B34*4))*'MATERIALES (2)'!$C$130)+(4*'MATERIALES (2)'!$C$137)+(((A34*5)*2)*'MATERIALES (2)'!$C$136)+(2*'MATERIALES (2)'!$C$176)+(8*'MATERIALES (2)'!$C$163)+(2*'MATERIALES (2)'!$C$176)</f>
        <v>22432</v>
      </c>
      <c r="E34" s="75"/>
      <c r="F34" s="55">
        <f>(A34*B34)*'MATERIALES (2)'!$D$85</f>
        <v>10656.000000000002</v>
      </c>
      <c r="G34" s="55">
        <f>(((A34*B34)*2)*'MATERIALES (2)'!$D$86)+(8*'MATERIALES (2)'!$C$218)+(((A34*2)+(B34*4))*'MATERIALES (2)'!$C$219)+(((A34*2)+(B34*4))*'MATERIALES (2)'!$C$220)+((((A34*2)+(B34*2))/15)*'MATERIALES (2)'!$C$221)+((((A34*2)+(B34*2))/15)*('MATERIALES (2)'!$C$222*0.15))</f>
        <v>35685.616666666669</v>
      </c>
      <c r="H34" s="55">
        <f>(A34*B34)*'MATERIALES (2)'!$D$92</f>
        <v>52056.000000000007</v>
      </c>
      <c r="I34" s="125">
        <f t="shared" si="0"/>
        <v>285621.57096858002</v>
      </c>
      <c r="J34" s="125">
        <f t="shared" si="1"/>
        <v>352401.83971607999</v>
      </c>
      <c r="K34" s="67">
        <f t="shared" si="2"/>
        <v>396078.84096858004</v>
      </c>
      <c r="L34" s="57"/>
      <c r="M34" s="403">
        <f t="shared" si="3"/>
        <v>35961.981605549983</v>
      </c>
      <c r="N34"/>
      <c r="O34" s="68">
        <v>1.8</v>
      </c>
      <c r="P34" s="69">
        <v>0.8</v>
      </c>
      <c r="Q34" s="59">
        <f>(((O34*2)*'MATERIALES (2)'!$C$49)+((P34*2)*'MATERIALES (2)'!$C$50)+((P34*2)*'MATERIALES (2)'!$C$51)+((P34*2)*'MATERIALES (2)'!$C$55)+((O34*2)*'MATERIALES (2)'!$C$52)+((P34*2)*'MATERIALES (2)'!$C$67)+(P34*'MATERIALES (2)'!$C$68)+(P34*'MATERIALES (2)'!$C$78))*'MATERIALES (2)'!$F$2</f>
        <v>140246.23199999999</v>
      </c>
      <c r="R34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(2)'!$C$163)+(((O34*4)+(P34*6))*'MATERIALES (2)'!$C$177)+(((O34*2)+(P34*4))*'MATERIALES (2)'!$C$130)+(4*'MATERIALES (2)'!$C$137)+(((O34*5)*2)*'MATERIALES (2)'!$C$136)+(10*'MATERIALES (2)'!$C$134)+(2*'MATERIALES (2)'!$C$177)</f>
        <v>22532</v>
      </c>
      <c r="S34" s="75"/>
      <c r="T34" s="55">
        <f>(O34*P34)*'MATERIALES (2)'!$D$85</f>
        <v>10656.000000000002</v>
      </c>
      <c r="U34" s="55">
        <f>(((O34*P34)*2)*'MATERIALES (2)'!$D$86)+(8*'MATERIALES (2)'!$C$218)+(((O34*2)+(P34*4))*'MATERIALES (2)'!$C$219)+(((O34*2)+(P34*4))*'MATERIALES (2)'!$C$220)+((((O34*2)+(P34*2))/15)*'MATERIALES (2)'!$C$221)+((((O34*2)+(P34*2))/15)*('MATERIALES (2)'!$C$222*0.15))</f>
        <v>35685.616666666669</v>
      </c>
      <c r="V34" s="55">
        <f>(O34*P34)*'MATERIALES (2)'!$D$92</f>
        <v>52056.000000000007</v>
      </c>
      <c r="W34" s="125">
        <f t="shared" si="4"/>
        <v>321583.55257413001</v>
      </c>
      <c r="X34" s="125">
        <f t="shared" si="5"/>
        <v>388363.82132162998</v>
      </c>
      <c r="Y34" s="67">
        <f t="shared" si="6"/>
        <v>432040.82257413003</v>
      </c>
      <c r="Z34" s="57"/>
    </row>
    <row r="35" spans="1:26" ht="15.75" hidden="1" thickBot="1">
      <c r="A35" s="68">
        <v>1.8</v>
      </c>
      <c r="B35" s="69">
        <v>1</v>
      </c>
      <c r="C35" s="59">
        <f>(((A35*2)*'MATERIALES (2)'!$C$49)+((B35*2)*'MATERIALES (2)'!$C$50)+((B35*2)*'MATERIALES (2)'!$C$51)+((B35*2)*'MATERIALES (2)'!$C$55)+((A35*2)*'MATERIALES (2)'!$C$52))*'MATERIALES (2)'!$F$2</f>
        <v>129555.51</v>
      </c>
      <c r="D35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(2)'!$C$163)+(((A35*4)+(B35*6))*'MATERIALES (2)'!$C$177)+(((A35*2)+(B35*4))*'MATERIALES (2)'!$C$130)+(4*'MATERIALES (2)'!$C$137)+(((A35*5)*2)*'MATERIALES (2)'!$C$136)+(2*'MATERIALES (2)'!$C$176)+(8*'MATERIALES (2)'!$C$163)+(2*'MATERIALES (2)'!$C$176)</f>
        <v>22888</v>
      </c>
      <c r="E35" s="75"/>
      <c r="F35" s="55">
        <f>(A35*B35)*'MATERIALES (2)'!$D$85</f>
        <v>13320</v>
      </c>
      <c r="G35" s="55">
        <f>(((A35*B35)*2)*'MATERIALES (2)'!$D$86)+(8*'MATERIALES (2)'!$C$218)+(((A35*2)+(B35*4))*'MATERIALES (2)'!$C$219)+(((A35*2)+(B35*4))*'MATERIALES (2)'!$C$220)+((((A35*2)+(B35*2))/15)*'MATERIALES (2)'!$C$221)+((((A35*2)+(B35*2))/15)*('MATERIALES (2)'!$C$222*0.15))</f>
        <v>43004.633333333339</v>
      </c>
      <c r="H35" s="55">
        <f>(A35*B35)*'MATERIALES (2)'!$D$92</f>
        <v>65070</v>
      </c>
      <c r="I35" s="125">
        <f t="shared" si="0"/>
        <v>310079.08812746254</v>
      </c>
      <c r="J35" s="125">
        <f t="shared" si="1"/>
        <v>389279.17409246258</v>
      </c>
      <c r="K35" s="67">
        <f t="shared" si="2"/>
        <v>448150.67562746257</v>
      </c>
      <c r="L35" s="57"/>
      <c r="M35" s="403">
        <f t="shared" si="3"/>
        <v>44907.453663187509</v>
      </c>
      <c r="N35"/>
      <c r="O35" s="68">
        <v>1.8</v>
      </c>
      <c r="P35" s="69">
        <v>1</v>
      </c>
      <c r="Q35" s="59">
        <f>(((O35*2)*'MATERIALES (2)'!$C$49)+((P35*2)*'MATERIALES (2)'!$C$50)+((P35*2)*'MATERIALES (2)'!$C$51)+((P35*2)*'MATERIALES (2)'!$C$55)+((O35*2)*'MATERIALES (2)'!$C$52)+((P35*2)*'MATERIALES (2)'!$C$67)+(P35*'MATERIALES (2)'!$C$68)+(P35*'MATERIALES (2)'!$C$78))*'MATERIALES (2)'!$F$2</f>
        <v>154391.16</v>
      </c>
      <c r="R35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(2)'!$C$163)+(((O35*4)+(P35*6))*'MATERIALES (2)'!$C$177)+(((O35*2)+(P35*4))*'MATERIALES (2)'!$C$130)+(4*'MATERIALES (2)'!$C$137)+(((O35*5)*2)*'MATERIALES (2)'!$C$136)+(10*'MATERIALES (2)'!$C$134)+(2*'MATERIALES (2)'!$C$177)</f>
        <v>22988</v>
      </c>
      <c r="S35" s="75"/>
      <c r="T35" s="55">
        <f>(O35*P35)*'MATERIALES (2)'!$D$85</f>
        <v>13320</v>
      </c>
      <c r="U35" s="55">
        <f>(((O35*P35)*2)*'MATERIALES (2)'!$D$86)+(8*'MATERIALES (2)'!$C$218)+(((O35*2)+(P35*4))*'MATERIALES (2)'!$C$219)+(((O35*2)+(P35*4))*'MATERIALES (2)'!$C$220)+((((O35*2)+(P35*2))/15)*'MATERIALES (2)'!$C$221)+((((O35*2)+(P35*2))/15)*('MATERIALES (2)'!$C$222*0.15))</f>
        <v>43004.633333333339</v>
      </c>
      <c r="V35" s="55">
        <f>(O35*P35)*'MATERIALES (2)'!$D$92</f>
        <v>65070</v>
      </c>
      <c r="W35" s="125">
        <f t="shared" si="4"/>
        <v>354986.54179065005</v>
      </c>
      <c r="X35" s="125">
        <f t="shared" si="5"/>
        <v>434186.62775565009</v>
      </c>
      <c r="Y35" s="67">
        <f t="shared" si="6"/>
        <v>493058.12929065002</v>
      </c>
      <c r="Z35" s="57"/>
    </row>
    <row r="36" spans="1:26" ht="15.75" hidden="1" thickBot="1">
      <c r="A36" s="68">
        <v>1.8</v>
      </c>
      <c r="B36" s="69">
        <v>1.1000000000000001</v>
      </c>
      <c r="C36" s="59">
        <f>(((A36*2)*'MATERIALES (2)'!$C$49)+((B36*2)*'MATERIALES (2)'!$C$50)+((B36*2)*'MATERIALES (2)'!$C$51)+((B36*2)*'MATERIALES (2)'!$C$55)+((A36*2)*'MATERIALES (2)'!$C$52))*'MATERIALES (2)'!$F$2</f>
        <v>134144.40899999999</v>
      </c>
      <c r="D36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(2)'!$C$163)+(((A36*4)+(B36*6))*'MATERIALES (2)'!$C$177)+(((A36*2)+(B36*4))*'MATERIALES (2)'!$C$130)+(4*'MATERIALES (2)'!$C$137)+(((A36*5)*2)*'MATERIALES (2)'!$C$136)+(2*'MATERIALES (2)'!$C$176)+(8*'MATERIALES (2)'!$C$163)+(2*'MATERIALES (2)'!$C$176)</f>
        <v>23116</v>
      </c>
      <c r="E36" s="75"/>
      <c r="F36" s="55">
        <f>(A36*B36)*'MATERIALES (2)'!$D$85</f>
        <v>14652.000000000002</v>
      </c>
      <c r="G36" s="55">
        <f>(((A36*B36)*2)*'MATERIALES (2)'!$D$86)+(8*'MATERIALES (2)'!$C$218)+(((A36*2)+(B36*4))*'MATERIALES (2)'!$C$219)+(((A36*2)+(B36*4))*'MATERIALES (2)'!$C$220)+((((A36*2)+(B36*2))/15)*'MATERIALES (2)'!$C$221)+((((A36*2)+(B36*2))/15)*('MATERIALES (2)'!$C$222*0.15))</f>
        <v>46664.14166666667</v>
      </c>
      <c r="H36" s="55">
        <f>(A36*B36)*'MATERIALES (2)'!$D$92</f>
        <v>71577.000000000015</v>
      </c>
      <c r="I36" s="125">
        <f t="shared" si="0"/>
        <v>322307.84670690377</v>
      </c>
      <c r="J36" s="125">
        <f t="shared" si="1"/>
        <v>407717.84128065372</v>
      </c>
      <c r="K36" s="67">
        <f t="shared" si="2"/>
        <v>474186.5929569038</v>
      </c>
      <c r="L36" s="57"/>
      <c r="M36" s="403">
        <f t="shared" si="3"/>
        <v>49380.189692006214</v>
      </c>
      <c r="N36"/>
      <c r="O36" s="68">
        <v>1.8</v>
      </c>
      <c r="P36" s="69">
        <v>1.1000000000000001</v>
      </c>
      <c r="Q36" s="59">
        <f>(((O36*2)*'MATERIALES (2)'!$C$49)+((P36*2)*'MATERIALES (2)'!$C$50)+((P36*2)*'MATERIALES (2)'!$C$51)+((P36*2)*'MATERIALES (2)'!$C$55)+((O36*2)*'MATERIALES (2)'!$C$52)+((P36*2)*'MATERIALES (2)'!$C$67)+(P36*'MATERIALES (2)'!$C$68)+(P36*'MATERIALES (2)'!$C$78))*'MATERIALES (2)'!$F$2</f>
        <v>161463.62399999998</v>
      </c>
      <c r="R36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(2)'!$C$163)+(((O36*4)+(P36*6))*'MATERIALES (2)'!$C$177)+(((O36*2)+(P36*4))*'MATERIALES (2)'!$C$130)+(4*'MATERIALES (2)'!$C$137)+(((O36*5)*2)*'MATERIALES (2)'!$C$136)+(10*'MATERIALES (2)'!$C$134)+(2*'MATERIALES (2)'!$C$177)</f>
        <v>23216</v>
      </c>
      <c r="S36" s="75"/>
      <c r="T36" s="55">
        <f>(O36*P36)*'MATERIALES (2)'!$D$85</f>
        <v>14652.000000000002</v>
      </c>
      <c r="U36" s="55">
        <f>(((O36*P36)*2)*'MATERIALES (2)'!$D$86)+(8*'MATERIALES (2)'!$C$218)+(((O36*2)+(P36*4))*'MATERIALES (2)'!$C$219)+(((O36*2)+(P36*4))*'MATERIALES (2)'!$C$220)+((((O36*2)+(P36*2))/15)*'MATERIALES (2)'!$C$221)+((((O36*2)+(P36*2))/15)*('MATERIALES (2)'!$C$222*0.15))</f>
        <v>46664.14166666667</v>
      </c>
      <c r="V36" s="55">
        <f>(O36*P36)*'MATERIALES (2)'!$D$92</f>
        <v>71577.000000000015</v>
      </c>
      <c r="W36" s="125">
        <f t="shared" si="4"/>
        <v>371688.03639890999</v>
      </c>
      <c r="X36" s="125">
        <f t="shared" si="5"/>
        <v>457098.03097266</v>
      </c>
      <c r="Y36" s="67">
        <f t="shared" si="6"/>
        <v>523566.78264891001</v>
      </c>
      <c r="Z36" s="57"/>
    </row>
    <row r="37" spans="1:26" ht="15.75" hidden="1" thickBot="1">
      <c r="A37" s="68">
        <v>1.8</v>
      </c>
      <c r="B37" s="69">
        <v>1.2</v>
      </c>
      <c r="C37" s="59">
        <f>(((A37*2)*'MATERIALES (2)'!$C$49)+((B37*2)*'MATERIALES (2)'!$C$50)+((B37*2)*'MATERIALES (2)'!$C$51)+((B37*2)*'MATERIALES (2)'!$C$55)+((A37*2)*'MATERIALES (2)'!$C$52))*'MATERIALES (2)'!$F$2</f>
        <v>138733.30799999999</v>
      </c>
      <c r="D37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(2)'!$C$163)+(((A37*4)+(B37*6))*'MATERIALES (2)'!$C$177)+(((A37*2)+(B37*4))*'MATERIALES (2)'!$C$130)+(4*'MATERIALES (2)'!$C$137)+(((A37*5)*2)*'MATERIALES (2)'!$C$136)+(2*'MATERIALES (2)'!$C$176)+(8*'MATERIALES (2)'!$C$163)+(2*'MATERIALES (2)'!$C$176)</f>
        <v>23344</v>
      </c>
      <c r="E37" s="75"/>
      <c r="F37" s="55">
        <f>(A37*B37)*'MATERIALES (2)'!$D$85</f>
        <v>15984.000000000002</v>
      </c>
      <c r="G37" s="55">
        <f>(((A37*B37)*2)*'MATERIALES (2)'!$D$86)+(8*'MATERIALES (2)'!$C$218)+(((A37*2)+(B37*4))*'MATERIALES (2)'!$C$219)+(((A37*2)+(B37*4))*'MATERIALES (2)'!$C$220)+((((A37*2)+(B37*2))/15)*'MATERIALES (2)'!$C$221)+((((A37*2)+(B37*2))/15)*('MATERIALES (2)'!$C$222*0.15))</f>
        <v>50323.65</v>
      </c>
      <c r="H37" s="55">
        <f>(A37*B37)*'MATERIALES (2)'!$D$92</f>
        <v>78084</v>
      </c>
      <c r="I37" s="125">
        <f t="shared" si="0"/>
        <v>334536.605286345</v>
      </c>
      <c r="J37" s="125">
        <f t="shared" si="1"/>
        <v>426156.50846884504</v>
      </c>
      <c r="K37" s="67">
        <f t="shared" si="2"/>
        <v>500222.51028634509</v>
      </c>
      <c r="L37" s="57"/>
      <c r="M37" s="403">
        <f t="shared" si="3"/>
        <v>53852.925720824976</v>
      </c>
      <c r="N37"/>
      <c r="O37" s="68">
        <v>1.8</v>
      </c>
      <c r="P37" s="69">
        <v>1.2</v>
      </c>
      <c r="Q37" s="59">
        <f>(((O37*2)*'MATERIALES (2)'!$C$49)+((P37*2)*'MATERIALES (2)'!$C$50)+((P37*2)*'MATERIALES (2)'!$C$51)+((P37*2)*'MATERIALES (2)'!$C$55)+((O37*2)*'MATERIALES (2)'!$C$52)+((P37*2)*'MATERIALES (2)'!$C$67)+(P37*'MATERIALES (2)'!$C$68)+(P37*'MATERIALES (2)'!$C$78))*'MATERIALES (2)'!$F$2</f>
        <v>168536.08799999999</v>
      </c>
      <c r="R37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(2)'!$C$163)+(((O37*4)+(P37*6))*'MATERIALES (2)'!$C$177)+(((O37*2)+(P37*4))*'MATERIALES (2)'!$C$130)+(4*'MATERIALES (2)'!$C$137)+(((O37*5)*2)*'MATERIALES (2)'!$C$136)+(10*'MATERIALES (2)'!$C$134)+(2*'MATERIALES (2)'!$C$177)</f>
        <v>23444</v>
      </c>
      <c r="S37" s="75"/>
      <c r="T37" s="55">
        <f>(O37*P37)*'MATERIALES (2)'!$D$85</f>
        <v>15984.000000000002</v>
      </c>
      <c r="U37" s="55">
        <f>(((O37*P37)*2)*'MATERIALES (2)'!$D$86)+(8*'MATERIALES (2)'!$C$218)+(((O37*2)+(P37*4))*'MATERIALES (2)'!$C$219)+(((O37*2)+(P37*4))*'MATERIALES (2)'!$C$220)+((((O37*2)+(P37*2))/15)*'MATERIALES (2)'!$C$221)+((((O37*2)+(P37*2))/15)*('MATERIALES (2)'!$C$222*0.15))</f>
        <v>50323.65</v>
      </c>
      <c r="V37" s="55">
        <f>(O37*P37)*'MATERIALES (2)'!$D$92</f>
        <v>78084</v>
      </c>
      <c r="W37" s="125">
        <f t="shared" si="4"/>
        <v>388389.53100716998</v>
      </c>
      <c r="X37" s="125">
        <f t="shared" si="5"/>
        <v>480009.43418967002</v>
      </c>
      <c r="Y37" s="67">
        <f t="shared" si="6"/>
        <v>554075.43600717001</v>
      </c>
      <c r="Z37" s="57"/>
    </row>
    <row r="38" spans="1:26" ht="15.75" hidden="1" thickBot="1">
      <c r="A38" s="68">
        <v>1.8</v>
      </c>
      <c r="B38" s="69">
        <v>1.5</v>
      </c>
      <c r="C38" s="59">
        <f>(((A38*2)*'MATERIALES (2)'!$C$49)+((B38*2)*'MATERIALES (2)'!$C$50)+((B38*2)*'MATERIALES (2)'!$C$51)+((B38*2)*'MATERIALES (2)'!$C$55)+((A38*2)*'MATERIALES (2)'!$C$52))*'MATERIALES (2)'!$F$2</f>
        <v>152500.005</v>
      </c>
      <c r="D38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(2)'!$C$163)+(((A38*4)+(B38*6))*'MATERIALES (2)'!$C$177)+(((A38*2)+(B38*4))*'MATERIALES (2)'!$C$130)+(4*'MATERIALES (2)'!$C$137)+(((A38*5)*2)*'MATERIALES (2)'!$C$136)+(2*'MATERIALES (2)'!$C$176)+(8*'MATERIALES (2)'!$C$163)+(2*'MATERIALES (2)'!$C$176)</f>
        <v>24028</v>
      </c>
      <c r="E38" s="75"/>
      <c r="F38" s="55">
        <f>(A38*B38)*'MATERIALES (2)'!$D$85</f>
        <v>19980</v>
      </c>
      <c r="G38" s="55">
        <f>(((A38*B38)*2)*'MATERIALES (2)'!$D$86)+(8*'MATERIALES (2)'!$C$218)+(((A38*2)+(B38*4))*'MATERIALES (2)'!$C$219)+(((A38*2)+(B38*4))*'MATERIALES (2)'!$C$220)+((((A38*2)+(B38*2))/15)*'MATERIALES (2)'!$C$221)+((((A38*2)+(B38*2))/15)*('MATERIALES (2)'!$C$222*0.15))</f>
        <v>61302.175000000003</v>
      </c>
      <c r="H38" s="55">
        <f>(A38*B38)*'MATERIALES (2)'!$D$92</f>
        <v>97605</v>
      </c>
      <c r="I38" s="125">
        <f t="shared" si="0"/>
        <v>371222.88102466875</v>
      </c>
      <c r="J38" s="125">
        <f t="shared" si="1"/>
        <v>481472.51003341883</v>
      </c>
      <c r="K38" s="67">
        <f t="shared" si="2"/>
        <v>578330.26227466878</v>
      </c>
      <c r="L38" s="57"/>
      <c r="M38" s="403">
        <f t="shared" si="3"/>
        <v>67271.133807281323</v>
      </c>
      <c r="N38"/>
      <c r="O38" s="68">
        <v>1.8</v>
      </c>
      <c r="P38" s="69">
        <v>1.5</v>
      </c>
      <c r="Q38" s="59">
        <f>(((O38*2)*'MATERIALES (2)'!$C$49)+((P38*2)*'MATERIALES (2)'!$C$50)+((P38*2)*'MATERIALES (2)'!$C$51)+((P38*2)*'MATERIALES (2)'!$C$55)+((O38*2)*'MATERIALES (2)'!$C$52)+((P38*2)*'MATERIALES (2)'!$C$67)+(P38*'MATERIALES (2)'!$C$68)+(P38*'MATERIALES (2)'!$C$78))*'MATERIALES (2)'!$F$2</f>
        <v>189753.47999999998</v>
      </c>
      <c r="R38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(2)'!$C$163)+(((O38*4)+(P38*6))*'MATERIALES (2)'!$C$177)+(((O38*2)+(P38*4))*'MATERIALES (2)'!$C$130)+(4*'MATERIALES (2)'!$C$137)+(((O38*5)*2)*'MATERIALES (2)'!$C$136)+(10*'MATERIALES (2)'!$C$134)+(2*'MATERIALES (2)'!$C$177)</f>
        <v>24128</v>
      </c>
      <c r="S38" s="75"/>
      <c r="T38" s="55">
        <f>(O38*P38)*'MATERIALES (2)'!$D$85</f>
        <v>19980</v>
      </c>
      <c r="U38" s="55">
        <f>(((O38*P38)*2)*'MATERIALES (2)'!$D$86)+(8*'MATERIALES (2)'!$C$218)+(((O38*2)+(P38*4))*'MATERIALES (2)'!$C$219)+(((O38*2)+(P38*4))*'MATERIALES (2)'!$C$220)+((((O38*2)+(P38*2))/15)*'MATERIALES (2)'!$C$221)+((((O38*2)+(P38*2))/15)*('MATERIALES (2)'!$C$222*0.15))</f>
        <v>61302.175000000003</v>
      </c>
      <c r="V38" s="55">
        <f>(O38*P38)*'MATERIALES (2)'!$D$92</f>
        <v>97605</v>
      </c>
      <c r="W38" s="125">
        <f t="shared" si="4"/>
        <v>438494.01483195007</v>
      </c>
      <c r="X38" s="125">
        <f t="shared" si="5"/>
        <v>548743.64384070004</v>
      </c>
      <c r="Y38" s="67">
        <f t="shared" si="6"/>
        <v>645601.39608194993</v>
      </c>
      <c r="Z38" s="57"/>
    </row>
    <row r="39" spans="1:26" ht="15.75" hidden="1" thickBot="1">
      <c r="A39" s="68">
        <v>1.8</v>
      </c>
      <c r="B39" s="69">
        <v>1.8</v>
      </c>
      <c r="C39" s="59">
        <f>(((A39*2)*'MATERIALES (2)'!$C$49)+((B39*2)*'MATERIALES (2)'!$C$50)+((B39*2)*'MATERIALES (2)'!$C$51)+((B39*2)*'MATERIALES (2)'!$C$55)+((A39*2)*'MATERIALES (2)'!$C$52))*'MATERIALES (2)'!$F$2</f>
        <v>166266.70199999999</v>
      </c>
      <c r="D39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(2)'!$C$163)+(((A39*4)+(B39*6))*'MATERIALES (2)'!$C$177)+(((A39*2)+(B39*4))*'MATERIALES (2)'!$C$130)+(4*'MATERIALES (2)'!$C$137)+(((A39*5)*2)*'MATERIALES (2)'!$C$136)+(2*'MATERIALES (2)'!$C$176)+(8*'MATERIALES (2)'!$C$163)+(2*'MATERIALES (2)'!$C$176)</f>
        <v>24712</v>
      </c>
      <c r="E39" s="75"/>
      <c r="F39" s="55">
        <f>(A39*B39)*'MATERIALES (2)'!$D$85</f>
        <v>23976</v>
      </c>
      <c r="G39" s="55">
        <f>(((A39*B39)*2)*'MATERIALES (2)'!$D$86)+(8*'MATERIALES (2)'!$C$218)+(((A39*2)+(B39*4))*'MATERIALES (2)'!$C$219)+(((A39*2)+(B39*4))*'MATERIALES (2)'!$C$220)+((((A39*2)+(B39*2))/15)*'MATERIALES (2)'!$C$221)+((((A39*2)+(B39*2))/15)*('MATERIALES (2)'!$C$222*0.15))</f>
        <v>72280.700000000012</v>
      </c>
      <c r="H39" s="55">
        <f>(A39*B39)*'MATERIALES (2)'!$D$92</f>
        <v>117126.00000000001</v>
      </c>
      <c r="I39" s="125">
        <f t="shared" si="0"/>
        <v>407909.1567629925</v>
      </c>
      <c r="J39" s="125">
        <f t="shared" si="1"/>
        <v>536788.51159799262</v>
      </c>
      <c r="K39" s="67">
        <f t="shared" si="2"/>
        <v>656438.01426299266</v>
      </c>
      <c r="L39" s="57"/>
      <c r="M39" s="403">
        <f t="shared" si="3"/>
        <v>80689.341893737612</v>
      </c>
      <c r="N39"/>
      <c r="O39" s="68">
        <v>1.8</v>
      </c>
      <c r="P39" s="69">
        <v>1.8</v>
      </c>
      <c r="Q39" s="59">
        <f>(((O39*2)*'MATERIALES (2)'!$C$49)+((P39*2)*'MATERIALES (2)'!$C$50)+((P39*2)*'MATERIALES (2)'!$C$51)+((P39*2)*'MATERIALES (2)'!$C$55)+((O39*2)*'MATERIALES (2)'!$C$52)+((P39*2)*'MATERIALES (2)'!$C$67)+(P39*'MATERIALES (2)'!$C$68)+(P39*'MATERIALES (2)'!$C$78))*'MATERIALES (2)'!$F$2</f>
        <v>210970.872</v>
      </c>
      <c r="R39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(2)'!$C$163)+(((O39*4)+(P39*6))*'MATERIALES (2)'!$C$177)+(((O39*2)+(P39*4))*'MATERIALES (2)'!$C$130)+(4*'MATERIALES (2)'!$C$137)+(((O39*5)*2)*'MATERIALES (2)'!$C$136)+(10*'MATERIALES (2)'!$C$134)+(2*'MATERIALES (2)'!$C$177)</f>
        <v>24812</v>
      </c>
      <c r="S39" s="75"/>
      <c r="T39" s="55">
        <f>(O39*P39)*'MATERIALES (2)'!$D$85</f>
        <v>23976</v>
      </c>
      <c r="U39" s="55">
        <f>(((O39*P39)*2)*'MATERIALES (2)'!$D$86)+(8*'MATERIALES (2)'!$C$218)+(((O39*2)+(P39*4))*'MATERIALES (2)'!$C$219)+(((O39*2)+(P39*4))*'MATERIALES (2)'!$C$220)+((((O39*2)+(P39*2))/15)*'MATERIALES (2)'!$C$221)+((((O39*2)+(P39*2))/15)*('MATERIALES (2)'!$C$222*0.15))</f>
        <v>72280.700000000012</v>
      </c>
      <c r="V39" s="55">
        <f>(O39*P39)*'MATERIALES (2)'!$D$92</f>
        <v>117126.00000000001</v>
      </c>
      <c r="W39" s="125">
        <f t="shared" si="4"/>
        <v>488598.49865673011</v>
      </c>
      <c r="X39" s="125">
        <f t="shared" si="5"/>
        <v>617477.85349173017</v>
      </c>
      <c r="Y39" s="67">
        <f t="shared" si="6"/>
        <v>737127.35615673021</v>
      </c>
      <c r="Z39" s="57"/>
    </row>
    <row r="40" spans="1:26" ht="15.75" hidden="1" thickBot="1">
      <c r="A40" s="68">
        <v>2</v>
      </c>
      <c r="B40" s="69">
        <v>0.8</v>
      </c>
      <c r="C40" s="59">
        <f>(((A40*2)*'MATERIALES (2)'!$C$49)+((B40*2)*'MATERIALES (2)'!$C$50)+((B40*2)*'MATERIALES (2)'!$C$51)+((B40*2)*'MATERIALES (2)'!$C$55)+((A40*2)*'MATERIALES (2)'!$C$52))*'MATERIALES (2)'!$F$2</f>
        <v>129673.99199999998</v>
      </c>
      <c r="D40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(2)'!$C$163)+(((A40*4)+(B40*6))*'MATERIALES (2)'!$C$177)+(((A40*2)+(B40*4))*'MATERIALES (2)'!$C$130)+(4*'MATERIALES (2)'!$C$137)+(((A40*5)*2)*'MATERIALES (2)'!$C$136)+(2*'MATERIALES (2)'!$C$176)+(8*'MATERIALES (2)'!$C$163)+(2*'MATERIALES (2)'!$C$176)</f>
        <v>22704</v>
      </c>
      <c r="E40" s="75"/>
      <c r="F40" s="55">
        <f>(A40*B40)*'MATERIALES (2)'!$D$85</f>
        <v>11840</v>
      </c>
      <c r="G40" s="55">
        <f>(((A40*B40)*2)*'MATERIALES (2)'!$D$86)+(8*'MATERIALES (2)'!$C$218)+(((A40*2)+(B40*4))*'MATERIALES (2)'!$C$219)+(((A40*2)+(B40*4))*'MATERIALES (2)'!$C$220)+((((A40*2)+(B40*2))/15)*'MATERIALES (2)'!$C$221)+((((A40*2)+(B40*2))/15)*('MATERIALES (2)'!$C$222*0.15))</f>
        <v>39184.633333333339</v>
      </c>
      <c r="H40" s="55">
        <f>(A40*B40)*'MATERIALES (2)'!$D$92</f>
        <v>57840</v>
      </c>
      <c r="I40" s="125">
        <f t="shared" si="0"/>
        <v>306012.38055002998</v>
      </c>
      <c r="J40" s="125">
        <f t="shared" si="1"/>
        <v>378969.22951503005</v>
      </c>
      <c r="K40" s="67">
        <f t="shared" si="2"/>
        <v>428742.68055003003</v>
      </c>
      <c r="L40" s="57"/>
      <c r="M40" s="403">
        <f t="shared" si="3"/>
        <v>35961.981605549983</v>
      </c>
      <c r="N40"/>
      <c r="O40" s="68">
        <v>2</v>
      </c>
      <c r="P40" s="69">
        <v>0.8</v>
      </c>
      <c r="Q40" s="59">
        <f>(((O40*2)*'MATERIALES (2)'!$C$49)+((P40*2)*'MATERIALES (2)'!$C$50)+((P40*2)*'MATERIALES (2)'!$C$51)+((P40*2)*'MATERIALES (2)'!$C$55)+((O40*2)*'MATERIALES (2)'!$C$52)+((P40*2)*'MATERIALES (2)'!$C$67)+(P40*'MATERIALES (2)'!$C$68)+(P40*'MATERIALES (2)'!$C$78))*'MATERIALES (2)'!$F$2</f>
        <v>149542.51199999996</v>
      </c>
      <c r="R40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(2)'!$C$163)+(((O40*4)+(P40*6))*'MATERIALES (2)'!$C$177)+(((O40*2)+(P40*4))*'MATERIALES (2)'!$C$130)+(4*'MATERIALES (2)'!$C$137)+(((O40*5)*2)*'MATERIALES (2)'!$C$136)+(10*'MATERIALES (2)'!$C$134)+(2*'MATERIALES (2)'!$C$177)</f>
        <v>22804</v>
      </c>
      <c r="S40" s="75"/>
      <c r="T40" s="55">
        <f>(O40*P40)*'MATERIALES (2)'!$D$85</f>
        <v>11840</v>
      </c>
      <c r="U40" s="55">
        <f>(((O40*P40)*2)*'MATERIALES (2)'!$D$86)+(8*'MATERIALES (2)'!$C$218)+(((O40*2)+(P40*4))*'MATERIALES (2)'!$C$219)+(((O40*2)+(P40*4))*'MATERIALES (2)'!$C$220)+((((O40*2)+(P40*2))/15)*'MATERIALES (2)'!$C$221)+((((O40*2)+(P40*2))/15)*('MATERIALES (2)'!$C$222*0.15))</f>
        <v>39184.633333333339</v>
      </c>
      <c r="V40" s="55">
        <f>(O40*P40)*'MATERIALES (2)'!$D$92</f>
        <v>57840</v>
      </c>
      <c r="W40" s="125">
        <f t="shared" si="4"/>
        <v>341974.36215557996</v>
      </c>
      <c r="X40" s="125">
        <f t="shared" si="5"/>
        <v>414931.21112057997</v>
      </c>
      <c r="Y40" s="67">
        <f t="shared" si="6"/>
        <v>464704.66215558001</v>
      </c>
      <c r="Z40" s="57"/>
    </row>
    <row r="41" spans="1:26" ht="15.75" hidden="1" thickBot="1">
      <c r="A41" s="68">
        <v>2</v>
      </c>
      <c r="B41" s="69">
        <v>1</v>
      </c>
      <c r="C41" s="59">
        <f>(((A41*2)*'MATERIALES (2)'!$C$49)+((B41*2)*'MATERIALES (2)'!$C$50)+((B41*2)*'MATERIALES (2)'!$C$51)+((B41*2)*'MATERIALES (2)'!$C$55)+((A41*2)*'MATERIALES (2)'!$C$52))*'MATERIALES (2)'!$F$2</f>
        <v>138851.79</v>
      </c>
      <c r="D41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(2)'!$C$163)+(((A41*4)+(B41*6))*'MATERIALES (2)'!$C$177)+(((A41*2)+(B41*4))*'MATERIALES (2)'!$C$130)+(4*'MATERIALES (2)'!$C$137)+(((A41*5)*2)*'MATERIALES (2)'!$C$136)+(2*'MATERIALES (2)'!$C$176)+(8*'MATERIALES (2)'!$C$163)+(2*'MATERIALES (2)'!$C$176)</f>
        <v>23160</v>
      </c>
      <c r="E41" s="75"/>
      <c r="F41" s="55">
        <f>(A41*B41)*'MATERIALES (2)'!$D$85</f>
        <v>14800</v>
      </c>
      <c r="G41" s="55">
        <f>(((A41*B41)*2)*'MATERIALES (2)'!$D$86)+(8*'MATERIALES (2)'!$C$218)+(((A41*2)+(B41*4))*'MATERIALES (2)'!$C$219)+(((A41*2)+(B41*4))*'MATERIALES (2)'!$C$220)+((((A41*2)+(B41*2))/15)*'MATERIALES (2)'!$C$221)+((((A41*2)+(B41*2))/15)*('MATERIALES (2)'!$C$222*0.15))</f>
        <v>47209.25</v>
      </c>
      <c r="H41" s="55">
        <f>(A41*B41)*'MATERIALES (2)'!$D$92</f>
        <v>72300</v>
      </c>
      <c r="I41" s="125">
        <f t="shared" si="0"/>
        <v>331259.64050891256</v>
      </c>
      <c r="J41" s="125">
        <f t="shared" si="1"/>
        <v>417729.1399714126</v>
      </c>
      <c r="K41" s="67">
        <f t="shared" si="2"/>
        <v>484672.51550891262</v>
      </c>
      <c r="L41" s="57"/>
      <c r="M41" s="403">
        <f t="shared" si="3"/>
        <v>44907.453663187509</v>
      </c>
      <c r="N41"/>
      <c r="O41" s="68">
        <v>2</v>
      </c>
      <c r="P41" s="69">
        <v>1</v>
      </c>
      <c r="Q41" s="59">
        <f>(((O41*2)*'MATERIALES (2)'!$C$49)+((P41*2)*'MATERIALES (2)'!$C$50)+((P41*2)*'MATERIALES (2)'!$C$51)+((P41*2)*'MATERIALES (2)'!$C$55)+((O41*2)*'MATERIALES (2)'!$C$52)+((P41*2)*'MATERIALES (2)'!$C$67)+(P41*'MATERIALES (2)'!$C$68)+(P41*'MATERIALES (2)'!$C$78))*'MATERIALES (2)'!$F$2</f>
        <v>163687.44</v>
      </c>
      <c r="R41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(2)'!$C$163)+(((O41*4)+(P41*6))*'MATERIALES (2)'!$C$177)+(((O41*2)+(P41*4))*'MATERIALES (2)'!$C$130)+(4*'MATERIALES (2)'!$C$137)+(((O41*5)*2)*'MATERIALES (2)'!$C$136)+(10*'MATERIALES (2)'!$C$134)+(2*'MATERIALES (2)'!$C$177)</f>
        <v>23260</v>
      </c>
      <c r="S41" s="75"/>
      <c r="T41" s="55">
        <f>(O41*P41)*'MATERIALES (2)'!$D$85</f>
        <v>14800</v>
      </c>
      <c r="U41" s="55">
        <f>(((O41*P41)*2)*'MATERIALES (2)'!$D$86)+(8*'MATERIALES (2)'!$C$218)+(((O41*2)+(P41*4))*'MATERIALES (2)'!$C$219)+(((O41*2)+(P41*4))*'MATERIALES (2)'!$C$220)+((((O41*2)+(P41*2))/15)*'MATERIALES (2)'!$C$221)+((((O41*2)+(P41*2))/15)*('MATERIALES (2)'!$C$222*0.15))</f>
        <v>47209.25</v>
      </c>
      <c r="V41" s="55">
        <f>(O41*P41)*'MATERIALES (2)'!$D$92</f>
        <v>72300</v>
      </c>
      <c r="W41" s="125">
        <f t="shared" si="4"/>
        <v>376167.09417210007</v>
      </c>
      <c r="X41" s="125">
        <f t="shared" si="5"/>
        <v>462636.59363459999</v>
      </c>
      <c r="Y41" s="67">
        <f t="shared" si="6"/>
        <v>529579.96917210007</v>
      </c>
      <c r="Z41" s="57"/>
    </row>
    <row r="42" spans="1:26" ht="15.75" hidden="1" thickBot="1">
      <c r="A42" s="68">
        <v>2</v>
      </c>
      <c r="B42" s="69">
        <v>1.1000000000000001</v>
      </c>
      <c r="C42" s="59">
        <f>(((A42*2)*'MATERIALES (2)'!$C$49)+((B42*2)*'MATERIALES (2)'!$C$50)+((B42*2)*'MATERIALES (2)'!$C$51)+((B42*2)*'MATERIALES (2)'!$C$55)+((A42*2)*'MATERIALES (2)'!$C$52))*'MATERIALES (2)'!$F$2</f>
        <v>143440.68899999998</v>
      </c>
      <c r="D42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(2)'!$C$163)+(((A42*4)+(B42*6))*'MATERIALES (2)'!$C$177)+(((A42*2)+(B42*4))*'MATERIALES (2)'!$C$130)+(4*'MATERIALES (2)'!$C$137)+(((A42*5)*2)*'MATERIALES (2)'!$C$136)+(2*'MATERIALES (2)'!$C$176)+(8*'MATERIALES (2)'!$C$163)+(2*'MATERIALES (2)'!$C$176)</f>
        <v>23388</v>
      </c>
      <c r="E42" s="75"/>
      <c r="F42" s="55">
        <f>(A42*B42)*'MATERIALES (2)'!$D$85</f>
        <v>16280.000000000002</v>
      </c>
      <c r="G42" s="55">
        <f>(((A42*B42)*2)*'MATERIALES (2)'!$D$86)+(8*'MATERIALES (2)'!$C$218)+(((A42*2)+(B42*4))*'MATERIALES (2)'!$C$219)+(((A42*2)+(B42*4))*'MATERIALES (2)'!$C$220)+((((A42*2)+(B42*2))/15)*'MATERIALES (2)'!$C$221)+((((A42*2)+(B42*2))/15)*('MATERIALES (2)'!$C$222*0.15))</f>
        <v>51221.558333333334</v>
      </c>
      <c r="H42" s="55">
        <f>(A42*B42)*'MATERIALES (2)'!$D$92</f>
        <v>79530</v>
      </c>
      <c r="I42" s="125">
        <f t="shared" si="0"/>
        <v>343883.2704883538</v>
      </c>
      <c r="J42" s="125">
        <f t="shared" si="1"/>
        <v>437109.09519960376</v>
      </c>
      <c r="K42" s="67">
        <f t="shared" si="2"/>
        <v>512637.43298835371</v>
      </c>
      <c r="L42" s="57"/>
      <c r="M42" s="403">
        <f t="shared" si="3"/>
        <v>49380.189692006214</v>
      </c>
      <c r="N42"/>
      <c r="O42" s="68">
        <v>2</v>
      </c>
      <c r="P42" s="69">
        <v>1.1000000000000001</v>
      </c>
      <c r="Q42" s="59">
        <f>(((O42*2)*'MATERIALES (2)'!$C$49)+((P42*2)*'MATERIALES (2)'!$C$50)+((P42*2)*'MATERIALES (2)'!$C$51)+((P42*2)*'MATERIALES (2)'!$C$55)+((O42*2)*'MATERIALES (2)'!$C$52)+((P42*2)*'MATERIALES (2)'!$C$67)+(P42*'MATERIALES (2)'!$C$68)+(P42*'MATERIALES (2)'!$C$78))*'MATERIALES (2)'!$F$2</f>
        <v>170759.90400000001</v>
      </c>
      <c r="R42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(2)'!$C$163)+(((O42*4)+(P42*6))*'MATERIALES (2)'!$C$177)+(((O42*2)+(P42*4))*'MATERIALES (2)'!$C$130)+(4*'MATERIALES (2)'!$C$137)+(((O42*5)*2)*'MATERIALES (2)'!$C$136)+(10*'MATERIALES (2)'!$C$134)+(2*'MATERIALES (2)'!$C$177)</f>
        <v>23488</v>
      </c>
      <c r="S42" s="75"/>
      <c r="T42" s="55">
        <f>(O42*P42)*'MATERIALES (2)'!$D$85</f>
        <v>16280.000000000002</v>
      </c>
      <c r="U42" s="55">
        <f>(((O42*P42)*2)*'MATERIALES (2)'!$D$86)+(8*'MATERIALES (2)'!$C$218)+(((O42*2)+(P42*4))*'MATERIALES (2)'!$C$219)+(((O42*2)+(P42*4))*'MATERIALES (2)'!$C$220)+((((O42*2)+(P42*2))/15)*'MATERIALES (2)'!$C$221)+((((O42*2)+(P42*2))/15)*('MATERIALES (2)'!$C$222*0.15))</f>
        <v>51221.558333333334</v>
      </c>
      <c r="V42" s="55">
        <f>(O42*P42)*'MATERIALES (2)'!$D$92</f>
        <v>79530</v>
      </c>
      <c r="W42" s="125">
        <f t="shared" si="4"/>
        <v>393263.46018036001</v>
      </c>
      <c r="X42" s="125">
        <f t="shared" si="5"/>
        <v>486489.28489160998</v>
      </c>
      <c r="Y42" s="67">
        <f t="shared" si="6"/>
        <v>562017.62268035999</v>
      </c>
      <c r="Z42" s="57"/>
    </row>
    <row r="43" spans="1:26" ht="15.75" hidden="1" thickBot="1">
      <c r="A43" s="68">
        <v>2</v>
      </c>
      <c r="B43" s="69">
        <v>1.2</v>
      </c>
      <c r="C43" s="59">
        <f>(((A43*2)*'MATERIALES (2)'!$C$49)+((B43*2)*'MATERIALES (2)'!$C$50)+((B43*2)*'MATERIALES (2)'!$C$51)+((B43*2)*'MATERIALES (2)'!$C$55)+((A43*2)*'MATERIALES (2)'!$C$52))*'MATERIALES (2)'!$F$2</f>
        <v>148029.58800000002</v>
      </c>
      <c r="D43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(2)'!$C$163)+(((A43*4)+(B43*6))*'MATERIALES (2)'!$C$177)+(((A43*2)+(B43*4))*'MATERIALES (2)'!$C$130)+(4*'MATERIALES (2)'!$C$137)+(((A43*5)*2)*'MATERIALES (2)'!$C$136)+(2*'MATERIALES (2)'!$C$176)+(8*'MATERIALES (2)'!$C$163)+(2*'MATERIALES (2)'!$C$176)</f>
        <v>23616</v>
      </c>
      <c r="E43" s="75"/>
      <c r="F43" s="55">
        <f>(A43*B43)*'MATERIALES (2)'!$D$85</f>
        <v>17760</v>
      </c>
      <c r="G43" s="55">
        <f>(((A43*B43)*2)*'MATERIALES (2)'!$D$86)+(8*'MATERIALES (2)'!$C$218)+(((A43*2)+(B43*4))*'MATERIALES (2)'!$C$219)+(((A43*2)+(B43*4))*'MATERIALES (2)'!$C$220)+((((A43*2)+(B43*2))/15)*'MATERIALES (2)'!$C$221)+((((A43*2)+(B43*2))/15)*('MATERIALES (2)'!$C$222*0.15))</f>
        <v>55233.866666666661</v>
      </c>
      <c r="H43" s="55">
        <f>(A43*B43)*'MATERIALES (2)'!$D$92</f>
        <v>86760</v>
      </c>
      <c r="I43" s="125">
        <f t="shared" si="0"/>
        <v>356506.90046779509</v>
      </c>
      <c r="J43" s="125">
        <f t="shared" si="1"/>
        <v>456489.0504277951</v>
      </c>
      <c r="K43" s="67">
        <f t="shared" si="2"/>
        <v>540602.35046779504</v>
      </c>
      <c r="L43" s="57"/>
      <c r="M43" s="403">
        <f t="shared" si="3"/>
        <v>53852.925720825035</v>
      </c>
      <c r="N43"/>
      <c r="O43" s="68">
        <v>2</v>
      </c>
      <c r="P43" s="69">
        <v>1.2</v>
      </c>
      <c r="Q43" s="59">
        <f>(((O43*2)*'MATERIALES (2)'!$C$49)+((P43*2)*'MATERIALES (2)'!$C$50)+((P43*2)*'MATERIALES (2)'!$C$51)+((P43*2)*'MATERIALES (2)'!$C$55)+((O43*2)*'MATERIALES (2)'!$C$52)+((P43*2)*'MATERIALES (2)'!$C$67)+(P43*'MATERIALES (2)'!$C$68)+(P43*'MATERIALES (2)'!$C$78))*'MATERIALES (2)'!$F$2</f>
        <v>177832.36800000002</v>
      </c>
      <c r="R43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(2)'!$C$163)+(((O43*4)+(P43*6))*'MATERIALES (2)'!$C$177)+(((O43*2)+(P43*4))*'MATERIALES (2)'!$C$130)+(4*'MATERIALES (2)'!$C$137)+(((O43*5)*2)*'MATERIALES (2)'!$C$136)+(10*'MATERIALES (2)'!$C$134)+(2*'MATERIALES (2)'!$C$177)</f>
        <v>23716</v>
      </c>
      <c r="S43" s="75"/>
      <c r="T43" s="55">
        <f>(O43*P43)*'MATERIALES (2)'!$D$85</f>
        <v>17760</v>
      </c>
      <c r="U43" s="55">
        <f>(((O43*P43)*2)*'MATERIALES (2)'!$D$86)+(8*'MATERIALES (2)'!$C$218)+(((O43*2)+(P43*4))*'MATERIALES (2)'!$C$219)+(((O43*2)+(P43*4))*'MATERIALES (2)'!$C$220)+((((O43*2)+(P43*2))/15)*'MATERIALES (2)'!$C$221)+((((O43*2)+(P43*2))/15)*('MATERIALES (2)'!$C$222*0.15))</f>
        <v>55233.866666666661</v>
      </c>
      <c r="V43" s="55">
        <f>(O43*P43)*'MATERIALES (2)'!$D$92</f>
        <v>86760</v>
      </c>
      <c r="W43" s="125">
        <f t="shared" si="4"/>
        <v>410359.82618862012</v>
      </c>
      <c r="X43" s="125">
        <f t="shared" si="5"/>
        <v>510341.97614862013</v>
      </c>
      <c r="Y43" s="67">
        <f t="shared" si="6"/>
        <v>594455.27618862025</v>
      </c>
      <c r="Z43" s="57"/>
    </row>
    <row r="44" spans="1:26" ht="15.75" hidden="1" thickBot="1">
      <c r="A44" s="68">
        <v>2</v>
      </c>
      <c r="B44" s="69">
        <v>1.5</v>
      </c>
      <c r="C44" s="59">
        <f>(((A44*2)*'MATERIALES (2)'!$C$49)+((B44*2)*'MATERIALES (2)'!$C$50)+((B44*2)*'MATERIALES (2)'!$C$51)+((B44*2)*'MATERIALES (2)'!$C$55)+((A44*2)*'MATERIALES (2)'!$C$52))*'MATERIALES (2)'!$F$2</f>
        <v>161796.28499999997</v>
      </c>
      <c r="D44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(2)'!$C$163)+(((A44*4)+(B44*6))*'MATERIALES (2)'!$C$177)+(((A44*2)+(B44*4))*'MATERIALES (2)'!$C$130)+(4*'MATERIALES (2)'!$C$137)+(((A44*5)*2)*'MATERIALES (2)'!$C$136)+(2*'MATERIALES (2)'!$C$176)+(8*'MATERIALES (2)'!$C$163)+(2*'MATERIALES (2)'!$C$176)</f>
        <v>24300</v>
      </c>
      <c r="E44" s="75"/>
      <c r="F44" s="55">
        <f>(A44*B44)*'MATERIALES (2)'!$D$85</f>
        <v>22200</v>
      </c>
      <c r="G44" s="55">
        <f>(((A44*B44)*2)*'MATERIALES (2)'!$D$86)+(8*'MATERIALES (2)'!$C$218)+(((A44*2)+(B44*4))*'MATERIALES (2)'!$C$219)+(((A44*2)+(B44*4))*'MATERIALES (2)'!$C$220)+((((A44*2)+(B44*2))/15)*'MATERIALES (2)'!$C$221)+((((A44*2)+(B44*2))/15)*('MATERIALES (2)'!$C$222*0.15))</f>
        <v>67270.791666666672</v>
      </c>
      <c r="H44" s="55">
        <f>(A44*B44)*'MATERIALES (2)'!$D$92</f>
        <v>108450</v>
      </c>
      <c r="I44" s="125">
        <f t="shared" si="0"/>
        <v>394377.79040611873</v>
      </c>
      <c r="J44" s="125">
        <f t="shared" si="1"/>
        <v>514628.91611236875</v>
      </c>
      <c r="K44" s="67">
        <f t="shared" si="2"/>
        <v>624497.10290611873</v>
      </c>
      <c r="L44" s="57"/>
      <c r="M44" s="403">
        <f t="shared" si="3"/>
        <v>67271.133807281207</v>
      </c>
      <c r="N44"/>
      <c r="O44" s="68">
        <v>2</v>
      </c>
      <c r="P44" s="69">
        <v>1.5</v>
      </c>
      <c r="Q44" s="59">
        <f>(((O44*2)*'MATERIALES (2)'!$C$49)+((P44*2)*'MATERIALES (2)'!$C$50)+((P44*2)*'MATERIALES (2)'!$C$51)+((P44*2)*'MATERIALES (2)'!$C$55)+((O44*2)*'MATERIALES (2)'!$C$52)+((P44*2)*'MATERIALES (2)'!$C$67)+(P44*'MATERIALES (2)'!$C$68)+(P44*'MATERIALES (2)'!$C$78))*'MATERIALES (2)'!$F$2</f>
        <v>199049.75999999998</v>
      </c>
      <c r="R44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(2)'!$C$163)+(((O44*4)+(P44*6))*'MATERIALES (2)'!$C$177)+(((O44*2)+(P44*4))*'MATERIALES (2)'!$C$130)+(4*'MATERIALES (2)'!$C$137)+(((O44*5)*2)*'MATERIALES (2)'!$C$136)+(10*'MATERIALES (2)'!$C$134)+(2*'MATERIALES (2)'!$C$177)</f>
        <v>24400</v>
      </c>
      <c r="S44" s="75"/>
      <c r="T44" s="55">
        <f>(O44*P44)*'MATERIALES (2)'!$D$85</f>
        <v>22200</v>
      </c>
      <c r="U44" s="55">
        <f>(((O44*P44)*2)*'MATERIALES (2)'!$D$86)+(8*'MATERIALES (2)'!$C$218)+(((O44*2)+(P44*4))*'MATERIALES (2)'!$C$219)+(((O44*2)+(P44*4))*'MATERIALES (2)'!$C$220)+((((O44*2)+(P44*2))/15)*'MATERIALES (2)'!$C$221)+((((O44*2)+(P44*2))/15)*('MATERIALES (2)'!$C$222*0.15))</f>
        <v>67270.791666666672</v>
      </c>
      <c r="V44" s="55">
        <f>(O44*P44)*'MATERIALES (2)'!$D$92</f>
        <v>108450</v>
      </c>
      <c r="W44" s="125">
        <f t="shared" si="4"/>
        <v>461648.92421339994</v>
      </c>
      <c r="X44" s="125">
        <f t="shared" si="5"/>
        <v>581900.04991965008</v>
      </c>
      <c r="Y44" s="67">
        <f t="shared" si="6"/>
        <v>691768.23671339999</v>
      </c>
      <c r="Z44" s="57"/>
    </row>
    <row r="45" spans="1:26" ht="15.75" hidden="1" thickBot="1">
      <c r="A45" s="68">
        <v>2</v>
      </c>
      <c r="B45" s="69">
        <v>1.8</v>
      </c>
      <c r="C45" s="59">
        <f>(((A45*2)*'MATERIALES (2)'!$C$49)+((B45*2)*'MATERIALES (2)'!$C$50)+((B45*2)*'MATERIALES (2)'!$C$51)+((B45*2)*'MATERIALES (2)'!$C$55)+((A45*2)*'MATERIALES (2)'!$C$52))*'MATERIALES (2)'!$F$2</f>
        <v>175562.98199999999</v>
      </c>
      <c r="D45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(2)'!$C$163)+(((A45*4)+(B45*6))*'MATERIALES (2)'!$C$177)+(((A45*2)+(B45*4))*'MATERIALES (2)'!$C$130)+(4*'MATERIALES (2)'!$C$137)+(((A45*5)*2)*'MATERIALES (2)'!$C$136)+(2*'MATERIALES (2)'!$C$176)+(8*'MATERIALES (2)'!$C$163)+(2*'MATERIALES (2)'!$C$176)</f>
        <v>24984</v>
      </c>
      <c r="E45" s="75"/>
      <c r="F45" s="55">
        <f>(A45*B45)*'MATERIALES (2)'!$D$85</f>
        <v>26640</v>
      </c>
      <c r="G45" s="55">
        <f>(((A45*B45)*2)*'MATERIALES (2)'!$D$86)+(8*'MATERIALES (2)'!$C$218)+(((A45*2)+(B45*4))*'MATERIALES (2)'!$C$219)+(((A45*2)+(B45*4))*'MATERIALES (2)'!$C$220)+((((A45*2)+(B45*2))/15)*'MATERIALES (2)'!$C$221)+((((A45*2)+(B45*2))/15)*('MATERIALES (2)'!$C$222*0.15))</f>
        <v>79307.716666666674</v>
      </c>
      <c r="H45" s="55">
        <f>(A45*B45)*'MATERIALES (2)'!$D$92</f>
        <v>130140</v>
      </c>
      <c r="I45" s="125">
        <f t="shared" si="0"/>
        <v>432248.6803444426</v>
      </c>
      <c r="J45" s="125">
        <f t="shared" si="1"/>
        <v>572768.78179694258</v>
      </c>
      <c r="K45" s="67">
        <f t="shared" si="2"/>
        <v>708391.85534444253</v>
      </c>
      <c r="L45" s="57"/>
      <c r="M45" s="403">
        <f t="shared" si="3"/>
        <v>80689.341893737437</v>
      </c>
      <c r="N45"/>
      <c r="O45" s="68">
        <v>2</v>
      </c>
      <c r="P45" s="69">
        <v>1.8</v>
      </c>
      <c r="Q45" s="59">
        <f>(((O45*2)*'MATERIALES (2)'!$C$49)+((P45*2)*'MATERIALES (2)'!$C$50)+((P45*2)*'MATERIALES (2)'!$C$51)+((P45*2)*'MATERIALES (2)'!$C$55)+((O45*2)*'MATERIALES (2)'!$C$52)+((P45*2)*'MATERIALES (2)'!$C$67)+(P45*'MATERIALES (2)'!$C$68)+(P45*'MATERIALES (2)'!$C$78))*'MATERIALES (2)'!$F$2</f>
        <v>220267.15199999997</v>
      </c>
      <c r="R45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(2)'!$C$163)+(((O45*4)+(P45*6))*'MATERIALES (2)'!$C$177)+(((O45*2)+(P45*4))*'MATERIALES (2)'!$C$130)+(4*'MATERIALES (2)'!$C$137)+(((O45*5)*2)*'MATERIALES (2)'!$C$136)+(10*'MATERIALES (2)'!$C$134)+(2*'MATERIALES (2)'!$C$177)</f>
        <v>25084</v>
      </c>
      <c r="S45" s="75"/>
      <c r="T45" s="55">
        <f>(O45*P45)*'MATERIALES (2)'!$D$85</f>
        <v>26640</v>
      </c>
      <c r="U45" s="55">
        <f>(((O45*P45)*2)*'MATERIALES (2)'!$D$86)+(8*'MATERIALES (2)'!$C$218)+(((O45*2)+(P45*4))*'MATERIALES (2)'!$C$219)+(((O45*2)+(P45*4))*'MATERIALES (2)'!$C$220)+((((O45*2)+(P45*2))/15)*'MATERIALES (2)'!$C$221)+((((O45*2)+(P45*2))/15)*('MATERIALES (2)'!$C$222*0.15))</f>
        <v>79307.716666666674</v>
      </c>
      <c r="V45" s="55">
        <f>(O45*P45)*'MATERIALES (2)'!$D$92</f>
        <v>130140</v>
      </c>
      <c r="W45" s="125">
        <f t="shared" si="4"/>
        <v>512938.02223818004</v>
      </c>
      <c r="X45" s="125">
        <f t="shared" si="5"/>
        <v>653458.12369068014</v>
      </c>
      <c r="Y45" s="67">
        <f t="shared" si="6"/>
        <v>789081.19723818009</v>
      </c>
      <c r="Z45" s="57"/>
    </row>
    <row r="46" spans="1:26" ht="15.75" hidden="1" thickBot="1">
      <c r="A46" s="68"/>
      <c r="B46" s="69"/>
      <c r="C46" s="59">
        <f>(((A46*2)*'MATERIALES (2)'!$C$49)+((B46*2)*'MATERIALES (2)'!$C$50)+((B46*2)*'MATERIALES (2)'!$C$51)+((B46*2)*'MATERIALES (2)'!$C$55)+((A46*2)*'MATERIALES (2)'!$C$52))*'MATERIALES (2)'!$F$2</f>
        <v>0</v>
      </c>
      <c r="D46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(2)'!$C$163)+(((A46*4)+(B46*6))*'MATERIALES (2)'!$C$177)+(((A46*2)+(B46*4))*'MATERIALES (2)'!$C$130)+(4*'MATERIALES (2)'!$C$137)+(((A46*5)*2)*'MATERIALES (2)'!$C$136)+(2*'MATERIALES (2)'!$C$176)+(8*'MATERIALES (2)'!$C$163)+(2*'MATERIALES (2)'!$C$176)</f>
        <v>18160</v>
      </c>
      <c r="E46" s="75"/>
      <c r="F46" s="55">
        <f>(A46*B46)*'MATERIALES (2)'!$D$85</f>
        <v>0</v>
      </c>
      <c r="G46" s="55">
        <f>(((A46*B46)*2)*'MATERIALES (2)'!$D$86)+(8*'MATERIALES (2)'!$C$218)+(((A46*2)+(B46*4))*'MATERIALES (2)'!$C$219)+(((A46*2)+(B46*4))*'MATERIALES (2)'!$C$220)+((((A46*2)+(B46*2))/15)*'MATERIALES (2)'!$C$221)+((((A46*2)+(B46*2))/15)*('MATERIALES (2)'!$C$222*0.15))</f>
        <v>320</v>
      </c>
      <c r="H46" s="55">
        <f>(A46*B46)*'MATERIALES (2)'!$D$92</f>
        <v>0</v>
      </c>
      <c r="I46" s="125">
        <f t="shared" si="0"/>
        <v>32704.956900000001</v>
      </c>
      <c r="J46" s="125">
        <f t="shared" si="1"/>
        <v>33558.732900000003</v>
      </c>
      <c r="K46" s="67">
        <f t="shared" si="2"/>
        <v>32704.956900000001</v>
      </c>
      <c r="L46" s="57"/>
      <c r="M46" s="403">
        <f t="shared" si="3"/>
        <v>180.09337500000038</v>
      </c>
      <c r="N46"/>
      <c r="O46" s="68"/>
      <c r="P46" s="69"/>
      <c r="Q46" s="59">
        <f>(((O46*2)*'MATERIALES (2)'!$C$49)+((P46*2)*'MATERIALES (2)'!$C$50)+((P46*2)*'MATERIALES (2)'!$C$51)+((P46*2)*'MATERIALES (2)'!$C$55)+((O46*2)*'MATERIALES (2)'!$C$52)+((P46*2)*'MATERIALES (2)'!$C$67)+(P46*'MATERIALES (2)'!$C$68)+(P46*'MATERIALES (2)'!$C$78))*'MATERIALES (2)'!$F$2</f>
        <v>0</v>
      </c>
      <c r="R46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(2)'!$C$163)+(((O46*4)+(P46*6))*'MATERIALES (2)'!$C$177)+(((O46*2)+(P46*4))*'MATERIALES (2)'!$C$130)+(4*'MATERIALES (2)'!$C$137)+(((O46*5)*2)*'MATERIALES (2)'!$C$136)+(10*'MATERIALES (2)'!$C$134)+(2*'MATERIALES (2)'!$C$177)</f>
        <v>18260</v>
      </c>
      <c r="S46" s="75"/>
      <c r="T46" s="55">
        <f>(O46*P46)*'MATERIALES (2)'!$D$85</f>
        <v>0</v>
      </c>
      <c r="U46" s="55">
        <f>(((O46*P46)*2)*'MATERIALES (2)'!$D$86)+(8*'MATERIALES (2)'!$C$218)+(((O46*2)+(P46*4))*'MATERIALES (2)'!$C$219)+(((O46*2)+(P46*4))*'MATERIALES (2)'!$C$220)+((((O46*2)+(P46*2))/15)*'MATERIALES (2)'!$C$221)+((((O46*2)+(P46*2))/15)*('MATERIALES (2)'!$C$222*0.15))</f>
        <v>320</v>
      </c>
      <c r="V46" s="55">
        <f>(O46*P46)*'MATERIALES (2)'!$D$92</f>
        <v>0</v>
      </c>
      <c r="W46" s="125">
        <f t="shared" si="4"/>
        <v>32885.050275000001</v>
      </c>
      <c r="X46" s="125">
        <f t="shared" si="5"/>
        <v>33738.826275000007</v>
      </c>
      <c r="Y46" s="67">
        <f t="shared" si="6"/>
        <v>32885.050275000001</v>
      </c>
      <c r="Z46" s="57"/>
    </row>
    <row r="47" spans="1:26" ht="15.75" hidden="1" thickBot="1">
      <c r="A47" s="68">
        <v>2.2000000000000002</v>
      </c>
      <c r="B47" s="69">
        <v>0.6</v>
      </c>
      <c r="C47" s="59">
        <f>(((A47*2)*'MATERIALES (2)'!$C$49)+((B47*2)*'MATERIALES (2)'!$C$50)+((B47*2)*'MATERIALES (2)'!$C$51)+((B47*2)*'MATERIALES (2)'!$C$55)+((A47*2)*'MATERIALES (2)'!$C$52))*'MATERIALES (2)'!$F$2</f>
        <v>129792.47400000002</v>
      </c>
      <c r="D47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(2)'!$C$163)+(((A47*4)+(B47*6))*'MATERIALES (2)'!$C$177)+(((A47*2)+(B47*4))*'MATERIALES (2)'!$C$130)+(4*'MATERIALES (2)'!$C$137)+(((A47*5)*2)*'MATERIALES (2)'!$C$136)+(2*'MATERIALES (2)'!$C$176)+(8*'MATERIALES (2)'!$C$163)+(2*'MATERIALES (2)'!$C$176)</f>
        <v>22520</v>
      </c>
      <c r="E47" s="75"/>
      <c r="F47" s="55">
        <f>(A47*B47)*'MATERIALES (2)'!$D$85</f>
        <v>9768</v>
      </c>
      <c r="G47" s="55">
        <f>(((A47*B47)*2)*'MATERIALES (2)'!$D$86)+(8*'MATERIALES (2)'!$C$218)+(((A47*2)+(B47*4))*'MATERIALES (2)'!$C$219)+(((A47*2)+(B47*4))*'MATERIALES (2)'!$C$220)+((((A47*2)+(B47*2))/15)*'MATERIALES (2)'!$C$221)+((((A47*2)+(B47*2))/15)*('MATERIALES (2)'!$C$222*0.15))</f>
        <v>33953.433333333342</v>
      </c>
      <c r="H47" s="55">
        <f>(A47*B47)*'MATERIALES (2)'!$D$92</f>
        <v>47718</v>
      </c>
      <c r="I47" s="125">
        <f t="shared" si="0"/>
        <v>300366.18737259757</v>
      </c>
      <c r="J47" s="125">
        <f t="shared" si="1"/>
        <v>364894.13277759764</v>
      </c>
      <c r="K47" s="67">
        <f t="shared" si="2"/>
        <v>401618.68487259751</v>
      </c>
      <c r="L47" s="57"/>
      <c r="M47" s="403">
        <f t="shared" si="3"/>
        <v>-267481.13709759759</v>
      </c>
      <c r="N47"/>
      <c r="O47" s="68"/>
      <c r="P47" s="69"/>
      <c r="Q47" s="59">
        <f>(((O47*2)*'MATERIALES (2)'!$C$49)+((P47*2)*'MATERIALES (2)'!$C$50)+((P47*2)*'MATERIALES (2)'!$C$51)+((P47*2)*'MATERIALES (2)'!$C$55)+((O47*2)*'MATERIALES (2)'!$C$52)+((P47*2)*'MATERIALES (2)'!$C$67)+(P47*'MATERIALES (2)'!$C$68)+(P47*'MATERIALES (2)'!$C$78))*'MATERIALES (2)'!$F$2</f>
        <v>0</v>
      </c>
      <c r="R47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(2)'!$C$163)+(((O47*4)+(P47*6))*'MATERIALES (2)'!$C$177)+(((O47*2)+(P47*4))*'MATERIALES (2)'!$C$130)+(4*'MATERIALES (2)'!$C$137)+(((O47*5)*2)*'MATERIALES (2)'!$C$136)+(10*'MATERIALES (2)'!$C$134)+(2*'MATERIALES (2)'!$C$177)</f>
        <v>18260</v>
      </c>
      <c r="S47" s="75"/>
      <c r="T47" s="55">
        <f>(O47*P47)*'MATERIALES (2)'!$D$85</f>
        <v>0</v>
      </c>
      <c r="U47" s="55">
        <f>(((O47*P47)*2)*'MATERIALES (2)'!$D$86)+(8*'MATERIALES (2)'!$C$218)+(((O47*2)+(P47*4))*'MATERIALES (2)'!$C$219)+(((O47*2)+(P47*4))*'MATERIALES (2)'!$C$220)+((((O47*2)+(P47*2))/15)*'MATERIALES (2)'!$C$221)+((((O47*2)+(P47*2))/15)*('MATERIALES (2)'!$C$222*0.15))</f>
        <v>320</v>
      </c>
      <c r="V47" s="55">
        <f>(O47*P47)*'MATERIALES (2)'!$D$92</f>
        <v>0</v>
      </c>
      <c r="W47" s="125">
        <f t="shared" si="4"/>
        <v>32885.050275000001</v>
      </c>
      <c r="X47" s="125">
        <f t="shared" si="5"/>
        <v>33738.826275000007</v>
      </c>
      <c r="Y47" s="67">
        <f t="shared" si="6"/>
        <v>32885.050275000001</v>
      </c>
      <c r="Z47" s="57"/>
    </row>
    <row r="48" spans="1:26" ht="15.75" hidden="1" thickBot="1">
      <c r="A48" s="68">
        <v>2.2000000000000002</v>
      </c>
      <c r="B48" s="69">
        <v>0.8</v>
      </c>
      <c r="C48" s="59">
        <f>(((A48*2)*'MATERIALES (2)'!$C$49)+((B48*2)*'MATERIALES (2)'!$C$50)+((B48*2)*'MATERIALES (2)'!$C$51)+((B48*2)*'MATERIALES (2)'!$C$55)+((A48*2)*'MATERIALES (2)'!$C$52))*'MATERIALES (2)'!$F$2</f>
        <v>138970.27200000003</v>
      </c>
      <c r="D48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(2)'!$C$163)+(((A48*4)+(B48*6))*'MATERIALES (2)'!$C$177)+(((A48*2)+(B48*4))*'MATERIALES (2)'!$C$130)+(4*'MATERIALES (2)'!$C$137)+(((A48*5)*2)*'MATERIALES (2)'!$C$136)+(2*'MATERIALES (2)'!$C$176)+(8*'MATERIALES (2)'!$C$163)+(2*'MATERIALES (2)'!$C$176)</f>
        <v>22976</v>
      </c>
      <c r="E48" s="75"/>
      <c r="F48" s="55">
        <f>(A48*B48)*'MATERIALES (2)'!$D$85</f>
        <v>13024.000000000002</v>
      </c>
      <c r="G48" s="55">
        <f>(((A48*B48)*2)*'MATERIALES (2)'!$D$86)+(8*'MATERIALES (2)'!$C$218)+(((A48*2)+(B48*4))*'MATERIALES (2)'!$C$219)+(((A48*2)+(B48*4))*'MATERIALES (2)'!$C$220)+((((A48*2)+(B48*2))/15)*'MATERIALES (2)'!$C$221)+((((A48*2)+(B48*2))/15)*('MATERIALES (2)'!$C$222*0.15))</f>
        <v>42683.650000000009</v>
      </c>
      <c r="H48" s="55">
        <f>(A48*B48)*'MATERIALES (2)'!$D$92</f>
        <v>63624.000000000007</v>
      </c>
      <c r="I48" s="125">
        <f t="shared" si="0"/>
        <v>326403.19013148005</v>
      </c>
      <c r="J48" s="125">
        <f t="shared" si="1"/>
        <v>405536.6193139801</v>
      </c>
      <c r="K48" s="67">
        <f t="shared" si="2"/>
        <v>461406.52013148012</v>
      </c>
      <c r="L48" s="57"/>
      <c r="M48" s="403">
        <f t="shared" si="3"/>
        <v>-293518.13985648006</v>
      </c>
      <c r="N48"/>
      <c r="O48" s="68"/>
      <c r="P48" s="69"/>
      <c r="Q48" s="59">
        <f>(((O48*2)*'MATERIALES (2)'!$C$49)+((P48*2)*'MATERIALES (2)'!$C$50)+((P48*2)*'MATERIALES (2)'!$C$51)+((P48*2)*'MATERIALES (2)'!$C$55)+((O48*2)*'MATERIALES (2)'!$C$52)+((P48*2)*'MATERIALES (2)'!$C$67)+(P48*'MATERIALES (2)'!$C$68)+(P48*'MATERIALES (2)'!$C$78))*'MATERIALES (2)'!$F$2</f>
        <v>0</v>
      </c>
      <c r="R48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(2)'!$C$163)+(((O48*4)+(P48*6))*'MATERIALES (2)'!$C$177)+(((O48*2)+(P48*4))*'MATERIALES (2)'!$C$130)+(4*'MATERIALES (2)'!$C$137)+(((O48*5)*2)*'MATERIALES (2)'!$C$136)+(10*'MATERIALES (2)'!$C$134)+(2*'MATERIALES (2)'!$C$177)</f>
        <v>18260</v>
      </c>
      <c r="S48" s="75"/>
      <c r="T48" s="55">
        <f>(O48*P48)*'MATERIALES (2)'!$D$85</f>
        <v>0</v>
      </c>
      <c r="U48" s="55">
        <f>(((O48*P48)*2)*'MATERIALES (2)'!$D$86)+(8*'MATERIALES (2)'!$C$218)+(((O48*2)+(P48*4))*'MATERIALES (2)'!$C$219)+(((O48*2)+(P48*4))*'MATERIALES (2)'!$C$220)+((((O48*2)+(P48*2))/15)*'MATERIALES (2)'!$C$221)+((((O48*2)+(P48*2))/15)*('MATERIALES (2)'!$C$222*0.15))</f>
        <v>320</v>
      </c>
      <c r="V48" s="55">
        <f>(O48*P48)*'MATERIALES (2)'!$D$92</f>
        <v>0</v>
      </c>
      <c r="W48" s="125">
        <f t="shared" si="4"/>
        <v>32885.050275000001</v>
      </c>
      <c r="X48" s="125">
        <f t="shared" si="5"/>
        <v>33738.826275000007</v>
      </c>
      <c r="Y48" s="67">
        <f t="shared" si="6"/>
        <v>32885.050275000001</v>
      </c>
      <c r="Z48" s="57"/>
    </row>
    <row r="49" spans="1:26" ht="15.75" hidden="1" thickBot="1">
      <c r="A49" s="68">
        <v>2.2000000000000002</v>
      </c>
      <c r="B49" s="69">
        <v>1</v>
      </c>
      <c r="C49" s="59">
        <f>(((A49*2)*'MATERIALES (2)'!$C$49)+((B49*2)*'MATERIALES (2)'!$C$50)+((B49*2)*'MATERIALES (2)'!$C$51)+((B49*2)*'MATERIALES (2)'!$C$55)+((A49*2)*'MATERIALES (2)'!$C$52))*'MATERIALES (2)'!$F$2</f>
        <v>148148.07</v>
      </c>
      <c r="D49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(2)'!$C$163)+(((A49*4)+(B49*6))*'MATERIALES (2)'!$C$177)+(((A49*2)+(B49*4))*'MATERIALES (2)'!$C$130)+(4*'MATERIALES (2)'!$C$137)+(((A49*5)*2)*'MATERIALES (2)'!$C$136)+(2*'MATERIALES (2)'!$C$176)+(8*'MATERIALES (2)'!$C$163)+(2*'MATERIALES (2)'!$C$176)</f>
        <v>23432</v>
      </c>
      <c r="E49" s="75"/>
      <c r="F49" s="55">
        <f>(A49*B49)*'MATERIALES (2)'!$D$85</f>
        <v>16280.000000000002</v>
      </c>
      <c r="G49" s="55">
        <f>(((A49*B49)*2)*'MATERIALES (2)'!$D$86)+(8*'MATERIALES (2)'!$C$218)+(((A49*2)+(B49*4))*'MATERIALES (2)'!$C$219)+(((A49*2)+(B49*4))*'MATERIALES (2)'!$C$220)+((((A49*2)+(B49*2))/15)*'MATERIALES (2)'!$C$221)+((((A49*2)+(B49*2))/15)*('MATERIALES (2)'!$C$222*0.15))</f>
        <v>51413.866666666661</v>
      </c>
      <c r="H49" s="55">
        <f>(A49*B49)*'MATERIALES (2)'!$D$92</f>
        <v>79530</v>
      </c>
      <c r="I49" s="125">
        <f t="shared" si="0"/>
        <v>352440.19289036264</v>
      </c>
      <c r="J49" s="125">
        <f t="shared" si="1"/>
        <v>446179.10585036257</v>
      </c>
      <c r="K49" s="67">
        <f t="shared" si="2"/>
        <v>521194.3553903625</v>
      </c>
      <c r="L49" s="57"/>
      <c r="M49" s="403">
        <f t="shared" si="3"/>
        <v>44907.453663187393</v>
      </c>
      <c r="N49"/>
      <c r="O49" s="68">
        <v>2.2000000000000002</v>
      </c>
      <c r="P49" s="69">
        <v>1</v>
      </c>
      <c r="Q49" s="59">
        <f>(((O49*2)*'MATERIALES (2)'!$C$49)+((P49*2)*'MATERIALES (2)'!$C$50)+((P49*2)*'MATERIALES (2)'!$C$51)+((P49*2)*'MATERIALES (2)'!$C$55)+((O49*2)*'MATERIALES (2)'!$C$52)+((P49*2)*'MATERIALES (2)'!$C$67)+(P49*'MATERIALES (2)'!$C$68)+(P49*'MATERIALES (2)'!$C$78))*'MATERIALES (2)'!$F$2</f>
        <v>172983.72</v>
      </c>
      <c r="R49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(2)'!$C$163)+(((O49*4)+(P49*6))*'MATERIALES (2)'!$C$177)+(((O49*2)+(P49*4))*'MATERIALES (2)'!$C$130)+(4*'MATERIALES (2)'!$C$137)+(((O49*5)*2)*'MATERIALES (2)'!$C$136)+(10*'MATERIALES (2)'!$C$134)+(2*'MATERIALES (2)'!$C$177)</f>
        <v>23532</v>
      </c>
      <c r="S49" s="75"/>
      <c r="T49" s="55">
        <f>(O49*P49)*'MATERIALES (2)'!$D$85</f>
        <v>16280.000000000002</v>
      </c>
      <c r="U49" s="55">
        <f>(((O49*P49)*2)*'MATERIALES (2)'!$D$86)+(8*'MATERIALES (2)'!$C$218)+(((O49*2)+(P49*4))*'MATERIALES (2)'!$C$219)+(((O49*2)+(P49*4))*'MATERIALES (2)'!$C$220)+((((O49*2)+(P49*2))/15)*'MATERIALES (2)'!$C$221)+((((O49*2)+(P49*2))/15)*('MATERIALES (2)'!$C$222*0.15))</f>
        <v>51413.866666666661</v>
      </c>
      <c r="V49" s="55">
        <f>(O49*P49)*'MATERIALES (2)'!$D$92</f>
        <v>79530</v>
      </c>
      <c r="W49" s="125">
        <f t="shared" si="4"/>
        <v>397347.64655355003</v>
      </c>
      <c r="X49" s="125">
        <f t="shared" si="5"/>
        <v>491086.55951355008</v>
      </c>
      <c r="Y49" s="67">
        <f t="shared" si="6"/>
        <v>566101.80905355001</v>
      </c>
      <c r="Z49" s="57"/>
    </row>
    <row r="50" spans="1:26" ht="15.75" hidden="1" thickBot="1">
      <c r="A50" s="68">
        <v>2.2000000000000002</v>
      </c>
      <c r="B50" s="69">
        <v>1.2</v>
      </c>
      <c r="C50" s="59">
        <f>(((A50*2)*'MATERIALES (2)'!$C$49)+((B50*2)*'MATERIALES (2)'!$C$50)+((B50*2)*'MATERIALES (2)'!$C$51)+((B50*2)*'MATERIALES (2)'!$C$55)+((A50*2)*'MATERIALES (2)'!$C$52))*'MATERIALES (2)'!$F$2</f>
        <v>157325.86800000005</v>
      </c>
      <c r="D50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(2)'!$C$163)+(((A50*4)+(B50*6))*'MATERIALES (2)'!$C$177)+(((A50*2)+(B50*4))*'MATERIALES (2)'!$C$130)+(4*'MATERIALES (2)'!$C$137)+(((A50*5)*2)*'MATERIALES (2)'!$C$136)+(2*'MATERIALES (2)'!$C$176)+(8*'MATERIALES (2)'!$C$163)+(2*'MATERIALES (2)'!$C$176)</f>
        <v>23888</v>
      </c>
      <c r="E50" s="75"/>
      <c r="F50" s="55">
        <f>(A50*B50)*'MATERIALES (2)'!$D$85</f>
        <v>19536</v>
      </c>
      <c r="G50" s="55">
        <f>(((A50*B50)*2)*'MATERIALES (2)'!$D$86)+(8*'MATERIALES (2)'!$C$218)+(((A50*2)+(B50*4))*'MATERIALES (2)'!$C$219)+(((A50*2)+(B50*4))*'MATERIALES (2)'!$C$220)+((((A50*2)+(B50*2))/15)*'MATERIALES (2)'!$C$221)+((((A50*2)+(B50*2))/15)*('MATERIALES (2)'!$C$222*0.15))</f>
        <v>60144.083333333343</v>
      </c>
      <c r="H50" s="55">
        <f>(A50*B50)*'MATERIALES (2)'!$D$92</f>
        <v>95436</v>
      </c>
      <c r="I50" s="125">
        <f t="shared" si="0"/>
        <v>378477.19564924511</v>
      </c>
      <c r="J50" s="125">
        <f t="shared" si="1"/>
        <v>486821.59238674527</v>
      </c>
      <c r="K50" s="67">
        <f t="shared" si="2"/>
        <v>580982.19064924517</v>
      </c>
      <c r="L50" s="57"/>
      <c r="M50" s="403">
        <f t="shared" si="3"/>
        <v>53852.925720825035</v>
      </c>
      <c r="N50"/>
      <c r="O50" s="68">
        <v>2.2000000000000002</v>
      </c>
      <c r="P50" s="69">
        <v>1.2</v>
      </c>
      <c r="Q50" s="59">
        <f>(((O50*2)*'MATERIALES (2)'!$C$49)+((P50*2)*'MATERIALES (2)'!$C$50)+((P50*2)*'MATERIALES (2)'!$C$51)+((P50*2)*'MATERIALES (2)'!$C$55)+((O50*2)*'MATERIALES (2)'!$C$52)+((P50*2)*'MATERIALES (2)'!$C$67)+(P50*'MATERIALES (2)'!$C$68)+(P50*'MATERIALES (2)'!$C$78))*'MATERIALES (2)'!$F$2</f>
        <v>187128.64800000004</v>
      </c>
      <c r="R50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(2)'!$C$163)+(((O50*4)+(P50*6))*'MATERIALES (2)'!$C$177)+(((O50*2)+(P50*4))*'MATERIALES (2)'!$C$130)+(4*'MATERIALES (2)'!$C$137)+(((O50*5)*2)*'MATERIALES (2)'!$C$136)+(10*'MATERIALES (2)'!$C$134)+(2*'MATERIALES (2)'!$C$177)</f>
        <v>23988</v>
      </c>
      <c r="S50" s="75"/>
      <c r="T50" s="55">
        <f>(O50*P50)*'MATERIALES (2)'!$D$85</f>
        <v>19536</v>
      </c>
      <c r="U50" s="55">
        <f>(((O50*P50)*2)*'MATERIALES (2)'!$D$86)+(8*'MATERIALES (2)'!$C$218)+(((O50*2)+(P50*4))*'MATERIALES (2)'!$C$219)+(((O50*2)+(P50*4))*'MATERIALES (2)'!$C$220)+((((O50*2)+(P50*2))/15)*'MATERIALES (2)'!$C$221)+((((O50*2)+(P50*2))/15)*('MATERIALES (2)'!$C$222*0.15))</f>
        <v>60144.083333333343</v>
      </c>
      <c r="V50" s="55">
        <f>(O50*P50)*'MATERIALES (2)'!$D$92</f>
        <v>95436</v>
      </c>
      <c r="W50" s="125">
        <f t="shared" si="4"/>
        <v>432330.12137007015</v>
      </c>
      <c r="X50" s="125">
        <f t="shared" si="5"/>
        <v>540674.51810757013</v>
      </c>
      <c r="Y50" s="67">
        <f t="shared" si="6"/>
        <v>634835.11637007026</v>
      </c>
      <c r="Z50" s="57"/>
    </row>
    <row r="51" spans="1:26" ht="15.75" hidden="1" thickBot="1">
      <c r="A51" s="68">
        <v>2.2000000000000002</v>
      </c>
      <c r="B51" s="69">
        <v>1.5</v>
      </c>
      <c r="C51" s="59">
        <f>(((A51*2)*'MATERIALES (2)'!$C$49)+((B51*2)*'MATERIALES (2)'!$C$50)+((B51*2)*'MATERIALES (2)'!$C$51)+((B51*2)*'MATERIALES (2)'!$C$55)+((A51*2)*'MATERIALES (2)'!$C$52))*'MATERIALES (2)'!$F$2</f>
        <v>171092.565</v>
      </c>
      <c r="D51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(2)'!$C$163)+(((A51*4)+(B51*6))*'MATERIALES (2)'!$C$177)+(((A51*2)+(B51*4))*'MATERIALES (2)'!$C$130)+(4*'MATERIALES (2)'!$C$137)+(((A51*5)*2)*'MATERIALES (2)'!$C$136)+(2*'MATERIALES (2)'!$C$176)+(8*'MATERIALES (2)'!$C$163)+(2*'MATERIALES (2)'!$C$176)</f>
        <v>24572</v>
      </c>
      <c r="E51" s="75"/>
      <c r="F51" s="55">
        <f>(A51*B51)*'MATERIALES (2)'!$D$85</f>
        <v>24420.000000000004</v>
      </c>
      <c r="G51" s="55">
        <f>(((A51*B51)*2)*'MATERIALES (2)'!$D$86)+(8*'MATERIALES (2)'!$C$218)+(((A51*2)+(B51*4))*'MATERIALES (2)'!$C$219)+(((A51*2)+(B51*4))*'MATERIALES (2)'!$C$220)+((((A51*2)+(B51*2))/15)*'MATERIALES (2)'!$C$221)+((((A51*2)+(B51*2))/15)*('MATERIALES (2)'!$C$222*0.15))</f>
        <v>73239.408333333326</v>
      </c>
      <c r="H51" s="55">
        <f>(A51*B51)*'MATERIALES (2)'!$D$92</f>
        <v>119295.00000000001</v>
      </c>
      <c r="I51" s="125">
        <f t="shared" si="0"/>
        <v>417532.69978756882</v>
      </c>
      <c r="J51" s="125">
        <f t="shared" si="1"/>
        <v>547785.32219131873</v>
      </c>
      <c r="K51" s="67">
        <f t="shared" si="2"/>
        <v>670663.94353756879</v>
      </c>
      <c r="L51" s="57"/>
      <c r="M51" s="403">
        <f t="shared" si="3"/>
        <v>67271.133807281265</v>
      </c>
      <c r="N51"/>
      <c r="O51" s="68">
        <v>2.2000000000000002</v>
      </c>
      <c r="P51" s="69">
        <v>1.5</v>
      </c>
      <c r="Q51" s="59">
        <f>(((O51*2)*'MATERIALES (2)'!$C$49)+((P51*2)*'MATERIALES (2)'!$C$50)+((P51*2)*'MATERIALES (2)'!$C$51)+((P51*2)*'MATERIALES (2)'!$C$55)+((O51*2)*'MATERIALES (2)'!$C$52)+((P51*2)*'MATERIALES (2)'!$C$67)+(P51*'MATERIALES (2)'!$C$68)+(P51*'MATERIALES (2)'!$C$78))*'MATERIALES (2)'!$F$2</f>
        <v>208346.04</v>
      </c>
      <c r="R51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(2)'!$C$163)+(((O51*4)+(P51*6))*'MATERIALES (2)'!$C$177)+(((O51*2)+(P51*4))*'MATERIALES (2)'!$C$130)+(4*'MATERIALES (2)'!$C$137)+(((O51*5)*2)*'MATERIALES (2)'!$C$136)+(10*'MATERIALES (2)'!$C$134)+(2*'MATERIALES (2)'!$C$177)</f>
        <v>24672</v>
      </c>
      <c r="S51" s="75"/>
      <c r="T51" s="55">
        <f>(O51*P51)*'MATERIALES (2)'!$D$85</f>
        <v>24420.000000000004</v>
      </c>
      <c r="U51" s="55">
        <f>(((O51*P51)*2)*'MATERIALES (2)'!$D$86)+(8*'MATERIALES (2)'!$C$218)+(((O51*2)+(P51*4))*'MATERIALES (2)'!$C$219)+(((O51*2)+(P51*4))*'MATERIALES (2)'!$C$220)+((((O51*2)+(P51*2))/15)*'MATERIALES (2)'!$C$221)+((((O51*2)+(P51*2))/15)*('MATERIALES (2)'!$C$222*0.15))</f>
        <v>73239.408333333326</v>
      </c>
      <c r="V51" s="55">
        <f>(O51*P51)*'MATERIALES (2)'!$D$92</f>
        <v>119295.00000000001</v>
      </c>
      <c r="W51" s="125">
        <f t="shared" si="4"/>
        <v>484803.83359485009</v>
      </c>
      <c r="X51" s="125">
        <f t="shared" si="5"/>
        <v>615056.45599860011</v>
      </c>
      <c r="Y51" s="67">
        <f t="shared" si="6"/>
        <v>737935.07734485005</v>
      </c>
      <c r="Z51" s="57"/>
    </row>
    <row r="52" spans="1:26" ht="15.75" hidden="1" thickBot="1">
      <c r="A52" s="68">
        <v>2.2000000000000002</v>
      </c>
      <c r="B52" s="69">
        <v>1.8</v>
      </c>
      <c r="C52" s="59">
        <f>(((A52*2)*'MATERIALES (2)'!$C$49)+((B52*2)*'MATERIALES (2)'!$C$50)+((B52*2)*'MATERIALES (2)'!$C$51)+((B52*2)*'MATERIALES (2)'!$C$55)+((A52*2)*'MATERIALES (2)'!$C$52))*'MATERIALES (2)'!$F$2</f>
        <v>184859.26200000002</v>
      </c>
      <c r="D52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(2)'!$C$163)+(((A52*4)+(B52*6))*'MATERIALES (2)'!$C$177)+(((A52*2)+(B52*4))*'MATERIALES (2)'!$C$130)+(4*'MATERIALES (2)'!$C$137)+(((A52*5)*2)*'MATERIALES (2)'!$C$136)+(2*'MATERIALES (2)'!$C$176)+(8*'MATERIALES (2)'!$C$163)+(2*'MATERIALES (2)'!$C$176)</f>
        <v>25256</v>
      </c>
      <c r="E52" s="75"/>
      <c r="F52" s="55">
        <f>(A52*B52)*'MATERIALES (2)'!$D$85</f>
        <v>29304.000000000004</v>
      </c>
      <c r="G52" s="55">
        <f>(((A52*B52)*2)*'MATERIALES (2)'!$D$86)+(8*'MATERIALES (2)'!$C$218)+(((A52*2)+(B52*4))*'MATERIALES (2)'!$C$219)+(((A52*2)+(B52*4))*'MATERIALES (2)'!$C$220)+((((A52*2)+(B52*2))/15)*'MATERIALES (2)'!$C$221)+((((A52*2)+(B52*2))/15)*('MATERIALES (2)'!$C$222*0.15))</f>
        <v>86334.733333333337</v>
      </c>
      <c r="H52" s="55">
        <f>(A52*B52)*'MATERIALES (2)'!$D$92</f>
        <v>143154.00000000003</v>
      </c>
      <c r="I52" s="125">
        <f t="shared" si="0"/>
        <v>456588.20392589259</v>
      </c>
      <c r="J52" s="125">
        <f t="shared" si="1"/>
        <v>608749.05199589266</v>
      </c>
      <c r="K52" s="67">
        <f t="shared" si="2"/>
        <v>760345.69642589276</v>
      </c>
      <c r="L52" s="57"/>
      <c r="M52" s="403">
        <f t="shared" si="3"/>
        <v>80689.341893737437</v>
      </c>
      <c r="N52"/>
      <c r="O52" s="68">
        <v>2.2000000000000002</v>
      </c>
      <c r="P52" s="69">
        <v>1.8</v>
      </c>
      <c r="Q52" s="59">
        <f>(((O52*2)*'MATERIALES (2)'!$C$49)+((P52*2)*'MATERIALES (2)'!$C$50)+((P52*2)*'MATERIALES (2)'!$C$51)+((P52*2)*'MATERIALES (2)'!$C$55)+((O52*2)*'MATERIALES (2)'!$C$52)+((P52*2)*'MATERIALES (2)'!$C$67)+(P52*'MATERIALES (2)'!$C$68)+(P52*'MATERIALES (2)'!$C$78))*'MATERIALES (2)'!$F$2</f>
        <v>229563.432</v>
      </c>
      <c r="R52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(2)'!$C$163)+(((O52*4)+(P52*6))*'MATERIALES (2)'!$C$177)+(((O52*2)+(P52*4))*'MATERIALES (2)'!$C$130)+(4*'MATERIALES (2)'!$C$137)+(((O52*5)*2)*'MATERIALES (2)'!$C$136)+(10*'MATERIALES (2)'!$C$134)+(2*'MATERIALES (2)'!$C$177)</f>
        <v>25356</v>
      </c>
      <c r="S52" s="75"/>
      <c r="T52" s="55">
        <f>(O52*P52)*'MATERIALES (2)'!$D$85</f>
        <v>29304.000000000004</v>
      </c>
      <c r="U52" s="55">
        <f>(((O52*P52)*2)*'MATERIALES (2)'!$D$86)+(8*'MATERIALES (2)'!$C$218)+(((O52*2)+(P52*4))*'MATERIALES (2)'!$C$219)+(((O52*2)+(P52*4))*'MATERIALES (2)'!$C$220)+((((O52*2)+(P52*2))/15)*'MATERIALES (2)'!$C$221)+((((O52*2)+(P52*2))/15)*('MATERIALES (2)'!$C$222*0.15))</f>
        <v>86334.733333333337</v>
      </c>
      <c r="V52" s="55">
        <f>(O52*P52)*'MATERIALES (2)'!$D$92</f>
        <v>143154.00000000003</v>
      </c>
      <c r="W52" s="125">
        <f t="shared" si="4"/>
        <v>537277.54581963003</v>
      </c>
      <c r="X52" s="125">
        <f t="shared" si="5"/>
        <v>689438.3938896301</v>
      </c>
      <c r="Y52" s="67">
        <f t="shared" si="6"/>
        <v>841035.03831963032</v>
      </c>
      <c r="Z52" s="57"/>
    </row>
    <row r="53" spans="1:26" ht="15.75" hidden="1" thickBot="1">
      <c r="A53" s="68">
        <v>2.4</v>
      </c>
      <c r="B53" s="69">
        <v>0.4</v>
      </c>
      <c r="C53" s="59">
        <f>(((A53*2)*'MATERIALES (2)'!$C$49)+((B53*2)*'MATERIALES (2)'!$C$50)+((B53*2)*'MATERIALES (2)'!$C$51)+((B53*2)*'MATERIALES (2)'!$C$55)+((A53*2)*'MATERIALES (2)'!$C$52))*'MATERIALES (2)'!$F$2</f>
        <v>129910.95599999998</v>
      </c>
      <c r="D53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(2)'!$C$163)+(((A53*4)+(B53*6))*'MATERIALES (2)'!$C$177)+(((A53*2)+(B53*4))*'MATERIALES (2)'!$C$130)+(4*'MATERIALES (2)'!$C$137)+(((A53*5)*2)*'MATERIALES (2)'!$C$136)+(2*'MATERIALES (2)'!$C$176)+(8*'MATERIALES (2)'!$C$163)+(2*'MATERIALES (2)'!$C$176)</f>
        <v>22336</v>
      </c>
      <c r="E53" s="75"/>
      <c r="F53" s="55">
        <f>(A53*B53)*'MATERIALES (2)'!$D$85</f>
        <v>7104</v>
      </c>
      <c r="G53" s="55">
        <f>(((A53*B53)*2)*'MATERIALES (2)'!$D$86)+(8*'MATERIALES (2)'!$C$218)+(((A53*2)+(B53*4))*'MATERIALES (2)'!$C$219)+(((A53*2)+(B53*4))*'MATERIALES (2)'!$C$220)+((((A53*2)+(B53*2))/15)*'MATERIALES (2)'!$C$221)+((((A53*2)+(B53*2))/15)*('MATERIALES (2)'!$C$222*0.15))</f>
        <v>27311.033333333329</v>
      </c>
      <c r="H53" s="55">
        <f>(A53*B53)*'MATERIALES (2)'!$D$92</f>
        <v>34704</v>
      </c>
      <c r="I53" s="125">
        <f t="shared" si="0"/>
        <v>293140.50859516498</v>
      </c>
      <c r="J53" s="125">
        <f t="shared" si="1"/>
        <v>347053.883880165</v>
      </c>
      <c r="K53" s="67">
        <f t="shared" si="2"/>
        <v>366778.68859516503</v>
      </c>
      <c r="L53" s="57"/>
      <c r="M53" s="403">
        <f t="shared" si="3"/>
        <v>18071.037490275048</v>
      </c>
      <c r="N53"/>
      <c r="O53" s="68">
        <v>2.4</v>
      </c>
      <c r="P53" s="69">
        <v>0.4</v>
      </c>
      <c r="Q53" s="59">
        <f>(((O53*2)*'MATERIALES (2)'!$C$49)+((P53*2)*'MATERIALES (2)'!$C$50)+((P53*2)*'MATERIALES (2)'!$C$51)+((P53*2)*'MATERIALES (2)'!$C$55)+((O53*2)*'MATERIALES (2)'!$C$52)+((P53*2)*'MATERIALES (2)'!$C$67)+(P53*'MATERIALES (2)'!$C$68)+(P53*'MATERIALES (2)'!$C$78))*'MATERIALES (2)'!$F$2</f>
        <v>139845.21599999999</v>
      </c>
      <c r="R53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(2)'!$C$163)+(((O53*4)+(P53*6))*'MATERIALES (2)'!$C$177)+(((O53*2)+(P53*4))*'MATERIALES (2)'!$C$130)+(4*'MATERIALES (2)'!$C$137)+(((O53*5)*2)*'MATERIALES (2)'!$C$136)+(10*'MATERIALES (2)'!$C$134)+(2*'MATERIALES (2)'!$C$177)</f>
        <v>22436</v>
      </c>
      <c r="S53" s="75"/>
      <c r="T53" s="55">
        <f>(O53*P53)*'MATERIALES (2)'!$D$85</f>
        <v>7104</v>
      </c>
      <c r="U53" s="55">
        <f>(((O53*P53)*2)*'MATERIALES (2)'!$D$86)+(8*'MATERIALES (2)'!$C$218)+(((O53*2)+(P53*4))*'MATERIALES (2)'!$C$219)+(((O53*2)+(P53*4))*'MATERIALES (2)'!$C$220)+((((O53*2)+(P53*2))/15)*'MATERIALES (2)'!$C$221)+((((O53*2)+(P53*2))/15)*('MATERIALES (2)'!$C$222*0.15))</f>
        <v>27311.033333333329</v>
      </c>
      <c r="V53" s="55">
        <f>(O53*P53)*'MATERIALES (2)'!$D$92</f>
        <v>34704</v>
      </c>
      <c r="W53" s="125">
        <f t="shared" si="4"/>
        <v>311211.54608544003</v>
      </c>
      <c r="X53" s="125">
        <f t="shared" si="5"/>
        <v>365124.92137043999</v>
      </c>
      <c r="Y53" s="67">
        <f t="shared" si="6"/>
        <v>384849.72608543996</v>
      </c>
      <c r="Z53" s="57"/>
    </row>
    <row r="54" spans="1:26" ht="15.75" hidden="1" thickBot="1">
      <c r="A54" s="68">
        <v>2.4</v>
      </c>
      <c r="B54" s="69">
        <v>0.6</v>
      </c>
      <c r="C54" s="59">
        <f>(((A54*2)*'MATERIALES (2)'!$C$49)+((B54*2)*'MATERIALES (2)'!$C$50)+((B54*2)*'MATERIALES (2)'!$C$51)+((B54*2)*'MATERIALES (2)'!$C$55)+((A54*2)*'MATERIALES (2)'!$C$52))*'MATERIALES (2)'!$F$2</f>
        <v>139088.75399999999</v>
      </c>
      <c r="D54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(2)'!$C$163)+(((A54*4)+(B54*6))*'MATERIALES (2)'!$C$177)+(((A54*2)+(B54*4))*'MATERIALES (2)'!$C$130)+(4*'MATERIALES (2)'!$C$137)+(((A54*5)*2)*'MATERIALES (2)'!$C$136)+(2*'MATERIALES (2)'!$C$176)+(8*'MATERIALES (2)'!$C$163)+(2*'MATERIALES (2)'!$C$176)</f>
        <v>22792</v>
      </c>
      <c r="E54" s="75"/>
      <c r="F54" s="55">
        <f>(A54*B54)*'MATERIALES (2)'!$D$85</f>
        <v>10656</v>
      </c>
      <c r="G54" s="55">
        <f>(((A54*B54)*2)*'MATERIALES (2)'!$D$86)+(8*'MATERIALES (2)'!$C$218)+(((A54*2)+(B54*4))*'MATERIALES (2)'!$C$219)+(((A54*2)+(B54*4))*'MATERIALES (2)'!$C$220)+((((A54*2)+(B54*2))/15)*'MATERIALES (2)'!$C$221)+((((A54*2)+(B54*2))/15)*('MATERIALES (2)'!$C$222*0.15))</f>
        <v>36746.85</v>
      </c>
      <c r="H54" s="55">
        <f>(A54*B54)*'MATERIALES (2)'!$D$92</f>
        <v>52056</v>
      </c>
      <c r="I54" s="125">
        <f t="shared" si="0"/>
        <v>319967.25415404746</v>
      </c>
      <c r="J54" s="125">
        <f t="shared" si="1"/>
        <v>389578.94649654755</v>
      </c>
      <c r="K54" s="67">
        <f t="shared" si="2"/>
        <v>430424.52415404754</v>
      </c>
      <c r="L54" s="57"/>
      <c r="M54" s="403">
        <f t="shared" si="3"/>
        <v>27016.509547912574</v>
      </c>
      <c r="N54"/>
      <c r="O54" s="68">
        <v>2.4</v>
      </c>
      <c r="P54" s="69">
        <v>0.6</v>
      </c>
      <c r="Q54" s="59">
        <f>(((O54*2)*'MATERIALES (2)'!$C$49)+((P54*2)*'MATERIALES (2)'!$C$50)+((P54*2)*'MATERIALES (2)'!$C$51)+((P54*2)*'MATERIALES (2)'!$C$55)+((O54*2)*'MATERIALES (2)'!$C$52)+((P54*2)*'MATERIALES (2)'!$C$67)+(P54*'MATERIALES (2)'!$C$68)+(P54*'MATERIALES (2)'!$C$78))*'MATERIALES (2)'!$F$2</f>
        <v>153990.14399999997</v>
      </c>
      <c r="R54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(2)'!$C$163)+(((O54*4)+(P54*6))*'MATERIALES (2)'!$C$177)+(((O54*2)+(P54*4))*'MATERIALES (2)'!$C$130)+(4*'MATERIALES (2)'!$C$137)+(((O54*5)*2)*'MATERIALES (2)'!$C$136)+(10*'MATERIALES (2)'!$C$134)+(2*'MATERIALES (2)'!$C$177)</f>
        <v>22892</v>
      </c>
      <c r="S54" s="75"/>
      <c r="T54" s="55">
        <f>(O54*P54)*'MATERIALES (2)'!$D$85</f>
        <v>10656</v>
      </c>
      <c r="U54" s="55">
        <f>(((O54*P54)*2)*'MATERIALES (2)'!$D$86)+(8*'MATERIALES (2)'!$C$218)+(((O54*2)+(P54*4))*'MATERIALES (2)'!$C$219)+(((O54*2)+(P54*4))*'MATERIALES (2)'!$C$220)+((((O54*2)+(P54*2))/15)*'MATERIALES (2)'!$C$221)+((((O54*2)+(P54*2))/15)*('MATERIALES (2)'!$C$222*0.15))</f>
        <v>36746.85</v>
      </c>
      <c r="V54" s="55">
        <f>(O54*P54)*'MATERIALES (2)'!$D$92</f>
        <v>52056</v>
      </c>
      <c r="W54" s="125">
        <f t="shared" si="4"/>
        <v>346983.76370196004</v>
      </c>
      <c r="X54" s="125">
        <f t="shared" si="5"/>
        <v>416595.45604446001</v>
      </c>
      <c r="Y54" s="67">
        <f t="shared" si="6"/>
        <v>457441.03370196006</v>
      </c>
      <c r="Z54" s="57"/>
    </row>
    <row r="55" spans="1:26" ht="15.75" hidden="1" thickBot="1">
      <c r="A55" s="68">
        <v>2.4</v>
      </c>
      <c r="B55" s="69">
        <v>0.8</v>
      </c>
      <c r="C55" s="59">
        <f>(((A55*2)*'MATERIALES (2)'!$C$49)+((B55*2)*'MATERIALES (2)'!$C$50)+((B55*2)*'MATERIALES (2)'!$C$51)+((B55*2)*'MATERIALES (2)'!$C$55)+((A55*2)*'MATERIALES (2)'!$C$52))*'MATERIALES (2)'!$F$2</f>
        <v>148266.552</v>
      </c>
      <c r="D55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(2)'!$C$163)+(((A55*4)+(B55*6))*'MATERIALES (2)'!$C$177)+(((A55*2)+(B55*4))*'MATERIALES (2)'!$C$130)+(4*'MATERIALES (2)'!$C$137)+(((A55*5)*2)*'MATERIALES (2)'!$C$136)+(2*'MATERIALES (2)'!$C$176)+(8*'MATERIALES (2)'!$C$163)+(2*'MATERIALES (2)'!$C$176)</f>
        <v>23248</v>
      </c>
      <c r="E55" s="75"/>
      <c r="F55" s="55">
        <f>(A55*B55)*'MATERIALES (2)'!$D$85</f>
        <v>14208</v>
      </c>
      <c r="G55" s="55">
        <f>(((A55*B55)*2)*'MATERIALES (2)'!$D$86)+(8*'MATERIALES (2)'!$C$218)+(((A55*2)+(B55*4))*'MATERIALES (2)'!$C$219)+(((A55*2)+(B55*4))*'MATERIALES (2)'!$C$220)+((((A55*2)+(B55*2))/15)*'MATERIALES (2)'!$C$221)+((((A55*2)+(B55*2))/15)*('MATERIALES (2)'!$C$222*0.15))</f>
        <v>46182.666666666657</v>
      </c>
      <c r="H55" s="55">
        <f>(A55*B55)*'MATERIALES (2)'!$D$92</f>
        <v>69408</v>
      </c>
      <c r="I55" s="125">
        <f t="shared" si="0"/>
        <v>346793.99971293</v>
      </c>
      <c r="J55" s="125">
        <f t="shared" si="1"/>
        <v>432104.00911292998</v>
      </c>
      <c r="K55" s="67">
        <f t="shared" si="2"/>
        <v>494070.35971293011</v>
      </c>
      <c r="L55" s="57"/>
      <c r="M55" s="403">
        <f t="shared" si="3"/>
        <v>35961.981605550041</v>
      </c>
      <c r="N55"/>
      <c r="O55" s="68">
        <v>2.4</v>
      </c>
      <c r="P55" s="69">
        <v>0.8</v>
      </c>
      <c r="Q55" s="59">
        <f>(((O55*2)*'MATERIALES (2)'!$C$49)+((P55*2)*'MATERIALES (2)'!$C$50)+((P55*2)*'MATERIALES (2)'!$C$51)+((P55*2)*'MATERIALES (2)'!$C$55)+((O55*2)*'MATERIALES (2)'!$C$52)+((P55*2)*'MATERIALES (2)'!$C$67)+(P55*'MATERIALES (2)'!$C$68)+(P55*'MATERIALES (2)'!$C$78))*'MATERIALES (2)'!$F$2</f>
        <v>168135.07199999999</v>
      </c>
      <c r="R55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(2)'!$C$163)+(((O55*4)+(P55*6))*'MATERIALES (2)'!$C$177)+(((O55*2)+(P55*4))*'MATERIALES (2)'!$C$130)+(4*'MATERIALES (2)'!$C$137)+(((O55*5)*2)*'MATERIALES (2)'!$C$136)+(10*'MATERIALES (2)'!$C$134)+(2*'MATERIALES (2)'!$C$177)</f>
        <v>23348</v>
      </c>
      <c r="S55" s="75"/>
      <c r="T55" s="55">
        <f>(O55*P55)*'MATERIALES (2)'!$D$85</f>
        <v>14208</v>
      </c>
      <c r="U55" s="55">
        <f>(((O55*P55)*2)*'MATERIALES (2)'!$D$86)+(8*'MATERIALES (2)'!$C$218)+(((O55*2)+(P55*4))*'MATERIALES (2)'!$C$219)+(((O55*2)+(P55*4))*'MATERIALES (2)'!$C$220)+((((O55*2)+(P55*2))/15)*'MATERIALES (2)'!$C$221)+((((O55*2)+(P55*2))/15)*('MATERIALES (2)'!$C$222*0.15))</f>
        <v>46182.666666666657</v>
      </c>
      <c r="V55" s="55">
        <f>(O55*P55)*'MATERIALES (2)'!$D$92</f>
        <v>69408</v>
      </c>
      <c r="W55" s="125">
        <f t="shared" si="4"/>
        <v>382755.98131848004</v>
      </c>
      <c r="X55" s="125">
        <f t="shared" si="5"/>
        <v>468065.99071848002</v>
      </c>
      <c r="Y55" s="67">
        <f t="shared" si="6"/>
        <v>530032.34131848009</v>
      </c>
      <c r="Z55" s="57"/>
    </row>
    <row r="56" spans="1:26" ht="15.75" hidden="1" thickBot="1">
      <c r="A56" s="68">
        <v>2.4</v>
      </c>
      <c r="B56" s="69">
        <v>1</v>
      </c>
      <c r="C56" s="59">
        <f>(((A56*2)*'MATERIALES (2)'!$C$49)+((B56*2)*'MATERIALES (2)'!$C$50)+((B56*2)*'MATERIALES (2)'!$C$51)+((B56*2)*'MATERIALES (2)'!$C$55)+((A56*2)*'MATERIALES (2)'!$C$52))*'MATERIALES (2)'!$F$2</f>
        <v>157444.35</v>
      </c>
      <c r="D56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(2)'!$C$163)+(((A56*4)+(B56*6))*'MATERIALES (2)'!$C$177)+(((A56*2)+(B56*4))*'MATERIALES (2)'!$C$130)+(4*'MATERIALES (2)'!$C$137)+(((A56*5)*2)*'MATERIALES (2)'!$C$136)+(2*'MATERIALES (2)'!$C$176)+(8*'MATERIALES (2)'!$C$163)+(2*'MATERIALES (2)'!$C$176)</f>
        <v>23704</v>
      </c>
      <c r="E56" s="75"/>
      <c r="F56" s="55">
        <f>(A56*B56)*'MATERIALES (2)'!$D$85</f>
        <v>17760</v>
      </c>
      <c r="G56" s="55">
        <f>(((A56*B56)*2)*'MATERIALES (2)'!$D$86)+(8*'MATERIALES (2)'!$C$218)+(((A56*2)+(B56*4))*'MATERIALES (2)'!$C$219)+(((A56*2)+(B56*4))*'MATERIALES (2)'!$C$220)+((((A56*2)+(B56*2))/15)*'MATERIALES (2)'!$C$221)+((((A56*2)+(B56*2))/15)*('MATERIALES (2)'!$C$222*0.15))</f>
        <v>55618.483333333337</v>
      </c>
      <c r="H56" s="55">
        <f>(A56*B56)*'MATERIALES (2)'!$D$92</f>
        <v>86760</v>
      </c>
      <c r="I56" s="125">
        <f t="shared" si="0"/>
        <v>373620.7452718126</v>
      </c>
      <c r="J56" s="125">
        <f t="shared" si="1"/>
        <v>474629.07172931259</v>
      </c>
      <c r="K56" s="67">
        <f t="shared" si="2"/>
        <v>557716.1952718125</v>
      </c>
      <c r="L56" s="57"/>
      <c r="M56" s="403">
        <f t="shared" si="3"/>
        <v>44907.453663187451</v>
      </c>
      <c r="N56"/>
      <c r="O56" s="68">
        <v>2.4</v>
      </c>
      <c r="P56" s="69">
        <v>1</v>
      </c>
      <c r="Q56" s="59">
        <f>(((O56*2)*'MATERIALES (2)'!$C$49)+((P56*2)*'MATERIALES (2)'!$C$50)+((P56*2)*'MATERIALES (2)'!$C$51)+((P56*2)*'MATERIALES (2)'!$C$55)+((O56*2)*'MATERIALES (2)'!$C$52)+((P56*2)*'MATERIALES (2)'!$C$67)+(P56*'MATERIALES (2)'!$C$68)+(P56*'MATERIALES (2)'!$C$78))*'MATERIALES (2)'!$F$2</f>
        <v>182280</v>
      </c>
      <c r="R56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(2)'!$C$163)+(((O56*4)+(P56*6))*'MATERIALES (2)'!$C$177)+(((O56*2)+(P56*4))*'MATERIALES (2)'!$C$130)+(4*'MATERIALES (2)'!$C$137)+(((O56*5)*2)*'MATERIALES (2)'!$C$136)+(10*'MATERIALES (2)'!$C$134)+(2*'MATERIALES (2)'!$C$177)</f>
        <v>23804</v>
      </c>
      <c r="S56" s="75"/>
      <c r="T56" s="55">
        <f>(O56*P56)*'MATERIALES (2)'!$D$85</f>
        <v>17760</v>
      </c>
      <c r="U56" s="55">
        <f>(((O56*P56)*2)*'MATERIALES (2)'!$D$86)+(8*'MATERIALES (2)'!$C$218)+(((O56*2)+(P56*4))*'MATERIALES (2)'!$C$219)+(((O56*2)+(P56*4))*'MATERIALES (2)'!$C$220)+((((O56*2)+(P56*2))/15)*'MATERIALES (2)'!$C$221)+((((O56*2)+(P56*2))/15)*('MATERIALES (2)'!$C$222*0.15))</f>
        <v>55618.483333333337</v>
      </c>
      <c r="V56" s="55">
        <f>(O56*P56)*'MATERIALES (2)'!$D$92</f>
        <v>86760</v>
      </c>
      <c r="W56" s="125">
        <f t="shared" si="4"/>
        <v>418528.19893500005</v>
      </c>
      <c r="X56" s="125">
        <f t="shared" si="5"/>
        <v>519536.5253925001</v>
      </c>
      <c r="Y56" s="67">
        <f t="shared" si="6"/>
        <v>602623.64893499995</v>
      </c>
      <c r="Z56" s="57"/>
    </row>
    <row r="57" spans="1:26" ht="15.75" hidden="1" thickBot="1">
      <c r="A57" s="68">
        <v>2.4</v>
      </c>
      <c r="B57" s="69">
        <v>1.2</v>
      </c>
      <c r="C57" s="59">
        <f>(((A57*2)*'MATERIALES (2)'!$C$49)+((B57*2)*'MATERIALES (2)'!$C$50)+((B57*2)*'MATERIALES (2)'!$C$51)+((B57*2)*'MATERIALES (2)'!$C$55)+((A57*2)*'MATERIALES (2)'!$C$52))*'MATERIALES (2)'!$F$2</f>
        <v>166622.14800000002</v>
      </c>
      <c r="D57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(2)'!$C$163)+(((A57*4)+(B57*6))*'MATERIALES (2)'!$C$177)+(((A57*2)+(B57*4))*'MATERIALES (2)'!$C$130)+(4*'MATERIALES (2)'!$C$137)+(((A57*5)*2)*'MATERIALES (2)'!$C$136)+(2*'MATERIALES (2)'!$C$176)+(8*'MATERIALES (2)'!$C$163)+(2*'MATERIALES (2)'!$C$176)</f>
        <v>24160</v>
      </c>
      <c r="E57" s="75"/>
      <c r="F57" s="55">
        <f>(A57*B57)*'MATERIALES (2)'!$D$85</f>
        <v>21312</v>
      </c>
      <c r="G57" s="55">
        <f>(((A57*B57)*2)*'MATERIALES (2)'!$D$86)+(8*'MATERIALES (2)'!$C$218)+(((A57*2)+(B57*4))*'MATERIALES (2)'!$C$219)+(((A57*2)+(B57*4))*'MATERIALES (2)'!$C$220)+((((A57*2)+(B57*2))/15)*'MATERIALES (2)'!$C$221)+((((A57*2)+(B57*2))/15)*('MATERIALES (2)'!$C$222*0.15))</f>
        <v>65054.299999999996</v>
      </c>
      <c r="H57" s="55">
        <f>(A57*B57)*'MATERIALES (2)'!$D$92</f>
        <v>104112</v>
      </c>
      <c r="I57" s="125">
        <f t="shared" si="0"/>
        <v>400447.49083069508</v>
      </c>
      <c r="J57" s="125">
        <f t="shared" si="1"/>
        <v>517154.13434569509</v>
      </c>
      <c r="K57" s="67">
        <f t="shared" si="2"/>
        <v>621362.03083069506</v>
      </c>
      <c r="L57" s="57"/>
      <c r="M57" s="403">
        <f t="shared" si="3"/>
        <v>53852.925720824976</v>
      </c>
      <c r="N57"/>
      <c r="O57" s="68">
        <v>2.4</v>
      </c>
      <c r="P57" s="69">
        <v>1.2</v>
      </c>
      <c r="Q57" s="59">
        <f>(((O57*2)*'MATERIALES (2)'!$C$49)+((P57*2)*'MATERIALES (2)'!$C$50)+((P57*2)*'MATERIALES (2)'!$C$51)+((P57*2)*'MATERIALES (2)'!$C$55)+((O57*2)*'MATERIALES (2)'!$C$52)+((P57*2)*'MATERIALES (2)'!$C$67)+(P57*'MATERIALES (2)'!$C$68)+(P57*'MATERIALES (2)'!$C$78))*'MATERIALES (2)'!$F$2</f>
        <v>196424.92800000001</v>
      </c>
      <c r="R57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(2)'!$C$163)+(((O57*4)+(P57*6))*'MATERIALES (2)'!$C$177)+(((O57*2)+(P57*4))*'MATERIALES (2)'!$C$130)+(4*'MATERIALES (2)'!$C$137)+(((O57*5)*2)*'MATERIALES (2)'!$C$136)+(10*'MATERIALES (2)'!$C$134)+(2*'MATERIALES (2)'!$C$177)</f>
        <v>24260</v>
      </c>
      <c r="S57" s="75"/>
      <c r="T57" s="55">
        <f>(O57*P57)*'MATERIALES (2)'!$D$85</f>
        <v>21312</v>
      </c>
      <c r="U57" s="55">
        <f>(((O57*P57)*2)*'MATERIALES (2)'!$D$86)+(8*'MATERIALES (2)'!$C$218)+(((O57*2)+(P57*4))*'MATERIALES (2)'!$C$219)+(((O57*2)+(P57*4))*'MATERIALES (2)'!$C$220)+((((O57*2)+(P57*2))/15)*'MATERIALES (2)'!$C$221)+((((O57*2)+(P57*2))/15)*('MATERIALES (2)'!$C$222*0.15))</f>
        <v>65054.299999999996</v>
      </c>
      <c r="V57" s="55">
        <f>(O57*P57)*'MATERIALES (2)'!$D$92</f>
        <v>104112</v>
      </c>
      <c r="W57" s="125">
        <f t="shared" si="4"/>
        <v>454300.41655152006</v>
      </c>
      <c r="X57" s="125">
        <f t="shared" si="5"/>
        <v>571007.06006652012</v>
      </c>
      <c r="Y57" s="67">
        <f t="shared" si="6"/>
        <v>675214.95655152015</v>
      </c>
      <c r="Z57" s="57"/>
    </row>
    <row r="58" spans="1:26" ht="15.75" hidden="1" thickBot="1">
      <c r="A58" s="68">
        <v>2.4</v>
      </c>
      <c r="B58" s="69">
        <v>1.5</v>
      </c>
      <c r="C58" s="59">
        <f>(((A58*2)*'MATERIALES (2)'!$C$49)+((B58*2)*'MATERIALES (2)'!$C$50)+((B58*2)*'MATERIALES (2)'!$C$51)+((B58*2)*'MATERIALES (2)'!$C$55)+((A58*2)*'MATERIALES (2)'!$C$52))*'MATERIALES (2)'!$F$2</f>
        <v>180388.845</v>
      </c>
      <c r="D58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(2)'!$C$163)+(((A58*4)+(B58*6))*'MATERIALES (2)'!$C$177)+(((A58*2)+(B58*4))*'MATERIALES (2)'!$C$130)+(4*'MATERIALES (2)'!$C$137)+(((A58*5)*2)*'MATERIALES (2)'!$C$136)+(2*'MATERIALES (2)'!$C$176)+(8*'MATERIALES (2)'!$C$163)+(2*'MATERIALES (2)'!$C$176)</f>
        <v>24844</v>
      </c>
      <c r="E58" s="75"/>
      <c r="F58" s="55">
        <f>(A58*B58)*'MATERIALES (2)'!$D$85</f>
        <v>26639.999999999996</v>
      </c>
      <c r="G58" s="55">
        <f>(((A58*B58)*2)*'MATERIALES (2)'!$D$86)+(8*'MATERIALES (2)'!$C$218)+(((A58*2)+(B58*4))*'MATERIALES (2)'!$C$219)+(((A58*2)+(B58*4))*'MATERIALES (2)'!$C$220)+((((A58*2)+(B58*2))/15)*'MATERIALES (2)'!$C$221)+((((A58*2)+(B58*2))/15)*('MATERIALES (2)'!$C$222*0.15))</f>
        <v>79208.024999999994</v>
      </c>
      <c r="H58" s="55">
        <f>(A58*B58)*'MATERIALES (2)'!$D$92</f>
        <v>130139.99999999999</v>
      </c>
      <c r="I58" s="125">
        <f t="shared" si="0"/>
        <v>440687.6091690188</v>
      </c>
      <c r="J58" s="125">
        <f t="shared" si="1"/>
        <v>580941.72827026877</v>
      </c>
      <c r="K58" s="67">
        <f t="shared" si="2"/>
        <v>716830.78416901873</v>
      </c>
      <c r="L58" s="57"/>
      <c r="M58" s="403">
        <f t="shared" si="3"/>
        <v>67271.133807281207</v>
      </c>
      <c r="N58"/>
      <c r="O58" s="68">
        <v>2.4</v>
      </c>
      <c r="P58" s="69">
        <v>1.5</v>
      </c>
      <c r="Q58" s="59">
        <f>(((O58*2)*'MATERIALES (2)'!$C$49)+((P58*2)*'MATERIALES (2)'!$C$50)+((P58*2)*'MATERIALES (2)'!$C$51)+((P58*2)*'MATERIALES (2)'!$C$55)+((O58*2)*'MATERIALES (2)'!$C$52)+((P58*2)*'MATERIALES (2)'!$C$67)+(P58*'MATERIALES (2)'!$C$68)+(P58*'MATERIALES (2)'!$C$78))*'MATERIALES (2)'!$F$2</f>
        <v>217642.31999999998</v>
      </c>
      <c r="R58" s="59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(2)'!$C$163)+(((O58*4)+(P58*6))*'MATERIALES (2)'!$C$177)+(((O58*2)+(P58*4))*'MATERIALES (2)'!$C$130)+(4*'MATERIALES (2)'!$C$137)+(((O58*5)*2)*'MATERIALES (2)'!$C$136)+(10*'MATERIALES (2)'!$C$134)+(2*'MATERIALES (2)'!$C$177)</f>
        <v>24944</v>
      </c>
      <c r="S58" s="75"/>
      <c r="T58" s="55">
        <f>(O58*P58)*'MATERIALES (2)'!$D$85</f>
        <v>26639.999999999996</v>
      </c>
      <c r="U58" s="55">
        <f>(((O58*P58)*2)*'MATERIALES (2)'!$D$86)+(8*'MATERIALES (2)'!$C$218)+(((O58*2)+(P58*4))*'MATERIALES (2)'!$C$219)+(((O58*2)+(P58*4))*'MATERIALES (2)'!$C$220)+((((O58*2)+(P58*2))/15)*'MATERIALES (2)'!$C$221)+((((O58*2)+(P58*2))/15)*('MATERIALES (2)'!$C$222*0.15))</f>
        <v>79208.024999999994</v>
      </c>
      <c r="V58" s="55">
        <f>(O58*P58)*'MATERIALES (2)'!$D$92</f>
        <v>130139.99999999999</v>
      </c>
      <c r="W58" s="125">
        <f t="shared" si="4"/>
        <v>507958.74297630001</v>
      </c>
      <c r="X58" s="125">
        <f t="shared" si="5"/>
        <v>648212.86207754991</v>
      </c>
      <c r="Y58" s="67">
        <f t="shared" si="6"/>
        <v>784101.9179763</v>
      </c>
      <c r="Z58" s="57"/>
    </row>
    <row r="59" spans="1:26" ht="15.75" hidden="1" thickBot="1">
      <c r="A59" s="71">
        <v>2.4</v>
      </c>
      <c r="B59" s="72">
        <v>1.8</v>
      </c>
      <c r="C59" s="60">
        <f>(((A59*2)*'MATERIALES (2)'!$C$49)+((B59*2)*'MATERIALES (2)'!$C$50)+((B59*2)*'MATERIALES (2)'!$C$51)+((B59*2)*'MATERIALES (2)'!$C$55)+((A59*2)*'MATERIALES (2)'!$C$52))*'MATERIALES (2)'!$F$2</f>
        <v>194155.54199999996</v>
      </c>
      <c r="D59" s="60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(2)'!$C$163)+(((A59*4)+(B59*6))*'MATERIALES (2)'!$C$177)+(((A59*2)+(B59*4))*'MATERIALES (2)'!$C$130)+(4*'MATERIALES (2)'!$C$137)+(((A59*5)*2)*'MATERIALES (2)'!$C$136)+(2*'MATERIALES (2)'!$C$176)+(8*'MATERIALES (2)'!$C$163)+(2*'MATERIALES (2)'!$C$176)</f>
        <v>25528</v>
      </c>
      <c r="E59" s="76"/>
      <c r="F59" s="56">
        <f>(A59*B59)*'MATERIALES (2)'!$D$85</f>
        <v>31968.000000000004</v>
      </c>
      <c r="G59" s="56">
        <f>(((A59*B59)*2)*'MATERIALES (2)'!$D$86)+(8*'MATERIALES (2)'!$C$218)+(((A59*2)+(B59*4))*'MATERIALES (2)'!$C$219)+(((A59*2)+(B59*4))*'MATERIALES (2)'!$C$220)+((((A59*2)+(B59*2))/15)*'MATERIALES (2)'!$C$221)+((((A59*2)+(B59*2))/15)*('MATERIALES (2)'!$C$222*0.15))</f>
        <v>93361.75</v>
      </c>
      <c r="H59" s="56">
        <f>(A59*B59)*'MATERIALES (2)'!$D$92</f>
        <v>156168</v>
      </c>
      <c r="I59" s="125">
        <f t="shared" si="0"/>
        <v>480927.72750734247</v>
      </c>
      <c r="J59" s="125">
        <f t="shared" si="1"/>
        <v>644729.32219484239</v>
      </c>
      <c r="K59" s="67">
        <f t="shared" si="2"/>
        <v>812299.53750734241</v>
      </c>
      <c r="L59" s="57"/>
      <c r="M59" s="403">
        <f t="shared" si="3"/>
        <v>80689.341893737554</v>
      </c>
      <c r="N59"/>
      <c r="O59" s="71">
        <v>2.4</v>
      </c>
      <c r="P59" s="72">
        <v>1.8</v>
      </c>
      <c r="Q59" s="60">
        <f>(((O59*2)*'MATERIALES (2)'!$C$49)+((P59*2)*'MATERIALES (2)'!$C$50)+((P59*2)*'MATERIALES (2)'!$C$51)+((P59*2)*'MATERIALES (2)'!$C$55)+((O59*2)*'MATERIALES (2)'!$C$52)+((P59*2)*'MATERIALES (2)'!$C$67)+(P59*'MATERIALES (2)'!$C$68)+(P59*'MATERIALES (2)'!$C$78))*'MATERIALES (2)'!$F$2</f>
        <v>238859.71199999997</v>
      </c>
      <c r="R59" s="60">
        <f>(2*'MATERIALES (2)'!$C$166)+(4*'MATERIALES (2)'!$C$168)+(4*'MATERIALES (2)'!$C$170)+(2*'MATERIALES (2)'!$C$171)+(4*'MATERIALES (2)'!$C$172)+(4*'MATERIALES (2)'!$C$173)+(4*'MATERIALES (2)'!$C$174)+(2*'MATERIALES (2)'!$C$175)+(8*'MATERIALES (2)'!$C$147)+(8*'MATERIALES (2)'!$C$163)+(((O59*4)+(P59*6))*'MATERIALES (2)'!$C$177)+(((O59*2)+(P59*4))*'MATERIALES (2)'!$C$130)+(4*'MATERIALES (2)'!$C$137)+(((O59*5)*2)*'MATERIALES (2)'!$C$136)+(10*'MATERIALES (2)'!$C$134)+(2*'MATERIALES (2)'!$C$177)</f>
        <v>25628</v>
      </c>
      <c r="S59" s="76"/>
      <c r="T59" s="56">
        <f>(O59*P59)*'MATERIALES (2)'!$D$85</f>
        <v>31968.000000000004</v>
      </c>
      <c r="U59" s="56">
        <f>(((O59*P59)*2)*'MATERIALES (2)'!$D$86)+(8*'MATERIALES (2)'!$C$218)+(((O59*2)+(P59*4))*'MATERIALES (2)'!$C$219)+(((O59*2)+(P59*4))*'MATERIALES (2)'!$C$220)+((((O59*2)+(P59*2))/15)*'MATERIALES (2)'!$C$221)+((((O59*2)+(P59*2))/15)*('MATERIALES (2)'!$C$222*0.15))</f>
        <v>93361.75</v>
      </c>
      <c r="V59" s="56">
        <f>(O59*P59)*'MATERIALES (2)'!$D$92</f>
        <v>156168</v>
      </c>
      <c r="W59" s="125">
        <f t="shared" si="4"/>
        <v>561617.06940108002</v>
      </c>
      <c r="X59" s="125">
        <f t="shared" si="5"/>
        <v>725418.66408858006</v>
      </c>
      <c r="Y59" s="67">
        <f t="shared" si="6"/>
        <v>892988.87940108008</v>
      </c>
      <c r="Z59" s="57"/>
    </row>
    <row r="60" spans="1:26" hidden="1">
      <c r="A60" s="120"/>
      <c r="B60" s="120"/>
      <c r="E60" s="120"/>
      <c r="M60" s="403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</row>
    <row r="61" spans="1:26" hidden="1">
      <c r="M61" s="403"/>
      <c r="T61" s="2"/>
      <c r="U61"/>
    </row>
    <row r="62" spans="1:26" ht="15.75" hidden="1" thickBot="1">
      <c r="A62" s="122"/>
      <c r="B62" s="117"/>
      <c r="C62" s="117"/>
      <c r="D62" s="117"/>
      <c r="E62" s="117"/>
      <c r="F62" s="117"/>
      <c r="G62" s="117"/>
      <c r="H62" s="123"/>
      <c r="I62" s="9"/>
      <c r="M62" s="403"/>
      <c r="N62" s="117"/>
      <c r="O62" s="117"/>
      <c r="P62" s="117"/>
      <c r="Q62" s="117"/>
      <c r="R62" s="117"/>
      <c r="S62" s="117"/>
      <c r="T62" s="123"/>
      <c r="U62" s="9"/>
    </row>
    <row r="63" spans="1:26" ht="15.75" hidden="1" thickBot="1">
      <c r="C63" s="941">
        <v>1.35</v>
      </c>
      <c r="D63" s="942"/>
      <c r="E63" s="943"/>
      <c r="F63" s="807">
        <v>2</v>
      </c>
      <c r="G63" s="809"/>
      <c r="H63" s="740">
        <v>1.5</v>
      </c>
      <c r="I63" s="62" t="s">
        <v>163</v>
      </c>
      <c r="M63" s="403"/>
      <c r="N63" s="117"/>
      <c r="Q63" s="941">
        <v>1.35</v>
      </c>
      <c r="R63" s="942"/>
      <c r="S63" s="943"/>
      <c r="T63" s="807">
        <v>2</v>
      </c>
      <c r="U63" s="809"/>
      <c r="V63" s="740">
        <v>1.5</v>
      </c>
      <c r="W63" s="62" t="s">
        <v>163</v>
      </c>
    </row>
    <row r="64" spans="1:26" ht="15.75" hidden="1" thickBot="1">
      <c r="A64" s="792" t="s">
        <v>364</v>
      </c>
      <c r="B64" s="793"/>
      <c r="C64" s="793"/>
      <c r="D64" s="793"/>
      <c r="E64" s="793"/>
      <c r="F64" s="793"/>
      <c r="G64" s="793"/>
      <c r="H64" s="793"/>
      <c r="I64" s="793"/>
      <c r="J64" s="793"/>
      <c r="K64" s="794"/>
      <c r="M64" s="403"/>
      <c r="N64" s="94"/>
      <c r="O64" s="792" t="s">
        <v>367</v>
      </c>
      <c r="P64" s="793"/>
      <c r="Q64" s="793"/>
      <c r="R64" s="793"/>
      <c r="S64" s="793"/>
      <c r="T64" s="793"/>
      <c r="U64" s="793"/>
      <c r="V64" s="793"/>
      <c r="W64" s="793"/>
      <c r="X64" s="793"/>
      <c r="Y64" s="794"/>
    </row>
    <row r="65" spans="1:25" ht="15.75" hidden="1" thickBot="1">
      <c r="A65" s="36" t="s">
        <v>116</v>
      </c>
      <c r="B65" s="36" t="s">
        <v>117</v>
      </c>
      <c r="C65" s="36" t="s">
        <v>162</v>
      </c>
      <c r="D65" s="36" t="s">
        <v>119</v>
      </c>
      <c r="E65" s="36" t="s">
        <v>120</v>
      </c>
      <c r="F65" s="36" t="s">
        <v>520</v>
      </c>
      <c r="G65" s="114" t="s">
        <v>260</v>
      </c>
      <c r="H65" s="36" t="s">
        <v>259</v>
      </c>
      <c r="I65" s="36" t="s">
        <v>521</v>
      </c>
      <c r="J65" s="349" t="s">
        <v>262</v>
      </c>
      <c r="K65" s="116" t="s">
        <v>263</v>
      </c>
      <c r="M65" s="403"/>
      <c r="N65" s="123"/>
      <c r="O65" s="36" t="s">
        <v>116</v>
      </c>
      <c r="P65" s="36" t="s">
        <v>117</v>
      </c>
      <c r="Q65" s="36" t="s">
        <v>162</v>
      </c>
      <c r="R65" s="36" t="s">
        <v>119</v>
      </c>
      <c r="S65" s="36" t="s">
        <v>120</v>
      </c>
      <c r="T65" s="36" t="s">
        <v>520</v>
      </c>
      <c r="U65" s="114" t="s">
        <v>260</v>
      </c>
      <c r="V65" s="36" t="s">
        <v>259</v>
      </c>
      <c r="W65" s="36" t="s">
        <v>261</v>
      </c>
      <c r="X65" s="116" t="s">
        <v>262</v>
      </c>
      <c r="Y65" s="116" t="s">
        <v>263</v>
      </c>
    </row>
    <row r="66" spans="1:25" ht="15.75" hidden="1" thickBot="1">
      <c r="A66" s="795"/>
      <c r="B66" s="796"/>
      <c r="C66" s="796"/>
      <c r="D66" s="796"/>
      <c r="E66" s="796"/>
      <c r="F66" s="796"/>
      <c r="G66" s="796"/>
      <c r="H66" s="796"/>
      <c r="I66" s="796"/>
      <c r="J66" s="796"/>
      <c r="K66" s="797"/>
      <c r="M66" s="403"/>
      <c r="N66" s="94"/>
      <c r="O66" s="795"/>
      <c r="P66" s="796"/>
      <c r="Q66" s="796"/>
      <c r="R66" s="796"/>
      <c r="S66" s="796"/>
      <c r="T66" s="796"/>
      <c r="U66" s="796"/>
      <c r="V66" s="796"/>
      <c r="W66" s="796"/>
      <c r="X66" s="796"/>
      <c r="Y66" s="797"/>
    </row>
    <row r="67" spans="1:25" ht="15.75" hidden="1" thickBot="1">
      <c r="A67" s="65">
        <v>1.2</v>
      </c>
      <c r="B67" s="66">
        <v>2</v>
      </c>
      <c r="C67" s="58">
        <f>(((A67*2)*'MATERIALES (2)'!$C$49)+((B67*2)*'MATERIALES (2)'!$C$50)+((B67*2)*'MATERIALES (2)'!$C$51)+((B67*2)*'MATERIALES (2)'!$C$55)+((A67*2)*'MATERIALES (2)'!$C$52)+(A67*'MATERIALES (2)'!$C$56))*'MATERIALES (2)'!$F$2</f>
        <v>164808.46199999997</v>
      </c>
      <c r="D67" s="58">
        <f>(2*'MATERIALES (2)'!$C$167)+(4*'MATERIALES (2)'!$C$169)+(4*'MATERIALES (2)'!$C$170)+(2*'MATERIALES (2)'!$C$171)+(4*'MATERIALES (2)'!$C$172)+(4*'MATERIALES (2)'!$C$173)+(4*'MATERIALES (2)'!$C$174)+(2*'MATERIALES (2)'!$C$175)+(8*'MATERIALES (2)'!$C$147)+(16*'MATERIALES (2)'!$C$163)+(4*'MATERIALES (2)'!$C$148)+(((A67*4)+(B67*6))*'MATERIALES (2)'!$C$177)+(((A67*4)+(B67*4))*'MATERIALES (2)'!$C$130)+(4*'MATERIALES (2)'!$C$137)+(((A67*5)*2)*'MATERIALES (2)'!$C$136)+(2*'MATERIALES (2)'!$C$176)</f>
        <v>31958</v>
      </c>
      <c r="E67" s="74"/>
      <c r="F67" s="54">
        <f>(A67*B67)*'MATERIALES (2)'!$D$85</f>
        <v>17760</v>
      </c>
      <c r="G67" s="54">
        <f>(((A67*B67)*2)*'MATERIALES (2)'!$D$86)+(16*'MATERIALES (2)'!$C$218)+(((A67*4)+(B67*4))*'MATERIALES (2)'!$C$219)+(((A67*4)+(B67*4))*'MATERIALES (2)'!$C$220)+((((A67*2)+(B67*2))/15)*'MATERIALES (2)'!$C$221)+((((A67*2)+(B67*2))/15)*('MATERIALES (2)'!$C$222*0.15))</f>
        <v>58473.866666666661</v>
      </c>
      <c r="H67" s="54">
        <f>(A67*B67)*'MATERIALES (2)'!$D$92</f>
        <v>86760</v>
      </c>
      <c r="I67" s="125">
        <f>((((SUM(C67:E67)*$C$63)+(F67*$F$63))*1.21)*1.05)*1.05</f>
        <v>401747.93028389249</v>
      </c>
      <c r="J67" s="125">
        <f>((((SUM(C67:E67)*$C$63)+(G67*$F$63))*1.21)*1.05)*1.05</f>
        <v>510374.56224389246</v>
      </c>
      <c r="K67" s="67">
        <f>((((SUM(C67:E67)*$C$63)+(H67*$F$63))*1.21)*1.05)*1.05</f>
        <v>585843.38028389262</v>
      </c>
      <c r="L67" s="53"/>
      <c r="M67" s="403">
        <f>(W67-I67)</f>
        <v>89814.907326375018</v>
      </c>
      <c r="N67" s="117"/>
      <c r="O67" s="65">
        <v>1.2</v>
      </c>
      <c r="P67" s="66">
        <v>2</v>
      </c>
      <c r="Q67" s="58">
        <f>(((O67*2)*'MATERIALES (2)'!$C$49)+((P67*2)*'MATERIALES (2)'!$C$50)+((P67*2)*'MATERIALES (2)'!$C$51)+((P67*2)*'MATERIALES (2)'!$C$55)+((O67*2)*'MATERIALES (2)'!$C$52)+(O67*'MATERIALES (2)'!$C$56) +((P67*2)*'MATERIALES (2)'!$C$67)+(P67*'MATERIALES (2)'!$C$68)+(P67*'MATERIALES (2)'!$C$78))*'MATERIALES (2)'!$F$2</f>
        <v>214479.76199999996</v>
      </c>
      <c r="R67" s="58">
        <f>(2*'MATERIALES (2)'!$C$167)+(4*'MATERIALES (2)'!$C$169)+(4*'MATERIALES (2)'!$C$170)+(2*'MATERIALES (2)'!$C$171)+(4*'MATERIALES (2)'!$C$172)+(4*'MATERIALES (2)'!$C$173)+(4*'MATERIALES (2)'!$C$174)+(2*'MATERIALES (2)'!$C$175)+(8*'MATERIALES (2)'!$C$147)+(16*'MATERIALES (2)'!$C$163)+(4*'MATERIALES (2)'!$C$148)+(((O67*4)+(P67*6))*'MATERIALES (2)'!$C$177)+(((O67*4)+(P67*4))*'MATERIALES (2)'!$C$130)+(4*'MATERIALES (2)'!$C$137)+(((O67*5)*2)*'MATERIALES (2)'!$C$136)+(10*'MATERIALES (2)'!$C$134) +(2*'MATERIALES (2)'!$C$176)</f>
        <v>32158</v>
      </c>
      <c r="S67" s="74"/>
      <c r="T67" s="54">
        <f>(O67*P67)*'MATERIALES (2)'!$D$85</f>
        <v>17760</v>
      </c>
      <c r="U67" s="54">
        <f>(((O67*P67)*2)*'MATERIALES (2)'!$D$86)+(16*'MATERIALES (2)'!$C$218)+(((O67*4)+(P67*4))*'MATERIALES (2)'!$C$219)+(((O67*4)+(P67*4))*'MATERIALES (2)'!$C$220)+((((O67*2)+(P67*2))/15)*'MATERIALES (2)'!$C$221)+((((O67*2)+(P67*2))/15)*('MATERIALES (2)'!$C$222*0.15))</f>
        <v>58473.866666666661</v>
      </c>
      <c r="V67" s="54">
        <f>(O67*P67)*'MATERIALES (2)'!$D$92</f>
        <v>86760</v>
      </c>
      <c r="W67" s="125">
        <f>((((SUM(Q67:S67)*$Q$63)+(T67*$T$63))*1.21)*1.05)*1.05</f>
        <v>491562.83761026751</v>
      </c>
      <c r="X67" s="125">
        <f>((((SUM(Q67:S67)*$Q$63)+(U67*$T$63))*1.21)*1.05)*1.05</f>
        <v>600189.4695702676</v>
      </c>
      <c r="Y67" s="67">
        <f>((((SUM(Q67:S67)*$Q$63)+(V67*$T$63))*1.21)*1.05)*1.05</f>
        <v>675658.28761026741</v>
      </c>
    </row>
    <row r="68" spans="1:25" ht="15.75" hidden="1" thickBot="1">
      <c r="A68" s="68">
        <v>1.5</v>
      </c>
      <c r="B68" s="69">
        <v>2</v>
      </c>
      <c r="C68" s="59">
        <f>(((A68*2)*'MATERIALES (2)'!$C$49)+((B68*2)*'MATERIALES (2)'!$C$50)+((B68*2)*'MATERIALES (2)'!$C$51)+((B68*2)*'MATERIALES (2)'!$C$55)+((A68*2)*'MATERIALES (2)'!$C$52)+(A68*'MATERIALES (2)'!$C$56))*'MATERIALES (2)'!$F$2</f>
        <v>183066.08249999999</v>
      </c>
      <c r="D68" s="59">
        <f>(2*'MATERIALES (2)'!$C$167)+(4*'MATERIALES (2)'!$C$169)+(4*'MATERIALES (2)'!$C$170)+(2*'MATERIALES (2)'!$C$171)+(4*'MATERIALES (2)'!$C$172)+(4*'MATERIALES (2)'!$C$173)+(4*'MATERIALES (2)'!$C$174)+(2*'MATERIALES (2)'!$C$175)+(8*'MATERIALES (2)'!$C$147)+(16*'MATERIALES (2)'!$C$163)+(4*'MATERIALES (2)'!$C$148)+(((A68*4)+(B68*6))*'MATERIALES (2)'!$C$177)+(((A68*4)+(B68*4))*'MATERIALES (2)'!$C$130)+(4*'MATERIALES (2)'!$C$137)+(((A68*5)*2)*'MATERIALES (2)'!$C$136)+(2*'MATERIALES (2)'!$C$176)</f>
        <v>32510</v>
      </c>
      <c r="E68" s="75"/>
      <c r="F68" s="55">
        <f>(A68*B68)*'MATERIALES (2)'!$D$85</f>
        <v>22200</v>
      </c>
      <c r="G68" s="55">
        <f>(((A68*B68)*2)*'MATERIALES (2)'!$D$86)+(16*'MATERIALES (2)'!$C$218)+(((A68*4)+(B68*4))*'MATERIALES (2)'!$C$219)+(((A68*4)+(B68*4))*'MATERIALES (2)'!$C$220)+((((A68*2)+(B68*2))/15)*'MATERIALES (2)'!$C$221)+((((A68*2)+(B68*2))/15)*('MATERIALES (2)'!$C$222*0.15))</f>
        <v>70510.791666666672</v>
      </c>
      <c r="H68" s="55">
        <f>(A68*B68)*'MATERIALES (2)'!$D$92</f>
        <v>108450</v>
      </c>
      <c r="I68" s="125">
        <f t="shared" ref="I68:I72" si="7">((((SUM(C68:E68)*$C$63)+(F68*$F$63))*1.21)*1.05)*1.05</f>
        <v>447468.95266703441</v>
      </c>
      <c r="J68" s="125">
        <f t="shared" ref="J68:J72" si="8">((((SUM(C68:E68)*$C$63)+(G68*$F$63))*1.21)*1.05)*1.05</f>
        <v>576364.56037328439</v>
      </c>
      <c r="K68" s="67">
        <f t="shared" ref="K68:K72" si="9">((((SUM(C68:E68)*$C$63)+(H68*$F$63))*1.21)*1.05)*1.05</f>
        <v>677588.26516703435</v>
      </c>
      <c r="M68" s="403">
        <f t="shared" si="3"/>
        <v>89814.90732637496</v>
      </c>
      <c r="N68" s="117"/>
      <c r="O68" s="68">
        <v>1.5</v>
      </c>
      <c r="P68" s="69">
        <v>2</v>
      </c>
      <c r="Q68" s="59">
        <f>(((O68*2)*'MATERIALES (2)'!$C$49)+((P68*2)*'MATERIALES (2)'!$C$50)+((P68*2)*'MATERIALES (2)'!$C$51)+((P68*2)*'MATERIALES (2)'!$C$55)+((O68*2)*'MATERIALES (2)'!$C$52)+(O68*'MATERIALES (2)'!$C$56) +((P68*2)*'MATERIALES (2)'!$C$67)+(P68*'MATERIALES (2)'!$C$68)+(P68*'MATERIALES (2)'!$C$78))*'MATERIALES (2)'!$F$2</f>
        <v>232737.38249999998</v>
      </c>
      <c r="R68" s="59">
        <f>(2*'MATERIALES (2)'!$C$167)+(4*'MATERIALES (2)'!$C$169)+(4*'MATERIALES (2)'!$C$170)+(2*'MATERIALES (2)'!$C$171)+(4*'MATERIALES (2)'!$C$172)+(4*'MATERIALES (2)'!$C$173)+(4*'MATERIALES (2)'!$C$174)+(2*'MATERIALES (2)'!$C$175)+(8*'MATERIALES (2)'!$C$147)+(16*'MATERIALES (2)'!$C$163)+(4*'MATERIALES (2)'!$C$148)+(((O68*4)+(P68*6))*'MATERIALES (2)'!$C$177)+(((O68*4)+(P68*4))*'MATERIALES (2)'!$C$130)+(4*'MATERIALES (2)'!$C$137)+(((O68*5)*2)*'MATERIALES (2)'!$C$136)+(10*'MATERIALES (2)'!$C$134) +(2*'MATERIALES (2)'!$C$176)</f>
        <v>32710</v>
      </c>
      <c r="S68" s="75"/>
      <c r="T68" s="55">
        <f>(O68*P68)*'MATERIALES (2)'!$D$85</f>
        <v>22200</v>
      </c>
      <c r="U68" s="55">
        <f>(((O68*P68)*2)*'MATERIALES (2)'!$D$86)+(16*'MATERIALES (2)'!$C$218)+(((O68*4)+(P68*4))*'MATERIALES (2)'!$C$219)+(((O68*4)+(P68*4))*'MATERIALES (2)'!$C$220)+((((O68*2)+(P68*2))/15)*'MATERIALES (2)'!$C$221)+((((O68*2)+(P68*2))/15)*('MATERIALES (2)'!$C$222*0.15))</f>
        <v>70510.791666666672</v>
      </c>
      <c r="V68" s="55">
        <f>(O68*P68)*'MATERIALES (2)'!$D$92</f>
        <v>108450</v>
      </c>
      <c r="W68" s="125">
        <f t="shared" ref="W68:W72" si="10">((((SUM(Q68:S68)*$Q$63)+(T68*$T$63))*1.21)*1.05)*1.05</f>
        <v>537283.85999340937</v>
      </c>
      <c r="X68" s="125">
        <f t="shared" ref="X68:X72" si="11">((((SUM(Q68:S68)*$Q$63)+(U68*$T$63))*1.21)*1.05)*1.05</f>
        <v>666179.46769965941</v>
      </c>
      <c r="Y68" s="67">
        <f t="shared" ref="Y68:Y72" si="12">((((SUM(Q68:S68)*$Q$63)+(V68*$T$63))*1.21)*1.05)*1.05</f>
        <v>767403.17249340925</v>
      </c>
    </row>
    <row r="69" spans="1:25" ht="15.75" hidden="1" thickBot="1">
      <c r="A69" s="68">
        <v>1.8</v>
      </c>
      <c r="B69" s="69">
        <v>2</v>
      </c>
      <c r="C69" s="59">
        <f>(((A69*2)*'MATERIALES (2)'!$C$49)+((B69*2)*'MATERIALES (2)'!$C$50)+((B69*2)*'MATERIALES (2)'!$C$51)+((B69*2)*'MATERIALES (2)'!$C$55)+((A69*2)*'MATERIALES (2)'!$C$52)+(A69*'MATERIALES (2)'!$C$56))*'MATERIALES (2)'!$F$2</f>
        <v>201323.70300000001</v>
      </c>
      <c r="D69" s="59">
        <f>(2*'MATERIALES (2)'!$C$167)+(4*'MATERIALES (2)'!$C$169)+(4*'MATERIALES (2)'!$C$170)+(2*'MATERIALES (2)'!$C$171)+(4*'MATERIALES (2)'!$C$172)+(4*'MATERIALES (2)'!$C$173)+(4*'MATERIALES (2)'!$C$174)+(2*'MATERIALES (2)'!$C$175)+(8*'MATERIALES (2)'!$C$147)+(16*'MATERIALES (2)'!$C$163)+(4*'MATERIALES (2)'!$C$148)+(((A69*4)+(B69*6))*'MATERIALES (2)'!$C$177)+(((A69*4)+(B69*4))*'MATERIALES (2)'!$C$130)+(4*'MATERIALES (2)'!$C$137)+(((A69*5)*2)*'MATERIALES (2)'!$C$136)+(2*'MATERIALES (2)'!$C$176)</f>
        <v>33062</v>
      </c>
      <c r="E69" s="75"/>
      <c r="F69" s="55">
        <f>(A69*B69)*'MATERIALES (2)'!$D$85</f>
        <v>26640</v>
      </c>
      <c r="G69" s="55">
        <f>(((A69*B69)*2)*'MATERIALES (2)'!$D$86)+(16*'MATERIALES (2)'!$C$218)+(((A69*4)+(B69*4))*'MATERIALES (2)'!$C$219)+(((A69*4)+(B69*4))*'MATERIALES (2)'!$C$220)+((((A69*2)+(B69*2))/15)*'MATERIALES (2)'!$C$221)+((((A69*2)+(B69*2))/15)*('MATERIALES (2)'!$C$222*0.15))</f>
        <v>82547.716666666674</v>
      </c>
      <c r="H69" s="55">
        <f>(A69*B69)*'MATERIALES (2)'!$D$92</f>
        <v>130140</v>
      </c>
      <c r="I69" s="125">
        <f t="shared" si="7"/>
        <v>493189.97505017638</v>
      </c>
      <c r="J69" s="125">
        <f t="shared" si="8"/>
        <v>642354.55850267643</v>
      </c>
      <c r="K69" s="67">
        <f t="shared" si="9"/>
        <v>769333.15005017642</v>
      </c>
      <c r="M69" s="403">
        <f t="shared" si="3"/>
        <v>89814.907326375018</v>
      </c>
      <c r="N69" s="117"/>
      <c r="O69" s="68">
        <v>1.8</v>
      </c>
      <c r="P69" s="69">
        <v>2</v>
      </c>
      <c r="Q69" s="59">
        <f>(((O69*2)*'MATERIALES (2)'!$C$49)+((P69*2)*'MATERIALES (2)'!$C$50)+((P69*2)*'MATERIALES (2)'!$C$51)+((P69*2)*'MATERIALES (2)'!$C$55)+((O69*2)*'MATERIALES (2)'!$C$52)+(O69*'MATERIALES (2)'!$C$56) +((P69*2)*'MATERIALES (2)'!$C$67)+(P69*'MATERIALES (2)'!$C$68)+(P69*'MATERIALES (2)'!$C$78))*'MATERIALES (2)'!$F$2</f>
        <v>250995.003</v>
      </c>
      <c r="R69" s="59">
        <f>(2*'MATERIALES (2)'!$C$167)+(4*'MATERIALES (2)'!$C$169)+(4*'MATERIALES (2)'!$C$170)+(2*'MATERIALES (2)'!$C$171)+(4*'MATERIALES (2)'!$C$172)+(4*'MATERIALES (2)'!$C$173)+(4*'MATERIALES (2)'!$C$174)+(2*'MATERIALES (2)'!$C$175)+(8*'MATERIALES (2)'!$C$147)+(16*'MATERIALES (2)'!$C$163)+(4*'MATERIALES (2)'!$C$148)+(((O69*4)+(P69*6))*'MATERIALES (2)'!$C$177)+(((O69*4)+(P69*4))*'MATERIALES (2)'!$C$130)+(4*'MATERIALES (2)'!$C$137)+(((O69*5)*2)*'MATERIALES (2)'!$C$136)+(10*'MATERIALES (2)'!$C$134) +(2*'MATERIALES (2)'!$C$176)</f>
        <v>33262</v>
      </c>
      <c r="S69" s="75"/>
      <c r="T69" s="55">
        <f>(O69*P69)*'MATERIALES (2)'!$D$85</f>
        <v>26640</v>
      </c>
      <c r="U69" s="55">
        <f>(((O69*P69)*2)*'MATERIALES (2)'!$D$86)+(16*'MATERIALES (2)'!$C$218)+(((O69*4)+(P69*4))*'MATERIALES (2)'!$C$219)+(((O69*4)+(P69*4))*'MATERIALES (2)'!$C$220)+((((O69*2)+(P69*2))/15)*'MATERIALES (2)'!$C$221)+((((O69*2)+(P69*2))/15)*('MATERIALES (2)'!$C$222*0.15))</f>
        <v>82547.716666666674</v>
      </c>
      <c r="V69" s="55">
        <f>(O69*P69)*'MATERIALES (2)'!$D$92</f>
        <v>130140</v>
      </c>
      <c r="W69" s="125">
        <f t="shared" si="10"/>
        <v>583004.8823765514</v>
      </c>
      <c r="X69" s="125">
        <f t="shared" si="11"/>
        <v>732169.46582905133</v>
      </c>
      <c r="Y69" s="67">
        <f t="shared" si="12"/>
        <v>859148.05737655144</v>
      </c>
    </row>
    <row r="70" spans="1:25" ht="15.75" hidden="1" thickBot="1">
      <c r="A70" s="68">
        <v>2</v>
      </c>
      <c r="B70" s="69">
        <v>2</v>
      </c>
      <c r="C70" s="59">
        <f>(((A70*2)*'MATERIALES (2)'!$C$49)+((B70*2)*'MATERIALES (2)'!$C$50)+((B70*2)*'MATERIALES (2)'!$C$51)+((B70*2)*'MATERIALES (2)'!$C$55)+((A70*2)*'MATERIALES (2)'!$C$52)+(A70*'MATERIALES (2)'!$C$56))*'MATERIALES (2)'!$F$2</f>
        <v>213495.44999999998</v>
      </c>
      <c r="D70" s="59">
        <f>(2*'MATERIALES (2)'!$C$167)+(4*'MATERIALES (2)'!$C$169)+(4*'MATERIALES (2)'!$C$170)+(2*'MATERIALES (2)'!$C$171)+(4*'MATERIALES (2)'!$C$172)+(4*'MATERIALES (2)'!$C$173)+(4*'MATERIALES (2)'!$C$174)+(2*'MATERIALES (2)'!$C$175)+(8*'MATERIALES (2)'!$C$147)+(16*'MATERIALES (2)'!$C$163)+(4*'MATERIALES (2)'!$C$148)+(((A70*4)+(B70*6))*'MATERIALES (2)'!$C$177)+(((A70*4)+(B70*4))*'MATERIALES (2)'!$C$130)+(4*'MATERIALES (2)'!$C$137)+(((A70*5)*2)*'MATERIALES (2)'!$C$136)+(2*'MATERIALES (2)'!$C$176)</f>
        <v>33430</v>
      </c>
      <c r="E70" s="75"/>
      <c r="F70" s="55">
        <f>(A70*B70)*'MATERIALES (2)'!$D$85</f>
        <v>29600</v>
      </c>
      <c r="G70" s="55">
        <f>(((A70*B70)*2)*'MATERIALES (2)'!$D$86)+(16*'MATERIALES (2)'!$C$218)+(((A70*4)+(B70*4))*'MATERIALES (2)'!$C$219)+(((A70*4)+(B70*4))*'MATERIALES (2)'!$C$220)+((((A70*2)+(B70*2))/15)*'MATERIALES (2)'!$C$221)+((((A70*2)+(B70*2))/15)*('MATERIALES (2)'!$C$222*0.15))</f>
        <v>90572.333333333328</v>
      </c>
      <c r="H70" s="55">
        <f>(A70*B70)*'MATERIALES (2)'!$D$92</f>
        <v>144600</v>
      </c>
      <c r="I70" s="125">
        <f t="shared" si="7"/>
        <v>523670.65663893754</v>
      </c>
      <c r="J70" s="125">
        <f t="shared" si="8"/>
        <v>686347.89058893756</v>
      </c>
      <c r="K70" s="67">
        <f t="shared" si="9"/>
        <v>830496.40663893742</v>
      </c>
      <c r="M70" s="403">
        <f t="shared" si="3"/>
        <v>89814.907326375134</v>
      </c>
      <c r="N70" s="117"/>
      <c r="O70" s="68">
        <v>2</v>
      </c>
      <c r="P70" s="69">
        <v>2</v>
      </c>
      <c r="Q70" s="59">
        <f>(((O70*2)*'MATERIALES (2)'!$C$49)+((P70*2)*'MATERIALES (2)'!$C$50)+((P70*2)*'MATERIALES (2)'!$C$51)+((P70*2)*'MATERIALES (2)'!$C$55)+((O70*2)*'MATERIALES (2)'!$C$52)+(O70*'MATERIALES (2)'!$C$56) +((P70*2)*'MATERIALES (2)'!$C$67)+(P70*'MATERIALES (2)'!$C$68)+(P70*'MATERIALES (2)'!$C$78))*'MATERIALES (2)'!$F$2</f>
        <v>263166.75</v>
      </c>
      <c r="R70" s="59">
        <f>(2*'MATERIALES (2)'!$C$167)+(4*'MATERIALES (2)'!$C$169)+(4*'MATERIALES (2)'!$C$170)+(2*'MATERIALES (2)'!$C$171)+(4*'MATERIALES (2)'!$C$172)+(4*'MATERIALES (2)'!$C$173)+(4*'MATERIALES (2)'!$C$174)+(2*'MATERIALES (2)'!$C$175)+(8*'MATERIALES (2)'!$C$147)+(16*'MATERIALES (2)'!$C$163)+(4*'MATERIALES (2)'!$C$148)+(((O70*4)+(P70*6))*'MATERIALES (2)'!$C$177)+(((O70*4)+(P70*4))*'MATERIALES (2)'!$C$130)+(4*'MATERIALES (2)'!$C$137)+(((O70*5)*2)*'MATERIALES (2)'!$C$136)+(10*'MATERIALES (2)'!$C$134) +(2*'MATERIALES (2)'!$C$176)</f>
        <v>33630</v>
      </c>
      <c r="S70" s="75"/>
      <c r="T70" s="55">
        <f>(O70*P70)*'MATERIALES (2)'!$D$85</f>
        <v>29600</v>
      </c>
      <c r="U70" s="55">
        <f>(((O70*P70)*2)*'MATERIALES (2)'!$D$86)+(16*'MATERIALES (2)'!$C$218)+(((O70*4)+(P70*4))*'MATERIALES (2)'!$C$219)+(((O70*4)+(P70*4))*'MATERIALES (2)'!$C$220)+((((O70*2)+(P70*2))/15)*'MATERIALES (2)'!$C$221)+((((O70*2)+(P70*2))/15)*('MATERIALES (2)'!$C$222*0.15))</f>
        <v>90572.333333333328</v>
      </c>
      <c r="V70" s="55">
        <f>(O70*P70)*'MATERIALES (2)'!$D$92</f>
        <v>144600</v>
      </c>
      <c r="W70" s="125">
        <f t="shared" si="10"/>
        <v>613485.56396531267</v>
      </c>
      <c r="X70" s="125">
        <f t="shared" si="11"/>
        <v>776162.79791531269</v>
      </c>
      <c r="Y70" s="67">
        <f t="shared" si="12"/>
        <v>920311.31396531267</v>
      </c>
    </row>
    <row r="71" spans="1:25" ht="15.75" hidden="1" thickBot="1">
      <c r="A71" s="68">
        <v>2.4</v>
      </c>
      <c r="B71" s="69">
        <v>2</v>
      </c>
      <c r="C71" s="59">
        <f>(((A71*2)*'MATERIALES (2)'!$C$49)+((B71*2)*'MATERIALES (2)'!$C$50)+((B71*2)*'MATERIALES (2)'!$C$51)+((B71*2)*'MATERIALES (2)'!$C$55)+((A71*2)*'MATERIALES (2)'!$C$52)+(A71*'MATERIALES (2)'!$C$56))*'MATERIALES (2)'!$F$2</f>
        <v>237838.94399999999</v>
      </c>
      <c r="D71" s="59">
        <f>(2*'MATERIALES (2)'!$C$167)+(4*'MATERIALES (2)'!$C$169)+(4*'MATERIALES (2)'!$C$170)+(2*'MATERIALES (2)'!$C$171)+(4*'MATERIALES (2)'!$C$172)+(4*'MATERIALES (2)'!$C$173)+(4*'MATERIALES (2)'!$C$174)+(2*'MATERIALES (2)'!$C$175)+(8*'MATERIALES (2)'!$C$147)+(16*'MATERIALES (2)'!$C$163)+(4*'MATERIALES (2)'!$C$148)+(((A71*4)+(B71*6))*'MATERIALES (2)'!$C$177)+(((A71*4)+(B71*4))*'MATERIALES (2)'!$C$130)+(4*'MATERIALES (2)'!$C$137)+(((A71*5)*2)*'MATERIALES (2)'!$C$136)+(2*'MATERIALES (2)'!$C$176)</f>
        <v>34166</v>
      </c>
      <c r="E71" s="75"/>
      <c r="F71" s="55">
        <f>(A71*B71)*'MATERIALES (2)'!$D$85</f>
        <v>35520</v>
      </c>
      <c r="G71" s="55">
        <f>(((A71*B71)*2)*'MATERIALES (2)'!$D$86)+(16*'MATERIALES (2)'!$C$218)+(((A71*4)+(B71*4))*'MATERIALES (2)'!$C$219)+(((A71*4)+(B71*4))*'MATERIALES (2)'!$C$220)+((((A71*2)+(B71*2))/15)*'MATERIALES (2)'!$C$221)+((((A71*2)+(B71*2))/15)*('MATERIALES (2)'!$C$222*0.15))</f>
        <v>106621.56666666667</v>
      </c>
      <c r="H71" s="55">
        <f>(A71*B71)*'MATERIALES (2)'!$D$92</f>
        <v>173520</v>
      </c>
      <c r="I71" s="125">
        <f t="shared" si="7"/>
        <v>584632.01981646009</v>
      </c>
      <c r="J71" s="125">
        <f t="shared" si="8"/>
        <v>774334.55476146017</v>
      </c>
      <c r="K71" s="67">
        <f t="shared" si="9"/>
        <v>952822.91981646011</v>
      </c>
      <c r="M71" s="403">
        <f t="shared" ref="M71:M72" si="13">(W71-I71)</f>
        <v>89814.907326374901</v>
      </c>
      <c r="N71" s="117"/>
      <c r="O71" s="68">
        <v>2.4</v>
      </c>
      <c r="P71" s="69">
        <v>2</v>
      </c>
      <c r="Q71" s="59">
        <f>(((O71*2)*'MATERIALES (2)'!$C$49)+((P71*2)*'MATERIALES (2)'!$C$50)+((P71*2)*'MATERIALES (2)'!$C$51)+((P71*2)*'MATERIALES (2)'!$C$55)+((O71*2)*'MATERIALES (2)'!$C$52)+(O71*'MATERIALES (2)'!$C$56) +((P71*2)*'MATERIALES (2)'!$C$67)+(P71*'MATERIALES (2)'!$C$68)+(P71*'MATERIALES (2)'!$C$78))*'MATERIALES (2)'!$F$2</f>
        <v>287510.24400000001</v>
      </c>
      <c r="R71" s="59">
        <f>(2*'MATERIALES (2)'!$C$167)+(4*'MATERIALES (2)'!$C$169)+(4*'MATERIALES (2)'!$C$170)+(2*'MATERIALES (2)'!$C$171)+(4*'MATERIALES (2)'!$C$172)+(4*'MATERIALES (2)'!$C$173)+(4*'MATERIALES (2)'!$C$174)+(2*'MATERIALES (2)'!$C$175)+(8*'MATERIALES (2)'!$C$147)+(16*'MATERIALES (2)'!$C$163)+(4*'MATERIALES (2)'!$C$148)+(((O71*4)+(P71*6))*'MATERIALES (2)'!$C$177)+(((O71*4)+(P71*4))*'MATERIALES (2)'!$C$130)+(4*'MATERIALES (2)'!$C$137)+(((O71*5)*2)*'MATERIALES (2)'!$C$136)+(10*'MATERIALES (2)'!$C$134) +(2*'MATERIALES (2)'!$C$176)</f>
        <v>34366</v>
      </c>
      <c r="S71" s="75"/>
      <c r="T71" s="55">
        <f>(O71*P71)*'MATERIALES (2)'!$D$85</f>
        <v>35520</v>
      </c>
      <c r="U71" s="55">
        <f>(((O71*P71)*2)*'MATERIALES (2)'!$D$86)+(16*'MATERIALES (2)'!$C$218)+(((O71*4)+(P71*4))*'MATERIALES (2)'!$C$219)+(((O71*4)+(P71*4))*'MATERIALES (2)'!$C$220)+((((O71*2)+(P71*2))/15)*'MATERIALES (2)'!$C$221)+((((O71*2)+(P71*2))/15)*('MATERIALES (2)'!$C$222*0.15))</f>
        <v>106621.56666666667</v>
      </c>
      <c r="V71" s="55">
        <f>(O71*P71)*'MATERIALES (2)'!$D$92</f>
        <v>173520</v>
      </c>
      <c r="W71" s="125">
        <f t="shared" si="10"/>
        <v>674446.92714283499</v>
      </c>
      <c r="X71" s="125">
        <f t="shared" si="11"/>
        <v>864149.46208783495</v>
      </c>
      <c r="Y71" s="67">
        <f t="shared" si="12"/>
        <v>1042637.827142835</v>
      </c>
    </row>
    <row r="72" spans="1:25" ht="15.75" hidden="1" thickBot="1">
      <c r="A72" s="71">
        <v>2.4</v>
      </c>
      <c r="B72" s="72">
        <v>2</v>
      </c>
      <c r="C72" s="60">
        <f>(((A72*2)*'MATERIALES (2)'!$C$49)+((B72*2)*'MATERIALES (2)'!$C$50)+((B72*2)*'MATERIALES (2)'!$C$51)+((B72*2)*'MATERIALES (2)'!$C$55)+((A72*2)*'MATERIALES (2)'!$C$52)+(A72*'MATERIALES (2)'!$C$56))*'MATERIALES (2)'!$F$2</f>
        <v>237838.94399999999</v>
      </c>
      <c r="D72" s="60">
        <f>(2*'MATERIALES (2)'!$C$167)+(4*'MATERIALES (2)'!$C$169)+(4*'MATERIALES (2)'!$C$170)+(2*'MATERIALES (2)'!$C$171)+(4*'MATERIALES (2)'!$C$172)+(4*'MATERIALES (2)'!$C$173)+(4*'MATERIALES (2)'!$C$174)+(2*'MATERIALES (2)'!$C$175)+(8*'MATERIALES (2)'!$C$147)+(16*'MATERIALES (2)'!$C$163)+(4*'MATERIALES (2)'!$C$148)+(((A72*4)+(B72*6))*'MATERIALES (2)'!$C$177)+(((A72*4)+(B72*4))*'MATERIALES (2)'!$C$130)+(4*'MATERIALES (2)'!$C$137)+(((A72*5)*2)*'MATERIALES (2)'!$C$136)+(2*'MATERIALES (2)'!$C$176)</f>
        <v>34166</v>
      </c>
      <c r="E72" s="76"/>
      <c r="F72" s="56">
        <f>(A72*B72)*'MATERIALES (2)'!$D$85</f>
        <v>35520</v>
      </c>
      <c r="G72" s="56">
        <f>(((A72*B72)*2)*'MATERIALES (2)'!$D$86)+(16*'MATERIALES (2)'!$C$218)+(((A72*4)+(B72*4))*'MATERIALES (2)'!$C$219)+(((A72*4)+(B72*4))*'MATERIALES (2)'!$C$220)+((((A72*2)+(B72*2))/15)*'MATERIALES (2)'!$C$221)+((((A72*2)+(B72*2))/15)*('MATERIALES (2)'!$C$222*0.15))</f>
        <v>106621.56666666667</v>
      </c>
      <c r="H72" s="56">
        <f>(A72*B72)*'MATERIALES (2)'!$D$92</f>
        <v>173520</v>
      </c>
      <c r="I72" s="125">
        <f t="shared" si="7"/>
        <v>584632.01981646009</v>
      </c>
      <c r="J72" s="125">
        <f t="shared" si="8"/>
        <v>774334.55476146017</v>
      </c>
      <c r="K72" s="67">
        <f t="shared" si="9"/>
        <v>952822.91981646011</v>
      </c>
      <c r="M72" s="403">
        <f t="shared" si="13"/>
        <v>89814.907326374901</v>
      </c>
      <c r="N72" s="117"/>
      <c r="O72" s="71">
        <v>2.4</v>
      </c>
      <c r="P72" s="72">
        <v>2</v>
      </c>
      <c r="Q72" s="60">
        <f>(((O72*2)*'MATERIALES (2)'!$C$49)+((P72*2)*'MATERIALES (2)'!$C$50)+((P72*2)*'MATERIALES (2)'!$C$51)+((P72*2)*'MATERIALES (2)'!$C$55)+((O72*2)*'MATERIALES (2)'!$C$52)+(O72*'MATERIALES (2)'!$C$56) +((P72*2)*'MATERIALES (2)'!$C$67)+(P72*'MATERIALES (2)'!$C$68)+(P72*'MATERIALES (2)'!$C$78))*'MATERIALES (2)'!$F$2</f>
        <v>287510.24400000001</v>
      </c>
      <c r="R72" s="60">
        <f>(2*'MATERIALES (2)'!$C$167)+(4*'MATERIALES (2)'!$C$169)+(4*'MATERIALES (2)'!$C$170)+(2*'MATERIALES (2)'!$C$171)+(4*'MATERIALES (2)'!$C$172)+(4*'MATERIALES (2)'!$C$173)+(4*'MATERIALES (2)'!$C$174)+(2*'MATERIALES (2)'!$C$175)+(8*'MATERIALES (2)'!$C$147)+(16*'MATERIALES (2)'!$C$163)+(4*'MATERIALES (2)'!$C$148)+(((O72*4)+(P72*6))*'MATERIALES (2)'!$C$177)+(((O72*4)+(P72*4))*'MATERIALES (2)'!$C$130)+(4*'MATERIALES (2)'!$C$137)+(((O72*5)*2)*'MATERIALES (2)'!$C$136)+(10*'MATERIALES (2)'!$C$134) +(2*'MATERIALES (2)'!$C$176)</f>
        <v>34366</v>
      </c>
      <c r="S72" s="76"/>
      <c r="T72" s="56">
        <f>(O72*P72)*'MATERIALES (2)'!$D$85</f>
        <v>35520</v>
      </c>
      <c r="U72" s="56">
        <f>(((O72*P72)*2)*'MATERIALES (2)'!$D$86)+(16*'MATERIALES (2)'!$C$218)+(((O72*4)+(P72*4))*'MATERIALES (2)'!$C$219)+(((O72*4)+(P72*4))*'MATERIALES (2)'!$C$220)+((((O72*2)+(P72*2))/15)*'MATERIALES (2)'!$C$221)+((((O72*2)+(P72*2))/15)*('MATERIALES (2)'!$C$222*0.15))</f>
        <v>106621.56666666667</v>
      </c>
      <c r="V72" s="56">
        <f>(O72*P72)*'MATERIALES (2)'!$D$92</f>
        <v>173520</v>
      </c>
      <c r="W72" s="125">
        <f t="shared" si="10"/>
        <v>674446.92714283499</v>
      </c>
      <c r="X72" s="125">
        <f t="shared" si="11"/>
        <v>864149.46208783495</v>
      </c>
      <c r="Y72" s="67">
        <f t="shared" si="12"/>
        <v>1042637.827142835</v>
      </c>
    </row>
    <row r="73" spans="1:25" hidden="1">
      <c r="M73" s="32"/>
      <c r="T73" s="2"/>
      <c r="U73"/>
    </row>
    <row r="74" spans="1:25" s="81" customFormat="1" hidden="1">
      <c r="A74" s="79"/>
      <c r="B74" s="79"/>
      <c r="C74" s="79"/>
      <c r="D74" s="79"/>
      <c r="E74" s="79"/>
      <c r="F74" s="79"/>
      <c r="G74" s="79"/>
      <c r="H74" s="80"/>
      <c r="J74" s="77"/>
      <c r="M74" s="79"/>
      <c r="N74" s="79"/>
      <c r="O74" s="79"/>
      <c r="P74" s="79"/>
      <c r="Q74" s="79"/>
      <c r="R74" s="79"/>
      <c r="S74" s="79"/>
      <c r="T74" s="80"/>
    </row>
    <row r="75" spans="1:25" ht="15.75" hidden="1" thickBot="1">
      <c r="M75" s="32"/>
      <c r="T75" s="2"/>
      <c r="U75"/>
    </row>
    <row r="76" spans="1:25" ht="15.75" hidden="1" thickBot="1">
      <c r="C76" s="807">
        <v>1.35</v>
      </c>
      <c r="D76" s="808"/>
      <c r="E76" s="808"/>
      <c r="F76" s="809"/>
      <c r="G76" s="665">
        <v>2</v>
      </c>
      <c r="H76" s="46" t="s">
        <v>163</v>
      </c>
      <c r="M76" s="32"/>
      <c r="O76" s="807">
        <v>1.35</v>
      </c>
      <c r="P76" s="808"/>
      <c r="Q76" s="808"/>
      <c r="R76" s="809"/>
      <c r="S76" s="666">
        <v>2</v>
      </c>
      <c r="T76" s="62" t="s">
        <v>163</v>
      </c>
      <c r="U76"/>
    </row>
    <row r="77" spans="1:25" ht="15.75" hidden="1" thickBot="1">
      <c r="A77" s="792" t="s">
        <v>256</v>
      </c>
      <c r="B77" s="793"/>
      <c r="C77" s="793"/>
      <c r="D77" s="793"/>
      <c r="E77" s="793"/>
      <c r="F77" s="793"/>
      <c r="G77" s="793"/>
      <c r="H77" s="794"/>
      <c r="M77" s="792" t="s">
        <v>257</v>
      </c>
      <c r="N77" s="793"/>
      <c r="O77" s="793"/>
      <c r="P77" s="793"/>
      <c r="Q77" s="793"/>
      <c r="R77" s="793"/>
      <c r="S77" s="793"/>
      <c r="T77" s="794"/>
      <c r="U77"/>
    </row>
    <row r="78" spans="1:25" ht="15.75" hidden="1" thickBot="1">
      <c r="A78" s="36" t="s">
        <v>116</v>
      </c>
      <c r="B78" s="36" t="s">
        <v>117</v>
      </c>
      <c r="C78" s="36" t="s">
        <v>162</v>
      </c>
      <c r="D78" s="36" t="s">
        <v>119</v>
      </c>
      <c r="E78" s="36" t="s">
        <v>120</v>
      </c>
      <c r="F78" s="36" t="s">
        <v>238</v>
      </c>
      <c r="G78" s="36" t="s">
        <v>121</v>
      </c>
      <c r="H78" s="36" t="s">
        <v>122</v>
      </c>
      <c r="M78" s="36" t="s">
        <v>116</v>
      </c>
      <c r="N78" s="36" t="s">
        <v>117</v>
      </c>
      <c r="O78" s="36" t="s">
        <v>162</v>
      </c>
      <c r="P78" s="36" t="s">
        <v>119</v>
      </c>
      <c r="Q78" s="36" t="s">
        <v>120</v>
      </c>
      <c r="R78" s="36" t="s">
        <v>238</v>
      </c>
      <c r="S78" s="36" t="s">
        <v>121</v>
      </c>
      <c r="T78" s="36" t="s">
        <v>122</v>
      </c>
      <c r="U78"/>
    </row>
    <row r="79" spans="1:25" ht="15.75" hidden="1" thickBot="1">
      <c r="A79" s="795"/>
      <c r="B79" s="796"/>
      <c r="C79" s="796"/>
      <c r="D79" s="796"/>
      <c r="E79" s="796"/>
      <c r="F79" s="796"/>
      <c r="G79" s="796"/>
      <c r="H79" s="797"/>
      <c r="M79" s="795"/>
      <c r="N79" s="796"/>
      <c r="O79" s="796"/>
      <c r="P79" s="796"/>
      <c r="Q79" s="796"/>
      <c r="R79" s="796"/>
      <c r="S79" s="796"/>
      <c r="T79" s="797"/>
      <c r="U79"/>
    </row>
    <row r="80" spans="1:25" ht="15.75" hidden="1" thickBot="1">
      <c r="A80" s="65">
        <v>0.6</v>
      </c>
      <c r="B80" s="66">
        <v>0.4</v>
      </c>
      <c r="C80" s="58">
        <f>((((A80)+(B80*2))*'MATERIALES (2)'!$C$74)+((B80*2)*'MATERIALES (2)'!$C$64))*'MATERIALES (2)'!$F$2</f>
        <v>6760.3094999999994</v>
      </c>
      <c r="D80" s="58">
        <f>(18*'MATERIALES (2)'!$C$134)+(4*'MATERIALES (2)'!$C$210)+(2*'MATERIALES (2)'!$C$208)+(2*'MATERIALES (2)'!$C$209)+(((A80)+(B80*2))*'MATERIALES (2)'!$C$159)+((B80*2)*'MATERIALES (2)'!$C$201)</f>
        <v>1692</v>
      </c>
      <c r="E80" s="74"/>
      <c r="F80" s="54">
        <f>((A80/2)*B80)*'MATERIALES (2)'!$C$158</f>
        <v>1021.1999999999999</v>
      </c>
      <c r="G80" s="58">
        <f>SUM(C80:F80)</f>
        <v>9473.5095000000001</v>
      </c>
      <c r="H80" s="67">
        <f>(((SUM(C80:E80)*$C$76+(F80*$G$76))*1.21)*1.05)*1.05</f>
        <v>17946.662103995623</v>
      </c>
      <c r="M80" s="65">
        <v>1.2</v>
      </c>
      <c r="N80" s="66">
        <v>2</v>
      </c>
      <c r="O80" s="58">
        <f>((((M80)+(N80*2))*'MATERIALES (2)'!$C$74)+((N80*2)*'MATERIALES (2)'!$C$64)+(M80*'MATERIALES (2)'!$C$17))*'MATERIALES (2)'!$F$2</f>
        <v>34724.340000000004</v>
      </c>
      <c r="P80" s="58">
        <f>(18*'MATERIALES (2)'!$C$134)+(4*'MATERIALES (2)'!$C$210)+(2*'MATERIALES (2)'!$C$208)+(2*'MATERIALES (2)'!$C$209)+(((M80*2)+(N80*2))*'MATERIALES (2)'!$C$159)+(4*'MATERIALES (2)'!$C$163) +((N80*2)*'MATERIALES (2)'!$C$201)</f>
        <v>3872</v>
      </c>
      <c r="Q80" s="74"/>
      <c r="R80" s="54">
        <f>((M80/2)*N80)*'MATERIALES (2)'!$C$158</f>
        <v>10212</v>
      </c>
      <c r="S80" s="58">
        <f>SUM(O80:R80)</f>
        <v>48808.340000000004</v>
      </c>
      <c r="T80" s="67">
        <f>(((SUM(O80:Q80)*$O$76+(R80*$S$76))*1.21)*1.05)*1.05</f>
        <v>96755.577932475018</v>
      </c>
      <c r="U80"/>
    </row>
    <row r="81" spans="1:21" ht="15.75" hidden="1" thickBot="1">
      <c r="A81" s="68">
        <v>0.6</v>
      </c>
      <c r="B81" s="69">
        <v>0.6</v>
      </c>
      <c r="C81" s="59">
        <f>((((A81)+(B81*2))*'MATERIALES (2)'!$C$74)+((B81*2)*'MATERIALES (2)'!$C$64))*'MATERIALES (2)'!$F$2</f>
        <v>9057.0374999999985</v>
      </c>
      <c r="D81" s="59">
        <f>(18*'MATERIALES (2)'!$C$134)+(4*'MATERIALES (2)'!$C$210)+(2*'MATERIALES (2)'!$C$208)+(2*'MATERIALES (2)'!$C$209)+(((A81)+(B81*2))*'MATERIALES (2)'!$C$159)+((B81*2)*'MATERIALES (2)'!$C$201)</f>
        <v>1924</v>
      </c>
      <c r="E81" s="75"/>
      <c r="F81" s="55">
        <f>((A81/2)*B81)*'MATERIALES (2)'!$C$158</f>
        <v>1531.8</v>
      </c>
      <c r="G81" s="59">
        <f>SUM(C81:F81)</f>
        <v>12512.837499999998</v>
      </c>
      <c r="H81" s="67">
        <f t="shared" ref="H81:H133" si="14">(((SUM(C81:E81)*$C$76+(F81*$G$76))*1.21)*1.05)*1.05</f>
        <v>23863.040033765625</v>
      </c>
      <c r="M81" s="68">
        <v>1.5</v>
      </c>
      <c r="N81" s="69">
        <v>2</v>
      </c>
      <c r="O81" s="59">
        <f>((((M81)+(N81*2))*'MATERIALES (2)'!$C$74)+((N81*2)*'MATERIALES (2)'!$C$64)+(M81*'MATERIALES (2)'!$C$17))*'MATERIALES (2)'!$F$2</f>
        <v>37663.605000000003</v>
      </c>
      <c r="P81" s="59">
        <f>(18*'MATERIALES (2)'!$C$134)+(4*'MATERIALES (2)'!$C$210)+(2*'MATERIALES (2)'!$C$208)+(2*'MATERIALES (2)'!$C$209)+(((M81*2)+(N81*2))*'MATERIALES (2)'!$C$159)+(4*'MATERIALES (2)'!$C$163) +((N81*2)*'MATERIALES (2)'!$C$201)</f>
        <v>3920</v>
      </c>
      <c r="Q81" s="75"/>
      <c r="R81" s="55">
        <f>((M81/2)*N81)*'MATERIALES (2)'!$C$158</f>
        <v>12765</v>
      </c>
      <c r="S81" s="59">
        <f t="shared" ref="S81:S85" si="15">SUM(O81:R81)</f>
        <v>54348.605000000003</v>
      </c>
      <c r="T81" s="67">
        <f t="shared" ref="T81:T85" si="16">(((SUM(O81:Q81)*$O$76+(R81*$S$76))*1.21)*1.05)*1.05</f>
        <v>108946.97594116877</v>
      </c>
      <c r="U81"/>
    </row>
    <row r="82" spans="1:21" ht="15.75" hidden="1" thickBot="1">
      <c r="A82" s="68">
        <v>0.8</v>
      </c>
      <c r="B82" s="69">
        <v>0.4</v>
      </c>
      <c r="C82" s="59">
        <f>((((A82)+(B82*2))*'MATERIALES (2)'!$C$74)+((B82*2)*'MATERIALES (2)'!$C$64))*'MATERIALES (2)'!$F$2</f>
        <v>7482.594000000001</v>
      </c>
      <c r="D82" s="59">
        <f>(18*'MATERIALES (2)'!$C$134)+(4*'MATERIALES (2)'!$C$210)+(2*'MATERIALES (2)'!$C$208)+(2*'MATERIALES (2)'!$C$209)+(((A82)+(B82*2))*'MATERIALES (2)'!$C$159)+((B82*2)*'MATERIALES (2)'!$C$201)</f>
        <v>1708</v>
      </c>
      <c r="E82" s="75"/>
      <c r="F82" s="55">
        <f>((A82/2)*B82)*'MATERIALES (2)'!$C$158</f>
        <v>1361.6000000000004</v>
      </c>
      <c r="G82" s="59">
        <f t="shared" ref="G82:G133" si="17">SUM(C82:F82)</f>
        <v>10552.194000000001</v>
      </c>
      <c r="H82" s="67">
        <f t="shared" si="14"/>
        <v>20184.467797147503</v>
      </c>
      <c r="M82" s="68">
        <v>1.8</v>
      </c>
      <c r="N82" s="69">
        <v>2</v>
      </c>
      <c r="O82" s="59">
        <f>((((M82)+(N82*2))*'MATERIALES (2)'!$C$74)+((N82*2)*'MATERIALES (2)'!$C$64)+(M82*'MATERIALES (2)'!$C$17))*'MATERIALES (2)'!$F$2</f>
        <v>40602.870000000003</v>
      </c>
      <c r="P82" s="59">
        <f>(18*'MATERIALES (2)'!$C$134)+(4*'MATERIALES (2)'!$C$210)+(2*'MATERIALES (2)'!$C$208)+(2*'MATERIALES (2)'!$C$209)+(((M82*2)+(N82*2))*'MATERIALES (2)'!$C$159)+(4*'MATERIALES (2)'!$C$163) +((N82*2)*'MATERIALES (2)'!$C$201)</f>
        <v>3968</v>
      </c>
      <c r="Q82" s="75"/>
      <c r="R82" s="55">
        <f>((M82/2)*N82)*'MATERIALES (2)'!$C$158</f>
        <v>15318</v>
      </c>
      <c r="S82" s="59">
        <f t="shared" si="15"/>
        <v>59888.87</v>
      </c>
      <c r="T82" s="67">
        <f t="shared" si="16"/>
        <v>121138.37394986252</v>
      </c>
      <c r="U82"/>
    </row>
    <row r="83" spans="1:21" ht="15.75" hidden="1" thickBot="1">
      <c r="A83" s="68">
        <v>0.8</v>
      </c>
      <c r="B83" s="69">
        <v>0.6</v>
      </c>
      <c r="C83" s="59">
        <f>((((A83)+(B83*2))*'MATERIALES (2)'!$C$74)+((B83*2)*'MATERIALES (2)'!$C$64))*'MATERIALES (2)'!$F$2</f>
        <v>9779.3220000000001</v>
      </c>
      <c r="D83" s="59">
        <f>(18*'MATERIALES (2)'!$C$134)+(4*'MATERIALES (2)'!$C$210)+(2*'MATERIALES (2)'!$C$208)+(2*'MATERIALES (2)'!$C$209)+(((A83)+(B83*2))*'MATERIALES (2)'!$C$159)+((B83*2)*'MATERIALES (2)'!$C$201)</f>
        <v>1940</v>
      </c>
      <c r="E83" s="75"/>
      <c r="F83" s="55">
        <f>((A83/2)*B83)*'MATERIALES (2)'!$C$158</f>
        <v>2042.3999999999999</v>
      </c>
      <c r="G83" s="59">
        <f t="shared" si="17"/>
        <v>13761.722</v>
      </c>
      <c r="H83" s="67">
        <f t="shared" si="14"/>
        <v>26554.947836917505</v>
      </c>
      <c r="M83" s="68">
        <v>2</v>
      </c>
      <c r="N83" s="69">
        <v>2</v>
      </c>
      <c r="O83" s="59">
        <f>((((M83)+(N83*2))*'MATERIALES (2)'!$C$74)+((N83*2)*'MATERIALES (2)'!$C$64)+(M83*'MATERIALES (2)'!$C$17))*'MATERIALES (2)'!$F$2</f>
        <v>42562.380000000005</v>
      </c>
      <c r="P83" s="59">
        <f>(18*'MATERIALES (2)'!$C$134)+(4*'MATERIALES (2)'!$C$210)+(2*'MATERIALES (2)'!$C$208)+(2*'MATERIALES (2)'!$C$209)+(((M83*2)+(N83*2))*'MATERIALES (2)'!$C$159)+(4*'MATERIALES (2)'!$C$163) +((N83*2)*'MATERIALES (2)'!$C$201)</f>
        <v>4000</v>
      </c>
      <c r="Q83" s="75"/>
      <c r="R83" s="55">
        <f>((M83/2)*N83)*'MATERIALES (2)'!$C$158</f>
        <v>17020</v>
      </c>
      <c r="S83" s="59">
        <f t="shared" si="15"/>
        <v>63582.380000000005</v>
      </c>
      <c r="T83" s="67">
        <f t="shared" si="16"/>
        <v>129265.97262232503</v>
      </c>
      <c r="U83"/>
    </row>
    <row r="84" spans="1:21" ht="15.75" hidden="1" thickBot="1">
      <c r="A84" s="68">
        <v>0.8</v>
      </c>
      <c r="B84" s="69">
        <v>0.8</v>
      </c>
      <c r="C84" s="59">
        <f>((((A84)+(B84*2))*'MATERIALES (2)'!$C$74)+((B84*2)*'MATERIALES (2)'!$C$64))*'MATERIALES (2)'!$F$2</f>
        <v>12076.050000000001</v>
      </c>
      <c r="D84" s="59">
        <f>(18*'MATERIALES (2)'!$C$134)+(4*'MATERIALES (2)'!$C$210)+(2*'MATERIALES (2)'!$C$208)+(2*'MATERIALES (2)'!$C$209)+(((A84)+(B84*2))*'MATERIALES (2)'!$C$159)+((B84*2)*'MATERIALES (2)'!$C$201)</f>
        <v>2172</v>
      </c>
      <c r="E84" s="75"/>
      <c r="F84" s="55">
        <f>((A84/2)*B84)*'MATERIALES (2)'!$C$158</f>
        <v>2723.2000000000007</v>
      </c>
      <c r="G84" s="59">
        <f t="shared" si="17"/>
        <v>16971.25</v>
      </c>
      <c r="H84" s="67">
        <f t="shared" si="14"/>
        <v>32925.427876687507</v>
      </c>
      <c r="M84" s="68">
        <v>2.4</v>
      </c>
      <c r="N84" s="69">
        <v>2</v>
      </c>
      <c r="O84" s="59">
        <f>((((M84)+(N84*2))*'MATERIALES (2)'!$C$74)+((N84*2)*'MATERIALES (2)'!$C$64)+(M84*'MATERIALES (2)'!$C$17))*'MATERIALES (2)'!$F$2</f>
        <v>46481.4</v>
      </c>
      <c r="P84" s="59">
        <f>(18*'MATERIALES (2)'!$C$134)+(4*'MATERIALES (2)'!$C$210)+(2*'MATERIALES (2)'!$C$208)+(2*'MATERIALES (2)'!$C$209)+(((M84*2)+(N84*2))*'MATERIALES (2)'!$C$159)+(4*'MATERIALES (2)'!$C$163) +((N84*2)*'MATERIALES (2)'!$C$201)</f>
        <v>4064</v>
      </c>
      <c r="Q84" s="75"/>
      <c r="R84" s="55">
        <f>((M84/2)*N84)*'MATERIALES (2)'!$C$158</f>
        <v>20424</v>
      </c>
      <c r="S84" s="59">
        <f t="shared" si="15"/>
        <v>70969.399999999994</v>
      </c>
      <c r="T84" s="67">
        <f t="shared" si="16"/>
        <v>145521.16996725003</v>
      </c>
      <c r="U84"/>
    </row>
    <row r="85" spans="1:21" ht="15.75" hidden="1" thickBot="1">
      <c r="A85" s="68">
        <v>1</v>
      </c>
      <c r="B85" s="69">
        <v>0.4</v>
      </c>
      <c r="C85" s="59">
        <f>((((A85)+(B85*2))*'MATERIALES (2)'!$C$74)+((B85*2)*'MATERIALES (2)'!$C$64))*'MATERIALES (2)'!$F$2</f>
        <v>8204.8784999999989</v>
      </c>
      <c r="D85" s="59">
        <f>(18*'MATERIALES (2)'!$C$134)+(4*'MATERIALES (2)'!$C$210)+(2*'MATERIALES (2)'!$C$208)+(2*'MATERIALES (2)'!$C$209)+(((A85)+(B85*2))*'MATERIALES (2)'!$C$159)+((B85*2)*'MATERIALES (2)'!$C$201)</f>
        <v>1724</v>
      </c>
      <c r="E85" s="75"/>
      <c r="F85" s="55">
        <f>((A85/2)*B85)*'MATERIALES (2)'!$C$158</f>
        <v>1702</v>
      </c>
      <c r="G85" s="59">
        <f t="shared" si="17"/>
        <v>11630.878499999999</v>
      </c>
      <c r="H85" s="67">
        <f t="shared" si="14"/>
        <v>22422.273490299376</v>
      </c>
      <c r="M85" s="71">
        <v>2.4</v>
      </c>
      <c r="N85" s="72">
        <v>2</v>
      </c>
      <c r="O85" s="60">
        <f>((((M85)+(N85*2))*'MATERIALES (2)'!$C$74)+((N85*2)*'MATERIALES (2)'!$C$64)+(M85*'MATERIALES (2)'!$C$17))*'MATERIALES (2)'!$F$2</f>
        <v>46481.4</v>
      </c>
      <c r="P85" s="60">
        <f>(18*'MATERIALES (2)'!$C$134)+(4*'MATERIALES (2)'!$C$210)+(2*'MATERIALES (2)'!$C$208)+(2*'MATERIALES (2)'!$C$209)+(((M85*2)+(N85*2))*'MATERIALES (2)'!$C$159)+(4*'MATERIALES (2)'!$C$163) +((N85*2)*'MATERIALES (2)'!$C$201)</f>
        <v>4064</v>
      </c>
      <c r="Q85" s="76"/>
      <c r="R85" s="56">
        <f>((M85/2)*N85)*'MATERIALES (2)'!$C$158</f>
        <v>20424</v>
      </c>
      <c r="S85" s="60">
        <f t="shared" si="15"/>
        <v>70969.399999999994</v>
      </c>
      <c r="T85" s="67">
        <f t="shared" si="16"/>
        <v>145521.16996725003</v>
      </c>
      <c r="U85"/>
    </row>
    <row r="86" spans="1:21" ht="15.75" hidden="1" thickBot="1">
      <c r="A86" s="68">
        <v>1</v>
      </c>
      <c r="B86" s="69">
        <v>0.6</v>
      </c>
      <c r="C86" s="59">
        <f>((((A86)+(B86*2))*'MATERIALES (2)'!$C$74)+((B86*2)*'MATERIALES (2)'!$C$64))*'MATERIALES (2)'!$F$2</f>
        <v>10501.6065</v>
      </c>
      <c r="D86" s="59">
        <f>(18*'MATERIALES (2)'!$C$134)+(4*'MATERIALES (2)'!$C$210)+(2*'MATERIALES (2)'!$C$208)+(2*'MATERIALES (2)'!$C$209)+(((A86)+(B86*2))*'MATERIALES (2)'!$C$159)+((B86*2)*'MATERIALES (2)'!$C$201)</f>
        <v>1956</v>
      </c>
      <c r="E86" s="75"/>
      <c r="F86" s="55">
        <f>((A86/2)*B86)*'MATERIALES (2)'!$C$158</f>
        <v>2553</v>
      </c>
      <c r="G86" s="59">
        <f t="shared" si="17"/>
        <v>15010.6065</v>
      </c>
      <c r="H86" s="67">
        <f t="shared" si="14"/>
        <v>29246.855640069378</v>
      </c>
      <c r="M86" s="32"/>
      <c r="T86" s="2"/>
      <c r="U86"/>
    </row>
    <row r="87" spans="1:21" ht="15.75" hidden="1" thickBot="1">
      <c r="A87" s="68">
        <v>1</v>
      </c>
      <c r="B87" s="69">
        <v>0.8</v>
      </c>
      <c r="C87" s="59">
        <f>((((A87)+(B87*2))*'MATERIALES (2)'!$C$74)+((B87*2)*'MATERIALES (2)'!$C$64))*'MATERIALES (2)'!$F$2</f>
        <v>12798.334500000003</v>
      </c>
      <c r="D87" s="59">
        <f>(18*'MATERIALES (2)'!$C$134)+(4*'MATERIALES (2)'!$C$210)+(2*'MATERIALES (2)'!$C$208)+(2*'MATERIALES (2)'!$C$209)+(((A87)+(B87*2))*'MATERIALES (2)'!$C$159)+((B87*2)*'MATERIALES (2)'!$C$201)</f>
        <v>2188</v>
      </c>
      <c r="E87" s="75"/>
      <c r="F87" s="55">
        <f>((A87/2)*B87)*'MATERIALES (2)'!$C$158</f>
        <v>3404</v>
      </c>
      <c r="G87" s="59">
        <f t="shared" si="17"/>
        <v>18390.334500000004</v>
      </c>
      <c r="H87" s="67">
        <f t="shared" si="14"/>
        <v>36071.437789839387</v>
      </c>
      <c r="M87" s="32"/>
      <c r="T87" s="2"/>
      <c r="U87"/>
    </row>
    <row r="88" spans="1:21" ht="15.75" hidden="1" thickBot="1">
      <c r="A88" s="68">
        <v>1</v>
      </c>
      <c r="B88" s="69">
        <v>1</v>
      </c>
      <c r="C88" s="59">
        <f>((((A88)+(B88*2))*'MATERIALES (2)'!$C$74)+((B88*2)*'MATERIALES (2)'!$C$64))*'MATERIALES (2)'!$F$2</f>
        <v>15095.062500000002</v>
      </c>
      <c r="D88" s="59">
        <f>(18*'MATERIALES (2)'!$C$134)+(4*'MATERIALES (2)'!$C$210)+(2*'MATERIALES (2)'!$C$208)+(2*'MATERIALES (2)'!$C$209)+(((A88)+(B88*2))*'MATERIALES (2)'!$C$159)+((B88*2)*'MATERIALES (2)'!$C$201)</f>
        <v>2420</v>
      </c>
      <c r="E88" s="75"/>
      <c r="F88" s="55">
        <f>((A88/2)*B88)*'MATERIALES (2)'!$C$158</f>
        <v>4255</v>
      </c>
      <c r="G88" s="59">
        <f t="shared" si="17"/>
        <v>21770.0625</v>
      </c>
      <c r="H88" s="67">
        <f t="shared" si="14"/>
        <v>42896.019939609381</v>
      </c>
      <c r="M88" s="32"/>
      <c r="T88" s="2"/>
      <c r="U88"/>
    </row>
    <row r="89" spans="1:21" ht="15.75" hidden="1" thickBot="1">
      <c r="A89" s="68">
        <v>1</v>
      </c>
      <c r="B89" s="69">
        <v>1.1000000000000001</v>
      </c>
      <c r="C89" s="59">
        <f>((((A89)+(B89*2))*'MATERIALES (2)'!$C$74)+((B89*2)*'MATERIALES (2)'!$C$64))*'MATERIALES (2)'!$F$2</f>
        <v>16243.4265</v>
      </c>
      <c r="D89" s="59">
        <f>(18*'MATERIALES (2)'!$C$134)+(4*'MATERIALES (2)'!$C$210)+(2*'MATERIALES (2)'!$C$208)+(2*'MATERIALES (2)'!$C$209)+(((A89)+(B89*2))*'MATERIALES (2)'!$C$159)+((B89*2)*'MATERIALES (2)'!$C$201)</f>
        <v>2536</v>
      </c>
      <c r="E89" s="75"/>
      <c r="F89" s="55">
        <f>((A89/2)*B89)*'MATERIALES (2)'!$C$158</f>
        <v>4680.5</v>
      </c>
      <c r="G89" s="59">
        <f t="shared" si="17"/>
        <v>23459.926500000001</v>
      </c>
      <c r="H89" s="67">
        <f t="shared" si="14"/>
        <v>46308.311014494378</v>
      </c>
      <c r="M89" s="32"/>
      <c r="T89" s="2"/>
      <c r="U89"/>
    </row>
    <row r="90" spans="1:21" ht="15.75" hidden="1" thickBot="1">
      <c r="A90" s="68">
        <v>1</v>
      </c>
      <c r="B90" s="69">
        <v>1.2</v>
      </c>
      <c r="C90" s="59">
        <f>((((A90)+(B90*2))*'MATERIALES (2)'!$C$74)+((B90*2)*'MATERIALES (2)'!$C$64))*'MATERIALES (2)'!$F$2</f>
        <v>17391.790500000003</v>
      </c>
      <c r="D90" s="59">
        <f>(18*'MATERIALES (2)'!$C$134)+(4*'MATERIALES (2)'!$C$210)+(2*'MATERIALES (2)'!$C$208)+(2*'MATERIALES (2)'!$C$209)+(((A90)+(B90*2))*'MATERIALES (2)'!$C$159)+((B90*2)*'MATERIALES (2)'!$C$201)</f>
        <v>2652</v>
      </c>
      <c r="E90" s="75"/>
      <c r="F90" s="55">
        <f>((A90/2)*B90)*'MATERIALES (2)'!$C$158</f>
        <v>5106</v>
      </c>
      <c r="G90" s="59">
        <f t="shared" si="17"/>
        <v>25149.790500000003</v>
      </c>
      <c r="H90" s="67">
        <f t="shared" si="14"/>
        <v>49720.60208937939</v>
      </c>
      <c r="M90" s="32"/>
      <c r="T90" s="2"/>
      <c r="U90"/>
    </row>
    <row r="91" spans="1:21" ht="15.75" hidden="1" thickBot="1">
      <c r="A91" s="68">
        <v>1</v>
      </c>
      <c r="B91" s="69">
        <v>1.5</v>
      </c>
      <c r="C91" s="59">
        <f>((((A91)+(B91*2))*'MATERIALES (2)'!$C$74)+((B91*2)*'MATERIALES (2)'!$C$64))*'MATERIALES (2)'!$F$2</f>
        <v>20836.8825</v>
      </c>
      <c r="D91" s="59">
        <f>(18*'MATERIALES (2)'!$C$134)+(4*'MATERIALES (2)'!$C$210)+(2*'MATERIALES (2)'!$C$208)+(2*'MATERIALES (2)'!$C$209)+(((A91)+(B91*2))*'MATERIALES (2)'!$C$159)+((B91*2)*'MATERIALES (2)'!$C$201)</f>
        <v>3000</v>
      </c>
      <c r="E91" s="75"/>
      <c r="F91" s="55">
        <f>((A91/2)*B91)*'MATERIALES (2)'!$C$158</f>
        <v>6382.5</v>
      </c>
      <c r="G91" s="59">
        <f t="shared" si="17"/>
        <v>30219.3825</v>
      </c>
      <c r="H91" s="67">
        <f t="shared" si="14"/>
        <v>59957.475314034375</v>
      </c>
      <c r="M91" s="32"/>
      <c r="T91" s="2"/>
      <c r="U91"/>
    </row>
    <row r="92" spans="1:21" ht="15.75" hidden="1" thickBot="1">
      <c r="A92" s="68">
        <v>1.2</v>
      </c>
      <c r="B92" s="69">
        <v>0.4</v>
      </c>
      <c r="C92" s="59">
        <f>((((A92)+(B92*2))*'MATERIALES (2)'!$C$74)+((B92*2)*'MATERIALES (2)'!$C$64))*'MATERIALES (2)'!$F$2</f>
        <v>8927.1630000000005</v>
      </c>
      <c r="D92" s="59">
        <f>(18*'MATERIALES (2)'!$C$134)+(4*'MATERIALES (2)'!$C$210)+(2*'MATERIALES (2)'!$C$208)+(2*'MATERIALES (2)'!$C$209)+(((A92)+(B92*2))*'MATERIALES (2)'!$C$159)+((B92*2)*'MATERIALES (2)'!$C$201)</f>
        <v>1740</v>
      </c>
      <c r="E92" s="75"/>
      <c r="F92" s="55">
        <f>((A92/2)*B92)*'MATERIALES (2)'!$C$158</f>
        <v>2042.3999999999999</v>
      </c>
      <c r="G92" s="59">
        <f t="shared" si="17"/>
        <v>12709.563</v>
      </c>
      <c r="H92" s="67">
        <f t="shared" si="14"/>
        <v>24660.079183451257</v>
      </c>
      <c r="M92" s="32"/>
      <c r="T92" s="2"/>
      <c r="U92"/>
    </row>
    <row r="93" spans="1:21" ht="15.75" hidden="1" thickBot="1">
      <c r="A93" s="68">
        <v>1.2</v>
      </c>
      <c r="B93" s="69">
        <v>0.6</v>
      </c>
      <c r="C93" s="59">
        <f>((((A93)+(B93*2))*'MATERIALES (2)'!$C$74)+((B93*2)*'MATERIALES (2)'!$C$64))*'MATERIALES (2)'!$F$2</f>
        <v>11223.891000000001</v>
      </c>
      <c r="D93" s="59">
        <f>(18*'MATERIALES (2)'!$C$134)+(4*'MATERIALES (2)'!$C$210)+(2*'MATERIALES (2)'!$C$208)+(2*'MATERIALES (2)'!$C$209)+(((A93)+(B93*2))*'MATERIALES (2)'!$C$159)+((B93*2)*'MATERIALES (2)'!$C$201)</f>
        <v>1972</v>
      </c>
      <c r="E93" s="75"/>
      <c r="F93" s="55">
        <f>((A93/2)*B93)*'MATERIALES (2)'!$C$158</f>
        <v>3063.6</v>
      </c>
      <c r="G93" s="59">
        <f t="shared" si="17"/>
        <v>16259.491000000002</v>
      </c>
      <c r="H93" s="67">
        <f t="shared" si="14"/>
        <v>31938.763443221254</v>
      </c>
      <c r="M93" s="32"/>
      <c r="T93" s="2"/>
      <c r="U93"/>
    </row>
    <row r="94" spans="1:21" ht="15.75" hidden="1" thickBot="1">
      <c r="A94" s="68">
        <v>1.2</v>
      </c>
      <c r="B94" s="69">
        <v>0.8</v>
      </c>
      <c r="C94" s="59">
        <f>((((A94)+(B94*2))*'MATERIALES (2)'!$C$74)+((B94*2)*'MATERIALES (2)'!$C$64))*'MATERIALES (2)'!$F$2</f>
        <v>13520.618999999999</v>
      </c>
      <c r="D94" s="59">
        <f>(18*'MATERIALES (2)'!$C$134)+(4*'MATERIALES (2)'!$C$210)+(2*'MATERIALES (2)'!$C$208)+(2*'MATERIALES (2)'!$C$209)+(((A94)+(B94*2))*'MATERIALES (2)'!$C$159)+((B94*2)*'MATERIALES (2)'!$C$201)</f>
        <v>2204</v>
      </c>
      <c r="E94" s="75"/>
      <c r="F94" s="55">
        <f>((A94/2)*B94)*'MATERIALES (2)'!$C$158</f>
        <v>4084.7999999999997</v>
      </c>
      <c r="G94" s="59">
        <f t="shared" si="17"/>
        <v>19809.418999999998</v>
      </c>
      <c r="H94" s="67">
        <f t="shared" si="14"/>
        <v>39217.447702991245</v>
      </c>
      <c r="M94" s="32"/>
      <c r="T94" s="2"/>
      <c r="U94"/>
    </row>
    <row r="95" spans="1:21" ht="15.75" hidden="1" thickBot="1">
      <c r="A95" s="68">
        <v>1.2</v>
      </c>
      <c r="B95" s="69">
        <v>1</v>
      </c>
      <c r="C95" s="59">
        <f>((((A95)+(B95*2))*'MATERIALES (2)'!$C$74)+((B95*2)*'MATERIALES (2)'!$C$64))*'MATERIALES (2)'!$F$2</f>
        <v>15817.346999999998</v>
      </c>
      <c r="D95" s="59">
        <f>(18*'MATERIALES (2)'!$C$134)+(4*'MATERIALES (2)'!$C$210)+(2*'MATERIALES (2)'!$C$208)+(2*'MATERIALES (2)'!$C$209)+(((A95)+(B95*2))*'MATERIALES (2)'!$C$159)+((B95*2)*'MATERIALES (2)'!$C$201)</f>
        <v>2436</v>
      </c>
      <c r="E95" s="75"/>
      <c r="F95" s="55">
        <f>((A95/2)*B95)*'MATERIALES (2)'!$C$158</f>
        <v>5106</v>
      </c>
      <c r="G95" s="59">
        <f t="shared" si="17"/>
        <v>23359.346999999998</v>
      </c>
      <c r="H95" s="67">
        <f t="shared" si="14"/>
        <v>46496.131962761261</v>
      </c>
      <c r="M95" s="32"/>
      <c r="T95" s="2"/>
      <c r="U95"/>
    </row>
    <row r="96" spans="1:21" ht="15.75" hidden="1" thickBot="1">
      <c r="A96" s="68">
        <v>1.2</v>
      </c>
      <c r="B96" s="69">
        <v>1.1000000000000001</v>
      </c>
      <c r="C96" s="59">
        <f>((((A96)+(B96*2))*'MATERIALES (2)'!$C$74)+((B96*2)*'MATERIALES (2)'!$C$64))*'MATERIALES (2)'!$F$2</f>
        <v>16965.710999999999</v>
      </c>
      <c r="D96" s="59">
        <f>(18*'MATERIALES (2)'!$C$134)+(4*'MATERIALES (2)'!$C$210)+(2*'MATERIALES (2)'!$C$208)+(2*'MATERIALES (2)'!$C$209)+(((A96)+(B96*2))*'MATERIALES (2)'!$C$159)+((B96*2)*'MATERIALES (2)'!$C$201)</f>
        <v>2552</v>
      </c>
      <c r="E96" s="75"/>
      <c r="F96" s="55">
        <f>((A96/2)*B96)*'MATERIALES (2)'!$C$158</f>
        <v>5616.6</v>
      </c>
      <c r="G96" s="59">
        <f t="shared" si="17"/>
        <v>25134.311000000002</v>
      </c>
      <c r="H96" s="67">
        <f t="shared" si="14"/>
        <v>50135.474092646255</v>
      </c>
      <c r="M96" s="32"/>
      <c r="T96" s="2"/>
      <c r="U96"/>
    </row>
    <row r="97" spans="1:21" ht="15.75" hidden="1" thickBot="1">
      <c r="A97" s="68">
        <v>1.2</v>
      </c>
      <c r="B97" s="69">
        <v>1.2</v>
      </c>
      <c r="C97" s="59">
        <f>((((A97)+(B97*2))*'MATERIALES (2)'!$C$74)+((B97*2)*'MATERIALES (2)'!$C$64))*'MATERIALES (2)'!$F$2</f>
        <v>18114.074999999997</v>
      </c>
      <c r="D97" s="59">
        <f>(18*'MATERIALES (2)'!$C$134)+(4*'MATERIALES (2)'!$C$210)+(2*'MATERIALES (2)'!$C$208)+(2*'MATERIALES (2)'!$C$209)+(((A97)+(B97*2))*'MATERIALES (2)'!$C$159)+((B97*2)*'MATERIALES (2)'!$C$201)</f>
        <v>2668</v>
      </c>
      <c r="E97" s="75"/>
      <c r="F97" s="55">
        <f>((A97/2)*B97)*'MATERIALES (2)'!$C$158</f>
        <v>6127.2</v>
      </c>
      <c r="G97" s="59">
        <f t="shared" si="17"/>
        <v>26909.274999999998</v>
      </c>
      <c r="H97" s="67">
        <f t="shared" si="14"/>
        <v>53774.816222531248</v>
      </c>
      <c r="M97" s="32"/>
      <c r="T97" s="2"/>
      <c r="U97"/>
    </row>
    <row r="98" spans="1:21" ht="15.75" hidden="1" thickBot="1">
      <c r="A98" s="68">
        <v>1.2</v>
      </c>
      <c r="B98" s="69">
        <v>1.5</v>
      </c>
      <c r="C98" s="59">
        <f>((((A98)+(B98*2))*'MATERIALES (2)'!$C$74)+((B98*2)*'MATERIALES (2)'!$C$64))*'MATERIALES (2)'!$F$2</f>
        <v>21559.167000000001</v>
      </c>
      <c r="D98" s="59">
        <f>(18*'MATERIALES (2)'!$C$134)+(4*'MATERIALES (2)'!$C$210)+(2*'MATERIALES (2)'!$C$208)+(2*'MATERIALES (2)'!$C$209)+(((A98)+(B98*2))*'MATERIALES (2)'!$C$159)+((B98*2)*'MATERIALES (2)'!$C$201)</f>
        <v>3016</v>
      </c>
      <c r="E98" s="75"/>
      <c r="F98" s="55">
        <f>((A98/2)*B98)*'MATERIALES (2)'!$C$158</f>
        <v>7658.9999999999991</v>
      </c>
      <c r="G98" s="59">
        <f t="shared" si="17"/>
        <v>32234.167000000001</v>
      </c>
      <c r="H98" s="67">
        <f t="shared" si="14"/>
        <v>64692.842612186258</v>
      </c>
      <c r="M98" s="32"/>
      <c r="T98" s="2"/>
      <c r="U98"/>
    </row>
    <row r="99" spans="1:21" ht="15.75" hidden="1" thickBot="1">
      <c r="A99" s="68">
        <v>1.2</v>
      </c>
      <c r="B99" s="69">
        <v>1.8</v>
      </c>
      <c r="C99" s="59">
        <f>((((A99)+(B99*2))*'MATERIALES (2)'!$C$74)+((B99*2)*'MATERIALES (2)'!$C$64))*'MATERIALES (2)'!$F$2</f>
        <v>25004.258999999998</v>
      </c>
      <c r="D99" s="59">
        <f>(18*'MATERIALES (2)'!$C$134)+(4*'MATERIALES (2)'!$C$210)+(2*'MATERIALES (2)'!$C$208)+(2*'MATERIALES (2)'!$C$209)+(((A99)+(B99*2))*'MATERIALES (2)'!$C$159)+((B99*2)*'MATERIALES (2)'!$C$201)</f>
        <v>3364</v>
      </c>
      <c r="E99" s="75"/>
      <c r="F99" s="55">
        <f>((A99/2)*B99)*'MATERIALES (2)'!$C$158</f>
        <v>9190.8000000000011</v>
      </c>
      <c r="G99" s="59">
        <f t="shared" si="17"/>
        <v>37559.059000000001</v>
      </c>
      <c r="H99" s="67">
        <f t="shared" si="14"/>
        <v>75610.869001841245</v>
      </c>
      <c r="M99" s="32"/>
      <c r="T99" s="2"/>
      <c r="U99"/>
    </row>
    <row r="100" spans="1:21" ht="15.75" hidden="1" thickBot="1">
      <c r="A100" s="68">
        <v>1.5</v>
      </c>
      <c r="B100" s="69">
        <v>0.4</v>
      </c>
      <c r="C100" s="59">
        <f>((((A100)+(B100*2))*'MATERIALES (2)'!$C$74)+((B100*2)*'MATERIALES (2)'!$C$64))*'MATERIALES (2)'!$F$2</f>
        <v>10010.589750000001</v>
      </c>
      <c r="D100" s="59">
        <f>(18*'MATERIALES (2)'!$C$134)+(4*'MATERIALES (2)'!$C$210)+(2*'MATERIALES (2)'!$C$208)+(2*'MATERIALES (2)'!$C$209)+(((A100)+(B100*2))*'MATERIALES (2)'!$C$159)+((B100*2)*'MATERIALES (2)'!$C$201)</f>
        <v>1764</v>
      </c>
      <c r="E100" s="75"/>
      <c r="F100" s="55">
        <f>((A100/2)*B100)*'MATERIALES (2)'!$C$158</f>
        <v>2553.0000000000005</v>
      </c>
      <c r="G100" s="59">
        <f t="shared" si="17"/>
        <v>14327.589750000001</v>
      </c>
      <c r="H100" s="67">
        <f t="shared" si="14"/>
        <v>28016.787723179074</v>
      </c>
      <c r="M100" s="32"/>
      <c r="T100" s="2"/>
      <c r="U100"/>
    </row>
    <row r="101" spans="1:21" ht="15.75" hidden="1" thickBot="1">
      <c r="A101" s="68">
        <v>1.5</v>
      </c>
      <c r="B101" s="69">
        <v>0.6</v>
      </c>
      <c r="C101" s="59">
        <f>((((A101)+(B101*2))*'MATERIALES (2)'!$C$74)+((B101*2)*'MATERIALES (2)'!$C$64))*'MATERIALES (2)'!$F$2</f>
        <v>12307.31775</v>
      </c>
      <c r="D101" s="59">
        <f>(18*'MATERIALES (2)'!$C$134)+(4*'MATERIALES (2)'!$C$210)+(2*'MATERIALES (2)'!$C$208)+(2*'MATERIALES (2)'!$C$209)+(((A101)+(B101*2))*'MATERIALES (2)'!$C$159)+((B101*2)*'MATERIALES (2)'!$C$201)</f>
        <v>1996</v>
      </c>
      <c r="E101" s="75"/>
      <c r="F101" s="55">
        <f>((A101/2)*B101)*'MATERIALES (2)'!$C$158</f>
        <v>3829.4999999999995</v>
      </c>
      <c r="G101" s="59">
        <f t="shared" si="17"/>
        <v>18132.817749999998</v>
      </c>
      <c r="H101" s="67">
        <f t="shared" si="14"/>
        <v>35976.62514794906</v>
      </c>
      <c r="M101" s="32"/>
      <c r="T101" s="2"/>
      <c r="U101"/>
    </row>
    <row r="102" spans="1:21" ht="15.75" hidden="1" thickBot="1">
      <c r="A102" s="68">
        <v>1.5</v>
      </c>
      <c r="B102" s="69">
        <v>0.8</v>
      </c>
      <c r="C102" s="59">
        <f>((((A102)+(B102*2))*'MATERIALES (2)'!$C$74)+((B102*2)*'MATERIALES (2)'!$C$64))*'MATERIALES (2)'!$F$2</f>
        <v>14604.045750000001</v>
      </c>
      <c r="D102" s="59">
        <f>(18*'MATERIALES (2)'!$C$134)+(4*'MATERIALES (2)'!$C$210)+(2*'MATERIALES (2)'!$C$208)+(2*'MATERIALES (2)'!$C$209)+(((A102)+(B102*2))*'MATERIALES (2)'!$C$159)+((B102*2)*'MATERIALES (2)'!$C$201)</f>
        <v>2228</v>
      </c>
      <c r="E102" s="75"/>
      <c r="F102" s="55">
        <f>((A102/2)*B102)*'MATERIALES (2)'!$C$158</f>
        <v>5106.0000000000009</v>
      </c>
      <c r="G102" s="59">
        <f t="shared" si="17"/>
        <v>21938.045750000001</v>
      </c>
      <c r="H102" s="67">
        <f t="shared" si="14"/>
        <v>43936.462572719065</v>
      </c>
      <c r="M102" s="32"/>
      <c r="T102" s="2"/>
      <c r="U102"/>
    </row>
    <row r="103" spans="1:21" ht="15.75" hidden="1" thickBot="1">
      <c r="A103" s="68">
        <v>1.5</v>
      </c>
      <c r="B103" s="69">
        <v>1</v>
      </c>
      <c r="C103" s="59">
        <f>((((A103)+(B103*2))*'MATERIALES (2)'!$C$74)+((B103*2)*'MATERIALES (2)'!$C$64))*'MATERIALES (2)'!$F$2</f>
        <v>16900.773749999997</v>
      </c>
      <c r="D103" s="59">
        <f>(18*'MATERIALES (2)'!$C$134)+(4*'MATERIALES (2)'!$C$210)+(2*'MATERIALES (2)'!$C$208)+(2*'MATERIALES (2)'!$C$209)+(((A103)+(B103*2))*'MATERIALES (2)'!$C$159)+((B103*2)*'MATERIALES (2)'!$C$201)</f>
        <v>2460</v>
      </c>
      <c r="E103" s="75"/>
      <c r="F103" s="55">
        <f>((A103/2)*B103)*'MATERIALES (2)'!$C$158</f>
        <v>6382.5</v>
      </c>
      <c r="G103" s="59">
        <f t="shared" si="17"/>
        <v>25743.273749999997</v>
      </c>
      <c r="H103" s="67">
        <f t="shared" si="14"/>
        <v>51896.299997489055</v>
      </c>
      <c r="M103" s="32"/>
      <c r="T103" s="2"/>
      <c r="U103"/>
    </row>
    <row r="104" spans="1:21" ht="15.75" hidden="1" thickBot="1">
      <c r="A104" s="68">
        <v>1.5</v>
      </c>
      <c r="B104" s="69">
        <v>1.1000000000000001</v>
      </c>
      <c r="C104" s="59">
        <f>((((A104)+(B104*2))*'MATERIALES (2)'!$C$74)+((B104*2)*'MATERIALES (2)'!$C$64))*'MATERIALES (2)'!$F$2</f>
        <v>18049.137750000002</v>
      </c>
      <c r="D104" s="59">
        <f>(18*'MATERIALES (2)'!$C$134)+(4*'MATERIALES (2)'!$C$210)+(2*'MATERIALES (2)'!$C$208)+(2*'MATERIALES (2)'!$C$209)+(((A104)+(B104*2))*'MATERIALES (2)'!$C$159)+((B104*2)*'MATERIALES (2)'!$C$201)</f>
        <v>2576</v>
      </c>
      <c r="E104" s="75"/>
      <c r="F104" s="55">
        <f>((A104/2)*B104)*'MATERIALES (2)'!$C$158</f>
        <v>7020.7500000000009</v>
      </c>
      <c r="G104" s="59">
        <f t="shared" si="17"/>
        <v>27645.887750000002</v>
      </c>
      <c r="H104" s="67">
        <f t="shared" si="14"/>
        <v>55876.218709874076</v>
      </c>
      <c r="M104" s="32"/>
      <c r="T104" s="2"/>
      <c r="U104"/>
    </row>
    <row r="105" spans="1:21" ht="15.75" hidden="1" thickBot="1">
      <c r="A105" s="68">
        <v>1.5</v>
      </c>
      <c r="B105" s="69">
        <v>1.2</v>
      </c>
      <c r="C105" s="59">
        <f>((((A105)+(B105*2))*'MATERIALES (2)'!$C$74)+((B105*2)*'MATERIALES (2)'!$C$64))*'MATERIALES (2)'!$F$2</f>
        <v>19197.501749999999</v>
      </c>
      <c r="D105" s="59">
        <f>(18*'MATERIALES (2)'!$C$134)+(4*'MATERIALES (2)'!$C$210)+(2*'MATERIALES (2)'!$C$208)+(2*'MATERIALES (2)'!$C$209)+(((A105)+(B105*2))*'MATERIALES (2)'!$C$159)+((B105*2)*'MATERIALES (2)'!$C$201)</f>
        <v>2692</v>
      </c>
      <c r="E105" s="75"/>
      <c r="F105" s="55">
        <f>((A105/2)*B105)*'MATERIALES (2)'!$C$158</f>
        <v>7658.9999999999991</v>
      </c>
      <c r="G105" s="59">
        <f t="shared" si="17"/>
        <v>29548.501749999999</v>
      </c>
      <c r="H105" s="67">
        <f t="shared" si="14"/>
        <v>59856.137422259075</v>
      </c>
      <c r="M105" s="32"/>
      <c r="T105" s="2"/>
      <c r="U105"/>
    </row>
    <row r="106" spans="1:21" ht="15.75" hidden="1" thickBot="1">
      <c r="A106" s="68">
        <v>1.5</v>
      </c>
      <c r="B106" s="69">
        <v>1.5</v>
      </c>
      <c r="C106" s="59">
        <f>((((A106)+(B106*2))*'MATERIALES (2)'!$C$74)+((B106*2)*'MATERIALES (2)'!$C$64))*'MATERIALES (2)'!$F$2</f>
        <v>22642.59375</v>
      </c>
      <c r="D106" s="59">
        <f>(18*'MATERIALES (2)'!$C$134)+(4*'MATERIALES (2)'!$C$210)+(2*'MATERIALES (2)'!$C$208)+(2*'MATERIALES (2)'!$C$209)+(((A106)+(B106*2))*'MATERIALES (2)'!$C$159)+((B106*2)*'MATERIALES (2)'!$C$201)</f>
        <v>3040</v>
      </c>
      <c r="E106" s="75"/>
      <c r="F106" s="55">
        <f>((A106/2)*B106)*'MATERIALES (2)'!$C$158</f>
        <v>9573.75</v>
      </c>
      <c r="G106" s="59">
        <f t="shared" si="17"/>
        <v>35256.34375</v>
      </c>
      <c r="H106" s="67">
        <f t="shared" si="14"/>
        <v>71795.893559414064</v>
      </c>
      <c r="M106" s="32"/>
      <c r="T106" s="2"/>
      <c r="U106"/>
    </row>
    <row r="107" spans="1:21" ht="15.75" hidden="1" thickBot="1">
      <c r="A107" s="68">
        <v>1.5</v>
      </c>
      <c r="B107" s="69">
        <v>1.8</v>
      </c>
      <c r="C107" s="59">
        <f>((((A107)+(B107*2))*'MATERIALES (2)'!$C$74)+((B107*2)*'MATERIALES (2)'!$C$64))*'MATERIALES (2)'!$F$2</f>
        <v>26087.685749999997</v>
      </c>
      <c r="D107" s="59">
        <f>(18*'MATERIALES (2)'!$C$134)+(4*'MATERIALES (2)'!$C$210)+(2*'MATERIALES (2)'!$C$208)+(2*'MATERIALES (2)'!$C$209)+(((A107)+(B107*2))*'MATERIALES (2)'!$C$159)+((B107*2)*'MATERIALES (2)'!$C$201)</f>
        <v>3388</v>
      </c>
      <c r="E107" s="75"/>
      <c r="F107" s="55">
        <f>((A107/2)*B107)*'MATERIALES (2)'!$C$158</f>
        <v>11488.5</v>
      </c>
      <c r="G107" s="59">
        <f t="shared" si="17"/>
        <v>40964.185749999997</v>
      </c>
      <c r="H107" s="67">
        <f t="shared" si="14"/>
        <v>83735.64969656906</v>
      </c>
      <c r="M107" s="32"/>
      <c r="T107" s="2"/>
      <c r="U107"/>
    </row>
    <row r="108" spans="1:21" ht="15.75" hidden="1" thickBot="1">
      <c r="A108" s="68">
        <v>1.8</v>
      </c>
      <c r="B108" s="69">
        <v>0.8</v>
      </c>
      <c r="C108" s="59">
        <f>((((A108)+(B108*2))*'MATERIALES (2)'!$C$74)+((B108*2)*'MATERIALES (2)'!$C$64))*'MATERIALES (2)'!$F$2</f>
        <v>15687.472500000002</v>
      </c>
      <c r="D108" s="59">
        <f>(18*'MATERIALES (2)'!$C$134)+(4*'MATERIALES (2)'!$C$210)+(2*'MATERIALES (2)'!$C$208)+(2*'MATERIALES (2)'!$C$209)+(((A108)+(B108*2))*'MATERIALES (2)'!$C$159)+((B108*2)*'MATERIALES (2)'!$C$201)</f>
        <v>2252</v>
      </c>
      <c r="E108" s="75"/>
      <c r="F108" s="55">
        <f>((A108/2)*B108)*'MATERIALES (2)'!$C$158</f>
        <v>6127.2000000000007</v>
      </c>
      <c r="G108" s="59">
        <f t="shared" si="17"/>
        <v>24066.672500000004</v>
      </c>
      <c r="H108" s="67">
        <f t="shared" si="14"/>
        <v>48655.477442446885</v>
      </c>
      <c r="M108" s="32"/>
      <c r="T108" s="2"/>
      <c r="U108"/>
    </row>
    <row r="109" spans="1:21" ht="15.75" hidden="1" thickBot="1">
      <c r="A109" s="68">
        <v>1.8</v>
      </c>
      <c r="B109" s="69">
        <v>1</v>
      </c>
      <c r="C109" s="59">
        <f>((((A109)+(B109*2))*'MATERIALES (2)'!$C$74)+((B109*2)*'MATERIALES (2)'!$C$64))*'MATERIALES (2)'!$F$2</f>
        <v>17984.200499999999</v>
      </c>
      <c r="D109" s="59">
        <f>(18*'MATERIALES (2)'!$C$134)+(4*'MATERIALES (2)'!$C$210)+(2*'MATERIALES (2)'!$C$208)+(2*'MATERIALES (2)'!$C$209)+(((A109)+(B109*2))*'MATERIALES (2)'!$C$159)+((B109*2)*'MATERIALES (2)'!$C$201)</f>
        <v>2484</v>
      </c>
      <c r="E109" s="75"/>
      <c r="F109" s="55">
        <f>((A109/2)*B109)*'MATERIALES (2)'!$C$158</f>
        <v>7659</v>
      </c>
      <c r="G109" s="59">
        <f t="shared" si="17"/>
        <v>28127.200499999999</v>
      </c>
      <c r="H109" s="67">
        <f t="shared" si="14"/>
        <v>57296.468032216872</v>
      </c>
      <c r="M109" s="32"/>
      <c r="T109" s="2"/>
      <c r="U109"/>
    </row>
    <row r="110" spans="1:21" ht="15.75" hidden="1" thickBot="1">
      <c r="A110" s="68">
        <v>1.8</v>
      </c>
      <c r="B110" s="69">
        <v>1.1000000000000001</v>
      </c>
      <c r="C110" s="59">
        <f>((((A110)+(B110*2))*'MATERIALES (2)'!$C$74)+((B110*2)*'MATERIALES (2)'!$C$64))*'MATERIALES (2)'!$F$2</f>
        <v>19132.5645</v>
      </c>
      <c r="D110" s="59">
        <f>(18*'MATERIALES (2)'!$C$134)+(4*'MATERIALES (2)'!$C$210)+(2*'MATERIALES (2)'!$C$208)+(2*'MATERIALES (2)'!$C$209)+(((A110)+(B110*2))*'MATERIALES (2)'!$C$159)+((B110*2)*'MATERIALES (2)'!$C$201)</f>
        <v>2600</v>
      </c>
      <c r="E110" s="75"/>
      <c r="F110" s="55">
        <f>((A110/2)*B110)*'MATERIALES (2)'!$C$158</f>
        <v>8424.9000000000015</v>
      </c>
      <c r="G110" s="59">
        <f t="shared" si="17"/>
        <v>30157.464500000002</v>
      </c>
      <c r="H110" s="67">
        <f t="shared" si="14"/>
        <v>61616.96332710189</v>
      </c>
      <c r="M110" s="32"/>
      <c r="T110" s="2"/>
      <c r="U110"/>
    </row>
    <row r="111" spans="1:21" ht="15.75" hidden="1" thickBot="1">
      <c r="A111" s="68">
        <v>1.8</v>
      </c>
      <c r="B111" s="69">
        <v>1.2</v>
      </c>
      <c r="C111" s="59">
        <f>((((A111)+(B111*2))*'MATERIALES (2)'!$C$74)+((B111*2)*'MATERIALES (2)'!$C$64))*'MATERIALES (2)'!$F$2</f>
        <v>20280.928500000002</v>
      </c>
      <c r="D111" s="59">
        <f>(18*'MATERIALES (2)'!$C$134)+(4*'MATERIALES (2)'!$C$210)+(2*'MATERIALES (2)'!$C$208)+(2*'MATERIALES (2)'!$C$209)+(((A111)+(B111*2))*'MATERIALES (2)'!$C$159)+((B111*2)*'MATERIALES (2)'!$C$201)</f>
        <v>2716</v>
      </c>
      <c r="E111" s="75"/>
      <c r="F111" s="55">
        <f>((A111/2)*B111)*'MATERIALES (2)'!$C$158</f>
        <v>9190.8000000000011</v>
      </c>
      <c r="G111" s="59">
        <f t="shared" si="17"/>
        <v>32187.728500000005</v>
      </c>
      <c r="H111" s="67">
        <f t="shared" si="14"/>
        <v>65937.45862198688</v>
      </c>
      <c r="M111" s="32"/>
      <c r="T111" s="2"/>
      <c r="U111"/>
    </row>
    <row r="112" spans="1:21" ht="15.75" hidden="1" thickBot="1">
      <c r="A112" s="68">
        <v>1.8</v>
      </c>
      <c r="B112" s="69">
        <v>1.5</v>
      </c>
      <c r="C112" s="59">
        <f>((((A112)+(B112*2))*'MATERIALES (2)'!$C$74)+((B112*2)*'MATERIALES (2)'!$C$64))*'MATERIALES (2)'!$F$2</f>
        <v>23726.020500000002</v>
      </c>
      <c r="D112" s="59">
        <f>(18*'MATERIALES (2)'!$C$134)+(4*'MATERIALES (2)'!$C$210)+(2*'MATERIALES (2)'!$C$208)+(2*'MATERIALES (2)'!$C$209)+(((A112)+(B112*2))*'MATERIALES (2)'!$C$159)+((B112*2)*'MATERIALES (2)'!$C$201)</f>
        <v>3064</v>
      </c>
      <c r="E112" s="75"/>
      <c r="F112" s="55">
        <f>((A112/2)*B112)*'MATERIALES (2)'!$C$158</f>
        <v>11488.5</v>
      </c>
      <c r="G112" s="59">
        <f t="shared" si="17"/>
        <v>38278.520499999999</v>
      </c>
      <c r="H112" s="67">
        <f t="shared" si="14"/>
        <v>78898.944506641885</v>
      </c>
      <c r="M112" s="32"/>
      <c r="T112" s="2"/>
      <c r="U112"/>
    </row>
    <row r="113" spans="1:21" ht="15.75" hidden="1" thickBot="1">
      <c r="A113" s="68">
        <v>1.8</v>
      </c>
      <c r="B113" s="69">
        <v>1.8</v>
      </c>
      <c r="C113" s="59">
        <f>((((A113)+(B113*2))*'MATERIALES (2)'!$C$74)+((B113*2)*'MATERIALES (2)'!$C$64))*'MATERIALES (2)'!$F$2</f>
        <v>27171.112500000003</v>
      </c>
      <c r="D113" s="59">
        <f>(18*'MATERIALES (2)'!$C$134)+(4*'MATERIALES (2)'!$C$210)+(2*'MATERIALES (2)'!$C$208)+(2*'MATERIALES (2)'!$C$209)+(((A113)+(B113*2))*'MATERIALES (2)'!$C$159)+((B113*2)*'MATERIALES (2)'!$C$201)</f>
        <v>3412</v>
      </c>
      <c r="E113" s="75"/>
      <c r="F113" s="55">
        <f>((A113/2)*B113)*'MATERIALES (2)'!$C$158</f>
        <v>13786.2</v>
      </c>
      <c r="G113" s="59">
        <f t="shared" si="17"/>
        <v>44369.3125</v>
      </c>
      <c r="H113" s="67">
        <f t="shared" si="14"/>
        <v>91860.43039129689</v>
      </c>
      <c r="M113" s="32"/>
      <c r="T113" s="2"/>
      <c r="U113"/>
    </row>
    <row r="114" spans="1:21" ht="15.75" hidden="1" thickBot="1">
      <c r="A114" s="68">
        <v>2</v>
      </c>
      <c r="B114" s="69">
        <v>0.8</v>
      </c>
      <c r="C114" s="59">
        <f>((((A114)+(B114*2))*'MATERIALES (2)'!$C$74)+((B114*2)*'MATERIALES (2)'!$C$64))*'MATERIALES (2)'!$F$2</f>
        <v>16409.756999999998</v>
      </c>
      <c r="D114" s="59">
        <f>(18*'MATERIALES (2)'!$C$134)+(4*'MATERIALES (2)'!$C$210)+(2*'MATERIALES (2)'!$C$208)+(2*'MATERIALES (2)'!$C$209)+(((A114)+(B114*2))*'MATERIALES (2)'!$C$159)+((B114*2)*'MATERIALES (2)'!$C$201)</f>
        <v>2268</v>
      </c>
      <c r="E114" s="75"/>
      <c r="F114" s="55">
        <f>((A114/2)*B114)*'MATERIALES (2)'!$C$158</f>
        <v>6808</v>
      </c>
      <c r="G114" s="59">
        <f t="shared" si="17"/>
        <v>25485.756999999998</v>
      </c>
      <c r="H114" s="67">
        <f t="shared" si="14"/>
        <v>51801.487355598751</v>
      </c>
      <c r="M114" s="32"/>
      <c r="T114" s="2"/>
      <c r="U114"/>
    </row>
    <row r="115" spans="1:21" ht="15.75" hidden="1" thickBot="1">
      <c r="A115" s="68">
        <v>2</v>
      </c>
      <c r="B115" s="69">
        <v>1</v>
      </c>
      <c r="C115" s="59">
        <f>((((A115)+(B115*2))*'MATERIALES (2)'!$C$74)+((B115*2)*'MATERIALES (2)'!$C$64))*'MATERIALES (2)'!$F$2</f>
        <v>18706.485000000001</v>
      </c>
      <c r="D115" s="59">
        <f>(18*'MATERIALES (2)'!$C$134)+(4*'MATERIALES (2)'!$C$210)+(2*'MATERIALES (2)'!$C$208)+(2*'MATERIALES (2)'!$C$209)+(((A115)+(B115*2))*'MATERIALES (2)'!$C$159)+((B115*2)*'MATERIALES (2)'!$C$201)</f>
        <v>2500</v>
      </c>
      <c r="E115" s="75"/>
      <c r="F115" s="55">
        <f>((A115/2)*B115)*'MATERIALES (2)'!$C$158</f>
        <v>8510</v>
      </c>
      <c r="G115" s="59">
        <f t="shared" si="17"/>
        <v>29716.485000000001</v>
      </c>
      <c r="H115" s="67">
        <f t="shared" si="14"/>
        <v>60896.580055368766</v>
      </c>
      <c r="M115" s="32"/>
      <c r="T115" s="2"/>
      <c r="U115"/>
    </row>
    <row r="116" spans="1:21" ht="15.75" hidden="1" thickBot="1">
      <c r="A116" s="68">
        <v>2</v>
      </c>
      <c r="B116" s="69">
        <v>1.1000000000000001</v>
      </c>
      <c r="C116" s="59">
        <f>((((A116)+(B116*2))*'MATERIALES (2)'!$C$74)+((B116*2)*'MATERIALES (2)'!$C$64))*'MATERIALES (2)'!$F$2</f>
        <v>19854.849000000002</v>
      </c>
      <c r="D116" s="59">
        <f>(18*'MATERIALES (2)'!$C$134)+(4*'MATERIALES (2)'!$C$210)+(2*'MATERIALES (2)'!$C$208)+(2*'MATERIALES (2)'!$C$209)+(((A116)+(B116*2))*'MATERIALES (2)'!$C$159)+((B116*2)*'MATERIALES (2)'!$C$201)</f>
        <v>2616</v>
      </c>
      <c r="E116" s="75"/>
      <c r="F116" s="55">
        <f>((A116/2)*B116)*'MATERIALES (2)'!$C$158</f>
        <v>9361</v>
      </c>
      <c r="G116" s="59">
        <f t="shared" si="17"/>
        <v>31831.849000000002</v>
      </c>
      <c r="H116" s="67">
        <f t="shared" si="14"/>
        <v>65444.126405253759</v>
      </c>
      <c r="M116" s="32"/>
      <c r="T116" s="2"/>
      <c r="U116"/>
    </row>
    <row r="117" spans="1:21" ht="15.75" hidden="1" thickBot="1">
      <c r="A117" s="68">
        <v>2</v>
      </c>
      <c r="B117" s="69">
        <v>1.2</v>
      </c>
      <c r="C117" s="59">
        <f>((((A117)+(B117*2))*'MATERIALES (2)'!$C$74)+((B117*2)*'MATERIALES (2)'!$C$64))*'MATERIALES (2)'!$F$2</f>
        <v>21003.213</v>
      </c>
      <c r="D117" s="59">
        <f>(18*'MATERIALES (2)'!$C$134)+(4*'MATERIALES (2)'!$C$210)+(2*'MATERIALES (2)'!$C$208)+(2*'MATERIALES (2)'!$C$209)+(((A117)+(B117*2))*'MATERIALES (2)'!$C$159)+((B117*2)*'MATERIALES (2)'!$C$201)</f>
        <v>2732</v>
      </c>
      <c r="E117" s="75"/>
      <c r="F117" s="55">
        <f>((A117/2)*B117)*'MATERIALES (2)'!$C$158</f>
        <v>10212</v>
      </c>
      <c r="G117" s="59">
        <f t="shared" si="17"/>
        <v>33947.213000000003</v>
      </c>
      <c r="H117" s="67">
        <f t="shared" si="14"/>
        <v>69991.672755138759</v>
      </c>
      <c r="M117" s="32"/>
      <c r="T117" s="2"/>
      <c r="U117"/>
    </row>
    <row r="118" spans="1:21" ht="15.75" hidden="1" thickBot="1">
      <c r="A118" s="68">
        <v>2</v>
      </c>
      <c r="B118" s="69">
        <v>1.5</v>
      </c>
      <c r="C118" s="59">
        <f>((((A118)+(B118*2))*'MATERIALES (2)'!$C$74)+((B118*2)*'MATERIALES (2)'!$C$64))*'MATERIALES (2)'!$F$2</f>
        <v>24448.305</v>
      </c>
      <c r="D118" s="59">
        <f>(18*'MATERIALES (2)'!$C$134)+(4*'MATERIALES (2)'!$C$210)+(2*'MATERIALES (2)'!$C$208)+(2*'MATERIALES (2)'!$C$209)+(((A118)+(B118*2))*'MATERIALES (2)'!$C$159)+((B118*2)*'MATERIALES (2)'!$C$201)</f>
        <v>3080</v>
      </c>
      <c r="E118" s="75"/>
      <c r="F118" s="55">
        <f>((A118/2)*B118)*'MATERIALES (2)'!$C$158</f>
        <v>12765</v>
      </c>
      <c r="G118" s="59">
        <f t="shared" si="17"/>
        <v>40293.305</v>
      </c>
      <c r="H118" s="67">
        <f t="shared" si="14"/>
        <v>83634.311804793761</v>
      </c>
      <c r="M118" s="32"/>
      <c r="T118" s="2"/>
      <c r="U118"/>
    </row>
    <row r="119" spans="1:21" ht="15.75" hidden="1" thickBot="1">
      <c r="A119" s="68">
        <v>2</v>
      </c>
      <c r="B119" s="69">
        <v>1.8</v>
      </c>
      <c r="C119" s="59">
        <f>((((A119)+(B119*2))*'MATERIALES (2)'!$C$74)+((B119*2)*'MATERIALES (2)'!$C$64))*'MATERIALES (2)'!$F$2</f>
        <v>27893.396999999997</v>
      </c>
      <c r="D119" s="59">
        <f>(18*'MATERIALES (2)'!$C$134)+(4*'MATERIALES (2)'!$C$210)+(2*'MATERIALES (2)'!$C$208)+(2*'MATERIALES (2)'!$C$209)+(((A119)+(B119*2))*'MATERIALES (2)'!$C$159)+((B119*2)*'MATERIALES (2)'!$C$201)</f>
        <v>3428</v>
      </c>
      <c r="E119" s="75"/>
      <c r="F119" s="55">
        <f>((A119/2)*B119)*'MATERIALES (2)'!$C$158</f>
        <v>15318</v>
      </c>
      <c r="G119" s="59">
        <f t="shared" si="17"/>
        <v>46639.396999999997</v>
      </c>
      <c r="H119" s="67">
        <f t="shared" si="14"/>
        <v>97276.950854448747</v>
      </c>
      <c r="M119" s="32"/>
      <c r="T119" s="2"/>
      <c r="U119"/>
    </row>
    <row r="120" spans="1:21" ht="15.75" hidden="1" thickBot="1">
      <c r="A120" s="68"/>
      <c r="B120" s="69"/>
      <c r="C120" s="59">
        <f>((((A120)+(B120*2))*'MATERIALES (2)'!$C$74)+((B120*2)*'MATERIALES (2)'!$C$64))*'MATERIALES (2)'!$F$2</f>
        <v>0</v>
      </c>
      <c r="D120" s="59">
        <f>(18*'MATERIALES (2)'!$C$134)+(4*'MATERIALES (2)'!$C$210)+(2*'MATERIALES (2)'!$C$208)+(2*'MATERIALES (2)'!$C$209)+(((A120)+(B120*2))*'MATERIALES (2)'!$C$159)+((B120*2)*'MATERIALES (2)'!$C$201)</f>
        <v>1180</v>
      </c>
      <c r="E120" s="75"/>
      <c r="F120" s="55">
        <f>((A120/2)*B120)*'MATERIALES (2)'!$C$158</f>
        <v>0</v>
      </c>
      <c r="G120" s="59">
        <f t="shared" si="17"/>
        <v>1180</v>
      </c>
      <c r="H120" s="67">
        <f t="shared" si="14"/>
        <v>2125.1018250000002</v>
      </c>
      <c r="M120" s="32"/>
      <c r="T120" s="2"/>
      <c r="U120"/>
    </row>
    <row r="121" spans="1:21" ht="15.75" hidden="1" thickBot="1">
      <c r="A121" s="68"/>
      <c r="B121" s="69"/>
      <c r="C121" s="59">
        <f>((((A121)+(B121*2))*'MATERIALES (2)'!$C$74)+((B121*2)*'MATERIALES (2)'!$C$64))*'MATERIALES (2)'!$F$2</f>
        <v>0</v>
      </c>
      <c r="D121" s="59">
        <f>(18*'MATERIALES (2)'!$C$134)+(4*'MATERIALES (2)'!$C$210)+(2*'MATERIALES (2)'!$C$208)+(2*'MATERIALES (2)'!$C$209)+(((A121)+(B121*2))*'MATERIALES (2)'!$C$159)+((B121*2)*'MATERIALES (2)'!$C$201)</f>
        <v>1180</v>
      </c>
      <c r="E121" s="75"/>
      <c r="F121" s="55">
        <f>((A121/2)*B121)*'MATERIALES (2)'!$C$158</f>
        <v>0</v>
      </c>
      <c r="G121" s="59">
        <f t="shared" si="17"/>
        <v>1180</v>
      </c>
      <c r="H121" s="67">
        <f t="shared" si="14"/>
        <v>2125.1018250000002</v>
      </c>
      <c r="M121" s="32"/>
      <c r="T121" s="2"/>
      <c r="U121"/>
    </row>
    <row r="122" spans="1:21" ht="15.75" hidden="1" thickBot="1">
      <c r="A122" s="68"/>
      <c r="B122" s="69"/>
      <c r="C122" s="59">
        <f>((((A122)+(B122*2))*'MATERIALES (2)'!$C$74)+((B122*2)*'MATERIALES (2)'!$C$64))*'MATERIALES (2)'!$F$2</f>
        <v>0</v>
      </c>
      <c r="D122" s="59">
        <f>(18*'MATERIALES (2)'!$C$134)+(4*'MATERIALES (2)'!$C$210)+(2*'MATERIALES (2)'!$C$208)+(2*'MATERIALES (2)'!$C$209)+(((A122)+(B122*2))*'MATERIALES (2)'!$C$159)+((B122*2)*'MATERIALES (2)'!$C$201)</f>
        <v>1180</v>
      </c>
      <c r="E122" s="75"/>
      <c r="F122" s="55">
        <f>((A122/2)*B122)*'MATERIALES (2)'!$C$158</f>
        <v>0</v>
      </c>
      <c r="G122" s="59">
        <f t="shared" si="17"/>
        <v>1180</v>
      </c>
      <c r="H122" s="67">
        <f t="shared" si="14"/>
        <v>2125.1018250000002</v>
      </c>
      <c r="M122" s="32"/>
      <c r="T122" s="2"/>
      <c r="U122"/>
    </row>
    <row r="123" spans="1:21" ht="15.75" hidden="1" thickBot="1">
      <c r="A123" s="68">
        <v>2.2000000000000002</v>
      </c>
      <c r="B123" s="69">
        <v>1</v>
      </c>
      <c r="C123" s="59">
        <f>((((A123)+(B123*2))*'MATERIALES (2)'!$C$74)+((B123*2)*'MATERIALES (2)'!$C$64))*'MATERIALES (2)'!$F$2</f>
        <v>19428.769499999999</v>
      </c>
      <c r="D123" s="59">
        <f>(18*'MATERIALES (2)'!$C$134)+(4*'MATERIALES (2)'!$C$210)+(2*'MATERIALES (2)'!$C$208)+(2*'MATERIALES (2)'!$C$209)+(((A123)+(B123*2))*'MATERIALES (2)'!$C$159)+((B123*2)*'MATERIALES (2)'!$C$201)</f>
        <v>2516</v>
      </c>
      <c r="E123" s="75"/>
      <c r="F123" s="55">
        <f>((A123/2)*B123)*'MATERIALES (2)'!$C$158</f>
        <v>9361</v>
      </c>
      <c r="G123" s="59">
        <f t="shared" si="17"/>
        <v>31305.769499999999</v>
      </c>
      <c r="H123" s="67">
        <f t="shared" si="14"/>
        <v>64496.692078520638</v>
      </c>
      <c r="M123" s="32"/>
      <c r="T123" s="2"/>
      <c r="U123"/>
    </row>
    <row r="124" spans="1:21" ht="15.75" hidden="1" thickBot="1">
      <c r="A124" s="68">
        <v>2.2000000000000002</v>
      </c>
      <c r="B124" s="69">
        <v>1.2</v>
      </c>
      <c r="C124" s="59">
        <f>((((A124)+(B124*2))*'MATERIALES (2)'!$C$74)+((B124*2)*'MATERIALES (2)'!$C$64))*'MATERIALES (2)'!$F$2</f>
        <v>21725.497500000001</v>
      </c>
      <c r="D124" s="59">
        <f>(18*'MATERIALES (2)'!$C$134)+(4*'MATERIALES (2)'!$C$210)+(2*'MATERIALES (2)'!$C$208)+(2*'MATERIALES (2)'!$C$209)+(((A124)+(B124*2))*'MATERIALES (2)'!$C$159)+((B124*2)*'MATERIALES (2)'!$C$201)</f>
        <v>2748</v>
      </c>
      <c r="E124" s="75"/>
      <c r="F124" s="55">
        <f>((A124/2)*B124)*'MATERIALES (2)'!$C$158</f>
        <v>11233.2</v>
      </c>
      <c r="G124" s="59">
        <f t="shared" si="17"/>
        <v>35706.697500000002</v>
      </c>
      <c r="H124" s="67">
        <f t="shared" si="14"/>
        <v>74045.886888290639</v>
      </c>
      <c r="M124" s="32"/>
      <c r="T124" s="2"/>
      <c r="U124"/>
    </row>
    <row r="125" spans="1:21" ht="15.75" hidden="1" thickBot="1">
      <c r="A125" s="68">
        <v>2.2000000000000002</v>
      </c>
      <c r="B125" s="69">
        <v>1.5</v>
      </c>
      <c r="C125" s="59">
        <f>((((A125)+(B125*2))*'MATERIALES (2)'!$C$74)+((B125*2)*'MATERIALES (2)'!$C$64))*'MATERIALES (2)'!$F$2</f>
        <v>25170.589500000002</v>
      </c>
      <c r="D125" s="59">
        <f>(18*'MATERIALES (2)'!$C$134)+(4*'MATERIALES (2)'!$C$210)+(2*'MATERIALES (2)'!$C$208)+(2*'MATERIALES (2)'!$C$209)+(((A125)+(B125*2))*'MATERIALES (2)'!$C$159)+((B125*2)*'MATERIALES (2)'!$C$201)</f>
        <v>3096</v>
      </c>
      <c r="E125" s="75"/>
      <c r="F125" s="55">
        <f>((A125/2)*B125)*'MATERIALES (2)'!$C$158</f>
        <v>14041.500000000002</v>
      </c>
      <c r="G125" s="59">
        <f t="shared" si="17"/>
        <v>42308.089500000002</v>
      </c>
      <c r="H125" s="67">
        <f t="shared" si="14"/>
        <v>88369.679102945636</v>
      </c>
      <c r="M125" s="32"/>
      <c r="T125" s="2"/>
      <c r="U125"/>
    </row>
    <row r="126" spans="1:21" ht="15.75" hidden="1" thickBot="1">
      <c r="A126" s="68">
        <v>2.2000000000000002</v>
      </c>
      <c r="B126" s="69">
        <v>1.8</v>
      </c>
      <c r="C126" s="59">
        <f>((((A126)+(B126*2))*'MATERIALES (2)'!$C$74)+((B126*2)*'MATERIALES (2)'!$C$64))*'MATERIALES (2)'!$F$2</f>
        <v>28615.681499999999</v>
      </c>
      <c r="D126" s="59">
        <f>(18*'MATERIALES (2)'!$C$134)+(4*'MATERIALES (2)'!$C$210)+(2*'MATERIALES (2)'!$C$208)+(2*'MATERIALES (2)'!$C$209)+(((A126)+(B126*2))*'MATERIALES (2)'!$C$159)+((B126*2)*'MATERIALES (2)'!$C$201)</f>
        <v>3444</v>
      </c>
      <c r="E126" s="75"/>
      <c r="F126" s="55">
        <f>((A126/2)*B126)*'MATERIALES (2)'!$C$158</f>
        <v>16849.800000000003</v>
      </c>
      <c r="G126" s="59">
        <f t="shared" si="17"/>
        <v>48909.481500000002</v>
      </c>
      <c r="H126" s="67">
        <f t="shared" si="14"/>
        <v>102693.47131760062</v>
      </c>
      <c r="M126" s="32"/>
      <c r="T126" s="2"/>
      <c r="U126"/>
    </row>
    <row r="127" spans="1:21" ht="15.75" hidden="1" thickBot="1">
      <c r="A127" s="68">
        <v>2.4</v>
      </c>
      <c r="B127" s="69">
        <v>0.4</v>
      </c>
      <c r="C127" s="59">
        <f>((((A127)+(B127*2))*'MATERIALES (2)'!$C$74)+((B127*2)*'MATERIALES (2)'!$C$64))*'MATERIALES (2)'!$F$2</f>
        <v>13260.869999999999</v>
      </c>
      <c r="D127" s="59">
        <f>(18*'MATERIALES (2)'!$C$134)+(4*'MATERIALES (2)'!$C$210)+(2*'MATERIALES (2)'!$C$208)+(2*'MATERIALES (2)'!$C$209)+(((A127)+(B127*2))*'MATERIALES (2)'!$C$159)+((B127*2)*'MATERIALES (2)'!$C$201)</f>
        <v>1836</v>
      </c>
      <c r="E127" s="75"/>
      <c r="F127" s="55">
        <f>((A127/2)*B127)*'MATERIALES (2)'!$C$158</f>
        <v>4084.7999999999997</v>
      </c>
      <c r="G127" s="59">
        <f t="shared" si="17"/>
        <v>19181.669999999998</v>
      </c>
      <c r="H127" s="67">
        <f t="shared" si="14"/>
        <v>38086.913342362503</v>
      </c>
      <c r="M127" s="32"/>
      <c r="T127" s="2"/>
      <c r="U127"/>
    </row>
    <row r="128" spans="1:21" ht="15.75" hidden="1" thickBot="1">
      <c r="A128" s="68">
        <v>2.4</v>
      </c>
      <c r="B128" s="69">
        <v>0.6</v>
      </c>
      <c r="C128" s="59">
        <f>((((A128)+(B128*2))*'MATERIALES (2)'!$C$74)+((B128*2)*'MATERIALES (2)'!$C$64))*'MATERIALES (2)'!$F$2</f>
        <v>15557.598</v>
      </c>
      <c r="D128" s="59">
        <f>(18*'MATERIALES (2)'!$C$134)+(4*'MATERIALES (2)'!$C$210)+(2*'MATERIALES (2)'!$C$208)+(2*'MATERIALES (2)'!$C$209)+(((A128)+(B128*2))*'MATERIALES (2)'!$C$159)+((B128*2)*'MATERIALES (2)'!$C$201)</f>
        <v>2068</v>
      </c>
      <c r="E128" s="75"/>
      <c r="F128" s="55">
        <f>((A128/2)*B128)*'MATERIALES (2)'!$C$158</f>
        <v>6127.2</v>
      </c>
      <c r="G128" s="59">
        <f t="shared" si="17"/>
        <v>23752.797999999999</v>
      </c>
      <c r="H128" s="67">
        <f t="shared" si="14"/>
        <v>48090.21026213251</v>
      </c>
      <c r="M128" s="32"/>
      <c r="T128" s="2"/>
      <c r="U128"/>
    </row>
    <row r="129" spans="1:21" ht="15.75" hidden="1" thickBot="1">
      <c r="A129" s="68">
        <v>2.4</v>
      </c>
      <c r="B129" s="69">
        <v>0.8</v>
      </c>
      <c r="C129" s="59">
        <f>((((A129)+(B129*2))*'MATERIALES (2)'!$C$74)+((B129*2)*'MATERIALES (2)'!$C$64))*'MATERIALES (2)'!$F$2</f>
        <v>17854.326000000001</v>
      </c>
      <c r="D129" s="59">
        <f>(18*'MATERIALES (2)'!$C$134)+(4*'MATERIALES (2)'!$C$210)+(2*'MATERIALES (2)'!$C$208)+(2*'MATERIALES (2)'!$C$209)+(((A129)+(B129*2))*'MATERIALES (2)'!$C$159)+((B129*2)*'MATERIALES (2)'!$C$201)</f>
        <v>2300</v>
      </c>
      <c r="E129" s="75"/>
      <c r="F129" s="55">
        <f>((A129/2)*B129)*'MATERIALES (2)'!$C$158</f>
        <v>8169.5999999999995</v>
      </c>
      <c r="G129" s="59">
        <f t="shared" si="17"/>
        <v>28323.925999999999</v>
      </c>
      <c r="H129" s="67">
        <f t="shared" si="14"/>
        <v>58093.507181902503</v>
      </c>
      <c r="M129" s="32"/>
      <c r="T129" s="2"/>
      <c r="U129"/>
    </row>
    <row r="130" spans="1:21" ht="15.75" hidden="1" thickBot="1">
      <c r="A130" s="68">
        <v>2.4</v>
      </c>
      <c r="B130" s="69">
        <v>1</v>
      </c>
      <c r="C130" s="59">
        <f>((((A130)+(B130*2))*'MATERIALES (2)'!$C$74)+((B130*2)*'MATERIALES (2)'!$C$64))*'MATERIALES (2)'!$F$2</f>
        <v>20151.054</v>
      </c>
      <c r="D130" s="59">
        <f>(18*'MATERIALES (2)'!$C$134)+(4*'MATERIALES (2)'!$C$210)+(2*'MATERIALES (2)'!$C$208)+(2*'MATERIALES (2)'!$C$209)+(((A130)+(B130*2))*'MATERIALES (2)'!$C$159)+((B130*2)*'MATERIALES (2)'!$C$201)</f>
        <v>2532</v>
      </c>
      <c r="E130" s="75"/>
      <c r="F130" s="55">
        <f>((A130/2)*B130)*'MATERIALES (2)'!$C$158</f>
        <v>10212</v>
      </c>
      <c r="G130" s="59">
        <f t="shared" si="17"/>
        <v>32895.054000000004</v>
      </c>
      <c r="H130" s="67">
        <f t="shared" si="14"/>
        <v>68096.804101672504</v>
      </c>
      <c r="M130" s="32"/>
      <c r="T130" s="2"/>
      <c r="U130"/>
    </row>
    <row r="131" spans="1:21" ht="15.75" hidden="1" thickBot="1">
      <c r="A131" s="68">
        <v>2.4</v>
      </c>
      <c r="B131" s="69">
        <v>1.2</v>
      </c>
      <c r="C131" s="59">
        <f>((((A131)+(B131*2))*'MATERIALES (2)'!$C$74)+((B131*2)*'MATERIALES (2)'!$C$64))*'MATERIALES (2)'!$F$2</f>
        <v>22447.782000000003</v>
      </c>
      <c r="D131" s="59">
        <f>(18*'MATERIALES (2)'!$C$134)+(4*'MATERIALES (2)'!$C$210)+(2*'MATERIALES (2)'!$C$208)+(2*'MATERIALES (2)'!$C$209)+(((A131)+(B131*2))*'MATERIALES (2)'!$C$159)+((B131*2)*'MATERIALES (2)'!$C$201)</f>
        <v>2764</v>
      </c>
      <c r="E131" s="75"/>
      <c r="F131" s="55">
        <f>((A131/2)*B131)*'MATERIALES (2)'!$C$158</f>
        <v>12254.4</v>
      </c>
      <c r="G131" s="59">
        <f t="shared" si="17"/>
        <v>37466.182000000001</v>
      </c>
      <c r="H131" s="67">
        <f t="shared" si="14"/>
        <v>78100.101021442504</v>
      </c>
      <c r="M131" s="32"/>
      <c r="T131" s="2"/>
      <c r="U131"/>
    </row>
    <row r="132" spans="1:21" ht="15.75" hidden="1" thickBot="1">
      <c r="A132" s="68">
        <v>2.4</v>
      </c>
      <c r="B132" s="69">
        <v>1.5</v>
      </c>
      <c r="C132" s="59">
        <f>((((A132)+(B132*2))*'MATERIALES (2)'!$C$74)+((B132*2)*'MATERIALES (2)'!$C$64))*'MATERIALES (2)'!$F$2</f>
        <v>25892.874000000003</v>
      </c>
      <c r="D132" s="59">
        <f>(18*'MATERIALES (2)'!$C$134)+(4*'MATERIALES (2)'!$C$210)+(2*'MATERIALES (2)'!$C$208)+(2*'MATERIALES (2)'!$C$209)+(((A132)+(B132*2))*'MATERIALES (2)'!$C$159)+((B132*2)*'MATERIALES (2)'!$C$201)</f>
        <v>3112</v>
      </c>
      <c r="E132" s="75"/>
      <c r="F132" s="55">
        <f>((A132/2)*B132)*'MATERIALES (2)'!$C$158</f>
        <v>15317.999999999998</v>
      </c>
      <c r="G132" s="59">
        <f t="shared" si="17"/>
        <v>44322.874000000003</v>
      </c>
      <c r="H132" s="67">
        <f t="shared" si="14"/>
        <v>93105.046401097497</v>
      </c>
      <c r="M132" s="32"/>
      <c r="T132" s="2"/>
      <c r="U132"/>
    </row>
    <row r="133" spans="1:21" ht="15.75" hidden="1" thickBot="1">
      <c r="A133" s="71">
        <v>2.4</v>
      </c>
      <c r="B133" s="72">
        <v>1.8</v>
      </c>
      <c r="C133" s="60">
        <f>((((A133)+(B133*2))*'MATERIALES (2)'!$C$74)+((B133*2)*'MATERIALES (2)'!$C$64))*'MATERIALES (2)'!$F$2</f>
        <v>29337.966</v>
      </c>
      <c r="D133" s="60">
        <f>(18*'MATERIALES (2)'!$C$134)+(4*'MATERIALES (2)'!$C$210)+(2*'MATERIALES (2)'!$C$208)+(2*'MATERIALES (2)'!$C$209)+(((A133)+(B133*2))*'MATERIALES (2)'!$C$159)+((B133*2)*'MATERIALES (2)'!$C$201)</f>
        <v>3460</v>
      </c>
      <c r="E133" s="76"/>
      <c r="F133" s="56">
        <f>((A133/2)*B133)*'MATERIALES (2)'!$C$158</f>
        <v>18381.600000000002</v>
      </c>
      <c r="G133" s="60">
        <f t="shared" si="17"/>
        <v>51179.566000000006</v>
      </c>
      <c r="H133" s="67">
        <f t="shared" si="14"/>
        <v>108109.99178075251</v>
      </c>
      <c r="M133" s="32"/>
      <c r="T133" s="2"/>
      <c r="U133"/>
    </row>
    <row r="134" spans="1:21" hidden="1">
      <c r="M134" s="32"/>
      <c r="T134" s="2"/>
      <c r="U134"/>
    </row>
    <row r="135" spans="1:21" s="81" customFormat="1" hidden="1">
      <c r="A135" s="79"/>
      <c r="B135" s="79"/>
      <c r="C135" s="79"/>
      <c r="D135" s="79"/>
      <c r="E135" s="79"/>
      <c r="F135" s="79"/>
      <c r="G135" s="79"/>
      <c r="H135" s="80"/>
      <c r="M135" s="79"/>
      <c r="N135" s="79"/>
      <c r="O135" s="79"/>
      <c r="P135" s="79"/>
      <c r="Q135" s="79"/>
      <c r="R135" s="79"/>
      <c r="S135" s="79"/>
      <c r="T135" s="80"/>
    </row>
    <row r="136" spans="1:21" hidden="1">
      <c r="M136" s="32"/>
      <c r="T136" s="2"/>
      <c r="U136"/>
    </row>
    <row r="137" spans="1:21" ht="15.75" hidden="1" thickBot="1"/>
    <row r="138" spans="1:21" ht="15.75" hidden="1" thickBot="1">
      <c r="H138" s="32"/>
      <c r="I138" s="941">
        <v>1.4</v>
      </c>
      <c r="J138" s="942"/>
      <c r="K138" s="942"/>
      <c r="L138" s="943"/>
      <c r="M138" s="46" t="s">
        <v>163</v>
      </c>
    </row>
    <row r="139" spans="1:21" ht="15.75" hidden="1" thickBot="1">
      <c r="G139" s="792" t="s">
        <v>253</v>
      </c>
      <c r="H139" s="793"/>
      <c r="I139" s="793"/>
      <c r="J139" s="793"/>
      <c r="K139" s="793"/>
      <c r="L139" s="793"/>
      <c r="M139" s="794"/>
      <c r="N139" s="94"/>
    </row>
    <row r="140" spans="1:21" ht="15.75" hidden="1" thickBot="1">
      <c r="G140" s="36" t="s">
        <v>116</v>
      </c>
      <c r="H140" s="36" t="s">
        <v>117</v>
      </c>
      <c r="I140" s="36" t="s">
        <v>162</v>
      </c>
      <c r="J140" s="401" t="s">
        <v>119</v>
      </c>
      <c r="K140" s="36" t="s">
        <v>120</v>
      </c>
      <c r="L140" s="36" t="s">
        <v>121</v>
      </c>
      <c r="M140" s="36" t="s">
        <v>122</v>
      </c>
      <c r="T140" s="2"/>
      <c r="U140"/>
    </row>
    <row r="141" spans="1:21" ht="15.75" hidden="1" thickBot="1">
      <c r="G141" s="91"/>
      <c r="H141" s="92"/>
      <c r="I141" s="92"/>
      <c r="J141" s="92"/>
      <c r="K141" s="92"/>
      <c r="L141" s="92"/>
      <c r="M141" s="93"/>
      <c r="T141" s="2"/>
      <c r="U141"/>
    </row>
    <row r="142" spans="1:21" ht="15.75" hidden="1" customHeight="1" thickBot="1">
      <c r="G142" s="65">
        <v>0.6</v>
      </c>
      <c r="H142" s="66">
        <v>0.4</v>
      </c>
      <c r="I142" s="58">
        <f>(((G142*2)+(H142*4)*'MATERIALES (2)'!$C$31)+((H142*2)*'MATERIALES (2)'!$C$32)+((G142*1)*'MATERIALES (2)'!$C$32))*'MATERIALES (2)'!$F$2</f>
        <v>23826.274499999996</v>
      </c>
      <c r="J142" s="58">
        <f>((4*'MATERIALES (2)'!$C$148)+(4*'MATERIALES (2)'!$C$163))*2</f>
        <v>1000</v>
      </c>
      <c r="K142" s="74"/>
      <c r="L142" s="58">
        <f>SUM(I142:K142)</f>
        <v>24826.274499999996</v>
      </c>
      <c r="M142" s="67">
        <f>(((SUM(I142:K142)*$I$138)*1.21)*1.05)*1.05</f>
        <v>46366.419175807496</v>
      </c>
      <c r="N142" s="887" t="s">
        <v>382</v>
      </c>
      <c r="T142" s="2"/>
      <c r="U142"/>
    </row>
    <row r="143" spans="1:21" ht="15.75" hidden="1" thickBot="1">
      <c r="G143" s="68">
        <v>0.6</v>
      </c>
      <c r="H143" s="69">
        <v>0.6</v>
      </c>
      <c r="I143" s="59">
        <f>(((G143*2)+(H143*4)*'MATERIALES (2)'!$C$31)+((H143*2)*'MATERIALES (2)'!$C$32)+((G143*1)*'MATERIALES (2)'!$C$32))*'MATERIALES (2)'!$F$2</f>
        <v>27676.939499999997</v>
      </c>
      <c r="J143" s="59">
        <f>((4*'MATERIALES (2)'!$C$148)+(4*'MATERIALES (2)'!$C$163))*2</f>
        <v>1000</v>
      </c>
      <c r="K143" s="75"/>
      <c r="L143" s="59">
        <f t="shared" ref="L143:L195" si="18">SUM(I143:K143)</f>
        <v>28676.939499999997</v>
      </c>
      <c r="M143" s="67">
        <f t="shared" ref="M143:M195" si="19">(((SUM(I143:K143)*$I$138)*1.21)*1.05)*1.05</f>
        <v>53558.055903082495</v>
      </c>
      <c r="N143" s="888"/>
      <c r="T143" s="2"/>
      <c r="U143"/>
    </row>
    <row r="144" spans="1:21" ht="15.75" hidden="1" thickBot="1">
      <c r="G144" s="68">
        <v>0.6</v>
      </c>
      <c r="H144" s="69">
        <v>0.8</v>
      </c>
      <c r="I144" s="59">
        <f>(((G144*2)+(H144*4)*'MATERIALES (2)'!$C$31)+((H144*2)*'MATERIALES (2)'!$C$32)+((G144*1)*'MATERIALES (2)'!$C$32))*'MATERIALES (2)'!$F$2</f>
        <v>31527.604499999998</v>
      </c>
      <c r="J144" s="59">
        <f>((4*'MATERIALES (2)'!$C$148)+(4*'MATERIALES (2)'!$C$163))*2</f>
        <v>1000</v>
      </c>
      <c r="K144" s="75"/>
      <c r="L144" s="59">
        <f t="shared" si="18"/>
        <v>32527.604499999998</v>
      </c>
      <c r="M144" s="67">
        <f t="shared" si="19"/>
        <v>60749.692630357495</v>
      </c>
      <c r="N144" s="888"/>
      <c r="T144" s="2"/>
      <c r="U144"/>
    </row>
    <row r="145" spans="7:21" ht="15.75" hidden="1" thickBot="1">
      <c r="G145" s="68">
        <v>0.8</v>
      </c>
      <c r="H145" s="69">
        <v>0.4</v>
      </c>
      <c r="I145" s="59">
        <f>(((G145*2)+(H145*4)*'MATERIALES (2)'!$C$31)+((H145*2)*'MATERIALES (2)'!$C$32)+((G145*1)*'MATERIALES (2)'!$C$32))*'MATERIALES (2)'!$F$2</f>
        <v>29201.256000000001</v>
      </c>
      <c r="J145" s="59">
        <f>((4*'MATERIALES (2)'!$C$148)+(4*'MATERIALES (2)'!$C$163))*2</f>
        <v>1000</v>
      </c>
      <c r="K145" s="75"/>
      <c r="L145" s="59">
        <f t="shared" si="18"/>
        <v>30201.256000000001</v>
      </c>
      <c r="M145" s="67">
        <f t="shared" si="19"/>
        <v>56404.922749559999</v>
      </c>
      <c r="N145" s="888"/>
      <c r="T145" s="2"/>
      <c r="U145"/>
    </row>
    <row r="146" spans="7:21" ht="15.75" hidden="1" thickBot="1">
      <c r="G146" s="68">
        <v>0.8</v>
      </c>
      <c r="H146" s="69">
        <v>0.6</v>
      </c>
      <c r="I146" s="59">
        <f>(((G146*2)+(H146*4)*'MATERIALES (2)'!$C$31)+((H146*2)*'MATERIALES (2)'!$C$32)+((G146*1)*'MATERIALES (2)'!$C$32))*'MATERIALES (2)'!$F$2</f>
        <v>33051.921000000002</v>
      </c>
      <c r="J146" s="59">
        <f>((4*'MATERIALES (2)'!$C$148)+(4*'MATERIALES (2)'!$C$163))*2</f>
        <v>1000</v>
      </c>
      <c r="K146" s="75"/>
      <c r="L146" s="59">
        <f t="shared" si="18"/>
        <v>34051.921000000002</v>
      </c>
      <c r="M146" s="67">
        <f t="shared" si="19"/>
        <v>63596.559476835006</v>
      </c>
      <c r="N146" s="888"/>
      <c r="T146" s="2"/>
      <c r="U146"/>
    </row>
    <row r="147" spans="7:21" ht="15.75" hidden="1" thickBot="1">
      <c r="G147" s="68">
        <v>0.8</v>
      </c>
      <c r="H147" s="69">
        <v>0.8</v>
      </c>
      <c r="I147" s="59">
        <f>(((G147*2)+(H147*4)*'MATERIALES (2)'!$C$31)+((H147*2)*'MATERIALES (2)'!$C$32)+((G147*1)*'MATERIALES (2)'!$C$32))*'MATERIALES (2)'!$F$2</f>
        <v>36902.585999999996</v>
      </c>
      <c r="J147" s="59">
        <f>((4*'MATERIALES (2)'!$C$148)+(4*'MATERIALES (2)'!$C$163))*2</f>
        <v>1000</v>
      </c>
      <c r="K147" s="75"/>
      <c r="L147" s="59">
        <f t="shared" si="18"/>
        <v>37902.585999999996</v>
      </c>
      <c r="M147" s="67">
        <f t="shared" si="19"/>
        <v>70788.196204110005</v>
      </c>
      <c r="N147" s="888"/>
      <c r="T147" s="2"/>
      <c r="U147"/>
    </row>
    <row r="148" spans="7:21" ht="15.75" hidden="1" thickBot="1">
      <c r="G148" s="68">
        <v>1</v>
      </c>
      <c r="H148" s="69">
        <v>0.4</v>
      </c>
      <c r="I148" s="59">
        <f>(((G148*2)+(H148*4)*'MATERIALES (2)'!$C$31)+((H148*2)*'MATERIALES (2)'!$C$32)+((G148*1)*'MATERIALES (2)'!$C$32))*'MATERIALES (2)'!$F$2</f>
        <v>34576.237499999996</v>
      </c>
      <c r="J148" s="59">
        <f>((4*'MATERIALES (2)'!$C$148)+(4*'MATERIALES (2)'!$C$163))*2</f>
        <v>1000</v>
      </c>
      <c r="K148" s="75"/>
      <c r="L148" s="59">
        <f t="shared" si="18"/>
        <v>35576.237499999996</v>
      </c>
      <c r="M148" s="67">
        <f t="shared" si="19"/>
        <v>66443.426323312495</v>
      </c>
      <c r="N148" s="888"/>
      <c r="T148" s="2"/>
      <c r="U148"/>
    </row>
    <row r="149" spans="7:21" ht="15.75" hidden="1" thickBot="1">
      <c r="G149" s="68">
        <v>1</v>
      </c>
      <c r="H149" s="69">
        <v>0.6</v>
      </c>
      <c r="I149" s="59">
        <f>(((G149*2)+(H149*4)*'MATERIALES (2)'!$C$31)+((H149*2)*'MATERIALES (2)'!$C$32)+((G149*1)*'MATERIALES (2)'!$C$32))*'MATERIALES (2)'!$F$2</f>
        <v>38426.902499999997</v>
      </c>
      <c r="J149" s="59">
        <f>((4*'MATERIALES (2)'!$C$148)+(4*'MATERIALES (2)'!$C$163))*2</f>
        <v>1000</v>
      </c>
      <c r="K149" s="75"/>
      <c r="L149" s="59">
        <f t="shared" si="18"/>
        <v>39426.902499999997</v>
      </c>
      <c r="M149" s="67">
        <f t="shared" si="19"/>
        <v>73635.063050587487</v>
      </c>
      <c r="N149" s="888"/>
      <c r="T149" s="2"/>
      <c r="U149"/>
    </row>
    <row r="150" spans="7:21" ht="15.75" hidden="1" thickBot="1">
      <c r="G150" s="68">
        <v>1</v>
      </c>
      <c r="H150" s="69">
        <v>0.8</v>
      </c>
      <c r="I150" s="59">
        <f>(((G150*2)+(H150*4)*'MATERIALES (2)'!$C$31)+((H150*2)*'MATERIALES (2)'!$C$32)+((G150*1)*'MATERIALES (2)'!$C$32))*'MATERIALES (2)'!$F$2</f>
        <v>42277.567500000005</v>
      </c>
      <c r="J150" s="59">
        <f>((4*'MATERIALES (2)'!$C$148)+(4*'MATERIALES (2)'!$C$163))*2</f>
        <v>1000</v>
      </c>
      <c r="K150" s="75"/>
      <c r="L150" s="59">
        <f t="shared" si="18"/>
        <v>43277.567500000005</v>
      </c>
      <c r="M150" s="67">
        <f t="shared" si="19"/>
        <v>80826.699777862508</v>
      </c>
      <c r="N150" s="888"/>
      <c r="T150" s="2"/>
      <c r="U150"/>
    </row>
    <row r="151" spans="7:21" ht="15.75" hidden="1" thickBot="1">
      <c r="G151" s="68">
        <v>1</v>
      </c>
      <c r="H151" s="69">
        <v>1</v>
      </c>
      <c r="I151" s="59">
        <f>(((G151*2)+(H151*4)*'MATERIALES (2)'!$C$31)+((H151*2)*'MATERIALES (2)'!$C$32)+((G151*1)*'MATERIALES (2)'!$C$32))*'MATERIALES (2)'!$F$2</f>
        <v>46128.232499999991</v>
      </c>
      <c r="J151" s="59">
        <f>((4*'MATERIALES (2)'!$C$148)+(4*'MATERIALES (2)'!$C$163))*2</f>
        <v>1000</v>
      </c>
      <c r="K151" s="75"/>
      <c r="L151" s="59">
        <f t="shared" si="18"/>
        <v>47128.232499999991</v>
      </c>
      <c r="M151" s="67">
        <f t="shared" si="19"/>
        <v>88018.336505137486</v>
      </c>
      <c r="N151" s="888"/>
      <c r="T151" s="2"/>
      <c r="U151"/>
    </row>
    <row r="152" spans="7:21" ht="15.75" hidden="1" thickBot="1">
      <c r="G152" s="68">
        <v>1</v>
      </c>
      <c r="H152" s="69">
        <v>1.1000000000000001</v>
      </c>
      <c r="I152" s="59">
        <f>(((G152*2)+(H152*4)*'MATERIALES (2)'!$C$31)+((H152*2)*'MATERIALES (2)'!$C$32)+((G152*1)*'MATERIALES (2)'!$C$32))*'MATERIALES (2)'!$F$2</f>
        <v>48053.565000000002</v>
      </c>
      <c r="J152" s="59">
        <f>((4*'MATERIALES (2)'!$C$148)+(4*'MATERIALES (2)'!$C$163))*2</f>
        <v>1000</v>
      </c>
      <c r="K152" s="75"/>
      <c r="L152" s="59">
        <f t="shared" si="18"/>
        <v>49053.565000000002</v>
      </c>
      <c r="M152" s="67">
        <f t="shared" si="19"/>
        <v>91614.154868775004</v>
      </c>
      <c r="N152" s="888"/>
      <c r="T152" s="2"/>
      <c r="U152"/>
    </row>
    <row r="153" spans="7:21" ht="15.75" hidden="1" thickBot="1">
      <c r="G153" s="68">
        <v>1</v>
      </c>
      <c r="H153" s="69">
        <v>1.2</v>
      </c>
      <c r="I153" s="59">
        <f>(((G153*2)+(H153*4)*'MATERIALES (2)'!$C$31)+((H153*2)*'MATERIALES (2)'!$C$32)+((G153*1)*'MATERIALES (2)'!$C$32))*'MATERIALES (2)'!$F$2</f>
        <v>49978.897499999992</v>
      </c>
      <c r="J153" s="59">
        <f>((4*'MATERIALES (2)'!$C$148)+(4*'MATERIALES (2)'!$C$163))*2</f>
        <v>1000</v>
      </c>
      <c r="K153" s="75"/>
      <c r="L153" s="59">
        <f t="shared" si="18"/>
        <v>50978.897499999992</v>
      </c>
      <c r="M153" s="67">
        <f t="shared" si="19"/>
        <v>95209.973232412493</v>
      </c>
      <c r="N153" s="888"/>
      <c r="T153" s="2"/>
      <c r="U153"/>
    </row>
    <row r="154" spans="7:21" ht="15.75" hidden="1" thickBot="1">
      <c r="G154" s="68">
        <v>1</v>
      </c>
      <c r="H154" s="69">
        <v>1.5</v>
      </c>
      <c r="I154" s="59">
        <f>(((G154*2)+(H154*4)*'MATERIALES (2)'!$C$31)+((H154*2)*'MATERIALES (2)'!$C$32)+((G154*1)*'MATERIALES (2)'!$C$32))*'MATERIALES (2)'!$F$2</f>
        <v>55754.895000000004</v>
      </c>
      <c r="J154" s="59">
        <f>((4*'MATERIALES (2)'!$C$148)+(4*'MATERIALES (2)'!$C$163))*2</f>
        <v>1000</v>
      </c>
      <c r="K154" s="75"/>
      <c r="L154" s="59">
        <f t="shared" si="18"/>
        <v>56754.895000000004</v>
      </c>
      <c r="M154" s="67">
        <f t="shared" si="19"/>
        <v>105997.428323325</v>
      </c>
      <c r="N154" s="888"/>
      <c r="T154" s="2"/>
      <c r="U154"/>
    </row>
    <row r="155" spans="7:21" ht="15.75" hidden="1" thickBot="1">
      <c r="G155" s="68">
        <v>1.2</v>
      </c>
      <c r="H155" s="69">
        <v>0.4</v>
      </c>
      <c r="I155" s="59">
        <f>(((G155*2)+(H155*4)*'MATERIALES (2)'!$C$31)+((H155*2)*'MATERIALES (2)'!$C$32)+((G155*1)*'MATERIALES (2)'!$C$32))*'MATERIALES (2)'!$F$2</f>
        <v>39951.219000000005</v>
      </c>
      <c r="J155" s="59">
        <f>((4*'MATERIALES (2)'!$C$148)+(4*'MATERIALES (2)'!$C$163))*2</f>
        <v>1000</v>
      </c>
      <c r="K155" s="75"/>
      <c r="L155" s="59">
        <f t="shared" si="18"/>
        <v>40951.219000000005</v>
      </c>
      <c r="M155" s="67">
        <f t="shared" si="19"/>
        <v>76481.929897065012</v>
      </c>
      <c r="N155" s="888"/>
      <c r="T155" s="2"/>
      <c r="U155"/>
    </row>
    <row r="156" spans="7:21" ht="15.75" hidden="1" thickBot="1">
      <c r="G156" s="68">
        <v>1.2</v>
      </c>
      <c r="H156" s="69">
        <v>0.6</v>
      </c>
      <c r="I156" s="59">
        <f>(((G156*2)+(H156*4)*'MATERIALES (2)'!$C$31)+((H156*2)*'MATERIALES (2)'!$C$32)+((G156*1)*'MATERIALES (2)'!$C$32))*'MATERIALES (2)'!$F$2</f>
        <v>43801.884000000005</v>
      </c>
      <c r="J156" s="59">
        <f>((4*'MATERIALES (2)'!$C$148)+(4*'MATERIALES (2)'!$C$163))*2</f>
        <v>1000</v>
      </c>
      <c r="K156" s="75"/>
      <c r="L156" s="59">
        <f t="shared" si="18"/>
        <v>44801.884000000005</v>
      </c>
      <c r="M156" s="67">
        <f t="shared" si="19"/>
        <v>83673.566624340005</v>
      </c>
      <c r="N156" s="888"/>
      <c r="T156" s="2"/>
      <c r="U156"/>
    </row>
    <row r="157" spans="7:21" ht="15.75" hidden="1" thickBot="1">
      <c r="G157" s="68">
        <v>1.2</v>
      </c>
      <c r="H157" s="69">
        <v>0.8</v>
      </c>
      <c r="I157" s="59">
        <f>(((G157*2)+(H157*4)*'MATERIALES (2)'!$C$31)+((H157*2)*'MATERIALES (2)'!$C$32)+((G157*1)*'MATERIALES (2)'!$C$32))*'MATERIALES (2)'!$F$2</f>
        <v>47652.548999999992</v>
      </c>
      <c r="J157" s="59">
        <f>((4*'MATERIALES (2)'!$C$148)+(4*'MATERIALES (2)'!$C$163))*2</f>
        <v>1000</v>
      </c>
      <c r="K157" s="75"/>
      <c r="L157" s="59">
        <f t="shared" si="18"/>
        <v>48652.548999999992</v>
      </c>
      <c r="M157" s="67">
        <f t="shared" si="19"/>
        <v>90865.203351614982</v>
      </c>
      <c r="N157" s="888"/>
      <c r="T157" s="2"/>
      <c r="U157"/>
    </row>
    <row r="158" spans="7:21" ht="15.75" hidden="1" thickBot="1">
      <c r="G158" s="68">
        <v>1.2</v>
      </c>
      <c r="H158" s="69">
        <v>1</v>
      </c>
      <c r="I158" s="59">
        <f>(((G158*2)+(H158*4)*'MATERIALES (2)'!$C$31)+((H158*2)*'MATERIALES (2)'!$C$32)+((G158*1)*'MATERIALES (2)'!$C$32))*'MATERIALES (2)'!$F$2</f>
        <v>51503.213999999993</v>
      </c>
      <c r="J158" s="59">
        <f>((4*'MATERIALES (2)'!$C$148)+(4*'MATERIALES (2)'!$C$163))*2</f>
        <v>1000</v>
      </c>
      <c r="K158" s="75"/>
      <c r="L158" s="59">
        <f t="shared" si="18"/>
        <v>52503.213999999993</v>
      </c>
      <c r="M158" s="67">
        <f t="shared" si="19"/>
        <v>98056.840078889974</v>
      </c>
      <c r="N158" s="888"/>
      <c r="T158" s="2"/>
      <c r="U158"/>
    </row>
    <row r="159" spans="7:21" ht="15.75" hidden="1" thickBot="1">
      <c r="G159" s="68">
        <v>1.2</v>
      </c>
      <c r="H159" s="69">
        <v>1.2</v>
      </c>
      <c r="I159" s="59">
        <f>(((G159*2)+(H159*4)*'MATERIALES (2)'!$C$31)+((H159*2)*'MATERIALES (2)'!$C$32)+((G159*1)*'MATERIALES (2)'!$C$32))*'MATERIALES (2)'!$F$2</f>
        <v>55353.878999999994</v>
      </c>
      <c r="J159" s="59">
        <f>((4*'MATERIALES (2)'!$C$148)+(4*'MATERIALES (2)'!$C$163))*2</f>
        <v>1000</v>
      </c>
      <c r="K159" s="75"/>
      <c r="L159" s="59">
        <f t="shared" si="18"/>
        <v>56353.878999999994</v>
      </c>
      <c r="M159" s="67">
        <f t="shared" si="19"/>
        <v>105248.476806165</v>
      </c>
      <c r="N159" s="888"/>
      <c r="T159" s="2"/>
      <c r="U159"/>
    </row>
    <row r="160" spans="7:21" ht="15.75" hidden="1" thickBot="1">
      <c r="G160" s="68">
        <v>1.2</v>
      </c>
      <c r="H160" s="69">
        <v>1.5</v>
      </c>
      <c r="I160" s="59">
        <f>(((G160*2)+(H160*4)*'MATERIALES (2)'!$C$31)+((H160*2)*'MATERIALES (2)'!$C$32)+((G160*1)*'MATERIALES (2)'!$C$32))*'MATERIALES (2)'!$F$2</f>
        <v>61129.876499999991</v>
      </c>
      <c r="J160" s="59">
        <f>((4*'MATERIALES (2)'!$C$148)+(4*'MATERIALES (2)'!$C$163))*2</f>
        <v>1000</v>
      </c>
      <c r="K160" s="75"/>
      <c r="L160" s="59">
        <f t="shared" si="18"/>
        <v>62129.876499999991</v>
      </c>
      <c r="M160" s="67">
        <f t="shared" si="19"/>
        <v>116035.93189707748</v>
      </c>
      <c r="N160" s="888"/>
      <c r="T160" s="2"/>
      <c r="U160"/>
    </row>
    <row r="161" spans="7:21" ht="15.75" hidden="1" thickBot="1">
      <c r="G161" s="68">
        <v>1.5</v>
      </c>
      <c r="H161" s="69">
        <v>0.4</v>
      </c>
      <c r="I161" s="59">
        <f>(((G161*2)+(H161*4)*'MATERIALES (2)'!$C$31)+((H161*2)*'MATERIALES (2)'!$C$32)+((G161*1)*'MATERIALES (2)'!$C$32))*'MATERIALES (2)'!$F$2</f>
        <v>48013.691249999989</v>
      </c>
      <c r="J161" s="59">
        <f>((4*'MATERIALES (2)'!$C$148)+(4*'MATERIALES (2)'!$C$163))*2</f>
        <v>1000</v>
      </c>
      <c r="K161" s="75"/>
      <c r="L161" s="59">
        <f t="shared" si="18"/>
        <v>49013.691249999989</v>
      </c>
      <c r="M161" s="67">
        <f t="shared" si="19"/>
        <v>91539.685257693724</v>
      </c>
      <c r="N161" s="888"/>
      <c r="T161" s="2"/>
      <c r="U161"/>
    </row>
    <row r="162" spans="7:21" ht="15.75" hidden="1" thickBot="1">
      <c r="G162" s="68">
        <v>1.5</v>
      </c>
      <c r="H162" s="69">
        <v>0.6</v>
      </c>
      <c r="I162" s="59">
        <f>(((G162*2)+(H162*4)*'MATERIALES (2)'!$C$31)+((H162*2)*'MATERIALES (2)'!$C$32)+((G162*1)*'MATERIALES (2)'!$C$32))*'MATERIALES (2)'!$F$2</f>
        <v>51864.35624999999</v>
      </c>
      <c r="J162" s="59">
        <f>((4*'MATERIALES (2)'!$C$148)+(4*'MATERIALES (2)'!$C$163))*2</f>
        <v>1000</v>
      </c>
      <c r="K162" s="75"/>
      <c r="L162" s="59">
        <f t="shared" si="18"/>
        <v>52864.35624999999</v>
      </c>
      <c r="M162" s="67">
        <f t="shared" si="19"/>
        <v>98731.321984968716</v>
      </c>
      <c r="N162" s="888"/>
      <c r="T162" s="2"/>
      <c r="U162"/>
    </row>
    <row r="163" spans="7:21" ht="15.75" hidden="1" thickBot="1">
      <c r="G163" s="68">
        <v>1.5</v>
      </c>
      <c r="H163" s="69">
        <v>0.8</v>
      </c>
      <c r="I163" s="59">
        <f>(((G163*2)+(H163*4)*'MATERIALES (2)'!$C$31)+((H163*2)*'MATERIALES (2)'!$C$32)+((G163*1)*'MATERIALES (2)'!$C$32))*'MATERIALES (2)'!$F$2</f>
        <v>55715.021250000005</v>
      </c>
      <c r="J163" s="59">
        <f>((4*'MATERIALES (2)'!$C$148)+(4*'MATERIALES (2)'!$C$163))*2</f>
        <v>1000</v>
      </c>
      <c r="K163" s="75"/>
      <c r="L163" s="59">
        <f t="shared" si="18"/>
        <v>56715.021250000005</v>
      </c>
      <c r="M163" s="67">
        <f t="shared" si="19"/>
        <v>105922.95871224375</v>
      </c>
      <c r="N163" s="888"/>
      <c r="T163" s="2"/>
      <c r="U163"/>
    </row>
    <row r="164" spans="7:21" ht="15.75" hidden="1" thickBot="1">
      <c r="G164" s="68">
        <v>1.5</v>
      </c>
      <c r="H164" s="69">
        <v>1</v>
      </c>
      <c r="I164" s="59">
        <f>(((G164*2)+(H164*4)*'MATERIALES (2)'!$C$31)+((H164*2)*'MATERIALES (2)'!$C$32)+((G164*1)*'MATERIALES (2)'!$C$32))*'MATERIALES (2)'!$F$2</f>
        <v>59565.686249999992</v>
      </c>
      <c r="J164" s="59">
        <f>((4*'MATERIALES (2)'!$C$148)+(4*'MATERIALES (2)'!$C$163))*2</f>
        <v>1000</v>
      </c>
      <c r="K164" s="75"/>
      <c r="L164" s="59">
        <f t="shared" si="18"/>
        <v>60565.686249999992</v>
      </c>
      <c r="M164" s="67">
        <f t="shared" si="19"/>
        <v>113114.59543951873</v>
      </c>
      <c r="N164" s="888"/>
      <c r="T164" s="2"/>
      <c r="U164"/>
    </row>
    <row r="165" spans="7:21" ht="15.75" hidden="1" thickBot="1">
      <c r="G165" s="68">
        <v>1.5</v>
      </c>
      <c r="H165" s="69">
        <v>1.2</v>
      </c>
      <c r="I165" s="59">
        <f>(((G165*2)+(H165*4)*'MATERIALES (2)'!$C$31)+((H165*2)*'MATERIALES (2)'!$C$32)+((G165*1)*'MATERIALES (2)'!$C$32))*'MATERIALES (2)'!$F$2</f>
        <v>63416.351249999992</v>
      </c>
      <c r="J165" s="59">
        <f>((4*'MATERIALES (2)'!$C$148)+(4*'MATERIALES (2)'!$C$163))*2</f>
        <v>1000</v>
      </c>
      <c r="K165" s="75"/>
      <c r="L165" s="59">
        <f t="shared" si="18"/>
        <v>64416.351249999992</v>
      </c>
      <c r="M165" s="67">
        <f t="shared" si="19"/>
        <v>120306.23216679374</v>
      </c>
      <c r="N165" s="888"/>
      <c r="T165" s="2"/>
      <c r="U165"/>
    </row>
    <row r="166" spans="7:21" ht="15.75" hidden="1" thickBot="1">
      <c r="G166" s="68">
        <v>1.5</v>
      </c>
      <c r="H166" s="69">
        <v>1.5</v>
      </c>
      <c r="I166" s="59">
        <f>(((G166*2)+(H166*4)*'MATERIALES (2)'!$C$31)+((H166*2)*'MATERIALES (2)'!$C$32)+((G166*1)*'MATERIALES (2)'!$C$32))*'MATERIALES (2)'!$F$2</f>
        <v>69192.348750000005</v>
      </c>
      <c r="J166" s="59">
        <f>((4*'MATERIALES (2)'!$C$148)+(4*'MATERIALES (2)'!$C$163))*2</f>
        <v>1000</v>
      </c>
      <c r="K166" s="75"/>
      <c r="L166" s="59">
        <f t="shared" si="18"/>
        <v>70192.348750000005</v>
      </c>
      <c r="M166" s="67">
        <f t="shared" si="19"/>
        <v>131093.68725770625</v>
      </c>
      <c r="N166" s="888"/>
      <c r="T166" s="2"/>
      <c r="U166"/>
    </row>
    <row r="167" spans="7:21" ht="15.75" hidden="1" thickBot="1">
      <c r="G167" s="68">
        <v>1.5</v>
      </c>
      <c r="H167" s="69">
        <v>1.8</v>
      </c>
      <c r="I167" s="59">
        <f>(((G167*2)+(H167*4)*'MATERIALES (2)'!$C$31)+((H167*2)*'MATERIALES (2)'!$C$32)+((G167*1)*'MATERIALES (2)'!$C$32))*'MATERIALES (2)'!$F$2</f>
        <v>74968.346250000002</v>
      </c>
      <c r="J167" s="59">
        <f>((4*'MATERIALES (2)'!$C$148)+(4*'MATERIALES (2)'!$C$163))*2</f>
        <v>1000</v>
      </c>
      <c r="K167" s="75"/>
      <c r="L167" s="59">
        <f t="shared" si="18"/>
        <v>75968.346250000002</v>
      </c>
      <c r="M167" s="67">
        <f t="shared" si="19"/>
        <v>141881.14234861877</v>
      </c>
      <c r="N167" s="888"/>
      <c r="T167" s="2"/>
      <c r="U167"/>
    </row>
    <row r="168" spans="7:21" ht="15.75" hidden="1" thickBot="1">
      <c r="G168" s="68">
        <v>1.8</v>
      </c>
      <c r="H168" s="69">
        <v>0.4</v>
      </c>
      <c r="I168" s="59">
        <f>(((G168*2)+(H168*4)*'MATERIALES (2)'!$C$31)+((H168*2)*'MATERIALES (2)'!$C$32)+((G168*1)*'MATERIALES (2)'!$C$32))*'MATERIALES (2)'!$F$2</f>
        <v>56076.16350000001</v>
      </c>
      <c r="J168" s="59">
        <f>((4*'MATERIALES (2)'!$C$148)+(4*'MATERIALES (2)'!$C$163))*2</f>
        <v>1000</v>
      </c>
      <c r="K168" s="75"/>
      <c r="L168" s="59">
        <f t="shared" si="18"/>
        <v>57076.16350000001</v>
      </c>
      <c r="M168" s="67">
        <f t="shared" si="19"/>
        <v>106597.44061832251</v>
      </c>
      <c r="N168" s="888"/>
      <c r="T168" s="2"/>
      <c r="U168"/>
    </row>
    <row r="169" spans="7:21" ht="15.75" hidden="1" thickBot="1">
      <c r="G169" s="68">
        <v>1.8</v>
      </c>
      <c r="H169" s="69">
        <v>0.6</v>
      </c>
      <c r="I169" s="59">
        <f>(((G169*2)+(H169*4)*'MATERIALES (2)'!$C$31)+((H169*2)*'MATERIALES (2)'!$C$32)+((G169*1)*'MATERIALES (2)'!$C$32))*'MATERIALES (2)'!$F$2</f>
        <v>59926.828500000003</v>
      </c>
      <c r="J169" s="59">
        <f>((4*'MATERIALES (2)'!$C$148)+(4*'MATERIALES (2)'!$C$163))*2</f>
        <v>1000</v>
      </c>
      <c r="K169" s="75"/>
      <c r="L169" s="59">
        <f t="shared" si="18"/>
        <v>60926.828500000003</v>
      </c>
      <c r="M169" s="67">
        <f t="shared" si="19"/>
        <v>113789.0773455975</v>
      </c>
      <c r="N169" s="888"/>
      <c r="T169" s="2"/>
      <c r="U169"/>
    </row>
    <row r="170" spans="7:21" ht="15.75" hidden="1" thickBot="1">
      <c r="G170" s="68">
        <v>1.8</v>
      </c>
      <c r="H170" s="69">
        <v>0.8</v>
      </c>
      <c r="I170" s="59">
        <f>(((G170*2)+(H170*4)*'MATERIALES (2)'!$C$31)+((H170*2)*'MATERIALES (2)'!$C$32)+((G170*1)*'MATERIALES (2)'!$C$32))*'MATERIALES (2)'!$F$2</f>
        <v>63777.493500000004</v>
      </c>
      <c r="J170" s="59">
        <f>((4*'MATERIALES (2)'!$C$148)+(4*'MATERIALES (2)'!$C$163))*2</f>
        <v>1000</v>
      </c>
      <c r="K170" s="75"/>
      <c r="L170" s="59">
        <f t="shared" si="18"/>
        <v>64777.493500000004</v>
      </c>
      <c r="M170" s="67">
        <f t="shared" si="19"/>
        <v>120980.71407287251</v>
      </c>
      <c r="N170" s="888"/>
      <c r="T170" s="2"/>
      <c r="U170"/>
    </row>
    <row r="171" spans="7:21" ht="15.75" hidden="1" thickBot="1">
      <c r="G171" s="68">
        <v>1.8</v>
      </c>
      <c r="H171" s="69">
        <v>1</v>
      </c>
      <c r="I171" s="59">
        <f>(((G171*2)+(H171*4)*'MATERIALES (2)'!$C$31)+((H171*2)*'MATERIALES (2)'!$C$32)+((G171*1)*'MATERIALES (2)'!$C$32))*'MATERIALES (2)'!$F$2</f>
        <v>67628.158500000005</v>
      </c>
      <c r="J171" s="59">
        <f>((4*'MATERIALES (2)'!$C$148)+(4*'MATERIALES (2)'!$C$163))*2</f>
        <v>1000</v>
      </c>
      <c r="K171" s="75"/>
      <c r="L171" s="59">
        <f t="shared" si="18"/>
        <v>68628.158500000005</v>
      </c>
      <c r="M171" s="67">
        <f t="shared" si="19"/>
        <v>128172.35080014751</v>
      </c>
      <c r="N171" s="888"/>
      <c r="T171" s="2"/>
      <c r="U171"/>
    </row>
    <row r="172" spans="7:21" ht="15.75" hidden="1" thickBot="1">
      <c r="G172" s="68">
        <v>1.8</v>
      </c>
      <c r="H172" s="69">
        <v>1.2</v>
      </c>
      <c r="I172" s="59">
        <f>(((G172*2)+(H172*4)*'MATERIALES (2)'!$C$31)+((H172*2)*'MATERIALES (2)'!$C$32)+((G172*1)*'MATERIALES (2)'!$C$32))*'MATERIALES (2)'!$F$2</f>
        <v>71478.823499999999</v>
      </c>
      <c r="J172" s="59">
        <f>((4*'MATERIALES (2)'!$C$148)+(4*'MATERIALES (2)'!$C$163))*2</f>
        <v>1000</v>
      </c>
      <c r="K172" s="75"/>
      <c r="L172" s="59">
        <f t="shared" si="18"/>
        <v>72478.823499999999</v>
      </c>
      <c r="M172" s="67">
        <f t="shared" si="19"/>
        <v>135363.98752742252</v>
      </c>
      <c r="N172" s="888"/>
      <c r="T172" s="2"/>
      <c r="U172"/>
    </row>
    <row r="173" spans="7:21" ht="15.75" hidden="1" thickBot="1">
      <c r="G173" s="68">
        <v>1.8</v>
      </c>
      <c r="H173" s="69">
        <v>1.5</v>
      </c>
      <c r="I173" s="59">
        <f>(((G173*2)+(H173*4)*'MATERIALES (2)'!$C$31)+((H173*2)*'MATERIALES (2)'!$C$32)+((G173*1)*'MATERIALES (2)'!$C$32))*'MATERIALES (2)'!$F$2</f>
        <v>77254.820999999996</v>
      </c>
      <c r="J173" s="59">
        <f>((4*'MATERIALES (2)'!$C$148)+(4*'MATERIALES (2)'!$C$163))*2</f>
        <v>1000</v>
      </c>
      <c r="K173" s="75"/>
      <c r="L173" s="59">
        <f t="shared" si="18"/>
        <v>78254.820999999996</v>
      </c>
      <c r="M173" s="67">
        <f t="shared" si="19"/>
        <v>146151.44261833499</v>
      </c>
      <c r="N173" s="888"/>
      <c r="T173" s="2"/>
      <c r="U173"/>
    </row>
    <row r="174" spans="7:21" ht="15.75" hidden="1" thickBot="1">
      <c r="G174" s="68">
        <v>1.8</v>
      </c>
      <c r="H174" s="69">
        <v>1.8</v>
      </c>
      <c r="I174" s="59">
        <f>(((G174*2)+(H174*4)*'MATERIALES (2)'!$C$31)+((H174*2)*'MATERIALES (2)'!$C$32)+((G174*1)*'MATERIALES (2)'!$C$32))*'MATERIALES (2)'!$F$2</f>
        <v>83030.818500000008</v>
      </c>
      <c r="J174" s="59">
        <f>((4*'MATERIALES (2)'!$C$148)+(4*'MATERIALES (2)'!$C$163))*2</f>
        <v>1000</v>
      </c>
      <c r="K174" s="75"/>
      <c r="L174" s="59">
        <f t="shared" si="18"/>
        <v>84030.818500000008</v>
      </c>
      <c r="M174" s="67">
        <f t="shared" si="19"/>
        <v>156938.89770924754</v>
      </c>
      <c r="N174" s="888"/>
      <c r="T174" s="2"/>
      <c r="U174"/>
    </row>
    <row r="175" spans="7:21" ht="15.75" hidden="1" thickBot="1">
      <c r="G175" s="68">
        <v>2</v>
      </c>
      <c r="H175" s="69">
        <v>0.4</v>
      </c>
      <c r="I175" s="59">
        <f>(((G175*2)+(H175*4)*'MATERIALES (2)'!$C$31)+((H175*2)*'MATERIALES (2)'!$C$32)+((G175*1)*'MATERIALES (2)'!$C$32))*'MATERIALES (2)'!$F$2</f>
        <v>61451.145000000004</v>
      </c>
      <c r="J175" s="59">
        <f>((4*'MATERIALES (2)'!$C$148)+(4*'MATERIALES (2)'!$C$163))*2</f>
        <v>1000</v>
      </c>
      <c r="K175" s="75"/>
      <c r="L175" s="59">
        <f t="shared" si="18"/>
        <v>62451.145000000004</v>
      </c>
      <c r="M175" s="67">
        <f t="shared" si="19"/>
        <v>116635.944192075</v>
      </c>
      <c r="N175" s="888"/>
      <c r="T175" s="2"/>
      <c r="U175"/>
    </row>
    <row r="176" spans="7:21" ht="15.75" hidden="1" thickBot="1">
      <c r="G176" s="68">
        <v>2</v>
      </c>
      <c r="H176" s="69">
        <v>0.6</v>
      </c>
      <c r="I176" s="59">
        <f>(((G176*2)+(H176*4)*'MATERIALES (2)'!$C$31)+((H176*2)*'MATERIALES (2)'!$C$32)+((G176*1)*'MATERIALES (2)'!$C$32))*'MATERIALES (2)'!$F$2</f>
        <v>65301.80999999999</v>
      </c>
      <c r="J176" s="59">
        <f>((4*'MATERIALES (2)'!$C$148)+(4*'MATERIALES (2)'!$C$163))*2</f>
        <v>1000</v>
      </c>
      <c r="K176" s="75"/>
      <c r="L176" s="59">
        <f t="shared" si="18"/>
        <v>66301.81</v>
      </c>
      <c r="M176" s="67">
        <f t="shared" si="19"/>
        <v>123827.58091934999</v>
      </c>
      <c r="N176" s="888"/>
      <c r="T176" s="2"/>
      <c r="U176"/>
    </row>
    <row r="177" spans="7:21" ht="15.75" hidden="1" thickBot="1">
      <c r="G177" s="68">
        <v>2</v>
      </c>
      <c r="H177" s="69">
        <v>0.8</v>
      </c>
      <c r="I177" s="59">
        <f>(((G177*2)+(H177*4)*'MATERIALES (2)'!$C$31)+((H177*2)*'MATERIALES (2)'!$C$32)+((G177*1)*'MATERIALES (2)'!$C$32))*'MATERIALES (2)'!$F$2</f>
        <v>69152.474999999991</v>
      </c>
      <c r="J177" s="59">
        <f>((4*'MATERIALES (2)'!$C$148)+(4*'MATERIALES (2)'!$C$163))*2</f>
        <v>1000</v>
      </c>
      <c r="K177" s="75"/>
      <c r="L177" s="59">
        <f t="shared" si="18"/>
        <v>70152.474999999991</v>
      </c>
      <c r="M177" s="67">
        <f t="shared" si="19"/>
        <v>131019.21764662498</v>
      </c>
      <c r="N177" s="888"/>
      <c r="T177" s="2"/>
      <c r="U177"/>
    </row>
    <row r="178" spans="7:21" ht="15.75" hidden="1" thickBot="1">
      <c r="G178" s="68">
        <v>2</v>
      </c>
      <c r="H178" s="69">
        <v>1</v>
      </c>
      <c r="I178" s="59">
        <f>(((G178*2)+(H178*4)*'MATERIALES (2)'!$C$31)+((H178*2)*'MATERIALES (2)'!$C$32)+((G178*1)*'MATERIALES (2)'!$C$32))*'MATERIALES (2)'!$F$2</f>
        <v>73003.14</v>
      </c>
      <c r="J178" s="59">
        <f>((4*'MATERIALES (2)'!$C$148)+(4*'MATERIALES (2)'!$C$163))*2</f>
        <v>1000</v>
      </c>
      <c r="K178" s="75"/>
      <c r="L178" s="59">
        <f t="shared" si="18"/>
        <v>74003.14</v>
      </c>
      <c r="M178" s="67">
        <f t="shared" si="19"/>
        <v>138210.85437389999</v>
      </c>
      <c r="N178" s="888"/>
      <c r="T178" s="2"/>
      <c r="U178"/>
    </row>
    <row r="179" spans="7:21" ht="15.75" hidden="1" thickBot="1">
      <c r="G179" s="68">
        <v>2</v>
      </c>
      <c r="H179" s="69">
        <v>1.2</v>
      </c>
      <c r="I179" s="59">
        <f>(((G179*2)+(H179*4)*'MATERIALES (2)'!$C$31)+((H179*2)*'MATERIALES (2)'!$C$32)+((G179*1)*'MATERIALES (2)'!$C$32))*'MATERIALES (2)'!$F$2</f>
        <v>76853.804999999993</v>
      </c>
      <c r="J179" s="59">
        <f>((4*'MATERIALES (2)'!$C$148)+(4*'MATERIALES (2)'!$C$163))*2</f>
        <v>1000</v>
      </c>
      <c r="K179" s="75"/>
      <c r="L179" s="59">
        <f t="shared" si="18"/>
        <v>77853.804999999993</v>
      </c>
      <c r="M179" s="67">
        <f t="shared" si="19"/>
        <v>145402.49110117499</v>
      </c>
      <c r="N179" s="888"/>
      <c r="T179" s="2"/>
      <c r="U179"/>
    </row>
    <row r="180" spans="7:21" ht="15.75" hidden="1" thickBot="1">
      <c r="G180" s="68">
        <v>2</v>
      </c>
      <c r="H180" s="69">
        <v>1.5</v>
      </c>
      <c r="I180" s="59">
        <f>(((G180*2)+(H180*4)*'MATERIALES (2)'!$C$31)+((H180*2)*'MATERIALES (2)'!$C$32)+((G180*1)*'MATERIALES (2)'!$C$32))*'MATERIALES (2)'!$F$2</f>
        <v>82629.802500000005</v>
      </c>
      <c r="J180" s="59">
        <f>((4*'MATERIALES (2)'!$C$148)+(4*'MATERIALES (2)'!$C$163))*2</f>
        <v>1000</v>
      </c>
      <c r="K180" s="75"/>
      <c r="L180" s="59">
        <f t="shared" si="18"/>
        <v>83629.802500000005</v>
      </c>
      <c r="M180" s="67">
        <f t="shared" si="19"/>
        <v>156189.94619208746</v>
      </c>
      <c r="N180" s="888"/>
      <c r="T180" s="2"/>
      <c r="U180"/>
    </row>
    <row r="181" spans="7:21" ht="15.75" hidden="1" thickBot="1">
      <c r="G181" s="68">
        <v>2</v>
      </c>
      <c r="H181" s="69">
        <v>1.8</v>
      </c>
      <c r="I181" s="59">
        <f>(((G181*2)+(H181*4)*'MATERIALES (2)'!$C$31)+((H181*2)*'MATERIALES (2)'!$C$32)+((G181*1)*'MATERIALES (2)'!$C$32))*'MATERIALES (2)'!$F$2</f>
        <v>88405.8</v>
      </c>
      <c r="J181" s="59">
        <f>((4*'MATERIALES (2)'!$C$148)+(4*'MATERIALES (2)'!$C$163))*2</f>
        <v>1000</v>
      </c>
      <c r="K181" s="75"/>
      <c r="L181" s="59">
        <f t="shared" si="18"/>
        <v>89405.8</v>
      </c>
      <c r="M181" s="67">
        <f t="shared" si="19"/>
        <v>166977.40128300001</v>
      </c>
      <c r="N181" s="888"/>
      <c r="T181" s="2"/>
      <c r="U181"/>
    </row>
    <row r="182" spans="7:21" ht="15.75" hidden="1" thickBot="1">
      <c r="G182" s="68">
        <v>2.2000000000000002</v>
      </c>
      <c r="H182" s="69">
        <v>0.4</v>
      </c>
      <c r="I182" s="59">
        <f>(((G182*2)+(H182*4)*'MATERIALES (2)'!$C$31)+((H182*2)*'MATERIALES (2)'!$C$32)+((G182*1)*'MATERIALES (2)'!$C$32))*'MATERIALES (2)'!$F$2</f>
        <v>66826.126499999998</v>
      </c>
      <c r="J182" s="59">
        <f>((4*'MATERIALES (2)'!$C$148)+(4*'MATERIALES (2)'!$C$163))*2</f>
        <v>1000</v>
      </c>
      <c r="K182" s="75"/>
      <c r="L182" s="59">
        <f t="shared" si="18"/>
        <v>67826.126499999998</v>
      </c>
      <c r="M182" s="67">
        <f t="shared" si="19"/>
        <v>126674.4477658275</v>
      </c>
      <c r="N182" s="888"/>
      <c r="T182" s="2"/>
      <c r="U182"/>
    </row>
    <row r="183" spans="7:21" ht="12.75" hidden="1" customHeight="1" thickBot="1">
      <c r="G183" s="68">
        <v>2.2000000000000002</v>
      </c>
      <c r="H183" s="69">
        <v>0.6</v>
      </c>
      <c r="I183" s="59">
        <f>(((G183*2)+(H183*4)*'MATERIALES (2)'!$C$31)+((H183*2)*'MATERIALES (2)'!$C$32)+((G183*1)*'MATERIALES (2)'!$C$32))*'MATERIALES (2)'!$F$2</f>
        <v>70676.791499999992</v>
      </c>
      <c r="J183" s="59">
        <f>((4*'MATERIALES (2)'!$C$148)+(4*'MATERIALES (2)'!$C$163))*2</f>
        <v>1000</v>
      </c>
      <c r="K183" s="75"/>
      <c r="L183" s="59">
        <f t="shared" si="18"/>
        <v>71676.791499999992</v>
      </c>
      <c r="M183" s="67">
        <f t="shared" si="19"/>
        <v>133866.08449310248</v>
      </c>
      <c r="N183" s="888"/>
      <c r="T183" s="2"/>
      <c r="U183"/>
    </row>
    <row r="184" spans="7:21" ht="15.75" hidden="1" thickBot="1">
      <c r="G184" s="68">
        <v>2.2000000000000002</v>
      </c>
      <c r="H184" s="69">
        <v>0.8</v>
      </c>
      <c r="I184" s="59">
        <f>(((G184*2)+(H184*4)*'MATERIALES (2)'!$C$31)+((H184*2)*'MATERIALES (2)'!$C$32)+((G184*1)*'MATERIALES (2)'!$C$32))*'MATERIALES (2)'!$F$2</f>
        <v>74527.4565</v>
      </c>
      <c r="J184" s="59">
        <f>((4*'MATERIALES (2)'!$C$148)+(4*'MATERIALES (2)'!$C$163))*2</f>
        <v>1000</v>
      </c>
      <c r="K184" s="75"/>
      <c r="L184" s="59">
        <f t="shared" si="18"/>
        <v>75527.4565</v>
      </c>
      <c r="M184" s="67">
        <f t="shared" si="19"/>
        <v>141057.72122037751</v>
      </c>
      <c r="N184" s="888"/>
      <c r="T184" s="2"/>
      <c r="U184"/>
    </row>
    <row r="185" spans="7:21" ht="15.75" hidden="1" thickBot="1">
      <c r="G185" s="68">
        <v>2.2000000000000002</v>
      </c>
      <c r="H185" s="69">
        <v>1</v>
      </c>
      <c r="I185" s="59">
        <f>(((G185*2)+(H185*4)*'MATERIALES (2)'!$C$31)+((H185*2)*'MATERIALES (2)'!$C$32)+((G185*1)*'MATERIALES (2)'!$C$32))*'MATERIALES (2)'!$F$2</f>
        <v>78378.121499999994</v>
      </c>
      <c r="J185" s="59">
        <f>((4*'MATERIALES (2)'!$C$148)+(4*'MATERIALES (2)'!$C$163))*2</f>
        <v>1000</v>
      </c>
      <c r="K185" s="75"/>
      <c r="L185" s="59">
        <f t="shared" si="18"/>
        <v>79378.121499999994</v>
      </c>
      <c r="M185" s="67">
        <f t="shared" si="19"/>
        <v>148249.35794765249</v>
      </c>
      <c r="N185" s="888"/>
      <c r="T185" s="2"/>
      <c r="U185"/>
    </row>
    <row r="186" spans="7:21" ht="15.75" hidden="1" thickBot="1">
      <c r="G186" s="68">
        <v>2.2000000000000002</v>
      </c>
      <c r="H186" s="69">
        <v>1.2</v>
      </c>
      <c r="I186" s="59">
        <f>(((G186*2)+(H186*4)*'MATERIALES (2)'!$C$31)+((H186*2)*'MATERIALES (2)'!$C$32)+((G186*1)*'MATERIALES (2)'!$C$32))*'MATERIALES (2)'!$F$2</f>
        <v>82228.786500000002</v>
      </c>
      <c r="J186" s="59">
        <f>((4*'MATERIALES (2)'!$C$148)+(4*'MATERIALES (2)'!$C$163))*2</f>
        <v>1000</v>
      </c>
      <c r="K186" s="75"/>
      <c r="L186" s="59">
        <f t="shared" si="18"/>
        <v>83228.786500000002</v>
      </c>
      <c r="M186" s="67">
        <f t="shared" si="19"/>
        <v>155440.9946749275</v>
      </c>
      <c r="N186" s="888"/>
      <c r="T186" s="2"/>
      <c r="U186"/>
    </row>
    <row r="187" spans="7:21" ht="15.75" hidden="1" thickBot="1">
      <c r="G187" s="68">
        <v>2.2000000000000002</v>
      </c>
      <c r="H187" s="69">
        <v>1.5</v>
      </c>
      <c r="I187" s="59">
        <f>(((G187*2)+(H187*4)*'MATERIALES (2)'!$C$31)+((H187*2)*'MATERIALES (2)'!$C$32)+((G187*1)*'MATERIALES (2)'!$C$32))*'MATERIALES (2)'!$F$2</f>
        <v>88004.784</v>
      </c>
      <c r="J187" s="59">
        <f>((4*'MATERIALES (2)'!$C$148)+(4*'MATERIALES (2)'!$C$163))*2</f>
        <v>1000</v>
      </c>
      <c r="K187" s="75"/>
      <c r="L187" s="59">
        <f t="shared" si="18"/>
        <v>89004.784</v>
      </c>
      <c r="M187" s="67">
        <f t="shared" si="19"/>
        <v>166228.44976583996</v>
      </c>
      <c r="N187" s="888"/>
      <c r="T187" s="2"/>
      <c r="U187"/>
    </row>
    <row r="188" spans="7:21" ht="15.75" hidden="1" thickBot="1">
      <c r="G188" s="68">
        <v>2.2000000000000002</v>
      </c>
      <c r="H188" s="69">
        <v>1.8</v>
      </c>
      <c r="I188" s="59">
        <f>(((G188*2)+(H188*4)*'MATERIALES (2)'!$C$31)+((H188*2)*'MATERIALES (2)'!$C$32)+((G188*1)*'MATERIALES (2)'!$C$32))*'MATERIALES (2)'!$F$2</f>
        <v>93780.781499999997</v>
      </c>
      <c r="J188" s="59">
        <f>((4*'MATERIALES (2)'!$C$148)+(4*'MATERIALES (2)'!$C$163))*2</f>
        <v>1000</v>
      </c>
      <c r="K188" s="75"/>
      <c r="L188" s="59">
        <f t="shared" si="18"/>
        <v>94780.781499999997</v>
      </c>
      <c r="M188" s="67">
        <f t="shared" si="19"/>
        <v>177015.90485675252</v>
      </c>
      <c r="N188" s="888"/>
      <c r="T188" s="2"/>
      <c r="U188"/>
    </row>
    <row r="189" spans="7:21" ht="15.75" hidden="1" thickBot="1">
      <c r="G189" s="68">
        <v>2.4</v>
      </c>
      <c r="H189" s="69">
        <v>0.4</v>
      </c>
      <c r="I189" s="59">
        <f>(((G189*2)+(H189*4)*'MATERIALES (2)'!$C$31)+((H189*2)*'MATERIALES (2)'!$C$32)+((G189*1)*'MATERIALES (2)'!$C$32))*'MATERIALES (2)'!$F$2</f>
        <v>72201.108000000007</v>
      </c>
      <c r="J189" s="59">
        <f>((4*'MATERIALES (2)'!$C$148)+(4*'MATERIALES (2)'!$C$163))*2</f>
        <v>1000</v>
      </c>
      <c r="K189" s="75"/>
      <c r="L189" s="59">
        <f t="shared" si="18"/>
        <v>73201.108000000007</v>
      </c>
      <c r="M189" s="67">
        <f t="shared" si="19"/>
        <v>136712.95133958</v>
      </c>
      <c r="N189" s="888"/>
      <c r="T189" s="2"/>
      <c r="U189"/>
    </row>
    <row r="190" spans="7:21" ht="15.75" hidden="1" thickBot="1">
      <c r="G190" s="68">
        <v>2.4</v>
      </c>
      <c r="H190" s="69">
        <v>0.6</v>
      </c>
      <c r="I190" s="59">
        <f>(((G190*2)+(H190*4)*'MATERIALES (2)'!$C$31)+((H190*2)*'MATERIALES (2)'!$C$32)+((G190*1)*'MATERIALES (2)'!$C$32))*'MATERIALES (2)'!$F$2</f>
        <v>76051.772999999986</v>
      </c>
      <c r="J190" s="59">
        <f>((4*'MATERIALES (2)'!$C$148)+(4*'MATERIALES (2)'!$C$163))*2</f>
        <v>1000</v>
      </c>
      <c r="K190" s="75"/>
      <c r="L190" s="59">
        <f t="shared" si="18"/>
        <v>77051.772999999986</v>
      </c>
      <c r="M190" s="67">
        <f t="shared" si="19"/>
        <v>143904.58806685495</v>
      </c>
      <c r="N190" s="888"/>
      <c r="T190" s="2"/>
      <c r="U190"/>
    </row>
    <row r="191" spans="7:21" ht="15.75" hidden="1" thickBot="1">
      <c r="G191" s="68">
        <v>2.4</v>
      </c>
      <c r="H191" s="69">
        <v>0.8</v>
      </c>
      <c r="I191" s="59">
        <f>(((G191*2)+(H191*4)*'MATERIALES (2)'!$C$31)+((H191*2)*'MATERIALES (2)'!$C$32)+((G191*1)*'MATERIALES (2)'!$C$32))*'MATERIALES (2)'!$F$2</f>
        <v>79902.438000000009</v>
      </c>
      <c r="J191" s="59">
        <f>((4*'MATERIALES (2)'!$C$148)+(4*'MATERIALES (2)'!$C$163))*2</f>
        <v>1000</v>
      </c>
      <c r="K191" s="75"/>
      <c r="L191" s="59">
        <f t="shared" si="18"/>
        <v>80902.438000000009</v>
      </c>
      <c r="M191" s="67">
        <f t="shared" si="19"/>
        <v>151096.22479413002</v>
      </c>
      <c r="N191" s="888"/>
      <c r="T191" s="2"/>
      <c r="U191"/>
    </row>
    <row r="192" spans="7:21" ht="15.75" hidden="1" thickBot="1">
      <c r="G192" s="68">
        <v>2.4</v>
      </c>
      <c r="H192" s="69">
        <v>1</v>
      </c>
      <c r="I192" s="59">
        <f>(((G192*2)+(H192*4)*'MATERIALES (2)'!$C$31)+((H192*2)*'MATERIALES (2)'!$C$32)+((G192*1)*'MATERIALES (2)'!$C$32))*'MATERIALES (2)'!$F$2</f>
        <v>83753.103000000003</v>
      </c>
      <c r="J192" s="59">
        <f>((4*'MATERIALES (2)'!$C$148)+(4*'MATERIALES (2)'!$C$163))*2</f>
        <v>1000</v>
      </c>
      <c r="K192" s="75"/>
      <c r="L192" s="59">
        <f t="shared" si="18"/>
        <v>84753.103000000003</v>
      </c>
      <c r="M192" s="67">
        <f t="shared" si="19"/>
        <v>158287.86152140502</v>
      </c>
      <c r="N192" s="888"/>
      <c r="T192" s="2"/>
      <c r="U192"/>
    </row>
    <row r="193" spans="7:21" ht="15.75" hidden="1" thickBot="1">
      <c r="G193" s="68">
        <v>2.4</v>
      </c>
      <c r="H193" s="69">
        <v>1.2</v>
      </c>
      <c r="I193" s="59">
        <f>(((G193*2)+(H193*4)*'MATERIALES (2)'!$C$31)+((H193*2)*'MATERIALES (2)'!$C$32)+((G193*1)*'MATERIALES (2)'!$C$32))*'MATERIALES (2)'!$F$2</f>
        <v>87603.768000000011</v>
      </c>
      <c r="J193" s="59">
        <f>((4*'MATERIALES (2)'!$C$148)+(4*'MATERIALES (2)'!$C$163))*2</f>
        <v>1000</v>
      </c>
      <c r="K193" s="75"/>
      <c r="L193" s="59">
        <f t="shared" si="18"/>
        <v>88603.768000000011</v>
      </c>
      <c r="M193" s="67">
        <f t="shared" si="19"/>
        <v>165479.49824868</v>
      </c>
      <c r="N193" s="888"/>
      <c r="T193" s="2"/>
      <c r="U193"/>
    </row>
    <row r="194" spans="7:21" ht="15.75" hidden="1" thickBot="1">
      <c r="G194" s="68">
        <v>2.4</v>
      </c>
      <c r="H194" s="69">
        <v>1.5</v>
      </c>
      <c r="I194" s="59">
        <f>(((G194*2)+(H194*4)*'MATERIALES (2)'!$C$31)+((H194*2)*'MATERIALES (2)'!$C$32)+((G194*1)*'MATERIALES (2)'!$C$32))*'MATERIALES (2)'!$F$2</f>
        <v>93379.765499999994</v>
      </c>
      <c r="J194" s="59">
        <f>((4*'MATERIALES (2)'!$C$148)+(4*'MATERIALES (2)'!$C$163))*2</f>
        <v>1000</v>
      </c>
      <c r="K194" s="75"/>
      <c r="L194" s="59">
        <f t="shared" si="18"/>
        <v>94379.765499999994</v>
      </c>
      <c r="M194" s="67">
        <f t="shared" si="19"/>
        <v>176266.9533395925</v>
      </c>
      <c r="N194" s="888"/>
      <c r="T194" s="2"/>
      <c r="U194"/>
    </row>
    <row r="195" spans="7:21" ht="15.75" hidden="1" thickBot="1">
      <c r="G195" s="71">
        <v>2.4</v>
      </c>
      <c r="H195" s="72">
        <v>1.8</v>
      </c>
      <c r="I195" s="60">
        <f>(((G195*2)+(H195*4)*'MATERIALES (2)'!$C$31)+((H195*2)*'MATERIALES (2)'!$C$32)+((G195*1)*'MATERIALES (2)'!$C$32))*'MATERIALES (2)'!$F$2</f>
        <v>99155.762999999992</v>
      </c>
      <c r="J195" s="60">
        <f>((4*'MATERIALES (2)'!$C$148)+(4*'MATERIALES (2)'!$C$163))*2</f>
        <v>1000</v>
      </c>
      <c r="K195" s="76"/>
      <c r="L195" s="60">
        <f t="shared" si="18"/>
        <v>100155.76299999999</v>
      </c>
      <c r="M195" s="67">
        <f t="shared" si="19"/>
        <v>187054.40843050499</v>
      </c>
      <c r="N195" s="889"/>
      <c r="T195" s="2"/>
      <c r="U195"/>
    </row>
    <row r="196" spans="7:21" hidden="1">
      <c r="M196" s="32"/>
      <c r="T196" s="2"/>
      <c r="U196"/>
    </row>
    <row r="197" spans="7:21" ht="15.75" hidden="1" thickBot="1"/>
    <row r="198" spans="7:21" ht="15.75" hidden="1" thickBot="1">
      <c r="H198" s="32"/>
      <c r="I198" s="941">
        <v>1.4</v>
      </c>
      <c r="J198" s="942"/>
      <c r="K198" s="942"/>
      <c r="L198" s="943"/>
      <c r="M198" s="46" t="s">
        <v>163</v>
      </c>
    </row>
    <row r="199" spans="7:21" ht="15.75" hidden="1" thickBot="1">
      <c r="G199" s="792" t="s">
        <v>253</v>
      </c>
      <c r="H199" s="793"/>
      <c r="I199" s="793"/>
      <c r="J199" s="793"/>
      <c r="K199" s="793"/>
      <c r="L199" s="793"/>
      <c r="M199" s="794"/>
      <c r="N199" s="94"/>
    </row>
    <row r="200" spans="7:21" ht="15.75" hidden="1" thickBot="1">
      <c r="G200" s="36" t="s">
        <v>116</v>
      </c>
      <c r="H200" s="36" t="s">
        <v>117</v>
      </c>
      <c r="I200" s="36" t="s">
        <v>162</v>
      </c>
      <c r="J200" s="401" t="s">
        <v>119</v>
      </c>
      <c r="K200" s="36" t="s">
        <v>120</v>
      </c>
      <c r="L200" s="36" t="s">
        <v>121</v>
      </c>
      <c r="M200" s="36" t="s">
        <v>122</v>
      </c>
      <c r="T200" s="2"/>
      <c r="U200"/>
    </row>
    <row r="201" spans="7:21" ht="15.75" hidden="1" thickBot="1">
      <c r="G201" s="91"/>
      <c r="H201" s="92"/>
      <c r="I201" s="92"/>
      <c r="J201" s="92"/>
      <c r="K201" s="92"/>
      <c r="L201" s="92"/>
      <c r="M201" s="93"/>
      <c r="T201" s="2"/>
      <c r="U201"/>
    </row>
    <row r="202" spans="7:21" ht="15.75" hidden="1" thickBot="1">
      <c r="G202" s="65">
        <v>1.2</v>
      </c>
      <c r="H202" s="66">
        <v>2</v>
      </c>
      <c r="I202" s="58">
        <f>(((G202*2)+(H202*4)*'MATERIALES (2)'!$C$31)+((H202*2)*'MATERIALES (2)'!$C$32)+((G202*2)*'MATERIALES (2)'!$C$32))*'MATERIALES (2)'!$F$2</f>
        <v>75664.428</v>
      </c>
      <c r="J202" s="58">
        <f>((6*'MATERIALES (2)'!$C$148)+(6*'MATERIALES (2)'!$C$163))*2</f>
        <v>1500</v>
      </c>
      <c r="K202" s="74"/>
      <c r="L202" s="58">
        <f>SUM(I202:K202)</f>
        <v>77164.428</v>
      </c>
      <c r="M202" s="67">
        <f>(((SUM(I202:K202)*$I$198)*1.21)*1.05)*1.05</f>
        <v>144114.98648778</v>
      </c>
      <c r="N202" s="786" t="s">
        <v>254</v>
      </c>
      <c r="T202" s="2"/>
      <c r="U202"/>
    </row>
    <row r="203" spans="7:21" ht="15.75" hidden="1" thickBot="1">
      <c r="G203" s="68">
        <v>1.5</v>
      </c>
      <c r="H203" s="69">
        <v>2</v>
      </c>
      <c r="I203" s="59">
        <f>(((G203*2)+(H203*4)*'MATERIALES (2)'!$C$31)+((H203*2)*'MATERIALES (2)'!$C$32)+((G203*2)*'MATERIALES (2)'!$C$32))*'MATERIALES (2)'!$F$2</f>
        <v>84953.872499999998</v>
      </c>
      <c r="J203" s="59">
        <f>((6*'MATERIALES (2)'!$C$148)+(6*'MATERIALES (2)'!$C$163))*2</f>
        <v>1500</v>
      </c>
      <c r="K203" s="75"/>
      <c r="L203" s="59">
        <f t="shared" ref="L203:L207" si="20">SUM(I203:K203)</f>
        <v>86453.872499999998</v>
      </c>
      <c r="M203" s="67">
        <f t="shared" ref="M203:M207" si="21">(((SUM(I203:K203)*$I$198)*1.21)*1.05)*1.05</f>
        <v>161464.27816653749</v>
      </c>
      <c r="N203" s="787"/>
      <c r="T203" s="2"/>
      <c r="U203"/>
    </row>
    <row r="204" spans="7:21" ht="15.75" hidden="1" thickBot="1">
      <c r="G204" s="68">
        <v>1.8</v>
      </c>
      <c r="H204" s="69">
        <v>2</v>
      </c>
      <c r="I204" s="59">
        <f>(((G204*2)+(H204*4)*'MATERIALES (2)'!$C$31)+((H204*2)*'MATERIALES (2)'!$C$32)+((G204*2)*'MATERIALES (2)'!$C$32))*'MATERIALES (2)'!$F$2</f>
        <v>94243.31700000001</v>
      </c>
      <c r="J204" s="59">
        <f>((6*'MATERIALES (2)'!$C$148)+(6*'MATERIALES (2)'!$C$163))*2</f>
        <v>1500</v>
      </c>
      <c r="K204" s="75"/>
      <c r="L204" s="59">
        <f t="shared" si="20"/>
        <v>95743.31700000001</v>
      </c>
      <c r="M204" s="67">
        <f t="shared" si="21"/>
        <v>178813.56984529502</v>
      </c>
      <c r="N204" s="787"/>
      <c r="T204" s="2"/>
      <c r="U204"/>
    </row>
    <row r="205" spans="7:21" ht="15.75" hidden="1" thickBot="1">
      <c r="G205" s="68">
        <v>2</v>
      </c>
      <c r="H205" s="69">
        <v>2</v>
      </c>
      <c r="I205" s="59">
        <f>(((G205*2)+(H205*4)*'MATERIALES (2)'!$C$31)+((H205*2)*'MATERIALES (2)'!$C$32)+((G205*2)*'MATERIALES (2)'!$C$32))*'MATERIALES (2)'!$F$2</f>
        <v>100436.27999999998</v>
      </c>
      <c r="J205" s="59">
        <f>((6*'MATERIALES (2)'!$C$148)+(6*'MATERIALES (2)'!$C$163))*2</f>
        <v>1500</v>
      </c>
      <c r="K205" s="75"/>
      <c r="L205" s="59">
        <f t="shared" si="20"/>
        <v>101936.27999999998</v>
      </c>
      <c r="M205" s="67">
        <f t="shared" si="21"/>
        <v>190379.76429779996</v>
      </c>
      <c r="N205" s="787"/>
      <c r="T205" s="2"/>
      <c r="U205"/>
    </row>
    <row r="206" spans="7:21" ht="15.75" hidden="1" thickBot="1">
      <c r="G206" s="68">
        <v>2.2000000000000002</v>
      </c>
      <c r="H206" s="69">
        <v>2</v>
      </c>
      <c r="I206" s="59">
        <f>(((G206*2)+(H206*4)*'MATERIALES (2)'!$C$31)+((H206*2)*'MATERIALES (2)'!$C$32)+((G206*2)*'MATERIALES (2)'!$C$32))*'MATERIALES (2)'!$F$2</f>
        <v>106629.243</v>
      </c>
      <c r="J206" s="59">
        <f>((6*'MATERIALES (2)'!$C$148)+(6*'MATERIALES (2)'!$C$163))*2</f>
        <v>1500</v>
      </c>
      <c r="K206" s="75"/>
      <c r="L206" s="59">
        <f t="shared" si="20"/>
        <v>108129.243</v>
      </c>
      <c r="M206" s="67">
        <f t="shared" si="21"/>
        <v>201945.95875030497</v>
      </c>
      <c r="N206" s="787"/>
      <c r="T206" s="2"/>
      <c r="U206"/>
    </row>
    <row r="207" spans="7:21" ht="15.75" hidden="1" thickBot="1">
      <c r="G207" s="71">
        <v>2.4</v>
      </c>
      <c r="H207" s="72">
        <v>2</v>
      </c>
      <c r="I207" s="60">
        <f>(((G207*2)+(H207*4)*'MATERIALES (2)'!$C$31)+((H207*2)*'MATERIALES (2)'!$C$32)+((G207*2)*'MATERIALES (2)'!$C$32))*'MATERIALES (2)'!$F$2</f>
        <v>112822.20600000001</v>
      </c>
      <c r="J207" s="60">
        <f>((6*'MATERIALES (2)'!$C$148)+(6*'MATERIALES (2)'!$C$163))*2</f>
        <v>1500</v>
      </c>
      <c r="K207" s="76"/>
      <c r="L207" s="60">
        <f t="shared" si="20"/>
        <v>114322.20600000001</v>
      </c>
      <c r="M207" s="67">
        <f t="shared" si="21"/>
        <v>213512.15320281</v>
      </c>
      <c r="N207" s="788"/>
      <c r="T207" s="2"/>
      <c r="U207"/>
    </row>
    <row r="208" spans="7:21" hidden="1"/>
    <row r="209" spans="22:29" ht="15.75" thickBot="1"/>
    <row r="210" spans="22:29" ht="15" customHeight="1">
      <c r="V210" s="841" t="s">
        <v>918</v>
      </c>
      <c r="W210" s="842"/>
      <c r="X210" s="842"/>
      <c r="Y210" s="842"/>
      <c r="Z210" s="842"/>
      <c r="AA210" s="843"/>
      <c r="AC210" s="962" t="s">
        <v>668</v>
      </c>
    </row>
    <row r="211" spans="22:29" ht="15.75" thickBot="1">
      <c r="V211" s="844"/>
      <c r="W211" s="845"/>
      <c r="X211" s="845"/>
      <c r="Y211" s="845"/>
      <c r="Z211" s="845"/>
      <c r="AA211" s="846"/>
      <c r="AC211" s="963"/>
    </row>
    <row r="212" spans="22:29" ht="38.25" thickBot="1">
      <c r="V212" s="239" t="s">
        <v>534</v>
      </c>
      <c r="W212" s="240" t="s">
        <v>622</v>
      </c>
      <c r="X212" s="240" t="s">
        <v>623</v>
      </c>
      <c r="Y212" s="240" t="s">
        <v>624</v>
      </c>
      <c r="Z212" s="241" t="s">
        <v>537</v>
      </c>
      <c r="AA212" s="271" t="s">
        <v>645</v>
      </c>
      <c r="AC212" s="963"/>
    </row>
    <row r="213" spans="22:29" ht="15.75">
      <c r="V213" s="245" t="s">
        <v>539</v>
      </c>
      <c r="W213" s="246">
        <f t="shared" ref="W213:W252" si="22">+I6</f>
        <v>123838.59276211505</v>
      </c>
      <c r="X213" s="246">
        <f t="shared" ref="X213:X252" si="23">+J6</f>
        <v>141833.74512961504</v>
      </c>
      <c r="Y213" s="246">
        <f t="shared" ref="Y213:Y252" si="24">+K6</f>
        <v>142248.13776211505</v>
      </c>
      <c r="Z213" s="247">
        <f t="shared" ref="Z213:Z252" si="25">+H80</f>
        <v>17946.662103995623</v>
      </c>
      <c r="AA213" s="346">
        <f t="shared" ref="AA213:AA252" si="26">+M6</f>
        <v>18071.037490274975</v>
      </c>
      <c r="AC213" s="963"/>
    </row>
    <row r="214" spans="22:29" ht="15.75">
      <c r="V214" s="245" t="s">
        <v>540</v>
      </c>
      <c r="W214" s="246">
        <f t="shared" si="22"/>
        <v>143557.65312099754</v>
      </c>
      <c r="X214" s="246">
        <f t="shared" si="23"/>
        <v>167415.62302599751</v>
      </c>
      <c r="Y214" s="246">
        <f t="shared" si="24"/>
        <v>171171.97062099751</v>
      </c>
      <c r="Z214" s="247">
        <f t="shared" si="25"/>
        <v>23863.040033765625</v>
      </c>
      <c r="AA214" s="346">
        <f t="shared" si="26"/>
        <v>27016.509547912487</v>
      </c>
      <c r="AC214" s="963"/>
    </row>
    <row r="215" spans="22:29" ht="15.75">
      <c r="V215" s="245" t="s">
        <v>541</v>
      </c>
      <c r="W215" s="246">
        <f t="shared" si="22"/>
        <v>142649.91674356503</v>
      </c>
      <c r="X215" s="246">
        <f t="shared" si="23"/>
        <v>164635.98276856504</v>
      </c>
      <c r="Y215" s="246">
        <f t="shared" si="24"/>
        <v>167195.97674356506</v>
      </c>
      <c r="Z215" s="247">
        <f t="shared" si="25"/>
        <v>20184.467797147503</v>
      </c>
      <c r="AA215" s="346">
        <f t="shared" si="26"/>
        <v>18071.037490274961</v>
      </c>
      <c r="AC215" s="963"/>
    </row>
    <row r="216" spans="22:29" ht="15.75">
      <c r="V216" s="245" t="s">
        <v>542</v>
      </c>
      <c r="W216" s="246">
        <f t="shared" si="22"/>
        <v>163158.71990244751</v>
      </c>
      <c r="X216" s="246">
        <f t="shared" si="23"/>
        <v>192100.43674494751</v>
      </c>
      <c r="Y216" s="246">
        <f t="shared" si="24"/>
        <v>199977.80990244754</v>
      </c>
      <c r="Z216" s="247">
        <f t="shared" si="25"/>
        <v>26554.947836917505</v>
      </c>
      <c r="AA216" s="346">
        <f t="shared" si="26"/>
        <v>27016.509547912545</v>
      </c>
      <c r="AC216" s="963"/>
    </row>
    <row r="217" spans="22:29" ht="15.75">
      <c r="V217" s="245" t="s">
        <v>543</v>
      </c>
      <c r="W217" s="246">
        <f t="shared" si="22"/>
        <v>183667.52306133002</v>
      </c>
      <c r="X217" s="246">
        <f t="shared" si="23"/>
        <v>219564.89072133001</v>
      </c>
      <c r="Y217" s="246">
        <f t="shared" si="24"/>
        <v>232759.64306133002</v>
      </c>
      <c r="Z217" s="247">
        <f t="shared" si="25"/>
        <v>32925.427876687507</v>
      </c>
      <c r="AA217" s="346">
        <f t="shared" si="26"/>
        <v>35961.981605549983</v>
      </c>
      <c r="AC217" s="963"/>
    </row>
    <row r="218" spans="22:29" ht="15.75">
      <c r="V218" s="245" t="s">
        <v>544</v>
      </c>
      <c r="W218" s="246">
        <f t="shared" si="22"/>
        <v>161461.240725015</v>
      </c>
      <c r="X218" s="246">
        <f t="shared" si="23"/>
        <v>187438.22040751495</v>
      </c>
      <c r="Y218" s="246">
        <f t="shared" si="24"/>
        <v>192143.81572501498</v>
      </c>
      <c r="Z218" s="247">
        <f t="shared" si="25"/>
        <v>22422.273490299376</v>
      </c>
      <c r="AA218" s="346">
        <f t="shared" si="26"/>
        <v>18071.03749027499</v>
      </c>
      <c r="AC218" s="963"/>
    </row>
    <row r="219" spans="22:29" ht="15.75">
      <c r="V219" s="245" t="s">
        <v>545</v>
      </c>
      <c r="W219" s="246">
        <f t="shared" si="22"/>
        <v>182759.78668389755</v>
      </c>
      <c r="X219" s="246">
        <f t="shared" si="23"/>
        <v>216785.25046389757</v>
      </c>
      <c r="Y219" s="246">
        <f t="shared" si="24"/>
        <v>228783.64918389756</v>
      </c>
      <c r="Z219" s="247">
        <f t="shared" si="25"/>
        <v>29246.855640069378</v>
      </c>
      <c r="AA219" s="346">
        <f t="shared" si="26"/>
        <v>27016.509547912516</v>
      </c>
      <c r="AC219" s="963"/>
    </row>
    <row r="220" spans="22:29" ht="15.75">
      <c r="V220" s="249" t="s">
        <v>546</v>
      </c>
      <c r="W220" s="246">
        <f t="shared" si="22"/>
        <v>204058.33264278003</v>
      </c>
      <c r="X220" s="246">
        <f t="shared" si="23"/>
        <v>246132.28052028001</v>
      </c>
      <c r="Y220" s="246">
        <f t="shared" si="24"/>
        <v>265423.48264278006</v>
      </c>
      <c r="Z220" s="247">
        <f t="shared" si="25"/>
        <v>36071.437789839387</v>
      </c>
      <c r="AA220" s="346">
        <f t="shared" si="26"/>
        <v>35961.981605549983</v>
      </c>
      <c r="AB220" s="252"/>
      <c r="AC220" s="963"/>
    </row>
    <row r="221" spans="22:29" ht="15.75">
      <c r="V221" s="249" t="s">
        <v>547</v>
      </c>
      <c r="W221" s="246">
        <f t="shared" si="22"/>
        <v>225356.87860166247</v>
      </c>
      <c r="X221" s="246">
        <f t="shared" si="23"/>
        <v>275479.31057666248</v>
      </c>
      <c r="Y221" s="246">
        <f t="shared" si="24"/>
        <v>302063.31610166247</v>
      </c>
      <c r="Z221" s="247">
        <f t="shared" si="25"/>
        <v>42896.019939609381</v>
      </c>
      <c r="AA221" s="346">
        <f t="shared" si="26"/>
        <v>44907.453663187509</v>
      </c>
      <c r="AB221" s="252"/>
      <c r="AC221" s="963"/>
    </row>
    <row r="222" spans="22:29" ht="16.5" thickBot="1">
      <c r="V222" s="249" t="s">
        <v>548</v>
      </c>
      <c r="W222" s="246">
        <f t="shared" si="22"/>
        <v>236006.15158110377</v>
      </c>
      <c r="X222" s="246">
        <f t="shared" si="23"/>
        <v>290152.8256048538</v>
      </c>
      <c r="Y222" s="246">
        <f t="shared" si="24"/>
        <v>320383.23283110373</v>
      </c>
      <c r="Z222" s="247">
        <f t="shared" si="25"/>
        <v>46308.311014494378</v>
      </c>
      <c r="AA222" s="346">
        <f t="shared" si="26"/>
        <v>49380.189692006184</v>
      </c>
      <c r="AB222" s="252"/>
      <c r="AC222" s="964"/>
    </row>
    <row r="223" spans="22:29" ht="15.75">
      <c r="V223" s="249" t="s">
        <v>549</v>
      </c>
      <c r="W223" s="246">
        <f t="shared" si="22"/>
        <v>246655.42456054507</v>
      </c>
      <c r="X223" s="246">
        <f t="shared" si="23"/>
        <v>304826.34063304507</v>
      </c>
      <c r="Y223" s="246">
        <f t="shared" si="24"/>
        <v>338703.14956054505</v>
      </c>
      <c r="Z223" s="247">
        <f t="shared" si="25"/>
        <v>49720.60208937939</v>
      </c>
      <c r="AA223" s="346">
        <f t="shared" si="26"/>
        <v>53852.92572082486</v>
      </c>
      <c r="AB223" s="252"/>
      <c r="AC223" s="252"/>
    </row>
    <row r="224" spans="22:29" ht="15.75">
      <c r="V224" s="249" t="s">
        <v>550</v>
      </c>
      <c r="W224" s="246">
        <f t="shared" si="22"/>
        <v>278603.24349886877</v>
      </c>
      <c r="X224" s="246">
        <f t="shared" si="23"/>
        <v>348846.88571761874</v>
      </c>
      <c r="Y224" s="246">
        <f t="shared" si="24"/>
        <v>393662.89974886877</v>
      </c>
      <c r="Z224" s="247">
        <f t="shared" si="25"/>
        <v>59957.475314034375</v>
      </c>
      <c r="AA224" s="346">
        <f t="shared" si="26"/>
        <v>67271.133807281265</v>
      </c>
      <c r="AB224" s="252"/>
      <c r="AC224" s="252"/>
    </row>
    <row r="225" spans="22:29" ht="15.75">
      <c r="V225" s="249" t="s">
        <v>551</v>
      </c>
      <c r="W225" s="246">
        <f t="shared" si="22"/>
        <v>180272.56470646503</v>
      </c>
      <c r="X225" s="246">
        <f t="shared" si="23"/>
        <v>210240.45804646501</v>
      </c>
      <c r="Y225" s="246">
        <f t="shared" si="24"/>
        <v>217091.65470646505</v>
      </c>
      <c r="Z225" s="247">
        <f t="shared" si="25"/>
        <v>24660.079183451257</v>
      </c>
      <c r="AA225" s="346">
        <f t="shared" si="26"/>
        <v>18071.037490274961</v>
      </c>
      <c r="AB225" s="252"/>
      <c r="AC225" s="252"/>
    </row>
    <row r="226" spans="22:29" ht="15.75">
      <c r="V226" s="249" t="s">
        <v>552</v>
      </c>
      <c r="W226" s="246">
        <f t="shared" si="22"/>
        <v>202360.85346534752</v>
      </c>
      <c r="X226" s="246">
        <f t="shared" si="23"/>
        <v>241470.06418284753</v>
      </c>
      <c r="Y226" s="246">
        <f t="shared" si="24"/>
        <v>257589.48846534753</v>
      </c>
      <c r="Z226" s="247">
        <f t="shared" si="25"/>
        <v>31938.763443221254</v>
      </c>
      <c r="AA226" s="346">
        <f t="shared" si="26"/>
        <v>27016.509547912487</v>
      </c>
      <c r="AB226" s="252"/>
      <c r="AC226" s="252"/>
    </row>
    <row r="227" spans="22:29" ht="15.75">
      <c r="V227" s="249" t="s">
        <v>553</v>
      </c>
      <c r="W227" s="246">
        <f t="shared" si="22"/>
        <v>224449.14222423008</v>
      </c>
      <c r="X227" s="246">
        <f t="shared" si="23"/>
        <v>272699.67031923006</v>
      </c>
      <c r="Y227" s="246">
        <f t="shared" si="24"/>
        <v>298087.32222423004</v>
      </c>
      <c r="Z227" s="247">
        <f t="shared" si="25"/>
        <v>39217.447702991245</v>
      </c>
      <c r="AA227" s="346">
        <f t="shared" si="26"/>
        <v>35961.981605549925</v>
      </c>
      <c r="AB227" s="252"/>
      <c r="AC227" s="252"/>
    </row>
    <row r="228" spans="22:29" ht="15.75">
      <c r="V228" s="249" t="s">
        <v>554</v>
      </c>
      <c r="W228" s="246">
        <f t="shared" si="22"/>
        <v>246537.43098311251</v>
      </c>
      <c r="X228" s="246">
        <f t="shared" si="23"/>
        <v>303929.27645561256</v>
      </c>
      <c r="Y228" s="246">
        <f t="shared" si="24"/>
        <v>338585.15598311258</v>
      </c>
      <c r="Z228" s="247">
        <f t="shared" si="25"/>
        <v>46496.131962761261</v>
      </c>
      <c r="AA228" s="346">
        <f t="shared" si="26"/>
        <v>44907.453663187596</v>
      </c>
      <c r="AB228" s="252"/>
      <c r="AC228" s="252"/>
    </row>
    <row r="229" spans="22:29" ht="15.75">
      <c r="V229" s="249" t="s">
        <v>555</v>
      </c>
      <c r="W229" s="246">
        <f t="shared" si="22"/>
        <v>257581.57536255376</v>
      </c>
      <c r="X229" s="246">
        <f t="shared" si="23"/>
        <v>319544.07952380378</v>
      </c>
      <c r="Y229" s="246">
        <f t="shared" si="24"/>
        <v>358834.07286255376</v>
      </c>
      <c r="Z229" s="247">
        <f t="shared" si="25"/>
        <v>50135.474092646255</v>
      </c>
      <c r="AA229" s="346">
        <f t="shared" si="26"/>
        <v>49380.189692006272</v>
      </c>
      <c r="AB229" s="252"/>
      <c r="AC229" s="252"/>
    </row>
    <row r="230" spans="22:29" ht="15.75">
      <c r="V230" s="249" t="s">
        <v>556</v>
      </c>
      <c r="W230" s="246">
        <f t="shared" si="22"/>
        <v>268625.71974199504</v>
      </c>
      <c r="X230" s="246">
        <f t="shared" si="23"/>
        <v>335158.882591995</v>
      </c>
      <c r="Y230" s="246">
        <f t="shared" si="24"/>
        <v>379082.98974199506</v>
      </c>
      <c r="Z230" s="247">
        <f t="shared" si="25"/>
        <v>53774.816222531248</v>
      </c>
      <c r="AA230" s="346">
        <f t="shared" si="26"/>
        <v>53852.925720824976</v>
      </c>
      <c r="AB230" s="252"/>
      <c r="AC230" s="252"/>
    </row>
    <row r="231" spans="22:29" ht="15.75">
      <c r="V231" s="249" t="s">
        <v>557</v>
      </c>
      <c r="W231" s="246">
        <f t="shared" si="22"/>
        <v>301758.15288031881</v>
      </c>
      <c r="X231" s="246">
        <f t="shared" si="23"/>
        <v>382003.29179656884</v>
      </c>
      <c r="Y231" s="246">
        <f t="shared" si="24"/>
        <v>439829.74038031878</v>
      </c>
      <c r="Z231" s="247">
        <f t="shared" si="25"/>
        <v>64692.842612186258</v>
      </c>
      <c r="AA231" s="346">
        <f t="shared" si="26"/>
        <v>67271.133807281265</v>
      </c>
      <c r="AB231" s="252"/>
      <c r="AC231" s="252"/>
    </row>
    <row r="232" spans="22:29" ht="15.75">
      <c r="V232" s="249" t="s">
        <v>558</v>
      </c>
      <c r="W232" s="246">
        <f t="shared" si="22"/>
        <v>334890.58601864253</v>
      </c>
      <c r="X232" s="246">
        <f t="shared" si="23"/>
        <v>428847.70100114256</v>
      </c>
      <c r="Y232" s="246">
        <f t="shared" si="24"/>
        <v>500576.4910186425</v>
      </c>
      <c r="Z232" s="247">
        <f t="shared" si="25"/>
        <v>75610.869001841245</v>
      </c>
      <c r="AA232" s="346">
        <f t="shared" si="26"/>
        <v>80689.341893737495</v>
      </c>
      <c r="AB232" s="252"/>
      <c r="AC232" s="252"/>
    </row>
    <row r="233" spans="22:29" ht="15.75">
      <c r="V233" s="254" t="s">
        <v>559</v>
      </c>
      <c r="W233" s="246">
        <f t="shared" si="22"/>
        <v>208489.55067864002</v>
      </c>
      <c r="X233" s="246">
        <f t="shared" si="23"/>
        <v>244443.81450489003</v>
      </c>
      <c r="Y233" s="246">
        <f t="shared" si="24"/>
        <v>254513.41317864004</v>
      </c>
      <c r="Z233" s="247">
        <f t="shared" si="25"/>
        <v>28016.787723179074</v>
      </c>
      <c r="AA233" s="346">
        <f t="shared" si="26"/>
        <v>18071.03749027499</v>
      </c>
    </row>
    <row r="234" spans="22:29" ht="15.75">
      <c r="V234" s="254" t="s">
        <v>560</v>
      </c>
      <c r="W234" s="246">
        <f t="shared" si="22"/>
        <v>231762.45363752253</v>
      </c>
      <c r="X234" s="246">
        <f t="shared" si="23"/>
        <v>278497.28476127255</v>
      </c>
      <c r="Y234" s="246">
        <f t="shared" si="24"/>
        <v>300798.24738752248</v>
      </c>
      <c r="Z234" s="247">
        <f t="shared" si="25"/>
        <v>35976.62514794906</v>
      </c>
      <c r="AA234" s="346">
        <f t="shared" si="26"/>
        <v>27016.509547912487</v>
      </c>
    </row>
    <row r="235" spans="22:29" ht="15.75">
      <c r="V235" s="254" t="s">
        <v>561</v>
      </c>
      <c r="W235" s="246">
        <f t="shared" si="22"/>
        <v>255035.35659640504</v>
      </c>
      <c r="X235" s="246">
        <f t="shared" si="23"/>
        <v>312550.75501765509</v>
      </c>
      <c r="Y235" s="246">
        <f t="shared" si="24"/>
        <v>347083.08159640513</v>
      </c>
      <c r="Z235" s="247">
        <f t="shared" si="25"/>
        <v>43936.462572719065</v>
      </c>
      <c r="AA235" s="346">
        <f t="shared" si="26"/>
        <v>35961.981605549925</v>
      </c>
    </row>
    <row r="236" spans="22:29" ht="15.75">
      <c r="V236" s="254" t="s">
        <v>562</v>
      </c>
      <c r="W236" s="246">
        <f t="shared" si="22"/>
        <v>278308.25955528748</v>
      </c>
      <c r="X236" s="246">
        <f t="shared" si="23"/>
        <v>346604.22527403757</v>
      </c>
      <c r="Y236" s="246">
        <f t="shared" si="24"/>
        <v>393367.91580528748</v>
      </c>
      <c r="Z236" s="247">
        <f t="shared" si="25"/>
        <v>51896.299997489055</v>
      </c>
      <c r="AA236" s="346">
        <f t="shared" si="26"/>
        <v>44907.453663187451</v>
      </c>
    </row>
    <row r="237" spans="22:29" ht="15.75">
      <c r="V237" s="254" t="s">
        <v>563</v>
      </c>
      <c r="W237" s="246">
        <f t="shared" si="22"/>
        <v>289944.7110347288</v>
      </c>
      <c r="X237" s="246">
        <f t="shared" si="23"/>
        <v>363630.96040222881</v>
      </c>
      <c r="Y237" s="246">
        <f t="shared" si="24"/>
        <v>416510.33290972881</v>
      </c>
      <c r="Z237" s="247">
        <f t="shared" si="25"/>
        <v>55876.218709874076</v>
      </c>
      <c r="AA237" s="346">
        <f t="shared" si="26"/>
        <v>49380.189692006272</v>
      </c>
    </row>
    <row r="238" spans="22:29" ht="15.75">
      <c r="V238" s="254" t="s">
        <v>564</v>
      </c>
      <c r="W238" s="246">
        <f t="shared" si="22"/>
        <v>301581.16251417011</v>
      </c>
      <c r="X238" s="246">
        <f t="shared" si="23"/>
        <v>380657.69553042011</v>
      </c>
      <c r="Y238" s="246">
        <f t="shared" si="24"/>
        <v>439652.75001417007</v>
      </c>
      <c r="Z238" s="247">
        <f t="shared" si="25"/>
        <v>59856.137422259075</v>
      </c>
      <c r="AA238" s="346">
        <f t="shared" si="26"/>
        <v>53852.925720824918</v>
      </c>
    </row>
    <row r="239" spans="22:29" ht="15.75">
      <c r="V239" s="254" t="s">
        <v>565</v>
      </c>
      <c r="W239" s="246">
        <f t="shared" si="22"/>
        <v>336490.51695249387</v>
      </c>
      <c r="X239" s="246">
        <f t="shared" si="23"/>
        <v>431737.90091499384</v>
      </c>
      <c r="Y239" s="246">
        <f t="shared" si="24"/>
        <v>509080.00132749387</v>
      </c>
      <c r="Z239" s="247">
        <f t="shared" si="25"/>
        <v>71795.893559414064</v>
      </c>
      <c r="AA239" s="346">
        <f t="shared" si="26"/>
        <v>67271.133807281207</v>
      </c>
    </row>
    <row r="240" spans="22:29" ht="15.75">
      <c r="V240" s="254" t="s">
        <v>566</v>
      </c>
      <c r="W240" s="246">
        <f t="shared" si="22"/>
        <v>371399.87139081757</v>
      </c>
      <c r="X240" s="246">
        <f t="shared" si="23"/>
        <v>482818.10629956756</v>
      </c>
      <c r="Y240" s="246">
        <f t="shared" si="24"/>
        <v>578507.25264081755</v>
      </c>
      <c r="Z240" s="247">
        <f t="shared" si="25"/>
        <v>83735.64969656906</v>
      </c>
      <c r="AA240" s="346">
        <f t="shared" si="26"/>
        <v>80689.341893737554</v>
      </c>
    </row>
    <row r="241" spans="22:27" ht="15.75">
      <c r="V241" s="254" t="s">
        <v>567</v>
      </c>
      <c r="W241" s="246">
        <f t="shared" si="22"/>
        <v>285621.57096858002</v>
      </c>
      <c r="X241" s="246">
        <f t="shared" si="23"/>
        <v>352401.83971607999</v>
      </c>
      <c r="Y241" s="246">
        <f t="shared" si="24"/>
        <v>396078.84096858004</v>
      </c>
      <c r="Z241" s="247">
        <f t="shared" si="25"/>
        <v>48655.477442446885</v>
      </c>
      <c r="AA241" s="346">
        <f t="shared" si="26"/>
        <v>35961.981605549983</v>
      </c>
    </row>
    <row r="242" spans="22:27" ht="15.75">
      <c r="V242" s="254" t="s">
        <v>568</v>
      </c>
      <c r="W242" s="246">
        <f t="shared" si="22"/>
        <v>310079.08812746254</v>
      </c>
      <c r="X242" s="246">
        <f t="shared" si="23"/>
        <v>389279.17409246258</v>
      </c>
      <c r="Y242" s="246">
        <f t="shared" si="24"/>
        <v>448150.67562746257</v>
      </c>
      <c r="Z242" s="247">
        <f t="shared" si="25"/>
        <v>57296.468032216872</v>
      </c>
      <c r="AA242" s="346">
        <f t="shared" si="26"/>
        <v>44907.453663187509</v>
      </c>
    </row>
    <row r="243" spans="22:27" ht="15.75">
      <c r="V243" s="254" t="s">
        <v>569</v>
      </c>
      <c r="W243" s="246">
        <f t="shared" si="22"/>
        <v>322307.84670690377</v>
      </c>
      <c r="X243" s="246">
        <f t="shared" si="23"/>
        <v>407717.84128065372</v>
      </c>
      <c r="Y243" s="246">
        <f t="shared" si="24"/>
        <v>474186.5929569038</v>
      </c>
      <c r="Z243" s="247">
        <f t="shared" si="25"/>
        <v>61616.96332710189</v>
      </c>
      <c r="AA243" s="346">
        <f t="shared" si="26"/>
        <v>49380.189692006214</v>
      </c>
    </row>
    <row r="244" spans="22:27" ht="15.75">
      <c r="V244" s="254" t="s">
        <v>570</v>
      </c>
      <c r="W244" s="246">
        <f t="shared" si="22"/>
        <v>334536.605286345</v>
      </c>
      <c r="X244" s="246">
        <f t="shared" si="23"/>
        <v>426156.50846884504</v>
      </c>
      <c r="Y244" s="246">
        <f t="shared" si="24"/>
        <v>500222.51028634509</v>
      </c>
      <c r="Z244" s="247">
        <f t="shared" si="25"/>
        <v>65937.45862198688</v>
      </c>
      <c r="AA244" s="346">
        <f t="shared" si="26"/>
        <v>53852.925720824976</v>
      </c>
    </row>
    <row r="245" spans="22:27" ht="15.75">
      <c r="V245" s="254" t="s">
        <v>571</v>
      </c>
      <c r="W245" s="246">
        <f t="shared" si="22"/>
        <v>371222.88102466875</v>
      </c>
      <c r="X245" s="246">
        <f t="shared" si="23"/>
        <v>481472.51003341883</v>
      </c>
      <c r="Y245" s="246">
        <f t="shared" si="24"/>
        <v>578330.26227466878</v>
      </c>
      <c r="Z245" s="247">
        <f t="shared" si="25"/>
        <v>78898.944506641885</v>
      </c>
      <c r="AA245" s="346">
        <f t="shared" si="26"/>
        <v>67271.133807281323</v>
      </c>
    </row>
    <row r="246" spans="22:27" ht="15.75">
      <c r="V246" s="254" t="s">
        <v>572</v>
      </c>
      <c r="W246" s="246">
        <f t="shared" si="22"/>
        <v>407909.1567629925</v>
      </c>
      <c r="X246" s="246">
        <f t="shared" si="23"/>
        <v>536788.51159799262</v>
      </c>
      <c r="Y246" s="246">
        <f t="shared" si="24"/>
        <v>656438.01426299266</v>
      </c>
      <c r="Z246" s="247">
        <f t="shared" si="25"/>
        <v>91860.43039129689</v>
      </c>
      <c r="AA246" s="346">
        <f t="shared" si="26"/>
        <v>80689.341893737612</v>
      </c>
    </row>
    <row r="247" spans="22:27" ht="15.75">
      <c r="V247" s="254" t="s">
        <v>573</v>
      </c>
      <c r="W247" s="246">
        <f t="shared" si="22"/>
        <v>306012.38055002998</v>
      </c>
      <c r="X247" s="246">
        <f t="shared" si="23"/>
        <v>378969.22951503005</v>
      </c>
      <c r="Y247" s="246">
        <f t="shared" si="24"/>
        <v>428742.68055003003</v>
      </c>
      <c r="Z247" s="247">
        <f t="shared" si="25"/>
        <v>51801.487355598751</v>
      </c>
      <c r="AA247" s="346">
        <f t="shared" si="26"/>
        <v>35961.981605549983</v>
      </c>
    </row>
    <row r="248" spans="22:27" ht="15.75">
      <c r="V248" s="254" t="s">
        <v>574</v>
      </c>
      <c r="W248" s="246">
        <f t="shared" si="22"/>
        <v>331259.64050891256</v>
      </c>
      <c r="X248" s="246">
        <f t="shared" si="23"/>
        <v>417729.1399714126</v>
      </c>
      <c r="Y248" s="246">
        <f t="shared" si="24"/>
        <v>484672.51550891262</v>
      </c>
      <c r="Z248" s="247">
        <f t="shared" si="25"/>
        <v>60896.580055368766</v>
      </c>
      <c r="AA248" s="346">
        <f t="shared" si="26"/>
        <v>44907.453663187509</v>
      </c>
    </row>
    <row r="249" spans="22:27" ht="15.75">
      <c r="V249" s="254" t="s">
        <v>575</v>
      </c>
      <c r="W249" s="246">
        <f t="shared" si="22"/>
        <v>343883.2704883538</v>
      </c>
      <c r="X249" s="246">
        <f t="shared" si="23"/>
        <v>437109.09519960376</v>
      </c>
      <c r="Y249" s="246">
        <f t="shared" si="24"/>
        <v>512637.43298835371</v>
      </c>
      <c r="Z249" s="247">
        <f t="shared" si="25"/>
        <v>65444.126405253759</v>
      </c>
      <c r="AA249" s="346">
        <f t="shared" si="26"/>
        <v>49380.189692006214</v>
      </c>
    </row>
    <row r="250" spans="22:27" ht="15.75">
      <c r="V250" s="254" t="s">
        <v>576</v>
      </c>
      <c r="W250" s="246">
        <f t="shared" si="22"/>
        <v>356506.90046779509</v>
      </c>
      <c r="X250" s="246">
        <f t="shared" si="23"/>
        <v>456489.0504277951</v>
      </c>
      <c r="Y250" s="246">
        <f t="shared" si="24"/>
        <v>540602.35046779504</v>
      </c>
      <c r="Z250" s="247">
        <f t="shared" si="25"/>
        <v>69991.672755138759</v>
      </c>
      <c r="AA250" s="346">
        <f t="shared" si="26"/>
        <v>53852.925720825035</v>
      </c>
    </row>
    <row r="251" spans="22:27" ht="15.75">
      <c r="V251" s="254" t="s">
        <v>577</v>
      </c>
      <c r="W251" s="246">
        <f t="shared" si="22"/>
        <v>394377.79040611873</v>
      </c>
      <c r="X251" s="246">
        <f t="shared" si="23"/>
        <v>514628.91611236875</v>
      </c>
      <c r="Y251" s="246">
        <f t="shared" si="24"/>
        <v>624497.10290611873</v>
      </c>
      <c r="Z251" s="247">
        <f t="shared" si="25"/>
        <v>83634.311804793761</v>
      </c>
      <c r="AA251" s="346">
        <f t="shared" si="26"/>
        <v>67271.133807281207</v>
      </c>
    </row>
    <row r="252" spans="22:27" ht="16.5" thickBot="1">
      <c r="V252" s="254" t="s">
        <v>578</v>
      </c>
      <c r="W252" s="246">
        <f t="shared" si="22"/>
        <v>432248.6803444426</v>
      </c>
      <c r="X252" s="246">
        <f t="shared" si="23"/>
        <v>572768.78179694258</v>
      </c>
      <c r="Y252" s="246">
        <f t="shared" si="24"/>
        <v>708391.85534444253</v>
      </c>
      <c r="Z252" s="247">
        <f t="shared" si="25"/>
        <v>97276.950854448747</v>
      </c>
      <c r="AA252" s="346">
        <f t="shared" si="26"/>
        <v>80689.341893737437</v>
      </c>
    </row>
    <row r="253" spans="22:27">
      <c r="V253" s="841" t="s">
        <v>669</v>
      </c>
      <c r="W253" s="842"/>
      <c r="X253" s="842"/>
      <c r="Y253" s="842"/>
      <c r="Z253" s="842"/>
      <c r="AA253" s="843"/>
    </row>
    <row r="254" spans="22:27" ht="15.75" thickBot="1">
      <c r="V254" s="844"/>
      <c r="W254" s="845"/>
      <c r="X254" s="845"/>
      <c r="Y254" s="845"/>
      <c r="Z254" s="845"/>
      <c r="AA254" s="846"/>
    </row>
    <row r="255" spans="22:27" ht="38.25" thickBot="1">
      <c r="V255" s="239" t="s">
        <v>534</v>
      </c>
      <c r="W255" s="240" t="s">
        <v>622</v>
      </c>
      <c r="X255" s="240" t="s">
        <v>623</v>
      </c>
      <c r="Y255" s="240" t="s">
        <v>624</v>
      </c>
      <c r="Z255" s="241" t="s">
        <v>537</v>
      </c>
      <c r="AA255" s="271" t="s">
        <v>645</v>
      </c>
    </row>
    <row r="256" spans="22:27" ht="15.75">
      <c r="V256" s="249" t="s">
        <v>581</v>
      </c>
      <c r="W256" s="250">
        <f t="shared" ref="W256:W260" si="27">+I67</f>
        <v>401747.93028389249</v>
      </c>
      <c r="X256" s="250">
        <f t="shared" ref="X256:X260" si="28">+J67</f>
        <v>510374.56224389246</v>
      </c>
      <c r="Y256" s="250">
        <f t="shared" ref="Y256:Y260" si="29">+K67</f>
        <v>585843.38028389262</v>
      </c>
      <c r="Z256" s="251">
        <f t="shared" ref="Z256:Z260" si="30">+T80</f>
        <v>96755.577932475018</v>
      </c>
      <c r="AA256" s="347">
        <f t="shared" ref="AA256:AA260" si="31">+M67</f>
        <v>89814.907326375018</v>
      </c>
    </row>
    <row r="257" spans="22:27" ht="15.75">
      <c r="V257" s="249" t="s">
        <v>582</v>
      </c>
      <c r="W257" s="250">
        <f t="shared" si="27"/>
        <v>447468.95266703441</v>
      </c>
      <c r="X257" s="250">
        <f t="shared" si="28"/>
        <v>576364.56037328439</v>
      </c>
      <c r="Y257" s="250">
        <f t="shared" si="29"/>
        <v>677588.26516703435</v>
      </c>
      <c r="Z257" s="251">
        <f t="shared" si="30"/>
        <v>108946.97594116877</v>
      </c>
      <c r="AA257" s="347">
        <f t="shared" si="31"/>
        <v>89814.90732637496</v>
      </c>
    </row>
    <row r="258" spans="22:27" ht="15.75">
      <c r="V258" s="249" t="s">
        <v>583</v>
      </c>
      <c r="W258" s="250">
        <f t="shared" si="27"/>
        <v>493189.97505017638</v>
      </c>
      <c r="X258" s="250">
        <f t="shared" si="28"/>
        <v>642354.55850267643</v>
      </c>
      <c r="Y258" s="250">
        <f t="shared" si="29"/>
        <v>769333.15005017642</v>
      </c>
      <c r="Z258" s="251">
        <f t="shared" si="30"/>
        <v>121138.37394986252</v>
      </c>
      <c r="AA258" s="347">
        <f t="shared" si="31"/>
        <v>89814.907326375018</v>
      </c>
    </row>
    <row r="259" spans="22:27" ht="15.75">
      <c r="V259" s="249" t="s">
        <v>584</v>
      </c>
      <c r="W259" s="250">
        <f t="shared" si="27"/>
        <v>523670.65663893754</v>
      </c>
      <c r="X259" s="250">
        <f t="shared" si="28"/>
        <v>686347.89058893756</v>
      </c>
      <c r="Y259" s="250">
        <f t="shared" si="29"/>
        <v>830496.40663893742</v>
      </c>
      <c r="Z259" s="251">
        <f t="shared" si="30"/>
        <v>129265.97262232503</v>
      </c>
      <c r="AA259" s="347">
        <f t="shared" si="31"/>
        <v>89814.907326375134</v>
      </c>
    </row>
    <row r="260" spans="22:27" ht="15.75">
      <c r="V260" s="249" t="s">
        <v>585</v>
      </c>
      <c r="W260" s="250">
        <f t="shared" si="27"/>
        <v>584632.01981646009</v>
      </c>
      <c r="X260" s="250">
        <f t="shared" si="28"/>
        <v>774334.55476146017</v>
      </c>
      <c r="Y260" s="250">
        <f t="shared" si="29"/>
        <v>952822.91981646011</v>
      </c>
      <c r="Z260" s="251">
        <f t="shared" si="30"/>
        <v>145521.16996725003</v>
      </c>
      <c r="AA260" s="347">
        <f t="shared" si="31"/>
        <v>89814.907326374901</v>
      </c>
    </row>
  </sheetData>
  <mergeCells count="30">
    <mergeCell ref="V210:AA211"/>
    <mergeCell ref="V253:AA254"/>
    <mergeCell ref="G199:M199"/>
    <mergeCell ref="N202:N207"/>
    <mergeCell ref="AC210:AC222"/>
    <mergeCell ref="I198:L198"/>
    <mergeCell ref="A66:K66"/>
    <mergeCell ref="O66:Y66"/>
    <mergeCell ref="C76:F76"/>
    <mergeCell ref="O76:R76"/>
    <mergeCell ref="A77:H77"/>
    <mergeCell ref="M77:T77"/>
    <mergeCell ref="A79:H79"/>
    <mergeCell ref="M79:T79"/>
    <mergeCell ref="I138:L138"/>
    <mergeCell ref="G139:M139"/>
    <mergeCell ref="N142:N195"/>
    <mergeCell ref="A64:K64"/>
    <mergeCell ref="O64:Y64"/>
    <mergeCell ref="C2:E2"/>
    <mergeCell ref="F2:G2"/>
    <mergeCell ref="Q2:S2"/>
    <mergeCell ref="T2:U2"/>
    <mergeCell ref="A3:K3"/>
    <mergeCell ref="O3:Y3"/>
    <mergeCell ref="A5:K5"/>
    <mergeCell ref="C63:E63"/>
    <mergeCell ref="F63:G63"/>
    <mergeCell ref="Q63:S63"/>
    <mergeCell ref="T63:U63"/>
  </mergeCells>
  <pageMargins left="0.70866141732283472" right="0.70866141732283472" top="0.74803149606299213" bottom="0.74803149606299213" header="0.31496062992125984" footer="0.31496062992125984"/>
  <pageSetup scale="71" orientation="portrait" r:id="rId1"/>
  <tableParts count="2">
    <tablePart r:id="rId2"/>
    <tablePart r:id="rId3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AJ61"/>
  <sheetViews>
    <sheetView topLeftCell="AC1" zoomScale="80" zoomScaleNormal="80" workbookViewId="0">
      <selection activeCell="AE2" sqref="AE2"/>
    </sheetView>
  </sheetViews>
  <sheetFormatPr baseColWidth="10" defaultRowHeight="15"/>
  <cols>
    <col min="1" max="1" width="7.140625" hidden="1" customWidth="1"/>
    <col min="2" max="2" width="4.85546875" hidden="1" customWidth="1"/>
    <col min="3" max="5" width="13.42578125" hidden="1" customWidth="1"/>
    <col min="6" max="8" width="12.28515625" hidden="1" customWidth="1"/>
    <col min="9" max="9" width="8.42578125" hidden="1" customWidth="1"/>
    <col min="10" max="14" width="12.28515625" hidden="1" customWidth="1"/>
    <col min="15" max="27" width="13.42578125" hidden="1" customWidth="1"/>
    <col min="28" max="28" width="21.28515625" hidden="1" customWidth="1"/>
    <col min="30" max="30" width="16.5703125" bestFit="1" customWidth="1"/>
    <col min="31" max="31" width="17.7109375" customWidth="1"/>
    <col min="32" max="32" width="17.5703125" customWidth="1"/>
    <col min="33" max="33" width="17.7109375" customWidth="1"/>
    <col min="34" max="34" width="17.5703125" customWidth="1"/>
    <col min="35" max="35" width="14" customWidth="1"/>
    <col min="36" max="36" width="15.7109375" customWidth="1"/>
  </cols>
  <sheetData>
    <row r="3" spans="1:36" ht="15.75" customHeight="1" thickBot="1">
      <c r="AE3" s="32"/>
      <c r="AF3" s="32"/>
      <c r="AG3" s="32"/>
      <c r="AH3" s="32"/>
      <c r="AI3" s="32"/>
    </row>
    <row r="4" spans="1:36" ht="15.75" thickBot="1">
      <c r="C4" s="965">
        <v>1.35</v>
      </c>
      <c r="D4" s="966"/>
      <c r="E4" s="966"/>
      <c r="F4" s="966"/>
      <c r="G4" s="966"/>
      <c r="H4" s="966"/>
      <c r="I4" s="967"/>
      <c r="J4" s="965">
        <v>2</v>
      </c>
      <c r="K4" s="966"/>
      <c r="L4" s="966"/>
      <c r="M4" s="966"/>
      <c r="N4" s="966"/>
      <c r="O4" s="967"/>
      <c r="P4" s="965">
        <v>1.5</v>
      </c>
      <c r="Q4" s="967"/>
      <c r="R4" s="435"/>
      <c r="AA4" s="62" t="s">
        <v>163</v>
      </c>
      <c r="AE4" s="32"/>
      <c r="AF4" s="32"/>
      <c r="AG4" s="32"/>
      <c r="AH4" s="32"/>
      <c r="AI4" s="32"/>
    </row>
    <row r="5" spans="1:36" ht="34.5" customHeight="1" thickBot="1">
      <c r="A5" s="974" t="s">
        <v>700</v>
      </c>
      <c r="B5" s="975"/>
      <c r="C5" s="975"/>
      <c r="D5" s="975"/>
      <c r="E5" s="975"/>
      <c r="F5" s="975"/>
      <c r="G5" s="975"/>
      <c r="H5" s="975"/>
      <c r="I5" s="975"/>
      <c r="J5" s="975"/>
      <c r="K5" s="975"/>
      <c r="L5" s="975"/>
      <c r="M5" s="975"/>
      <c r="N5" s="975"/>
      <c r="O5" s="975"/>
      <c r="P5" s="975"/>
      <c r="Q5" s="975"/>
      <c r="R5" s="975"/>
      <c r="S5" s="975"/>
      <c r="T5" s="975"/>
      <c r="U5" s="975"/>
      <c r="V5" s="975"/>
      <c r="W5" s="975"/>
      <c r="X5" s="975"/>
      <c r="Y5" s="975"/>
      <c r="Z5" s="975"/>
      <c r="AA5" s="976"/>
      <c r="AD5" s="841" t="s">
        <v>670</v>
      </c>
      <c r="AE5" s="842"/>
      <c r="AF5" s="842"/>
      <c r="AG5" s="842"/>
      <c r="AH5" s="843"/>
      <c r="AI5" s="259"/>
      <c r="AJ5" s="962" t="s">
        <v>671</v>
      </c>
    </row>
    <row r="6" spans="1:36" ht="13.5" customHeight="1" thickBot="1">
      <c r="A6" s="36" t="s">
        <v>116</v>
      </c>
      <c r="B6" s="36" t="s">
        <v>117</v>
      </c>
      <c r="C6" s="36" t="s">
        <v>372</v>
      </c>
      <c r="D6" s="36" t="s">
        <v>373</v>
      </c>
      <c r="E6" s="36" t="s">
        <v>694</v>
      </c>
      <c r="F6" s="36" t="s">
        <v>370</v>
      </c>
      <c r="G6" s="36" t="s">
        <v>371</v>
      </c>
      <c r="H6" s="36" t="s">
        <v>695</v>
      </c>
      <c r="I6" s="36" t="s">
        <v>120</v>
      </c>
      <c r="J6" s="968" t="s">
        <v>520</v>
      </c>
      <c r="K6" s="969"/>
      <c r="L6" s="970"/>
      <c r="M6" s="971" t="s">
        <v>260</v>
      </c>
      <c r="N6" s="972"/>
      <c r="O6" s="973"/>
      <c r="P6" s="968" t="s">
        <v>259</v>
      </c>
      <c r="Q6" s="969"/>
      <c r="R6" s="970"/>
      <c r="S6" s="968" t="s">
        <v>521</v>
      </c>
      <c r="T6" s="969"/>
      <c r="U6" s="970"/>
      <c r="V6" s="968" t="s">
        <v>262</v>
      </c>
      <c r="W6" s="969"/>
      <c r="X6" s="970"/>
      <c r="Y6" s="890" t="s">
        <v>263</v>
      </c>
      <c r="Z6" s="891"/>
      <c r="AA6" s="892"/>
      <c r="AD6" s="844"/>
      <c r="AE6" s="845"/>
      <c r="AF6" s="845"/>
      <c r="AG6" s="845"/>
      <c r="AH6" s="846"/>
      <c r="AI6" s="259"/>
      <c r="AJ6" s="963"/>
    </row>
    <row r="7" spans="1:36" ht="39.75" customHeight="1" thickBot="1">
      <c r="A7" s="91"/>
      <c r="B7" s="92"/>
      <c r="C7" s="92"/>
      <c r="D7" s="92"/>
      <c r="E7" s="92"/>
      <c r="F7" s="92"/>
      <c r="G7" s="92"/>
      <c r="H7" s="92"/>
      <c r="I7" s="93"/>
      <c r="J7" s="128" t="s">
        <v>368</v>
      </c>
      <c r="K7" s="128" t="s">
        <v>369</v>
      </c>
      <c r="L7" s="128" t="s">
        <v>693</v>
      </c>
      <c r="M7" s="128" t="s">
        <v>368</v>
      </c>
      <c r="N7" s="128" t="s">
        <v>369</v>
      </c>
      <c r="O7" s="128" t="s">
        <v>693</v>
      </c>
      <c r="P7" s="128" t="s">
        <v>368</v>
      </c>
      <c r="Q7" s="128" t="s">
        <v>369</v>
      </c>
      <c r="R7" s="128" t="s">
        <v>693</v>
      </c>
      <c r="S7" s="128" t="s">
        <v>368</v>
      </c>
      <c r="T7" s="128" t="s">
        <v>369</v>
      </c>
      <c r="U7" s="128" t="s">
        <v>693</v>
      </c>
      <c r="V7" s="128" t="s">
        <v>368</v>
      </c>
      <c r="W7" s="128" t="s">
        <v>369</v>
      </c>
      <c r="X7" s="128" t="s">
        <v>693</v>
      </c>
      <c r="Y7" s="401" t="s">
        <v>368</v>
      </c>
      <c r="Z7" s="401" t="s">
        <v>369</v>
      </c>
      <c r="AA7" s="128" t="s">
        <v>693</v>
      </c>
      <c r="AB7" s="127"/>
      <c r="AD7" s="239" t="s">
        <v>534</v>
      </c>
      <c r="AE7" s="240" t="s">
        <v>648</v>
      </c>
      <c r="AF7" s="240" t="s">
        <v>907</v>
      </c>
      <c r="AG7" s="240" t="s">
        <v>895</v>
      </c>
      <c r="AH7" s="240" t="s">
        <v>645</v>
      </c>
      <c r="AI7" s="242"/>
      <c r="AJ7" s="963"/>
    </row>
    <row r="8" spans="1:36" ht="16.5" thickBot="1">
      <c r="A8" s="65">
        <v>0.4</v>
      </c>
      <c r="B8" s="66">
        <v>0.8</v>
      </c>
      <c r="C8" s="58">
        <f>((((A8*2)+(B8*2))*'MATERIALES (2)'!$C$60)+(((A8*2)+(B8*2))*'MATERIALES (2)'!$C$59)+(((A8*2)+(B8*2))*'MATERIALES (2)'!$C$76))*'MATERIALES (2)'!$F$2</f>
        <v>47848.500000000015</v>
      </c>
      <c r="D8" s="58">
        <f>((((A8*2)+(B8*2))*'MATERIALES (2)'!$C$60)+(((A8*2)+(B8*4))*'MATERIALES (2)'!$C$59)+(((A8*2)+(B8*4))*'MATERIALES (2)'!$C$76)+(B8*'MATERIALES (2)'!$C$80))*'MATERIALES (2)'!$F$2</f>
        <v>73759.601999999984</v>
      </c>
      <c r="E8" s="58">
        <f>((((A8*2)+(B8*2))*'MATERIALES (2)'!$C$60)+(((A8*2)+(B8*6))*'MATERIALES (2)'!$C$59)+(((A8*2)+(B8*6))*'MATERIALES (2)'!$C$76)+((B8*2)*'MATERIALES (2)'!$C$80))*'MATERIALES (2)'!$F$2</f>
        <v>99670.704000000012</v>
      </c>
      <c r="F8" s="58">
        <f>(8*'MATERIALES (2)'!$C$178)+(1*'MATERIALES (2)'!$C$183)+(2*'MATERIALES (2)'!$C$195)+(((A8*2)+(B8*2))*'MATERIALES (2)'!$C$198)+(4*'MATERIALES (2)'!$C$137)+(((A8*5)*2)*'MATERIALES (2)'!$C$136)+(((A8*2)+(B8*2))*'MATERIALES (2)'!$C$199)+((((A8*2)+(B8*2))/0.1)*'MATERIALES (2)'!$C$181)+(((A8*2)+(B8*2))*'MATERIALES (2)'!$C$154)+(2*'MATERIALES (2)'!$C$176)+(0.5*'MATERIALES (2)'!$C$156)</f>
        <v>31474</v>
      </c>
      <c r="G8" s="58">
        <f>(12*'MATERIALES (2)'!$C$178)+(1*'MATERIALES (2)'!$C$183)+(4*'MATERIALES (2)'!$C$195)+(((A8*2)+(B8*4))*'MATERIALES (2)'!$C$198)+(4*'MATERIALES (2)'!$C$137)+(((A8*5)*2)*'MATERIALES (2)'!$C$136)+(((A8*2)+(B8*2))*'MATERIALES (2)'!$C$199)+((((A8*2)+(B8*4))/0.1)*'MATERIALES (2)'!$C$181)+(((A8*2)+(B8*4))*'MATERIALES (2)'!$C$154)+(2*'MATERIALES (2)'!$C$176)+(0.5*'MATERIALES (2)'!$C$156)</f>
        <v>41554</v>
      </c>
      <c r="H8" s="58">
        <f>(16*'MATERIALES (2)'!$C$178)+(1*'MATERIALES (2)'!$C$183)+(4*'MATERIALES (2)'!$C$195)+(2*'MATERIALES (2)'!$C$197)+(((A8*2)+(B8*6))*'MATERIALES (2)'!$C$198)+(4*'MATERIALES (2)'!$C$137)+(((A8*5)*2)*'MATERIALES (2)'!$C$136)+(((A8*2)+(B8*2))*'MATERIALES (2)'!$C$199)+((((A8*2)+(B8*6))/0.1)*'MATERIALES (2)'!$C$181)+(((A8*2)+(B8*6))*'MATERIALES (2)'!$C$154)+(2*'MATERIALES (2)'!$C$176)+(0.5*'MATERIALES (2)'!$C$156)</f>
        <v>52854</v>
      </c>
      <c r="I8" s="74"/>
      <c r="J8" s="54">
        <f>(A8*B8)*'MATERIALES (2)'!$D$85</f>
        <v>2368.0000000000005</v>
      </c>
      <c r="K8" s="54">
        <f>(A8*B8)*'MATERIALES (2)'!$D$85</f>
        <v>2368.0000000000005</v>
      </c>
      <c r="L8" s="54">
        <f>(A8*B8)*'MATERIALES (2)'!$D$85</f>
        <v>2368.0000000000005</v>
      </c>
      <c r="M8" s="54">
        <f>(((A8*B8)*2)*'MATERIALES (2)'!$D$86)+(4*'MATERIALES (2)'!$C$218)+(((A8*2)+(B8*2))*'MATERIALES (2)'!$C$219)+(((A8*2)+(B8*2))*'MATERIALES (2)'!$C$220)+((((A8*2)+(B8*2))/15)*'MATERIALES (2)'!$C$221)+((((A8*2)+(B8*2))/15)*('MATERIALES (2)'!$C$222*0.15))</f>
        <v>9864.5000000000018</v>
      </c>
      <c r="N8" s="54">
        <f>(((A8*B8)*2)*'MATERIALES (2)'!$D$86)+(8*'MATERIALES (2)'!$C$218)+(((A8*2)+(B8*4))*'MATERIALES (2)'!$C$219)+(((A8*2)+(B8*4))*'MATERIALES (2)'!$C$220)+((((A8*2)+(B8*4))/15)*'MATERIALES (2)'!$C$221)+((((A8*2)+(B8*4))/15)*('MATERIALES (2)'!$C$222*0.15))</f>
        <v>12730.966666666667</v>
      </c>
      <c r="O8" s="54">
        <f>(((A8*B8)*2)*'MATERIALES (2)'!$D$86)+(12*'MATERIALES (2)'!$C$218)+(((A8*2)+(B8*6))*'MATERIALES (2)'!$C$219)+(((A8*2)+(B8*6))*'MATERIALES (2)'!$C$220)+((((A8*2)+(B8*6))/15)*'MATERIALES (2)'!$C$221)+((((A8*2)+(B8*6))/15)*('MATERIALES (2)'!$C$222*0.15))</f>
        <v>15597.433333333334</v>
      </c>
      <c r="P8" s="54">
        <f>(A8*B8)*'MATERIALES (2)'!$D$92</f>
        <v>11568.000000000002</v>
      </c>
      <c r="Q8" s="54">
        <f>(A8*B8)*'MATERIALES (2)'!$D$92</f>
        <v>11568.000000000002</v>
      </c>
      <c r="R8" s="54">
        <f>(A8*B8)*'MATERIALES (2)'!$D$92</f>
        <v>11568.000000000002</v>
      </c>
      <c r="S8" s="125">
        <f>(((((C8+F8+I8)*$C$4)+(J8*$J$4))*1.21)*1.05)*1.05</f>
        <v>149172.50978437503</v>
      </c>
      <c r="T8" s="125">
        <f>(((((D8+G8+I8)*$C$4)+(K8*$J$4))*1.21)*1.05)*1.05</f>
        <v>213990.10007586752</v>
      </c>
      <c r="U8" s="125">
        <f>(((((E8+H8+I8)*$C$4)+(L8*$J$4))*1.21)*1.05)*1.05</f>
        <v>281004.82954236015</v>
      </c>
      <c r="V8" s="125">
        <f>(((((C8+F8+I8)*$C$4)+(M8*$J$4))*1.21)*1.05)*1.05</f>
        <v>169173.54660937501</v>
      </c>
      <c r="W8" s="125">
        <f>(((((D8+G8+I8)*$C$4)+(N8*$J$4))*1.21)*1.05)*1.05</f>
        <v>241639.01329086753</v>
      </c>
      <c r="X8" s="125">
        <f>(((((E8+H8+I8)*$C$4)+(O8*$J$4))*1.21)*1.05)*1.05</f>
        <v>316301.61914736009</v>
      </c>
      <c r="Y8" s="125">
        <f>(((((C8+F8+I8)*$C$4)+(P8*$J$4))*1.21)*1.05)*1.05</f>
        <v>173718.56978437505</v>
      </c>
      <c r="Z8" s="125">
        <f>(((((D8+G8+I8)*$C$4)+(Q8*$J$4))*1.21)*1.05)*1.05</f>
        <v>238536.16007586752</v>
      </c>
      <c r="AA8" s="67">
        <f>(((((E8+H8+I8)*$C$4)+(R8*$J$4))*1.21)*1.05)*1.05</f>
        <v>305550.88954236009</v>
      </c>
      <c r="AD8" s="245" t="s">
        <v>594</v>
      </c>
      <c r="AE8" s="246">
        <f>+$S$8</f>
        <v>149172.50978437503</v>
      </c>
      <c r="AF8" s="246">
        <f>+$V$8</f>
        <v>169173.54660937501</v>
      </c>
      <c r="AG8" s="251">
        <f>+$Y$8</f>
        <v>173718.56978437505</v>
      </c>
      <c r="AH8" s="250">
        <f>+'MODENA CORREDIZA'!$M$13</f>
        <v>35961.981605549983</v>
      </c>
      <c r="AI8" s="248"/>
      <c r="AJ8" s="963"/>
    </row>
    <row r="9" spans="1:36" ht="16.5" thickBot="1">
      <c r="A9" s="68">
        <v>0.4</v>
      </c>
      <c r="B9" s="69">
        <v>1</v>
      </c>
      <c r="C9" s="59">
        <f>((((A9*2)+(B9*2))*'MATERIALES (2)'!$C$60)+(((A9*2)+(B9*2))*'MATERIALES (2)'!$C$59)+(((A9*2)+(B9*2))*'MATERIALES (2)'!$C$76))*'MATERIALES (2)'!$F$2</f>
        <v>55823.250000000007</v>
      </c>
      <c r="D9" s="59">
        <f>((((A9*2)+(B9*2))*'MATERIALES (2)'!$C$60)+(((A9*2)+(B9*4))*'MATERIALES (2)'!$C$59)+(((A9*2)+(B9*4))*'MATERIALES (2)'!$C$76)+(B9*'MATERIALES (2)'!$C$80))*'MATERIALES (2)'!$F$2</f>
        <v>88212.127500000002</v>
      </c>
      <c r="E9" s="59">
        <f>((((A9*2)+(B9*2))*'MATERIALES (2)'!$C$60)+(((A9*2)+(B9*6))*'MATERIALES (2)'!$C$59)+(((A9*2)+(B9*6))*'MATERIALES (2)'!$C$76)+((B9*2)*'MATERIALES (2)'!$C$80))*'MATERIALES (2)'!$F$2</f>
        <v>120601.005</v>
      </c>
      <c r="F9" s="59">
        <f>(8*'MATERIALES (2)'!$C$178)+(1*'MATERIALES (2)'!$C$183)+(2*'MATERIALES (2)'!$C$195)+(((A9*2)+(B9*2))*'MATERIALES (2)'!$C$198)+(4*'MATERIALES (2)'!$C$137)+(((A9*5)*2)*'MATERIALES (2)'!$C$136)+(((A9*2)+(B9*2))*'MATERIALES (2)'!$C$199)+((((A9*2)+(B9*2))/0.1)*'MATERIALES (2)'!$C$181)+(((A9*2)+(B9*2))*'MATERIALES (2)'!$C$154)+(2*'MATERIALES (2)'!$C$176)+(0.5*'MATERIALES (2)'!$C$156)</f>
        <v>31938</v>
      </c>
      <c r="G9" s="59">
        <f>(12*'MATERIALES (2)'!$C$178)+(1*'MATERIALES (2)'!$C$183)+(4*'MATERIALES (2)'!$C$195)+(((A9*2)+(B9*4))*'MATERIALES (2)'!$C$198)+(4*'MATERIALES (2)'!$C$137)+(((A9*5)*2)*'MATERIALES (2)'!$C$136)+(((A9*2)+(B9*2))*'MATERIALES (2)'!$C$199)+((((A9*2)+(B9*4))/0.1)*'MATERIALES (2)'!$C$181)+(((A9*2)+(B9*4))*'MATERIALES (2)'!$C$154)+(2*'MATERIALES (2)'!$C$176)+(0.5*'MATERIALES (2)'!$C$156)</f>
        <v>42338</v>
      </c>
      <c r="H9" s="59">
        <f>(16*'MATERIALES (2)'!$C$178)+(1*'MATERIALES (2)'!$C$183)+(4*'MATERIALES (2)'!$C$195)+(2*'MATERIALES (2)'!$C$197)+(((A9*2)+(B9*6))*'MATERIALES (2)'!$C$198)+(4*'MATERIALES (2)'!$C$137)+(((A9*5)*2)*'MATERIALES (2)'!$C$136)+(((A9*2)+(B9*2))*'MATERIALES (2)'!$C$199)+((((A9*2)+(B9*6))/0.1)*'MATERIALES (2)'!$C$181)+(((A9*2)+(B9*6))*'MATERIALES (2)'!$C$154)+(2*'MATERIALES (2)'!$C$176)+(0.5*'MATERIALES (2)'!$C$156)</f>
        <v>53958</v>
      </c>
      <c r="I9" s="75"/>
      <c r="J9" s="55">
        <f>(A9*B9)*'MATERIALES (2)'!$D$85</f>
        <v>2960</v>
      </c>
      <c r="K9" s="55">
        <f>(A9*B9)*'MATERIALES (2)'!$D$85</f>
        <v>2960</v>
      </c>
      <c r="L9" s="55">
        <f>(A9*B9)*'MATERIALES (2)'!$D$85</f>
        <v>2960</v>
      </c>
      <c r="M9" s="55">
        <f>(((A9*B9)*2)*'MATERIALES (2)'!$D$86)+(4*'MATERIALES (2)'!$C$218)+(((A9*2)+(B9*2))*'MATERIALES (2)'!$C$219)+(((A9*2)+(B9*2))*'MATERIALES (2)'!$C$220)+((((A9*2)+(B9*2))/15)*'MATERIALES (2)'!$C$221)+((((A9*2)+(B9*2))/15)*('MATERIALES (2)'!$C$222*0.15))</f>
        <v>11952.316666666666</v>
      </c>
      <c r="N9" s="55">
        <f>(((A9*B9)*2)*'MATERIALES (2)'!$D$86)+(8*'MATERIALES (2)'!$C$218)+(((A9*2)+(B9*4))*'MATERIALES (2)'!$C$219)+(((A9*2)+(B9*4))*'MATERIALES (2)'!$C$220)+((((A9*2)+(B9*4))/15)*'MATERIALES (2)'!$C$221)+((((A9*2)+(B9*4))/15)*('MATERIALES (2)'!$C$222*0.15))</f>
        <v>15495.4</v>
      </c>
      <c r="O9" s="55">
        <f>(((A9*B9)*2)*'MATERIALES (2)'!$D$86)+(12*'MATERIALES (2)'!$C$218)+(((A9*2)+(B9*6))*'MATERIALES (2)'!$C$219)+(((A9*2)+(B9*6))*'MATERIALES (2)'!$C$220)+((((A9*2)+(B9*6))/15)*'MATERIALES (2)'!$C$221)+((((A9*2)+(B9*6))/15)*('MATERIALES (2)'!$C$222*0.15))</f>
        <v>19038.483333333334</v>
      </c>
      <c r="P9" s="55">
        <f>(A9*B9)*'MATERIALES (2)'!$D$92</f>
        <v>14460</v>
      </c>
      <c r="Q9" s="55">
        <f>(A9*B9)*'MATERIALES (2)'!$D$92</f>
        <v>14460</v>
      </c>
      <c r="R9" s="55">
        <f>(A9*B9)*'MATERIALES (2)'!$D$92</f>
        <v>14460</v>
      </c>
      <c r="S9" s="125">
        <f t="shared" ref="S9:S61" si="0">(((((C9+F9+I9)*$C$4)+(J9*$J$4))*1.21)*1.05)*1.05</f>
        <v>165949.62506718753</v>
      </c>
      <c r="T9" s="125">
        <f t="shared" ref="T9:T61" si="1">(((((D9+G9+I9)*$C$4)+(K9*$J$4))*1.21)*1.05)*1.05</f>
        <v>243009.55868155317</v>
      </c>
      <c r="U9" s="125">
        <f t="shared" ref="U9:U61" si="2">(((((E9+H9+I9)*$C$4)+(L9*$J$4))*1.21)*1.05)*1.05</f>
        <v>322266.63147091877</v>
      </c>
      <c r="V9" s="125">
        <f t="shared" ref="V9:V61" si="3">(((((C9+F9+I9)*$C$4)+(M9*$J$4))*1.21)*1.05)*1.05</f>
        <v>189941.57554968755</v>
      </c>
      <c r="W9" s="125">
        <f t="shared" ref="W9:W61" si="4">(((((D9+G9+I9)*$C$4)+(N9*$J$4))*1.21)*1.05)*1.05</f>
        <v>276454.63265155314</v>
      </c>
      <c r="X9" s="125">
        <f t="shared" ref="X9:X61" si="5">(((((E9+H9+I9)*$C$4)+(O9*$J$4))*1.21)*1.05)*1.05</f>
        <v>365164.82892841886</v>
      </c>
      <c r="Y9" s="125">
        <f t="shared" ref="Y9:Y61" si="6">(((((C9+F9+I9)*$C$4)+(P9*$J$4))*1.21)*1.05)*1.05</f>
        <v>196632.20006718751</v>
      </c>
      <c r="Z9" s="125">
        <f t="shared" ref="Z9:Z61" si="7">(((((D9+G9+I9)*$C$4)+(Q9*$J$4))*1.21)*1.05)*1.05</f>
        <v>273692.13368155318</v>
      </c>
      <c r="AA9" s="67">
        <f t="shared" ref="AA9:AA61" si="8">(((((E9+H9+I9)*$C$4)+(R9*$J$4))*1.21)*1.05)*1.05</f>
        <v>352949.20647091878</v>
      </c>
      <c r="AD9" s="245" t="s">
        <v>595</v>
      </c>
      <c r="AE9" s="246">
        <f>+$S$9</f>
        <v>165949.62506718753</v>
      </c>
      <c r="AF9" s="246">
        <f>+$V$9</f>
        <v>189941.57554968755</v>
      </c>
      <c r="AG9" s="251">
        <f>+$Y$9</f>
        <v>196632.20006718751</v>
      </c>
      <c r="AH9" s="250">
        <f>+'MODENA CORREDIZA'!$M$14</f>
        <v>44907.453663187509</v>
      </c>
      <c r="AI9" s="247"/>
      <c r="AJ9" s="963"/>
    </row>
    <row r="10" spans="1:36" ht="16.5" thickBot="1">
      <c r="A10" s="68">
        <v>0.4</v>
      </c>
      <c r="B10" s="69">
        <v>1.1000000000000001</v>
      </c>
      <c r="C10" s="59">
        <f>((((A10*2)+(B10*2))*'MATERIALES (2)'!$C$60)+(((A10*2)+(B10*2))*'MATERIALES (2)'!$C$59)+(((A10*2)+(B10*2))*'MATERIALES (2)'!$C$76))*'MATERIALES (2)'!$F$2</f>
        <v>59810.625</v>
      </c>
      <c r="D10" s="59">
        <f>((((A10*2)+(B10*2))*'MATERIALES (2)'!$C$60)+(((A10*2)+(B10*4))*'MATERIALES (2)'!$C$59)+(((A10*2)+(B10*4))*'MATERIALES (2)'!$C$76)+(B10*'MATERIALES (2)'!$C$80))*'MATERIALES (2)'!$F$2</f>
        <v>95438.390249999997</v>
      </c>
      <c r="E10" s="59">
        <f>((((A10*2)+(B10*2))*'MATERIALES (2)'!$C$60)+(((A10*2)+(B10*6))*'MATERIALES (2)'!$C$59)+(((A10*2)+(B10*6))*'MATERIALES (2)'!$C$76)+((B10*2)*'MATERIALES (2)'!$C$80))*'MATERIALES (2)'!$F$2</f>
        <v>131066.15549999999</v>
      </c>
      <c r="F10" s="59">
        <f>(8*'MATERIALES (2)'!$C$178)+(1*'MATERIALES (2)'!$C$183)+(2*'MATERIALES (2)'!$C$195)+(((A10*2)+(B10*2))*'MATERIALES (2)'!$C$198)+(4*'MATERIALES (2)'!$C$137)+(((A10*5)*2)*'MATERIALES (2)'!$C$136)+(((A10*2)+(B10*2))*'MATERIALES (2)'!$C$199)+((((A10*2)+(B10*2))/0.1)*'MATERIALES (2)'!$C$181)+(((A10*2)+(B10*2))*'MATERIALES (2)'!$C$154)+(2*'MATERIALES (2)'!$C$176)+(0.5*'MATERIALES (2)'!$C$156)</f>
        <v>32170</v>
      </c>
      <c r="G10" s="59">
        <f>(12*'MATERIALES (2)'!$C$178)+(1*'MATERIALES (2)'!$C$183)+(4*'MATERIALES (2)'!$C$195)+(((A10*2)+(B10*4))*'MATERIALES (2)'!$C$198)+(4*'MATERIALES (2)'!$C$137)+(((A10*5)*2)*'MATERIALES (2)'!$C$136)+(((A10*2)+(B10*2))*'MATERIALES (2)'!$C$199)+((((A10*2)+(B10*4))/0.1)*'MATERIALES (2)'!$C$181)+(((A10*2)+(B10*4))*'MATERIALES (2)'!$C$154)+(2*'MATERIALES (2)'!$C$176)+(0.5*'MATERIALES (2)'!$C$156)</f>
        <v>42730</v>
      </c>
      <c r="H10" s="59">
        <f>(16*'MATERIALES (2)'!$C$178)+(1*'MATERIALES (2)'!$C$183)+(4*'MATERIALES (2)'!$C$195)+(2*'MATERIALES (2)'!$C$197)+(((A10*2)+(B10*6))*'MATERIALES (2)'!$C$198)+(4*'MATERIALES (2)'!$C$137)+(((A10*5)*2)*'MATERIALES (2)'!$C$136)+(((A10*2)+(B10*2))*'MATERIALES (2)'!$C$199)+((((A10*2)+(B10*6))/0.1)*'MATERIALES (2)'!$C$181)+(((A10*2)+(B10*6))*'MATERIALES (2)'!$C$154)+(2*'MATERIALES (2)'!$C$176)+(0.5*'MATERIALES (2)'!$C$156)</f>
        <v>54510</v>
      </c>
      <c r="I10" s="75"/>
      <c r="J10" s="55">
        <f>(A10*B10)*'MATERIALES (2)'!$D$85</f>
        <v>3256.0000000000005</v>
      </c>
      <c r="K10" s="55">
        <f>(A10*B10)*'MATERIALES (2)'!$D$85</f>
        <v>3256.0000000000005</v>
      </c>
      <c r="L10" s="55">
        <f>(A10*B10)*'MATERIALES (2)'!$D$85</f>
        <v>3256.0000000000005</v>
      </c>
      <c r="M10" s="55">
        <f>(((A10*B10)*2)*'MATERIALES (2)'!$D$86)+(4*'MATERIALES (2)'!$C$218)+(((A10*2)+(B10*2))*'MATERIALES (2)'!$C$219)+(((A10*2)+(B10*2))*'MATERIALES (2)'!$C$220)+((((A10*2)+(B10*2))/15)*'MATERIALES (2)'!$C$221)+((((A10*2)+(B10*2))/15)*('MATERIALES (2)'!$C$222*0.15))</f>
        <v>12996.225000000002</v>
      </c>
      <c r="N10" s="55">
        <f>(((A10*B10)*2)*'MATERIALES (2)'!$D$86)+(8*'MATERIALES (2)'!$C$218)+(((A10*2)+(B10*4))*'MATERIALES (2)'!$C$219)+(((A10*2)+(B10*4))*'MATERIALES (2)'!$C$220)+((((A10*2)+(B10*4))/15)*'MATERIALES (2)'!$C$221)+((((A10*2)+(B10*4))/15)*('MATERIALES (2)'!$C$222*0.15))</f>
        <v>16877.616666666669</v>
      </c>
      <c r="O10" s="55">
        <f>(((A10*B10)*2)*'MATERIALES (2)'!$D$86)+(12*'MATERIALES (2)'!$C$218)+(((A10*2)+(B10*6))*'MATERIALES (2)'!$C$219)+(((A10*2)+(B10*6))*'MATERIALES (2)'!$C$220)+((((A10*2)+(B10*6))/15)*'MATERIALES (2)'!$C$221)+((((A10*2)+(B10*6))/15)*('MATERIALES (2)'!$C$222*0.15))</f>
        <v>20759.008333333335</v>
      </c>
      <c r="P10" s="55">
        <f>(A10*B10)*'MATERIALES (2)'!$D$92</f>
        <v>15906.000000000002</v>
      </c>
      <c r="Q10" s="55">
        <f>(A10*B10)*'MATERIALES (2)'!$D$92</f>
        <v>15906.000000000002</v>
      </c>
      <c r="R10" s="55">
        <f>(A10*B10)*'MATERIALES (2)'!$D$92</f>
        <v>15906.000000000002</v>
      </c>
      <c r="S10" s="125">
        <f t="shared" si="0"/>
        <v>174338.18270859378</v>
      </c>
      <c r="T10" s="125">
        <f t="shared" si="1"/>
        <v>257519.28798439592</v>
      </c>
      <c r="U10" s="125">
        <f t="shared" si="2"/>
        <v>342897.5324351982</v>
      </c>
      <c r="V10" s="125">
        <f t="shared" si="3"/>
        <v>200325.59001984377</v>
      </c>
      <c r="W10" s="125">
        <f t="shared" si="4"/>
        <v>293862.44233189599</v>
      </c>
      <c r="X10" s="125">
        <f t="shared" si="5"/>
        <v>389596.43381894816</v>
      </c>
      <c r="Y10" s="125">
        <f t="shared" si="6"/>
        <v>208089.0152085938</v>
      </c>
      <c r="Z10" s="125">
        <f t="shared" si="7"/>
        <v>291270.12048439594</v>
      </c>
      <c r="AA10" s="67">
        <f t="shared" si="8"/>
        <v>376648.36493519816</v>
      </c>
      <c r="AD10" s="245" t="s">
        <v>651</v>
      </c>
      <c r="AE10" s="246">
        <f>+$S$10</f>
        <v>174338.18270859378</v>
      </c>
      <c r="AF10" s="246">
        <f>+$V$10</f>
        <v>200325.59001984377</v>
      </c>
      <c r="AG10" s="251">
        <f>+$Y$10</f>
        <v>208089.0152085938</v>
      </c>
      <c r="AH10" s="250">
        <f>+'MODENA CORREDIZA'!$M$15</f>
        <v>49380.189692006184</v>
      </c>
      <c r="AI10" s="247"/>
      <c r="AJ10" s="963"/>
    </row>
    <row r="11" spans="1:36" ht="16.5" thickBot="1">
      <c r="A11" s="68">
        <v>0.4</v>
      </c>
      <c r="B11" s="69">
        <v>1.2</v>
      </c>
      <c r="C11" s="59">
        <f>((((A11*2)+(B11*2))*'MATERIALES (2)'!$C$60)+(((A11*2)+(B11*2))*'MATERIALES (2)'!$C$59)+(((A11*2)+(B11*2))*'MATERIALES (2)'!$C$76))*'MATERIALES (2)'!$F$2</f>
        <v>63797.999999999993</v>
      </c>
      <c r="D11" s="59">
        <f>((((A11*2)+(B11*2))*'MATERIALES (2)'!$C$60)+(((A11*2)+(B11*4))*'MATERIALES (2)'!$C$59)+(((A11*2)+(B11*4))*'MATERIALES (2)'!$C$76)+(B11*'MATERIALES (2)'!$C$80))*'MATERIALES (2)'!$F$2</f>
        <v>102664.65299999999</v>
      </c>
      <c r="E11" s="59">
        <f>((((A11*2)+(B11*2))*'MATERIALES (2)'!$C$60)+(((A11*2)+(B11*6))*'MATERIALES (2)'!$C$59)+(((A11*2)+(B11*6))*'MATERIALES (2)'!$C$76)+((B11*2)*'MATERIALES (2)'!$C$80))*'MATERIALES (2)'!$F$2</f>
        <v>141531.30599999998</v>
      </c>
      <c r="F11" s="59">
        <f>(8*'MATERIALES (2)'!$C$178)+(1*'MATERIALES (2)'!$C$183)+(2*'MATERIALES (2)'!$C$195)+(((A11*2)+(B11*2))*'MATERIALES (2)'!$C$198)+(4*'MATERIALES (2)'!$C$137)+(((A11*5)*2)*'MATERIALES (2)'!$C$136)+(((A11*2)+(B11*2))*'MATERIALES (2)'!$C$199)+((((A11*2)+(B11*2))/0.1)*'MATERIALES (2)'!$C$181)+(((A11*2)+(B11*2))*'MATERIALES (2)'!$C$154)+(2*'MATERIALES (2)'!$C$176)+(0.5*'MATERIALES (2)'!$C$156)</f>
        <v>32402</v>
      </c>
      <c r="G11" s="59">
        <f>(12*'MATERIALES (2)'!$C$178)+(1*'MATERIALES (2)'!$C$183)+(4*'MATERIALES (2)'!$C$195)+(((A11*2)+(B11*4))*'MATERIALES (2)'!$C$198)+(4*'MATERIALES (2)'!$C$137)+(((A11*5)*2)*'MATERIALES (2)'!$C$136)+(((A11*2)+(B11*2))*'MATERIALES (2)'!$C$199)+((((A11*2)+(B11*4))/0.1)*'MATERIALES (2)'!$C$181)+(((A11*2)+(B11*4))*'MATERIALES (2)'!$C$154)+(2*'MATERIALES (2)'!$C$176)+(0.5*'MATERIALES (2)'!$C$156)</f>
        <v>43122</v>
      </c>
      <c r="H11" s="59">
        <f>(16*'MATERIALES (2)'!$C$178)+(1*'MATERIALES (2)'!$C$183)+(4*'MATERIALES (2)'!$C$195)+(2*'MATERIALES (2)'!$C$197)+(((A11*2)+(B11*6))*'MATERIALES (2)'!$C$198)+(4*'MATERIALES (2)'!$C$137)+(((A11*5)*2)*'MATERIALES (2)'!$C$136)+(((A11*2)+(B11*2))*'MATERIALES (2)'!$C$199)+((((A11*2)+(B11*6))/0.1)*'MATERIALES (2)'!$C$181)+(((A11*2)+(B11*6))*'MATERIALES (2)'!$C$154)+(2*'MATERIALES (2)'!$C$176)+(0.5*'MATERIALES (2)'!$C$156)</f>
        <v>55062</v>
      </c>
      <c r="I11" s="75"/>
      <c r="J11" s="55">
        <f>(A11*B11)*'MATERIALES (2)'!$D$85</f>
        <v>3552</v>
      </c>
      <c r="K11" s="55">
        <f>(A11*B11)*'MATERIALES (2)'!$D$85</f>
        <v>3552</v>
      </c>
      <c r="L11" s="55">
        <f>(A11*B11)*'MATERIALES (2)'!$D$85</f>
        <v>3552</v>
      </c>
      <c r="M11" s="55">
        <f>(((A11*B11)*2)*'MATERIALES (2)'!$D$86)+(4*'MATERIALES (2)'!$C$218)+(((A11*2)+(B11*2))*'MATERIALES (2)'!$C$219)+(((A11*2)+(B11*2))*'MATERIALES (2)'!$C$220)+((((A11*2)+(B11*2))/15)*'MATERIALES (2)'!$C$221)+((((A11*2)+(B11*2))/15)*('MATERIALES (2)'!$C$222*0.15))</f>
        <v>14040.133333333333</v>
      </c>
      <c r="N11" s="55">
        <f>(((A11*B11)*2)*'MATERIALES (2)'!$D$86)+(8*'MATERIALES (2)'!$C$218)+(((A11*2)+(B11*4))*'MATERIALES (2)'!$C$219)+(((A11*2)+(B11*4))*'MATERIALES (2)'!$C$220)+((((A11*2)+(B11*4))/15)*'MATERIALES (2)'!$C$221)+((((A11*2)+(B11*4))/15)*('MATERIALES (2)'!$C$222*0.15))</f>
        <v>18259.833333333332</v>
      </c>
      <c r="O11" s="55">
        <f>(((A11*B11)*2)*'MATERIALES (2)'!$D$86)+(12*'MATERIALES (2)'!$C$218)+(((A11*2)+(B11*6))*'MATERIALES (2)'!$C$219)+(((A11*2)+(B11*6))*'MATERIALES (2)'!$C$220)+((((A11*2)+(B11*6))/15)*'MATERIALES (2)'!$C$221)+((((A11*2)+(B11*6))/15)*('MATERIALES (2)'!$C$222*0.15))</f>
        <v>22479.533333333329</v>
      </c>
      <c r="P11" s="55">
        <f>(A11*B11)*'MATERIALES (2)'!$D$92</f>
        <v>17352</v>
      </c>
      <c r="Q11" s="55">
        <f>(A11*B11)*'MATERIALES (2)'!$D$92</f>
        <v>17352</v>
      </c>
      <c r="R11" s="55">
        <f>(A11*B11)*'MATERIALES (2)'!$D$92</f>
        <v>17352</v>
      </c>
      <c r="S11" s="125">
        <f t="shared" si="0"/>
        <v>182726.74035000001</v>
      </c>
      <c r="T11" s="125">
        <f t="shared" si="1"/>
        <v>272029.01728723873</v>
      </c>
      <c r="U11" s="125">
        <f t="shared" si="2"/>
        <v>363528.43339947751</v>
      </c>
      <c r="V11" s="125">
        <f t="shared" si="3"/>
        <v>210709.60449000006</v>
      </c>
      <c r="W11" s="125">
        <f t="shared" si="4"/>
        <v>311270.25201223872</v>
      </c>
      <c r="X11" s="125">
        <f t="shared" si="5"/>
        <v>414028.03870947746</v>
      </c>
      <c r="Y11" s="125">
        <f t="shared" si="6"/>
        <v>219545.83035000003</v>
      </c>
      <c r="Z11" s="125">
        <f t="shared" si="7"/>
        <v>308848.10728723876</v>
      </c>
      <c r="AA11" s="67">
        <f t="shared" si="8"/>
        <v>400347.52339947753</v>
      </c>
      <c r="AD11" s="245" t="s">
        <v>596</v>
      </c>
      <c r="AE11" s="246">
        <f>+$S$11</f>
        <v>182726.74035000001</v>
      </c>
      <c r="AF11" s="246">
        <f>+$V$11</f>
        <v>210709.60449000006</v>
      </c>
      <c r="AG11" s="251">
        <f>+$Y$11</f>
        <v>219545.83035000003</v>
      </c>
      <c r="AH11" s="250">
        <f>+'MODENA CORREDIZA'!$M$16</f>
        <v>53852.92572082486</v>
      </c>
      <c r="AI11" s="247"/>
      <c r="AJ11" s="963"/>
    </row>
    <row r="12" spans="1:36" ht="16.5" thickBot="1">
      <c r="A12" s="68">
        <v>0.4</v>
      </c>
      <c r="B12" s="69">
        <v>1.5</v>
      </c>
      <c r="C12" s="59">
        <f>((((A12*2)+(B12*2))*'MATERIALES (2)'!$C$60)+(((A12*2)+(B12*2))*'MATERIALES (2)'!$C$59)+(((A12*2)+(B12*2))*'MATERIALES (2)'!$C$76))*'MATERIALES (2)'!$F$2</f>
        <v>75760.125</v>
      </c>
      <c r="D12" s="59">
        <f>((((A12*2)+(B12*2))*'MATERIALES (2)'!$C$60)+(((A12*2)+(B12*4))*'MATERIALES (2)'!$C$59)+(((A12*2)+(B12*4))*'MATERIALES (2)'!$C$76)+(B12*'MATERIALES (2)'!$C$80))*'MATERIALES (2)'!$F$2</f>
        <v>124343.44125</v>
      </c>
      <c r="E12" s="59">
        <f>((((A12*2)+(B12*2))*'MATERIALES (2)'!$C$60)+(((A12*2)+(B12*6))*'MATERIALES (2)'!$C$59)+(((A12*2)+(B12*6))*'MATERIALES (2)'!$C$76)+((B12*2)*'MATERIALES (2)'!$C$80))*'MATERIALES (2)'!$F$2</f>
        <v>172926.75750000004</v>
      </c>
      <c r="F12" s="59">
        <f>(8*'MATERIALES (2)'!$C$178)+(1*'MATERIALES (2)'!$C$183)+(2*'MATERIALES (2)'!$C$195)+(((A12*2)+(B12*2))*'MATERIALES (2)'!$C$198)+(4*'MATERIALES (2)'!$C$137)+(((A12*5)*2)*'MATERIALES (2)'!$C$136)+(((A12*2)+(B12*2))*'MATERIALES (2)'!$C$199)+((((A12*2)+(B12*2))/0.1)*'MATERIALES (2)'!$C$181)+(((A12*2)+(B12*2))*'MATERIALES (2)'!$C$154)+(2*'MATERIALES (2)'!$C$176)+(0.5*'MATERIALES (2)'!$C$156)</f>
        <v>33098</v>
      </c>
      <c r="G12" s="59">
        <f>(12*'MATERIALES (2)'!$C$178)+(1*'MATERIALES (2)'!$C$183)+(4*'MATERIALES (2)'!$C$195)+(((A12*2)+(B12*4))*'MATERIALES (2)'!$C$198)+(4*'MATERIALES (2)'!$C$137)+(((A12*5)*2)*'MATERIALES (2)'!$C$136)+(((A12*2)+(B12*2))*'MATERIALES (2)'!$C$199)+((((A12*2)+(B12*4))/0.1)*'MATERIALES (2)'!$C$181)+(((A12*2)+(B12*4))*'MATERIALES (2)'!$C$154)+(2*'MATERIALES (2)'!$C$176)+(0.5*'MATERIALES (2)'!$C$156)</f>
        <v>44298</v>
      </c>
      <c r="H12" s="59">
        <f>(16*'MATERIALES (2)'!$C$178)+(1*'MATERIALES (2)'!$C$183)+(4*'MATERIALES (2)'!$C$195)+(2*'MATERIALES (2)'!$C$197)+(((A12*2)+(B12*6))*'MATERIALES (2)'!$C$198)+(4*'MATERIALES (2)'!$C$137)+(((A12*5)*2)*'MATERIALES (2)'!$C$136)+(((A12*2)+(B12*2))*'MATERIALES (2)'!$C$199)+((((A12*2)+(B12*6))/0.1)*'MATERIALES (2)'!$C$181)+(((A12*2)+(B12*6))*'MATERIALES (2)'!$C$154)+(2*'MATERIALES (2)'!$C$176)+(0.5*'MATERIALES (2)'!$C$156)</f>
        <v>56718</v>
      </c>
      <c r="I12" s="75"/>
      <c r="J12" s="55">
        <f>(A12*B12)*'MATERIALES (2)'!$D$85</f>
        <v>4440.0000000000009</v>
      </c>
      <c r="K12" s="55">
        <f>(A12*B12)*'MATERIALES (2)'!$D$85</f>
        <v>4440.0000000000009</v>
      </c>
      <c r="L12" s="55">
        <f>(A12*B12)*'MATERIALES (2)'!$D$85</f>
        <v>4440.0000000000009</v>
      </c>
      <c r="M12" s="55">
        <f>(((A12*B12)*2)*'MATERIALES (2)'!$D$86)+(4*'MATERIALES (2)'!$C$218)+(((A12*2)+(B12*2))*'MATERIALES (2)'!$C$219)+(((A12*2)+(B12*2))*'MATERIALES (2)'!$C$220)+((((A12*2)+(B12*2))/15)*'MATERIALES (2)'!$C$221)+((((A12*2)+(B12*2))/15)*('MATERIALES (2)'!$C$222*0.15))</f>
        <v>17171.858333333337</v>
      </c>
      <c r="N12" s="55">
        <f>(((A12*B12)*2)*'MATERIALES (2)'!$D$86)+(8*'MATERIALES (2)'!$C$218)+(((A12*2)+(B12*4))*'MATERIALES (2)'!$C$219)+(((A12*2)+(B12*4))*'MATERIALES (2)'!$C$220)+((((A12*2)+(B12*4))/15)*'MATERIALES (2)'!$C$221)+((((A12*2)+(B12*4))/15)*('MATERIALES (2)'!$C$222*0.15))</f>
        <v>22406.483333333337</v>
      </c>
      <c r="O12" s="55">
        <f>(((A12*B12)*2)*'MATERIALES (2)'!$D$86)+(12*'MATERIALES (2)'!$C$218)+(((A12*2)+(B12*6))*'MATERIALES (2)'!$C$219)+(((A12*2)+(B12*6))*'MATERIALES (2)'!$C$220)+((((A12*2)+(B12*6))/15)*'MATERIALES (2)'!$C$221)+((((A12*2)+(B12*6))/15)*('MATERIALES (2)'!$C$222*0.15))</f>
        <v>27641.108333333337</v>
      </c>
      <c r="P12" s="55">
        <f>(A12*B12)*'MATERIALES (2)'!$D$92</f>
        <v>21690.000000000004</v>
      </c>
      <c r="Q12" s="55">
        <f>(A12*B12)*'MATERIALES (2)'!$D$92</f>
        <v>21690.000000000004</v>
      </c>
      <c r="R12" s="55">
        <f>(A12*B12)*'MATERIALES (2)'!$D$92</f>
        <v>21690.000000000004</v>
      </c>
      <c r="S12" s="125">
        <f t="shared" si="0"/>
        <v>207892.41327421876</v>
      </c>
      <c r="T12" s="125">
        <f t="shared" si="1"/>
        <v>315558.20519576722</v>
      </c>
      <c r="U12" s="125">
        <f t="shared" si="2"/>
        <v>425421.13629231573</v>
      </c>
      <c r="V12" s="125">
        <f t="shared" si="3"/>
        <v>241861.64790046876</v>
      </c>
      <c r="W12" s="125">
        <f t="shared" si="4"/>
        <v>363493.68105326733</v>
      </c>
      <c r="X12" s="125">
        <f t="shared" si="5"/>
        <v>487322.85338106571</v>
      </c>
      <c r="Y12" s="125">
        <f t="shared" si="6"/>
        <v>253916.27577421878</v>
      </c>
      <c r="Z12" s="125">
        <f t="shared" si="7"/>
        <v>361582.06769576727</v>
      </c>
      <c r="AA12" s="67">
        <f t="shared" si="8"/>
        <v>471444.99879231572</v>
      </c>
      <c r="AD12" s="245" t="s">
        <v>597</v>
      </c>
      <c r="AE12" s="246">
        <f>+$S$12</f>
        <v>207892.41327421876</v>
      </c>
      <c r="AF12" s="246">
        <f>+$V$12</f>
        <v>241861.64790046876</v>
      </c>
      <c r="AG12" s="251">
        <f>+$Y$12</f>
        <v>253916.27577421878</v>
      </c>
      <c r="AH12" s="250">
        <f>+'MODENA CORREDIZA'!$M$17</f>
        <v>67271.133807281265</v>
      </c>
      <c r="AI12" s="247"/>
      <c r="AJ12" s="963"/>
    </row>
    <row r="13" spans="1:36" ht="16.5" thickBot="1">
      <c r="A13" s="68">
        <v>0.5</v>
      </c>
      <c r="B13" s="69">
        <v>0.6</v>
      </c>
      <c r="C13" s="59">
        <f>((((A13*2)+(B13*2))*'MATERIALES (2)'!$C$60)+(((A13*2)+(B13*2))*'MATERIALES (2)'!$C$59)+(((A13*2)+(B13*2))*'MATERIALES (2)'!$C$76))*'MATERIALES (2)'!$F$2</f>
        <v>43861.125</v>
      </c>
      <c r="D13" s="59">
        <f>((((A13*2)+(B13*2))*'MATERIALES (2)'!$C$60)+(((A13*2)+(B13*4))*'MATERIALES (2)'!$C$59)+(((A13*2)+(B13*4))*'MATERIALES (2)'!$C$76)+(B13*'MATERIALES (2)'!$C$80))*'MATERIALES (2)'!$F$2</f>
        <v>63294.451499999996</v>
      </c>
      <c r="E13" s="59">
        <f>((((A13*2)+(B13*2))*'MATERIALES (2)'!$C$60)+(((A13*2)+(B13*6))*'MATERIALES (2)'!$C$59)+(((A13*2)+(B13*6))*'MATERIALES (2)'!$C$76)+((B13*2)*'MATERIALES (2)'!$C$80))*'MATERIALES (2)'!$F$2</f>
        <v>82727.777999999991</v>
      </c>
      <c r="F13" s="59">
        <f>(8*'MATERIALES (2)'!$C$178)+(1*'MATERIALES (2)'!$C$183)+(2*'MATERIALES (2)'!$C$195)+(((A13*2)+(B13*2))*'MATERIALES (2)'!$C$198)+(4*'MATERIALES (2)'!$C$137)+(((A13*5)*2)*'MATERIALES (2)'!$C$136)+(((A13*2)+(B13*2))*'MATERIALES (2)'!$C$199)+((((A13*2)+(B13*2))/0.1)*'MATERIALES (2)'!$C$181)+(((A13*2)+(B13*2))*'MATERIALES (2)'!$C$154)+(2*'MATERIALES (2)'!$C$176)+(0.5*'MATERIALES (2)'!$C$156)</f>
        <v>31242</v>
      </c>
      <c r="G13" s="59">
        <f>(12*'MATERIALES (2)'!$C$178)+(1*'MATERIALES (2)'!$C$183)+(4*'MATERIALES (2)'!$C$195)+(((A13*2)+(B13*4))*'MATERIALES (2)'!$C$198)+(4*'MATERIALES (2)'!$C$137)+(((A13*5)*2)*'MATERIALES (2)'!$C$136)+(((A13*2)+(B13*2))*'MATERIALES (2)'!$C$199)+((((A13*2)+(B13*4))/0.1)*'MATERIALES (2)'!$C$181)+(((A13*2)+(B13*4))*'MATERIALES (2)'!$C$154)+(2*'MATERIALES (2)'!$C$176)+(0.5*'MATERIALES (2)'!$C$156)</f>
        <v>41002</v>
      </c>
      <c r="H13" s="59">
        <f>(16*'MATERIALES (2)'!$C$178)+(1*'MATERIALES (2)'!$C$183)+(4*'MATERIALES (2)'!$C$195)+(2*'MATERIALES (2)'!$C$197)+(((A13*2)+(B13*6))*'MATERIALES (2)'!$C$198)+(4*'MATERIALES (2)'!$C$137)+(((A13*5)*2)*'MATERIALES (2)'!$C$136)+(((A13*2)+(B13*2))*'MATERIALES (2)'!$C$199)+((((A13*2)+(B13*6))/0.1)*'MATERIALES (2)'!$C$181)+(((A13*2)+(B13*6))*'MATERIALES (2)'!$C$154)+(2*'MATERIALES (2)'!$C$176)+(0.5*'MATERIALES (2)'!$C$156)</f>
        <v>51982</v>
      </c>
      <c r="I13" s="75"/>
      <c r="J13" s="55">
        <f>(A13*B13)*'MATERIALES (2)'!$D$85</f>
        <v>2220</v>
      </c>
      <c r="K13" s="55">
        <f>(A13*B13)*'MATERIALES (2)'!$D$85</f>
        <v>2220</v>
      </c>
      <c r="L13" s="55">
        <f>(A13*B13)*'MATERIALES (2)'!$D$85</f>
        <v>2220</v>
      </c>
      <c r="M13" s="55">
        <f>(((A13*B13)*2)*'MATERIALES (2)'!$D$86)+(4*'MATERIALES (2)'!$C$218)+(((A13*2)+(B13*2))*'MATERIALES (2)'!$C$219)+(((A13*2)+(B13*2))*'MATERIALES (2)'!$C$220)+((((A13*2)+(B13*2))/15)*'MATERIALES (2)'!$C$221)+((((A13*2)+(B13*2))/15)*('MATERIALES (2)'!$C$222*0.15))</f>
        <v>9173.3916666666664</v>
      </c>
      <c r="N13" s="55">
        <f>(((A13*B13)*2)*'MATERIALES (2)'!$D$86)+(8*'MATERIALES (2)'!$C$218)+(((A13*2)+(B13*4))*'MATERIALES (2)'!$C$219)+(((A13*2)+(B13*4))*'MATERIALES (2)'!$C$220)+((((A13*2)+(B13*4))/15)*'MATERIALES (2)'!$C$221)+((((A13*2)+(B13*4))/15)*('MATERIALES (2)'!$C$222*0.15))</f>
        <v>11363.241666666667</v>
      </c>
      <c r="O13" s="55">
        <f>(((A13*B13)*2)*'MATERIALES (2)'!$D$86)+(12*'MATERIALES (2)'!$C$218)+(((A13*2)+(B13*6))*'MATERIALES (2)'!$C$219)+(((A13*2)+(B13*6))*'MATERIALES (2)'!$C$220)+((((A13*2)+(B13*6))/15)*'MATERIALES (2)'!$C$221)+((((A13*2)+(B13*6))/15)*('MATERIALES (2)'!$C$222*0.15))</f>
        <v>13553.091666666665</v>
      </c>
      <c r="P13" s="55">
        <f>(A13*B13)*'MATERIALES (2)'!$D$92</f>
        <v>10845</v>
      </c>
      <c r="Q13" s="55">
        <f>(A13*B13)*'MATERIALES (2)'!$D$92</f>
        <v>10845</v>
      </c>
      <c r="R13" s="55">
        <f>(A13*B13)*'MATERIALES (2)'!$D$92</f>
        <v>10845</v>
      </c>
      <c r="S13" s="125">
        <f t="shared" si="0"/>
        <v>141178.82354296878</v>
      </c>
      <c r="T13" s="125">
        <f t="shared" si="1"/>
        <v>193754.07051158816</v>
      </c>
      <c r="U13" s="125">
        <f t="shared" si="2"/>
        <v>248526.4566552075</v>
      </c>
      <c r="V13" s="125">
        <f t="shared" si="3"/>
        <v>159730.82017921872</v>
      </c>
      <c r="W13" s="125">
        <f t="shared" si="4"/>
        <v>218148.69644033816</v>
      </c>
      <c r="X13" s="125">
        <f t="shared" si="5"/>
        <v>278763.71187645756</v>
      </c>
      <c r="Y13" s="125">
        <f t="shared" si="6"/>
        <v>164190.75479296877</v>
      </c>
      <c r="Z13" s="125">
        <f t="shared" si="7"/>
        <v>216766.00176158815</v>
      </c>
      <c r="AA13" s="67">
        <f t="shared" si="8"/>
        <v>271538.38790520752</v>
      </c>
      <c r="AD13" s="245" t="s">
        <v>598</v>
      </c>
      <c r="AE13" s="246">
        <f>+$S$13</f>
        <v>141178.82354296878</v>
      </c>
      <c r="AF13" s="246">
        <f>+$V$13</f>
        <v>159730.82017921872</v>
      </c>
      <c r="AG13" s="251">
        <f>+$Y$13</f>
        <v>164190.75479296877</v>
      </c>
      <c r="AH13" s="250">
        <f>+'MODENA CORREDIZA'!$M$27</f>
        <v>27016.509547912487</v>
      </c>
      <c r="AI13" s="248"/>
      <c r="AJ13" s="963"/>
    </row>
    <row r="14" spans="1:36" ht="16.5" thickBot="1">
      <c r="A14" s="68">
        <v>0.5</v>
      </c>
      <c r="B14" s="69">
        <v>0.8</v>
      </c>
      <c r="C14" s="59">
        <f>((((A14*2)+(B14*2))*'MATERIALES (2)'!$C$60)+(((A14*2)+(B14*2))*'MATERIALES (2)'!$C$59)+(((A14*2)+(B14*2))*'MATERIALES (2)'!$C$76))*'MATERIALES (2)'!$F$2</f>
        <v>51835.875000000007</v>
      </c>
      <c r="D14" s="59">
        <f>((((A14*2)+(B14*2))*'MATERIALES (2)'!$C$60)+(((A14*2)+(B14*4))*'MATERIALES (2)'!$C$59)+(((A14*2)+(B14*4))*'MATERIALES (2)'!$C$76)+(B14*'MATERIALES (2)'!$C$80))*'MATERIALES (2)'!$F$2</f>
        <v>77746.976999999999</v>
      </c>
      <c r="E14" s="59">
        <f>((((A14*2)+(B14*2))*'MATERIALES (2)'!$C$60)+(((A14*2)+(B14*6))*'MATERIALES (2)'!$C$59)+(((A14*2)+(B14*6))*'MATERIALES (2)'!$C$76)+((B14*2)*'MATERIALES (2)'!$C$80))*'MATERIALES (2)'!$F$2</f>
        <v>103658.07900000001</v>
      </c>
      <c r="F14" s="59">
        <f>(8*'MATERIALES (2)'!$C$178)+(1*'MATERIALES (2)'!$C$183)+(2*'MATERIALES (2)'!$C$195)+(((A14*2)+(B14*2))*'MATERIALES (2)'!$C$198)+(4*'MATERIALES (2)'!$C$137)+(((A14*5)*2)*'MATERIALES (2)'!$C$136)+(((A14*2)+(B14*2))*'MATERIALES (2)'!$C$199)+((((A14*2)+(B14*2))/0.1)*'MATERIALES (2)'!$C$181)+(((A14*2)+(B14*2))*'MATERIALES (2)'!$C$154)+(2*'MATERIALES (2)'!$C$176)+(0.5*'MATERIALES (2)'!$C$156)</f>
        <v>31706</v>
      </c>
      <c r="G14" s="59">
        <f>(12*'MATERIALES (2)'!$C$178)+(1*'MATERIALES (2)'!$C$183)+(4*'MATERIALES (2)'!$C$195)+(((A14*2)+(B14*4))*'MATERIALES (2)'!$C$198)+(4*'MATERIALES (2)'!$C$137)+(((A14*5)*2)*'MATERIALES (2)'!$C$136)+(((A14*2)+(B14*2))*'MATERIALES (2)'!$C$199)+((((A14*2)+(B14*4))/0.1)*'MATERIALES (2)'!$C$181)+(((A14*2)+(B14*4))*'MATERIALES (2)'!$C$154)+(2*'MATERIALES (2)'!$C$176)+(0.5*'MATERIALES (2)'!$C$156)</f>
        <v>41786</v>
      </c>
      <c r="H14" s="59">
        <f>(16*'MATERIALES (2)'!$C$178)+(1*'MATERIALES (2)'!$C$183)+(4*'MATERIALES (2)'!$C$195)+(2*'MATERIALES (2)'!$C$197)+(((A14*2)+(B14*6))*'MATERIALES (2)'!$C$198)+(4*'MATERIALES (2)'!$C$137)+(((A14*5)*2)*'MATERIALES (2)'!$C$136)+(((A14*2)+(B14*2))*'MATERIALES (2)'!$C$199)+((((A14*2)+(B14*6))/0.1)*'MATERIALES (2)'!$C$181)+(((A14*2)+(B14*6))*'MATERIALES (2)'!$C$154)+(2*'MATERIALES (2)'!$C$176)+(0.5*'MATERIALES (2)'!$C$156)</f>
        <v>53086</v>
      </c>
      <c r="I14" s="75"/>
      <c r="J14" s="55">
        <f>(A14*B14)*'MATERIALES (2)'!$D$85</f>
        <v>2960</v>
      </c>
      <c r="K14" s="55">
        <f>(A14*B14)*'MATERIALES (2)'!$D$85</f>
        <v>2960</v>
      </c>
      <c r="L14" s="55">
        <f>(A14*B14)*'MATERIALES (2)'!$D$85</f>
        <v>2960</v>
      </c>
      <c r="M14" s="55">
        <f>(((A14*B14)*2)*'MATERIALES (2)'!$D$86)+(4*'MATERIALES (2)'!$C$218)+(((A14*2)+(B14*2))*'MATERIALES (2)'!$C$219)+(((A14*2)+(B14*2))*'MATERIALES (2)'!$C$220)+((((A14*2)+(B14*2))/15)*'MATERIALES (2)'!$C$221)+((((A14*2)+(B14*2))/15)*('MATERIALES (2)'!$C$222*0.15))</f>
        <v>11614.008333333333</v>
      </c>
      <c r="N14" s="55">
        <f>(((A14*B14)*2)*'MATERIALES (2)'!$D$86)+(8*'MATERIALES (2)'!$C$218)+(((A14*2)+(B14*4))*'MATERIALES (2)'!$C$219)+(((A14*2)+(B14*4))*'MATERIALES (2)'!$C$220)+((((A14*2)+(B14*4))/15)*'MATERIALES (2)'!$C$221)+((((A14*2)+(B14*4))/15)*('MATERIALES (2)'!$C$222*0.15))</f>
        <v>14480.475</v>
      </c>
      <c r="O14" s="55">
        <f>(((A14*B14)*2)*'MATERIALES (2)'!$D$86)+(12*'MATERIALES (2)'!$C$218)+(((A14*2)+(B14*6))*'MATERIALES (2)'!$C$219)+(((A14*2)+(B14*6))*'MATERIALES (2)'!$C$220)+((((A14*2)+(B14*6))/15)*'MATERIALES (2)'!$C$221)+((((A14*2)+(B14*6))/15)*('MATERIALES (2)'!$C$222*0.15))</f>
        <v>17346.941666666669</v>
      </c>
      <c r="P14" s="55">
        <f>(A14*B14)*'MATERIALES (2)'!$D$92</f>
        <v>14460</v>
      </c>
      <c r="Q14" s="55">
        <f>(A14*B14)*'MATERIALES (2)'!$D$92</f>
        <v>14460</v>
      </c>
      <c r="R14" s="55">
        <f>(A14*B14)*'MATERIALES (2)'!$D$92</f>
        <v>14460</v>
      </c>
      <c r="S14" s="125">
        <f t="shared" si="0"/>
        <v>158350.81022578126</v>
      </c>
      <c r="T14" s="125">
        <f t="shared" si="1"/>
        <v>223168.40051727375</v>
      </c>
      <c r="U14" s="125">
        <f t="shared" si="2"/>
        <v>290183.12998376635</v>
      </c>
      <c r="V14" s="125">
        <f t="shared" si="3"/>
        <v>181440.1371595313</v>
      </c>
      <c r="W14" s="125">
        <f t="shared" si="4"/>
        <v>253905.60384102378</v>
      </c>
      <c r="X14" s="125">
        <f t="shared" si="5"/>
        <v>328568.20969751634</v>
      </c>
      <c r="Y14" s="125">
        <f t="shared" si="6"/>
        <v>189033.38522578127</v>
      </c>
      <c r="Z14" s="125">
        <f t="shared" si="7"/>
        <v>253850.97551727374</v>
      </c>
      <c r="AA14" s="67">
        <f t="shared" si="8"/>
        <v>320865.70498376631</v>
      </c>
      <c r="AD14" s="245" t="s">
        <v>599</v>
      </c>
      <c r="AE14" s="246">
        <f>+$S$14</f>
        <v>158350.81022578126</v>
      </c>
      <c r="AF14" s="246">
        <f>+$V$14</f>
        <v>181440.1371595313</v>
      </c>
      <c r="AG14" s="251">
        <f>+$Y$14</f>
        <v>189033.38522578127</v>
      </c>
      <c r="AH14" s="250">
        <f>+'MODENA CORREDIZA'!$M$28</f>
        <v>35961.981605549925</v>
      </c>
      <c r="AI14" s="248"/>
      <c r="AJ14" s="963"/>
    </row>
    <row r="15" spans="1:36" ht="16.5" thickBot="1">
      <c r="A15" s="68">
        <v>0.5</v>
      </c>
      <c r="B15" s="69">
        <v>1</v>
      </c>
      <c r="C15" s="59">
        <f>((((A15*2)+(B15*2))*'MATERIALES (2)'!$C$60)+(((A15*2)+(B15*2))*'MATERIALES (2)'!$C$59)+(((A15*2)+(B15*2))*'MATERIALES (2)'!$C$76))*'MATERIALES (2)'!$F$2</f>
        <v>59810.625</v>
      </c>
      <c r="D15" s="59">
        <f>((((A15*2)+(B15*2))*'MATERIALES (2)'!$C$60)+(((A15*2)+(B15*4))*'MATERIALES (2)'!$C$59)+(((A15*2)+(B15*4))*'MATERIALES (2)'!$C$76)+(B15*'MATERIALES (2)'!$C$80))*'MATERIALES (2)'!$F$2</f>
        <v>92199.502500000002</v>
      </c>
      <c r="E15" s="59">
        <f>((((A15*2)+(B15*2))*'MATERIALES (2)'!$C$60)+(((A15*2)+(B15*6))*'MATERIALES (2)'!$C$59)+(((A15*2)+(B15*6))*'MATERIALES (2)'!$C$76)+((B15*2)*'MATERIALES (2)'!$C$80))*'MATERIALES (2)'!$F$2</f>
        <v>124588.38000000002</v>
      </c>
      <c r="F15" s="59">
        <f>(8*'MATERIALES (2)'!$C$178)+(1*'MATERIALES (2)'!$C$183)+(2*'MATERIALES (2)'!$C$195)+(((A15*2)+(B15*2))*'MATERIALES (2)'!$C$198)+(4*'MATERIALES (2)'!$C$137)+(((A15*5)*2)*'MATERIALES (2)'!$C$136)+(((A15*2)+(B15*2))*'MATERIALES (2)'!$C$199)+((((A15*2)+(B15*2))/0.1)*'MATERIALES (2)'!$C$181)+(((A15*2)+(B15*2))*'MATERIALES (2)'!$C$154)+(2*'MATERIALES (2)'!$C$176)+(0.5*'MATERIALES (2)'!$C$156)</f>
        <v>32170</v>
      </c>
      <c r="G15" s="59">
        <f>(12*'MATERIALES (2)'!$C$178)+(1*'MATERIALES (2)'!$C$183)+(4*'MATERIALES (2)'!$C$195)+(((A15*2)+(B15*4))*'MATERIALES (2)'!$C$198)+(4*'MATERIALES (2)'!$C$137)+(((A15*5)*2)*'MATERIALES (2)'!$C$136)+(((A15*2)+(B15*2))*'MATERIALES (2)'!$C$199)+((((A15*2)+(B15*4))/0.1)*'MATERIALES (2)'!$C$181)+(((A15*2)+(B15*4))*'MATERIALES (2)'!$C$154)+(2*'MATERIALES (2)'!$C$176)+(0.5*'MATERIALES (2)'!$C$156)</f>
        <v>42570</v>
      </c>
      <c r="H15" s="59">
        <f>(16*'MATERIALES (2)'!$C$178)+(1*'MATERIALES (2)'!$C$183)+(4*'MATERIALES (2)'!$C$195)+(2*'MATERIALES (2)'!$C$197)+(((A15*2)+(B15*6))*'MATERIALES (2)'!$C$198)+(4*'MATERIALES (2)'!$C$137)+(((A15*5)*2)*'MATERIALES (2)'!$C$136)+(((A15*2)+(B15*2))*'MATERIALES (2)'!$C$199)+((((A15*2)+(B15*6))/0.1)*'MATERIALES (2)'!$C$181)+(((A15*2)+(B15*6))*'MATERIALES (2)'!$C$154)+(2*'MATERIALES (2)'!$C$176)+(0.5*'MATERIALES (2)'!$C$156)</f>
        <v>54190</v>
      </c>
      <c r="I15" s="75"/>
      <c r="J15" s="55">
        <f>(A15*B15)*'MATERIALES (2)'!$D$85</f>
        <v>3700</v>
      </c>
      <c r="K15" s="55">
        <f>(A15*B15)*'MATERIALES (2)'!$D$85</f>
        <v>3700</v>
      </c>
      <c r="L15" s="55">
        <f>(A15*B15)*'MATERIALES (2)'!$D$85</f>
        <v>3700</v>
      </c>
      <c r="M15" s="55">
        <f>(((A15*B15)*2)*'MATERIALES (2)'!$D$86)+(4*'MATERIALES (2)'!$C$218)+(((A15*2)+(B15*2))*'MATERIALES (2)'!$C$219)+(((A15*2)+(B15*2))*'MATERIALES (2)'!$C$220)+((((A15*2)+(B15*2))/15)*'MATERIALES (2)'!$C$221)+((((A15*2)+(B15*2))/15)*('MATERIALES (2)'!$C$222*0.15))</f>
        <v>14054.625</v>
      </c>
      <c r="N15" s="55">
        <f>(((A15*B15)*2)*'MATERIALES (2)'!$D$86)+(8*'MATERIALES (2)'!$C$218)+(((A15*2)+(B15*4))*'MATERIALES (2)'!$C$219)+(((A15*2)+(B15*4))*'MATERIALES (2)'!$C$220)+((((A15*2)+(B15*4))/15)*'MATERIALES (2)'!$C$221)+((((A15*2)+(B15*4))/15)*('MATERIALES (2)'!$C$222*0.15))</f>
        <v>17597.708333333332</v>
      </c>
      <c r="O15" s="55">
        <f>(((A15*B15)*2)*'MATERIALES (2)'!$D$86)+(12*'MATERIALES (2)'!$C$218)+(((A15*2)+(B15*6))*'MATERIALES (2)'!$C$219)+(((A15*2)+(B15*6))*'MATERIALES (2)'!$C$220)+((((A15*2)+(B15*6))/15)*'MATERIALES (2)'!$C$221)+((((A15*2)+(B15*6))/15)*('MATERIALES (2)'!$C$222*0.15))</f>
        <v>21140.791666666668</v>
      </c>
      <c r="P15" s="55">
        <f>(A15*B15)*'MATERIALES (2)'!$D$92</f>
        <v>18075</v>
      </c>
      <c r="Q15" s="55">
        <f>(A15*B15)*'MATERIALES (2)'!$D$92</f>
        <v>18075</v>
      </c>
      <c r="R15" s="55">
        <f>(A15*B15)*'MATERIALES (2)'!$D$92</f>
        <v>18075</v>
      </c>
      <c r="S15" s="125">
        <f t="shared" si="0"/>
        <v>175522.79690859374</v>
      </c>
      <c r="T15" s="125">
        <f t="shared" si="1"/>
        <v>252582.73052295941</v>
      </c>
      <c r="U15" s="125">
        <f t="shared" si="2"/>
        <v>331839.80331232509</v>
      </c>
      <c r="V15" s="125">
        <f t="shared" si="3"/>
        <v>203149.45413984376</v>
      </c>
      <c r="W15" s="125">
        <f t="shared" si="4"/>
        <v>289662.51124170935</v>
      </c>
      <c r="X15" s="125">
        <f t="shared" si="5"/>
        <v>378372.70751857501</v>
      </c>
      <c r="Y15" s="125">
        <f t="shared" si="6"/>
        <v>213876.01565859374</v>
      </c>
      <c r="Z15" s="125">
        <f t="shared" si="7"/>
        <v>290935.94927295938</v>
      </c>
      <c r="AA15" s="67">
        <f t="shared" si="8"/>
        <v>370193.02206232509</v>
      </c>
      <c r="AD15" s="245" t="s">
        <v>600</v>
      </c>
      <c r="AE15" s="246">
        <f>+$S$15</f>
        <v>175522.79690859374</v>
      </c>
      <c r="AF15" s="246">
        <f>+$V$15</f>
        <v>203149.45413984376</v>
      </c>
      <c r="AG15" s="251">
        <f>+$Y$15</f>
        <v>213876.01565859374</v>
      </c>
      <c r="AH15" s="250">
        <f>+'MODENA CORREDIZA'!$M$29</f>
        <v>44907.453663187451</v>
      </c>
      <c r="AI15" s="252"/>
      <c r="AJ15" s="963"/>
    </row>
    <row r="16" spans="1:36" ht="16.5" thickBot="1">
      <c r="A16" s="68">
        <v>0.5</v>
      </c>
      <c r="B16" s="69">
        <v>1.1000000000000001</v>
      </c>
      <c r="C16" s="59">
        <f>((((A16*2)+(B16*2))*'MATERIALES (2)'!$C$60)+(((A16*2)+(B16*2))*'MATERIALES (2)'!$C$59)+(((A16*2)+(B16*2))*'MATERIALES (2)'!$C$76))*'MATERIALES (2)'!$F$2</f>
        <v>63797.999999999993</v>
      </c>
      <c r="D16" s="59">
        <f>((((A16*2)+(B16*2))*'MATERIALES (2)'!$C$60)+(((A16*2)+(B16*4))*'MATERIALES (2)'!$C$59)+(((A16*2)+(B16*4))*'MATERIALES (2)'!$C$76)+(B16*'MATERIALES (2)'!$C$80))*'MATERIALES (2)'!$F$2</f>
        <v>99425.765249999997</v>
      </c>
      <c r="E16" s="59">
        <f>((((A16*2)+(B16*2))*'MATERIALES (2)'!$C$60)+(((A16*2)+(B16*6))*'MATERIALES (2)'!$C$59)+(((A16*2)+(B16*6))*'MATERIALES (2)'!$C$76)+((B16*2)*'MATERIALES (2)'!$C$80))*'MATERIALES (2)'!$F$2</f>
        <v>135053.53050000002</v>
      </c>
      <c r="F16" s="59">
        <f>(8*'MATERIALES (2)'!$C$178)+(1*'MATERIALES (2)'!$C$183)+(2*'MATERIALES (2)'!$C$195)+(((A16*2)+(B16*2))*'MATERIALES (2)'!$C$198)+(4*'MATERIALES (2)'!$C$137)+(((A16*5)*2)*'MATERIALES (2)'!$C$136)+(((A16*2)+(B16*2))*'MATERIALES (2)'!$C$199)+((((A16*2)+(B16*2))/0.1)*'MATERIALES (2)'!$C$181)+(((A16*2)+(B16*2))*'MATERIALES (2)'!$C$154)+(2*'MATERIALES (2)'!$C$176)+(0.5*'MATERIALES (2)'!$C$156)</f>
        <v>32402</v>
      </c>
      <c r="G16" s="59">
        <f>(12*'MATERIALES (2)'!$C$178)+(1*'MATERIALES (2)'!$C$183)+(4*'MATERIALES (2)'!$C$195)+(((A16*2)+(B16*4))*'MATERIALES (2)'!$C$198)+(4*'MATERIALES (2)'!$C$137)+(((A16*5)*2)*'MATERIALES (2)'!$C$136)+(((A16*2)+(B16*2))*'MATERIALES (2)'!$C$199)+((((A16*2)+(B16*4))/0.1)*'MATERIALES (2)'!$C$181)+(((A16*2)+(B16*4))*'MATERIALES (2)'!$C$154)+(2*'MATERIALES (2)'!$C$176)+(0.5*'MATERIALES (2)'!$C$156)</f>
        <v>42962</v>
      </c>
      <c r="H16" s="59">
        <f>(16*'MATERIALES (2)'!$C$178)+(1*'MATERIALES (2)'!$C$183)+(4*'MATERIALES (2)'!$C$195)+(2*'MATERIALES (2)'!$C$197)+(((A16*2)+(B16*6))*'MATERIALES (2)'!$C$198)+(4*'MATERIALES (2)'!$C$137)+(((A16*5)*2)*'MATERIALES (2)'!$C$136)+(((A16*2)+(B16*2))*'MATERIALES (2)'!$C$199)+((((A16*2)+(B16*6))/0.1)*'MATERIALES (2)'!$C$181)+(((A16*2)+(B16*6))*'MATERIALES (2)'!$C$154)+(2*'MATERIALES (2)'!$C$176)+(0.5*'MATERIALES (2)'!$C$156)</f>
        <v>54742</v>
      </c>
      <c r="I16" s="75"/>
      <c r="J16" s="55">
        <f>(A16*B16)*'MATERIALES (2)'!$D$85</f>
        <v>4070.0000000000005</v>
      </c>
      <c r="K16" s="55">
        <f>(A16*B16)*'MATERIALES (2)'!$D$85</f>
        <v>4070.0000000000005</v>
      </c>
      <c r="L16" s="55">
        <f>(A16*B16)*'MATERIALES (2)'!$D$85</f>
        <v>4070.0000000000005</v>
      </c>
      <c r="M16" s="55">
        <f>(((A16*B16)*2)*'MATERIALES (2)'!$D$86)+(4*'MATERIALES (2)'!$C$218)+(((A16*2)+(B16*2))*'MATERIALES (2)'!$C$219)+(((A16*2)+(B16*2))*'MATERIALES (2)'!$C$220)+((((A16*2)+(B16*2))/15)*'MATERIALES (2)'!$C$221)+((((A16*2)+(B16*2))/15)*('MATERIALES (2)'!$C$222*0.15))</f>
        <v>15274.933333333334</v>
      </c>
      <c r="N16" s="55">
        <f>(((A16*B16)*2)*'MATERIALES (2)'!$D$86)+(8*'MATERIALES (2)'!$C$218)+(((A16*2)+(B16*4))*'MATERIALES (2)'!$C$219)+(((A16*2)+(B16*4))*'MATERIALES (2)'!$C$220)+((((A16*2)+(B16*4))/15)*'MATERIALES (2)'!$C$221)+((((A16*2)+(B16*4))/15)*('MATERIALES (2)'!$C$222*0.15))</f>
        <v>19156.325000000001</v>
      </c>
      <c r="O16" s="55">
        <f>(((A16*B16)*2)*'MATERIALES (2)'!$D$86)+(12*'MATERIALES (2)'!$C$218)+(((A16*2)+(B16*6))*'MATERIALES (2)'!$C$219)+(((A16*2)+(B16*6))*'MATERIALES (2)'!$C$220)+((((A16*2)+(B16*6))/15)*'MATERIALES (2)'!$C$221)+((((A16*2)+(B16*6))/15)*('MATERIALES (2)'!$C$222*0.15))</f>
        <v>23037.716666666667</v>
      </c>
      <c r="P16" s="55">
        <f>(A16*B16)*'MATERIALES (2)'!$D$92</f>
        <v>19882.5</v>
      </c>
      <c r="Q16" s="55">
        <f>(A16*B16)*'MATERIALES (2)'!$D$92</f>
        <v>19882.5</v>
      </c>
      <c r="R16" s="55">
        <f>(A16*B16)*'MATERIALES (2)'!$D$92</f>
        <v>19882.5</v>
      </c>
      <c r="S16" s="125">
        <f t="shared" si="0"/>
        <v>184108.79025000005</v>
      </c>
      <c r="T16" s="125">
        <f t="shared" si="1"/>
        <v>267289.89552580222</v>
      </c>
      <c r="U16" s="125">
        <f t="shared" si="2"/>
        <v>352668.13997660443</v>
      </c>
      <c r="V16" s="125">
        <f t="shared" si="3"/>
        <v>214004.11263000005</v>
      </c>
      <c r="W16" s="125">
        <f t="shared" si="4"/>
        <v>307540.96494205215</v>
      </c>
      <c r="X16" s="125">
        <f t="shared" si="5"/>
        <v>403274.95642910444</v>
      </c>
      <c r="Y16" s="125">
        <f t="shared" si="6"/>
        <v>226297.33087500001</v>
      </c>
      <c r="Z16" s="125">
        <f t="shared" si="7"/>
        <v>309478.43615080218</v>
      </c>
      <c r="AA16" s="67">
        <f t="shared" si="8"/>
        <v>394856.68060160446</v>
      </c>
      <c r="AD16" s="245" t="s">
        <v>652</v>
      </c>
      <c r="AE16" s="246">
        <f>+$S$16</f>
        <v>184108.79025000005</v>
      </c>
      <c r="AF16" s="246">
        <f>+$V$16</f>
        <v>214004.11263000005</v>
      </c>
      <c r="AG16" s="251">
        <f>+$Y$16</f>
        <v>226297.33087500001</v>
      </c>
      <c r="AH16" s="250">
        <f>+'MODENA CORREDIZA'!$M$30</f>
        <v>49380.189692006272</v>
      </c>
      <c r="AI16" s="252"/>
      <c r="AJ16" s="963"/>
    </row>
    <row r="17" spans="1:36" ht="16.5" thickBot="1">
      <c r="A17" s="68">
        <v>0.5</v>
      </c>
      <c r="B17" s="69">
        <v>1.2</v>
      </c>
      <c r="C17" s="59">
        <f>((((A17*2)+(B17*2))*'MATERIALES (2)'!$C$60)+(((A17*2)+(B17*2))*'MATERIALES (2)'!$C$59)+(((A17*2)+(B17*2))*'MATERIALES (2)'!$C$76))*'MATERIALES (2)'!$F$2</f>
        <v>67785.375000000015</v>
      </c>
      <c r="D17" s="59">
        <f>((((A17*2)+(B17*2))*'MATERIALES (2)'!$C$60)+(((A17*2)+(B17*4))*'MATERIALES (2)'!$C$59)+(((A17*2)+(B17*4))*'MATERIALES (2)'!$C$76)+(B17*'MATERIALES (2)'!$C$80))*'MATERIALES (2)'!$F$2</f>
        <v>106652.02799999999</v>
      </c>
      <c r="E17" s="59">
        <f>((((A17*2)+(B17*2))*'MATERIALES (2)'!$C$60)+(((A17*2)+(B17*6))*'MATERIALES (2)'!$C$59)+(((A17*2)+(B17*6))*'MATERIALES (2)'!$C$76)+((B17*2)*'MATERIALES (2)'!$C$80))*'MATERIALES (2)'!$F$2</f>
        <v>145518.68099999998</v>
      </c>
      <c r="F17" s="59">
        <f>(8*'MATERIALES (2)'!$C$178)+(1*'MATERIALES (2)'!$C$183)+(2*'MATERIALES (2)'!$C$195)+(((A17*2)+(B17*2))*'MATERIALES (2)'!$C$198)+(4*'MATERIALES (2)'!$C$137)+(((A17*5)*2)*'MATERIALES (2)'!$C$136)+(((A17*2)+(B17*2))*'MATERIALES (2)'!$C$199)+((((A17*2)+(B17*2))/0.1)*'MATERIALES (2)'!$C$181)+(((A17*2)+(B17*2))*'MATERIALES (2)'!$C$154)+(2*'MATERIALES (2)'!$C$176)+(0.5*'MATERIALES (2)'!$C$156)</f>
        <v>32634</v>
      </c>
      <c r="G17" s="59">
        <f>(12*'MATERIALES (2)'!$C$178)+(1*'MATERIALES (2)'!$C$183)+(4*'MATERIALES (2)'!$C$195)+(((A17*2)+(B17*4))*'MATERIALES (2)'!$C$198)+(4*'MATERIALES (2)'!$C$137)+(((A17*5)*2)*'MATERIALES (2)'!$C$136)+(((A17*2)+(B17*2))*'MATERIALES (2)'!$C$199)+((((A17*2)+(B17*4))/0.1)*'MATERIALES (2)'!$C$181)+(((A17*2)+(B17*4))*'MATERIALES (2)'!$C$154)+(2*'MATERIALES (2)'!$C$176)+(0.5*'MATERIALES (2)'!$C$156)</f>
        <v>43354</v>
      </c>
      <c r="H17" s="59">
        <f>(16*'MATERIALES (2)'!$C$178)+(1*'MATERIALES (2)'!$C$183)+(4*'MATERIALES (2)'!$C$195)+(2*'MATERIALES (2)'!$C$197)+(((A17*2)+(B17*6))*'MATERIALES (2)'!$C$198)+(4*'MATERIALES (2)'!$C$137)+(((A17*5)*2)*'MATERIALES (2)'!$C$136)+(((A17*2)+(B17*2))*'MATERIALES (2)'!$C$199)+((((A17*2)+(B17*6))/0.1)*'MATERIALES (2)'!$C$181)+(((A17*2)+(B17*6))*'MATERIALES (2)'!$C$154)+(2*'MATERIALES (2)'!$C$176)+(0.5*'MATERIALES (2)'!$C$156)</f>
        <v>55294</v>
      </c>
      <c r="I17" s="75"/>
      <c r="J17" s="55">
        <f>(A17*B17)*'MATERIALES (2)'!$D$85</f>
        <v>4440</v>
      </c>
      <c r="K17" s="55">
        <f>(A17*B17)*'MATERIALES (2)'!$D$85</f>
        <v>4440</v>
      </c>
      <c r="L17" s="55">
        <f>(A17*B17)*'MATERIALES (2)'!$D$85</f>
        <v>4440</v>
      </c>
      <c r="M17" s="55">
        <f>(((A17*B17)*2)*'MATERIALES (2)'!$D$86)+(4*'MATERIALES (2)'!$C$218)+(((A17*2)+(B17*2))*'MATERIALES (2)'!$C$219)+(((A17*2)+(B17*2))*'MATERIALES (2)'!$C$220)+((((A17*2)+(B17*2))/15)*'MATERIALES (2)'!$C$221)+((((A17*2)+(B17*2))/15)*('MATERIALES (2)'!$C$222*0.15))</f>
        <v>16495.241666666665</v>
      </c>
      <c r="N17" s="55">
        <f>(((A17*B17)*2)*'MATERIALES (2)'!$D$86)+(8*'MATERIALES (2)'!$C$218)+(((A17*2)+(B17*4))*'MATERIALES (2)'!$C$219)+(((A17*2)+(B17*4))*'MATERIALES (2)'!$C$220)+((((A17*2)+(B17*4))/15)*'MATERIALES (2)'!$C$221)+((((A17*2)+(B17*4))/15)*('MATERIALES (2)'!$C$222*0.15))</f>
        <v>20714.941666666669</v>
      </c>
      <c r="O17" s="55">
        <f>(((A17*B17)*2)*'MATERIALES (2)'!$D$86)+(12*'MATERIALES (2)'!$C$218)+(((A17*2)+(B17*6))*'MATERIALES (2)'!$C$219)+(((A17*2)+(B17*6))*'MATERIALES (2)'!$C$220)+((((A17*2)+(B17*6))/15)*'MATERIALES (2)'!$C$221)+((((A17*2)+(B17*6))/15)*('MATERIALES (2)'!$C$222*0.15))</f>
        <v>24934.641666666663</v>
      </c>
      <c r="P17" s="55">
        <f>(A17*B17)*'MATERIALES (2)'!$D$92</f>
        <v>21690</v>
      </c>
      <c r="Q17" s="55">
        <f>(A17*B17)*'MATERIALES (2)'!$D$92</f>
        <v>21690</v>
      </c>
      <c r="R17" s="55">
        <f>(A17*B17)*'MATERIALES (2)'!$D$92</f>
        <v>21690</v>
      </c>
      <c r="S17" s="125">
        <f t="shared" si="0"/>
        <v>192694.7835914063</v>
      </c>
      <c r="T17" s="125">
        <f t="shared" si="1"/>
        <v>281997.060528645</v>
      </c>
      <c r="U17" s="125">
        <f t="shared" si="2"/>
        <v>373496.47664088377</v>
      </c>
      <c r="V17" s="125">
        <f t="shared" si="3"/>
        <v>224858.77112015631</v>
      </c>
      <c r="W17" s="125">
        <f t="shared" si="4"/>
        <v>325419.418642395</v>
      </c>
      <c r="X17" s="125">
        <f t="shared" si="5"/>
        <v>428177.2053396338</v>
      </c>
      <c r="Y17" s="125">
        <f t="shared" si="6"/>
        <v>238718.64609140629</v>
      </c>
      <c r="Z17" s="125">
        <f t="shared" si="7"/>
        <v>328020.92302864499</v>
      </c>
      <c r="AA17" s="67">
        <f t="shared" si="8"/>
        <v>419520.33914088376</v>
      </c>
      <c r="AD17" s="249" t="s">
        <v>601</v>
      </c>
      <c r="AE17" s="246">
        <f>+$S$17</f>
        <v>192694.7835914063</v>
      </c>
      <c r="AF17" s="246">
        <f>+$V$17</f>
        <v>224858.77112015631</v>
      </c>
      <c r="AG17" s="251">
        <f>+$Y$17</f>
        <v>238718.64609140629</v>
      </c>
      <c r="AH17" s="250">
        <f>+'MODENA CORREDIZA'!$M$31</f>
        <v>53852.925720824918</v>
      </c>
      <c r="AI17" s="252"/>
      <c r="AJ17" s="964"/>
    </row>
    <row r="18" spans="1:36" ht="16.5" thickBot="1">
      <c r="A18" s="68">
        <v>0.5</v>
      </c>
      <c r="B18" s="69">
        <v>1.5</v>
      </c>
      <c r="C18" s="59">
        <f>((((A18*2)+(B18*2))*'MATERIALES (2)'!$C$60)+(((A18*2)+(B18*2))*'MATERIALES (2)'!$C$59)+(((A18*2)+(B18*2))*'MATERIALES (2)'!$C$76))*'MATERIALES (2)'!$F$2</f>
        <v>79747.499999999985</v>
      </c>
      <c r="D18" s="59">
        <f>((((A18*2)+(B18*2))*'MATERIALES (2)'!$C$60)+(((A18*2)+(B18*4))*'MATERIALES (2)'!$C$59)+(((A18*2)+(B18*4))*'MATERIALES (2)'!$C$76)+(B18*'MATERIALES (2)'!$C$80))*'MATERIALES (2)'!$F$2</f>
        <v>128330.81624999997</v>
      </c>
      <c r="E18" s="59">
        <f>((((A18*2)+(B18*2))*'MATERIALES (2)'!$C$60)+(((A18*2)+(B18*6))*'MATERIALES (2)'!$C$59)+(((A18*2)+(B18*6))*'MATERIALES (2)'!$C$76)+((B18*2)*'MATERIALES (2)'!$C$80))*'MATERIALES (2)'!$F$2</f>
        <v>176914.13250000001</v>
      </c>
      <c r="F18" s="59">
        <f>(8*'MATERIALES (2)'!$C$178)+(1*'MATERIALES (2)'!$C$183)+(2*'MATERIALES (2)'!$C$195)+(((A18*2)+(B18*2))*'MATERIALES (2)'!$C$198)+(4*'MATERIALES (2)'!$C$137)+(((A18*5)*2)*'MATERIALES (2)'!$C$136)+(((A18*2)+(B18*2))*'MATERIALES (2)'!$C$199)+((((A18*2)+(B18*2))/0.1)*'MATERIALES (2)'!$C$181)+(((A18*2)+(B18*2))*'MATERIALES (2)'!$C$154)+(2*'MATERIALES (2)'!$C$176)+(0.5*'MATERIALES (2)'!$C$156)</f>
        <v>33330</v>
      </c>
      <c r="G18" s="59">
        <f>(12*'MATERIALES (2)'!$C$178)+(1*'MATERIALES (2)'!$C$183)+(4*'MATERIALES (2)'!$C$195)+(((A18*2)+(B18*4))*'MATERIALES (2)'!$C$198)+(4*'MATERIALES (2)'!$C$137)+(((A18*5)*2)*'MATERIALES (2)'!$C$136)+(((A18*2)+(B18*2))*'MATERIALES (2)'!$C$199)+((((A18*2)+(B18*4))/0.1)*'MATERIALES (2)'!$C$181)+(((A18*2)+(B18*4))*'MATERIALES (2)'!$C$154)+(2*'MATERIALES (2)'!$C$176)+(0.5*'MATERIALES (2)'!$C$156)</f>
        <v>44530</v>
      </c>
      <c r="H18" s="59">
        <f>(16*'MATERIALES (2)'!$C$178)+(1*'MATERIALES (2)'!$C$183)+(4*'MATERIALES (2)'!$C$195)+(2*'MATERIALES (2)'!$C$197)+(((A18*2)+(B18*6))*'MATERIALES (2)'!$C$198)+(4*'MATERIALES (2)'!$C$137)+(((A18*5)*2)*'MATERIALES (2)'!$C$136)+(((A18*2)+(B18*2))*'MATERIALES (2)'!$C$199)+((((A18*2)+(B18*6))/0.1)*'MATERIALES (2)'!$C$181)+(((A18*2)+(B18*6))*'MATERIALES (2)'!$C$154)+(2*'MATERIALES (2)'!$C$176)+(0.5*'MATERIALES (2)'!$C$156)</f>
        <v>56950</v>
      </c>
      <c r="I18" s="75"/>
      <c r="J18" s="55">
        <f>(A18*B18)*'MATERIALES (2)'!$D$85</f>
        <v>5550</v>
      </c>
      <c r="K18" s="55">
        <f>(A18*B18)*'MATERIALES (2)'!$D$85</f>
        <v>5550</v>
      </c>
      <c r="L18" s="55">
        <f>(A18*B18)*'MATERIALES (2)'!$D$85</f>
        <v>5550</v>
      </c>
      <c r="M18" s="55">
        <f>(((A18*B18)*2)*'MATERIALES (2)'!$D$86)+(4*'MATERIALES (2)'!$C$218)+(((A18*2)+(B18*2))*'MATERIALES (2)'!$C$219)+(((A18*2)+(B18*2))*'MATERIALES (2)'!$C$220)+((((A18*2)+(B18*2))/15)*'MATERIALES (2)'!$C$221)+((((A18*2)+(B18*2))/15)*('MATERIALES (2)'!$C$222*0.15))</f>
        <v>20156.166666666668</v>
      </c>
      <c r="N18" s="55">
        <f>(((A18*B18)*2)*'MATERIALES (2)'!$D$86)+(8*'MATERIALES (2)'!$C$218)+(((A18*2)+(B18*4))*'MATERIALES (2)'!$C$219)+(((A18*2)+(B18*4))*'MATERIALES (2)'!$C$220)+((((A18*2)+(B18*4))/15)*'MATERIALES (2)'!$C$221)+((((A18*2)+(B18*4))/15)*('MATERIALES (2)'!$C$222*0.15))</f>
        <v>25390.791666666668</v>
      </c>
      <c r="O18" s="55">
        <f>(((A18*B18)*2)*'MATERIALES (2)'!$D$86)+(12*'MATERIALES (2)'!$C$218)+(((A18*2)+(B18*6))*'MATERIALES (2)'!$C$219)+(((A18*2)+(B18*6))*'MATERIALES (2)'!$C$220)+((((A18*2)+(B18*6))/15)*'MATERIALES (2)'!$C$221)+((((A18*2)+(B18*6))/15)*('MATERIALES (2)'!$C$222*0.15))</f>
        <v>30625.416666666664</v>
      </c>
      <c r="P18" s="55">
        <f>(A18*B18)*'MATERIALES (2)'!$D$92</f>
        <v>27112.5</v>
      </c>
      <c r="Q18" s="55">
        <f>(A18*B18)*'MATERIALES (2)'!$D$92</f>
        <v>27112.5</v>
      </c>
      <c r="R18" s="55">
        <f>(A18*B18)*'MATERIALES (2)'!$D$92</f>
        <v>27112.5</v>
      </c>
      <c r="S18" s="125">
        <f t="shared" si="0"/>
        <v>218452.76361562501</v>
      </c>
      <c r="T18" s="125">
        <f t="shared" si="1"/>
        <v>326118.55553717347</v>
      </c>
      <c r="U18" s="125">
        <f t="shared" si="2"/>
        <v>435981.48663372197</v>
      </c>
      <c r="V18" s="125">
        <f t="shared" si="3"/>
        <v>257422.74659062503</v>
      </c>
      <c r="W18" s="125">
        <f t="shared" si="4"/>
        <v>379054.77974342345</v>
      </c>
      <c r="X18" s="125">
        <f t="shared" si="5"/>
        <v>502883.95207122195</v>
      </c>
      <c r="Y18" s="125">
        <f t="shared" si="6"/>
        <v>275982.59174062504</v>
      </c>
      <c r="Z18" s="125">
        <f t="shared" si="7"/>
        <v>383648.38366217341</v>
      </c>
      <c r="AA18" s="67">
        <f t="shared" si="8"/>
        <v>493511.31475872197</v>
      </c>
      <c r="AD18" s="249" t="s">
        <v>602</v>
      </c>
      <c r="AE18" s="246">
        <f>+$S$18</f>
        <v>218452.76361562501</v>
      </c>
      <c r="AF18" s="246">
        <f>+$V$18</f>
        <v>257422.74659062503</v>
      </c>
      <c r="AG18" s="251">
        <f>+$Y$18</f>
        <v>275982.59174062504</v>
      </c>
      <c r="AH18" s="250">
        <f>+'MODENA CORREDIZA'!$M$32</f>
        <v>67271.133807281207</v>
      </c>
      <c r="AI18" s="252"/>
      <c r="AJ18" s="252"/>
    </row>
    <row r="19" spans="1:36" ht="16.5" thickBot="1">
      <c r="A19" s="68">
        <v>0.6</v>
      </c>
      <c r="B19" s="69">
        <v>0.6</v>
      </c>
      <c r="C19" s="59">
        <f>((((A19*2)+(B19*2))*'MATERIALES (2)'!$C$60)+(((A19*2)+(B19*2))*'MATERIALES (2)'!$C$59)+(((A19*2)+(B19*2))*'MATERIALES (2)'!$C$76))*'MATERIALES (2)'!$F$2</f>
        <v>47848.5</v>
      </c>
      <c r="D19" s="59">
        <f>((((A19*2)+(B19*2))*'MATERIALES (2)'!$C$60)+(((A19*2)+(B19*4))*'MATERIALES (2)'!$C$59)+(((A19*2)+(B19*4))*'MATERIALES (2)'!$C$76)+(B19*'MATERIALES (2)'!$C$80))*'MATERIALES (2)'!$F$2</f>
        <v>67281.826499999996</v>
      </c>
      <c r="E19" s="59">
        <f>((((A19*2)+(B19*2))*'MATERIALES (2)'!$C$60)+(((A19*2)+(B19*6))*'MATERIALES (2)'!$C$59)+(((A19*2)+(B19*6))*'MATERIALES (2)'!$C$76)+((B19*2)*'MATERIALES (2)'!$C$80))*'MATERIALES (2)'!$F$2</f>
        <v>86715.153000000006</v>
      </c>
      <c r="F19" s="59">
        <f>(8*'MATERIALES (2)'!$C$178)+(1*'MATERIALES (2)'!$C$183)+(2*'MATERIALES (2)'!$C$195)+(((A19*2)+(B19*2))*'MATERIALES (2)'!$C$198)+(4*'MATERIALES (2)'!$C$137)+(((A19*5)*2)*'MATERIALES (2)'!$C$136)+(((A19*2)+(B19*2))*'MATERIALES (2)'!$C$199)+((((A19*2)+(B19*2))/0.1)*'MATERIALES (2)'!$C$181)+(((A19*2)+(B19*2))*'MATERIALES (2)'!$C$154)+(2*'MATERIALES (2)'!$C$176)+(0.5*'MATERIALES (2)'!$C$156)</f>
        <v>31474</v>
      </c>
      <c r="G19" s="59">
        <f>(12*'MATERIALES (2)'!$C$178)+(1*'MATERIALES (2)'!$C$183)+(4*'MATERIALES (2)'!$C$195)+(((A19*2)+(B19*4))*'MATERIALES (2)'!$C$198)+(4*'MATERIALES (2)'!$C$137)+(((A19*5)*2)*'MATERIALES (2)'!$C$136)+(((A19*2)+(B19*2))*'MATERIALES (2)'!$C$199)+((((A19*2)+(B19*4))/0.1)*'MATERIALES (2)'!$C$181)+(((A19*2)+(B19*4))*'MATERIALES (2)'!$C$154)+(2*'MATERIALES (2)'!$C$176)+(0.5*'MATERIALES (2)'!$C$156)</f>
        <v>41234</v>
      </c>
      <c r="H19" s="59">
        <f>(16*'MATERIALES (2)'!$C$178)+(1*'MATERIALES (2)'!$C$183)+(4*'MATERIALES (2)'!$C$195)+(2*'MATERIALES (2)'!$C$197)+(((A19*2)+(B19*6))*'MATERIALES (2)'!$C$198)+(4*'MATERIALES (2)'!$C$137)+(((A19*5)*2)*'MATERIALES (2)'!$C$136)+(((A19*2)+(B19*2))*'MATERIALES (2)'!$C$199)+((((A19*2)+(B19*6))/0.1)*'MATERIALES (2)'!$C$181)+(((A19*2)+(B19*6))*'MATERIALES (2)'!$C$154)+(2*'MATERIALES (2)'!$C$176)+(0.5*'MATERIALES (2)'!$C$156)</f>
        <v>52214</v>
      </c>
      <c r="I19" s="75"/>
      <c r="J19" s="55">
        <f>(A19*B19)*'MATERIALES (2)'!$D$85</f>
        <v>2664</v>
      </c>
      <c r="K19" s="55">
        <f>(A19*B19)*'MATERIALES (2)'!$D$85</f>
        <v>2664</v>
      </c>
      <c r="L19" s="55">
        <f>(A19*B19)*'MATERIALES (2)'!$D$85</f>
        <v>2664</v>
      </c>
      <c r="M19" s="55">
        <f>(((A19*B19)*2)*'MATERIALES (2)'!$D$86)+(4*'MATERIALES (2)'!$C$218)+(((A19*2)+(B19*2))*'MATERIALES (2)'!$C$219)+(((A19*2)+(B19*2))*'MATERIALES (2)'!$C$220)+((((A19*2)+(B19*2))/15)*'MATERIALES (2)'!$C$221)+((((A19*2)+(B19*2))/15)*('MATERIALES (2)'!$C$222*0.15))</f>
        <v>10570.1</v>
      </c>
      <c r="N19" s="55">
        <f>(((A19*B19)*2)*'MATERIALES (2)'!$D$86)+(8*'MATERIALES (2)'!$C$218)+(((A19*2)+(B19*4))*'MATERIALES (2)'!$C$219)+(((A19*2)+(B19*4))*'MATERIALES (2)'!$C$220)+((((A19*2)+(B19*4))/15)*'MATERIALES (2)'!$C$221)+((((A19*2)+(B19*4))/15)*('MATERIALES (2)'!$C$222*0.15))</f>
        <v>12759.949999999999</v>
      </c>
      <c r="O19" s="55">
        <f>(((A19*B19)*2)*'MATERIALES (2)'!$D$86)+(12*'MATERIALES (2)'!$C$218)+(((A19*2)+(B19*6))*'MATERIALES (2)'!$C$219)+(((A19*2)+(B19*6))*'MATERIALES (2)'!$C$220)+((((A19*2)+(B19*6))/15)*'MATERIALES (2)'!$C$221)+((((A19*2)+(B19*6))/15)*('MATERIALES (2)'!$C$222*0.15))</f>
        <v>14949.8</v>
      </c>
      <c r="P19" s="55">
        <f>(A19*B19)*'MATERIALES (2)'!$D$92</f>
        <v>13014</v>
      </c>
      <c r="Q19" s="55">
        <f>(A19*B19)*'MATERIALES (2)'!$D$92</f>
        <v>13014</v>
      </c>
      <c r="R19" s="55">
        <f>(A19*B19)*'MATERIALES (2)'!$D$92</f>
        <v>13014</v>
      </c>
      <c r="S19" s="125">
        <f t="shared" si="0"/>
        <v>149962.252584375</v>
      </c>
      <c r="T19" s="125">
        <f t="shared" si="1"/>
        <v>202537.49955299441</v>
      </c>
      <c r="U19" s="125">
        <f t="shared" si="2"/>
        <v>257309.88569661375</v>
      </c>
      <c r="V19" s="125">
        <f t="shared" si="3"/>
        <v>171056.12268937498</v>
      </c>
      <c r="W19" s="125">
        <f t="shared" si="4"/>
        <v>229473.9989504944</v>
      </c>
      <c r="X19" s="125">
        <f t="shared" si="5"/>
        <v>290089.0143866138</v>
      </c>
      <c r="Y19" s="125">
        <f t="shared" si="6"/>
        <v>177576.57008437501</v>
      </c>
      <c r="Z19" s="125">
        <f t="shared" si="7"/>
        <v>230151.81705299439</v>
      </c>
      <c r="AA19" s="67">
        <f t="shared" si="8"/>
        <v>284924.20319661382</v>
      </c>
      <c r="AD19" s="249" t="s">
        <v>540</v>
      </c>
      <c r="AE19" s="246">
        <f>+$S$19</f>
        <v>149962.252584375</v>
      </c>
      <c r="AF19" s="246">
        <f>+$V$19</f>
        <v>171056.12268937498</v>
      </c>
      <c r="AG19" s="251">
        <f>+$Y$19</f>
        <v>177576.57008437501</v>
      </c>
      <c r="AH19" s="250">
        <f>+'MODENA CORREDIZA'!$M$27</f>
        <v>27016.509547912487</v>
      </c>
      <c r="AI19" s="252"/>
      <c r="AJ19" s="252"/>
    </row>
    <row r="20" spans="1:36" ht="16.5" thickBot="1">
      <c r="A20" s="68">
        <v>0.6</v>
      </c>
      <c r="B20" s="69">
        <v>0.8</v>
      </c>
      <c r="C20" s="59">
        <f>((((A20*2)+(B20*2))*'MATERIALES (2)'!$C$60)+(((A20*2)+(B20*2))*'MATERIALES (2)'!$C$59)+(((A20*2)+(B20*2))*'MATERIALES (2)'!$C$76))*'MATERIALES (2)'!$F$2</f>
        <v>55823.250000000007</v>
      </c>
      <c r="D20" s="59">
        <f>((((A20*2)+(B20*2))*'MATERIALES (2)'!$C$60)+(((A20*2)+(B20*4))*'MATERIALES (2)'!$C$59)+(((A20*2)+(B20*4))*'MATERIALES (2)'!$C$76)+(B20*'MATERIALES (2)'!$C$80))*'MATERIALES (2)'!$F$2</f>
        <v>81734.351999999999</v>
      </c>
      <c r="E20" s="59">
        <f>((((A20*2)+(B20*2))*'MATERIALES (2)'!$C$60)+(((A20*2)+(B20*6))*'MATERIALES (2)'!$C$59)+(((A20*2)+(B20*6))*'MATERIALES (2)'!$C$76)+((B20*2)*'MATERIALES (2)'!$C$80))*'MATERIALES (2)'!$F$2</f>
        <v>107645.454</v>
      </c>
      <c r="F20" s="59">
        <f>(8*'MATERIALES (2)'!$C$178)+(1*'MATERIALES (2)'!$C$183)+(2*'MATERIALES (2)'!$C$195)+(((A20*2)+(B20*2))*'MATERIALES (2)'!$C$198)+(4*'MATERIALES (2)'!$C$137)+(((A20*5)*2)*'MATERIALES (2)'!$C$136)+(((A20*2)+(B20*2))*'MATERIALES (2)'!$C$199)+((((A20*2)+(B20*2))/0.1)*'MATERIALES (2)'!$C$181)+(((A20*2)+(B20*2))*'MATERIALES (2)'!$C$154)+(2*'MATERIALES (2)'!$C$176)+(0.5*'MATERIALES (2)'!$C$156)</f>
        <v>31938</v>
      </c>
      <c r="G20" s="59">
        <f>(12*'MATERIALES (2)'!$C$178)+(1*'MATERIALES (2)'!$C$183)+(4*'MATERIALES (2)'!$C$195)+(((A20*2)+(B20*4))*'MATERIALES (2)'!$C$198)+(4*'MATERIALES (2)'!$C$137)+(((A20*5)*2)*'MATERIALES (2)'!$C$136)+(((A20*2)+(B20*2))*'MATERIALES (2)'!$C$199)+((((A20*2)+(B20*4))/0.1)*'MATERIALES (2)'!$C$181)+(((A20*2)+(B20*4))*'MATERIALES (2)'!$C$154)+(2*'MATERIALES (2)'!$C$176)+(0.5*'MATERIALES (2)'!$C$156)</f>
        <v>42018</v>
      </c>
      <c r="H20" s="59">
        <f>(16*'MATERIALES (2)'!$C$178)+(1*'MATERIALES (2)'!$C$183)+(4*'MATERIALES (2)'!$C$195)+(2*'MATERIALES (2)'!$C$197)+(((A20*2)+(B20*6))*'MATERIALES (2)'!$C$198)+(4*'MATERIALES (2)'!$C$137)+(((A20*5)*2)*'MATERIALES (2)'!$C$136)+(((A20*2)+(B20*2))*'MATERIALES (2)'!$C$199)+((((A20*2)+(B20*6))/0.1)*'MATERIALES (2)'!$C$181)+(((A20*2)+(B20*6))*'MATERIALES (2)'!$C$154)+(2*'MATERIALES (2)'!$C$176)+(0.5*'MATERIALES (2)'!$C$156)</f>
        <v>53318</v>
      </c>
      <c r="I20" s="75"/>
      <c r="J20" s="55">
        <f>(A20*B20)*'MATERIALES (2)'!$D$85</f>
        <v>3552</v>
      </c>
      <c r="K20" s="55">
        <f>(A20*B20)*'MATERIALES (2)'!$D$85</f>
        <v>3552</v>
      </c>
      <c r="L20" s="55">
        <f>(A20*B20)*'MATERIALES (2)'!$D$85</f>
        <v>3552</v>
      </c>
      <c r="M20" s="55">
        <f>(((A20*B20)*2)*'MATERIALES (2)'!$D$86)+(4*'MATERIALES (2)'!$C$218)+(((A20*2)+(B20*2))*'MATERIALES (2)'!$C$219)+(((A20*2)+(B20*2))*'MATERIALES (2)'!$C$220)+((((A20*2)+(B20*2))/15)*'MATERIALES (2)'!$C$221)+((((A20*2)+(B20*2))/15)*('MATERIALES (2)'!$C$222*0.15))</f>
        <v>13363.516666666665</v>
      </c>
      <c r="N20" s="55">
        <f>(((A20*B20)*2)*'MATERIALES (2)'!$D$86)+(8*'MATERIALES (2)'!$C$218)+(((A20*2)+(B20*4))*'MATERIALES (2)'!$C$219)+(((A20*2)+(B20*4))*'MATERIALES (2)'!$C$220)+((((A20*2)+(B20*4))/15)*'MATERIALES (2)'!$C$221)+((((A20*2)+(B20*4))/15)*('MATERIALES (2)'!$C$222*0.15))</f>
        <v>16229.983333333334</v>
      </c>
      <c r="O20" s="55">
        <f>(((A20*B20)*2)*'MATERIALES (2)'!$D$86)+(12*'MATERIALES (2)'!$C$218)+(((A20*2)+(B20*6))*'MATERIALES (2)'!$C$219)+(((A20*2)+(B20*6))*'MATERIALES (2)'!$C$220)+((((A20*2)+(B20*6))/15)*'MATERIALES (2)'!$C$221)+((((A20*2)+(B20*6))/15)*('MATERIALES (2)'!$C$222*0.15))</f>
        <v>19096.45</v>
      </c>
      <c r="P20" s="55">
        <f>(A20*B20)*'MATERIALES (2)'!$D$92</f>
        <v>17352</v>
      </c>
      <c r="Q20" s="55">
        <f>(A20*B20)*'MATERIALES (2)'!$D$92</f>
        <v>17352</v>
      </c>
      <c r="R20" s="55">
        <f>(A20*B20)*'MATERIALES (2)'!$D$92</f>
        <v>17352</v>
      </c>
      <c r="S20" s="125">
        <f t="shared" si="0"/>
        <v>167529.11066718752</v>
      </c>
      <c r="T20" s="125">
        <f t="shared" si="1"/>
        <v>232346.70095868001</v>
      </c>
      <c r="U20" s="125">
        <f t="shared" si="2"/>
        <v>299361.43042517256</v>
      </c>
      <c r="V20" s="125">
        <f t="shared" si="3"/>
        <v>193706.72770968755</v>
      </c>
      <c r="W20" s="125">
        <f t="shared" si="4"/>
        <v>266172.19439118</v>
      </c>
      <c r="X20" s="125">
        <f t="shared" si="5"/>
        <v>340834.80024767254</v>
      </c>
      <c r="Y20" s="125">
        <f t="shared" si="6"/>
        <v>204348.20066718751</v>
      </c>
      <c r="Z20" s="125">
        <f t="shared" si="7"/>
        <v>269165.79095868004</v>
      </c>
      <c r="AA20" s="67">
        <f t="shared" si="8"/>
        <v>336180.52042517252</v>
      </c>
      <c r="AD20" s="249" t="s">
        <v>603</v>
      </c>
      <c r="AE20" s="246">
        <f>+$S$20</f>
        <v>167529.11066718752</v>
      </c>
      <c r="AF20" s="246">
        <f>+$V$20</f>
        <v>193706.72770968755</v>
      </c>
      <c r="AG20" s="251">
        <f>+$Y$20</f>
        <v>204348.20066718751</v>
      </c>
      <c r="AH20" s="250">
        <f>+'MODENA CORREDIZA'!$M$28</f>
        <v>35961.981605549925</v>
      </c>
      <c r="AI20" s="252"/>
      <c r="AJ20" s="252"/>
    </row>
    <row r="21" spans="1:36" ht="16.5" thickBot="1">
      <c r="A21" s="68">
        <v>0.6</v>
      </c>
      <c r="B21" s="69">
        <v>1</v>
      </c>
      <c r="C21" s="59">
        <f>((((A21*2)+(B21*2))*'MATERIALES (2)'!$C$60)+(((A21*2)+(B21*2))*'MATERIALES (2)'!$C$59)+(((A21*2)+(B21*2))*'MATERIALES (2)'!$C$76))*'MATERIALES (2)'!$F$2</f>
        <v>63797.999999999993</v>
      </c>
      <c r="D21" s="59">
        <f>((((A21*2)+(B21*2))*'MATERIALES (2)'!$C$60)+(((A21*2)+(B21*4))*'MATERIALES (2)'!$C$59)+(((A21*2)+(B21*4))*'MATERIALES (2)'!$C$76)+(B21*'MATERIALES (2)'!$C$80))*'MATERIALES (2)'!$F$2</f>
        <v>96186.877500000002</v>
      </c>
      <c r="E21" s="59">
        <f>((((A21*2)+(B21*2))*'MATERIALES (2)'!$C$60)+(((A21*2)+(B21*6))*'MATERIALES (2)'!$C$59)+(((A21*2)+(B21*6))*'MATERIALES (2)'!$C$76)+((B21*2)*'MATERIALES (2)'!$C$80))*'MATERIALES (2)'!$F$2</f>
        <v>128575.75500000003</v>
      </c>
      <c r="F21" s="59">
        <f>(8*'MATERIALES (2)'!$C$178)+(1*'MATERIALES (2)'!$C$183)+(2*'MATERIALES (2)'!$C$195)+(((A21*2)+(B21*2))*'MATERIALES (2)'!$C$198)+(4*'MATERIALES (2)'!$C$137)+(((A21*5)*2)*'MATERIALES (2)'!$C$136)+(((A21*2)+(B21*2))*'MATERIALES (2)'!$C$199)+((((A21*2)+(B21*2))/0.1)*'MATERIALES (2)'!$C$181)+(((A21*2)+(B21*2))*'MATERIALES (2)'!$C$154)+(2*'MATERIALES (2)'!$C$176)+(0.5*'MATERIALES (2)'!$C$156)</f>
        <v>32402</v>
      </c>
      <c r="G21" s="59">
        <f>(12*'MATERIALES (2)'!$C$178)+(1*'MATERIALES (2)'!$C$183)+(4*'MATERIALES (2)'!$C$195)+(((A21*2)+(B21*4))*'MATERIALES (2)'!$C$198)+(4*'MATERIALES (2)'!$C$137)+(((A21*5)*2)*'MATERIALES (2)'!$C$136)+(((A21*2)+(B21*2))*'MATERIALES (2)'!$C$199)+((((A21*2)+(B21*4))/0.1)*'MATERIALES (2)'!$C$181)+(((A21*2)+(B21*4))*'MATERIALES (2)'!$C$154)+(2*'MATERIALES (2)'!$C$176)+(0.5*'MATERIALES (2)'!$C$156)</f>
        <v>42802</v>
      </c>
      <c r="H21" s="59">
        <f>(16*'MATERIALES (2)'!$C$178)+(1*'MATERIALES (2)'!$C$183)+(4*'MATERIALES (2)'!$C$195)+(2*'MATERIALES (2)'!$C$197)+(((A21*2)+(B21*6))*'MATERIALES (2)'!$C$198)+(4*'MATERIALES (2)'!$C$137)+(((A21*5)*2)*'MATERIALES (2)'!$C$136)+(((A21*2)+(B21*2))*'MATERIALES (2)'!$C$199)+((((A21*2)+(B21*6))/0.1)*'MATERIALES (2)'!$C$181)+(((A21*2)+(B21*6))*'MATERIALES (2)'!$C$154)+(2*'MATERIALES (2)'!$C$176)+(0.5*'MATERIALES (2)'!$C$156)</f>
        <v>54422</v>
      </c>
      <c r="I21" s="75"/>
      <c r="J21" s="55">
        <f>(A21*B21)*'MATERIALES (2)'!$D$85</f>
        <v>4440</v>
      </c>
      <c r="K21" s="55">
        <f>(A21*B21)*'MATERIALES (2)'!$D$85</f>
        <v>4440</v>
      </c>
      <c r="L21" s="55">
        <f>(A21*B21)*'MATERIALES (2)'!$D$85</f>
        <v>4440</v>
      </c>
      <c r="M21" s="55">
        <f>(((A21*B21)*2)*'MATERIALES (2)'!$D$86)+(4*'MATERIALES (2)'!$C$218)+(((A21*2)+(B21*2))*'MATERIALES (2)'!$C$219)+(((A21*2)+(B21*2))*'MATERIALES (2)'!$C$220)+((((A21*2)+(B21*2))/15)*'MATERIALES (2)'!$C$221)+((((A21*2)+(B21*2))/15)*('MATERIALES (2)'!$C$222*0.15))</f>
        <v>16156.933333333334</v>
      </c>
      <c r="N21" s="55">
        <f>(((A21*B21)*2)*'MATERIALES (2)'!$D$86)+(8*'MATERIALES (2)'!$C$218)+(((A21*2)+(B21*4))*'MATERIALES (2)'!$C$219)+(((A21*2)+(B21*4))*'MATERIALES (2)'!$C$220)+((((A21*2)+(B21*4))/15)*'MATERIALES (2)'!$C$221)+((((A21*2)+(B21*4))/15)*('MATERIALES (2)'!$C$222*0.15))</f>
        <v>19700.016666666666</v>
      </c>
      <c r="O21" s="55">
        <f>(((A21*B21)*2)*'MATERIALES (2)'!$D$86)+(12*'MATERIALES (2)'!$C$218)+(((A21*2)+(B21*6))*'MATERIALES (2)'!$C$219)+(((A21*2)+(B21*6))*'MATERIALES (2)'!$C$220)+((((A21*2)+(B21*6))/15)*'MATERIALES (2)'!$C$221)+((((A21*2)+(B21*6))/15)*('MATERIALES (2)'!$C$222*0.15))</f>
        <v>23243.1</v>
      </c>
      <c r="P21" s="55">
        <f>(A21*B21)*'MATERIALES (2)'!$D$92</f>
        <v>21690</v>
      </c>
      <c r="Q21" s="55">
        <f>(A21*B21)*'MATERIALES (2)'!$D$92</f>
        <v>21690</v>
      </c>
      <c r="R21" s="55">
        <f>(A21*B21)*'MATERIALES (2)'!$D$92</f>
        <v>21690</v>
      </c>
      <c r="S21" s="125">
        <f t="shared" si="0"/>
        <v>185095.96875</v>
      </c>
      <c r="T21" s="125">
        <f t="shared" si="1"/>
        <v>262155.90236436564</v>
      </c>
      <c r="U21" s="125">
        <f t="shared" si="2"/>
        <v>341412.97515373136</v>
      </c>
      <c r="V21" s="125">
        <f t="shared" si="3"/>
        <v>216357.33273000005</v>
      </c>
      <c r="W21" s="125">
        <f t="shared" si="4"/>
        <v>302870.38983186561</v>
      </c>
      <c r="X21" s="125">
        <f t="shared" si="5"/>
        <v>391580.58610873134</v>
      </c>
      <c r="Y21" s="125">
        <f t="shared" si="6"/>
        <v>231119.83125000002</v>
      </c>
      <c r="Z21" s="125">
        <f t="shared" si="7"/>
        <v>308179.76486436563</v>
      </c>
      <c r="AA21" s="67">
        <f t="shared" si="8"/>
        <v>387436.83765373135</v>
      </c>
      <c r="AD21" s="249" t="s">
        <v>604</v>
      </c>
      <c r="AE21" s="246">
        <f>+$S$21</f>
        <v>185095.96875</v>
      </c>
      <c r="AF21" s="246">
        <f>+$V$21</f>
        <v>216357.33273000005</v>
      </c>
      <c r="AG21" s="251">
        <f>+$Y$21</f>
        <v>231119.83125000002</v>
      </c>
      <c r="AH21" s="250">
        <f>+'MODENA CORREDIZA'!$M$29</f>
        <v>44907.453663187451</v>
      </c>
      <c r="AI21" s="252"/>
      <c r="AJ21" s="252"/>
    </row>
    <row r="22" spans="1:36" ht="16.5" thickBot="1">
      <c r="A22" s="68">
        <v>0.6</v>
      </c>
      <c r="B22" s="69">
        <v>1.1000000000000001</v>
      </c>
      <c r="C22" s="59">
        <f>((((A22*2)+(B22*2))*'MATERIALES (2)'!$C$60)+(((A22*2)+(B22*2))*'MATERIALES (2)'!$C$59)+(((A22*2)+(B22*2))*'MATERIALES (2)'!$C$76))*'MATERIALES (2)'!$F$2</f>
        <v>67785.375000000015</v>
      </c>
      <c r="D22" s="59">
        <f>((((A22*2)+(B22*2))*'MATERIALES (2)'!$C$60)+(((A22*2)+(B22*4))*'MATERIALES (2)'!$C$59)+(((A22*2)+(B22*4))*'MATERIALES (2)'!$C$76)+(B22*'MATERIALES (2)'!$C$80))*'MATERIALES (2)'!$F$2</f>
        <v>103413.14025000001</v>
      </c>
      <c r="E22" s="59">
        <f>((((A22*2)+(B22*2))*'MATERIALES (2)'!$C$60)+(((A22*2)+(B22*6))*'MATERIALES (2)'!$C$59)+(((A22*2)+(B22*6))*'MATERIALES (2)'!$C$76)+((B22*2)*'MATERIALES (2)'!$C$80))*'MATERIALES (2)'!$F$2</f>
        <v>139040.90549999999</v>
      </c>
      <c r="F22" s="59">
        <f>(8*'MATERIALES (2)'!$C$178)+(1*'MATERIALES (2)'!$C$183)+(2*'MATERIALES (2)'!$C$195)+(((A22*2)+(B22*2))*'MATERIALES (2)'!$C$198)+(4*'MATERIALES (2)'!$C$137)+(((A22*5)*2)*'MATERIALES (2)'!$C$136)+(((A22*2)+(B22*2))*'MATERIALES (2)'!$C$199)+((((A22*2)+(B22*2))/0.1)*'MATERIALES (2)'!$C$181)+(((A22*2)+(B22*2))*'MATERIALES (2)'!$C$154)+(2*'MATERIALES (2)'!$C$176)+(0.5*'MATERIALES (2)'!$C$156)</f>
        <v>32634</v>
      </c>
      <c r="G22" s="59">
        <f>(12*'MATERIALES (2)'!$C$178)+(1*'MATERIALES (2)'!$C$183)+(4*'MATERIALES (2)'!$C$195)+(((A22*2)+(B22*4))*'MATERIALES (2)'!$C$198)+(4*'MATERIALES (2)'!$C$137)+(((A22*5)*2)*'MATERIALES (2)'!$C$136)+(((A22*2)+(B22*2))*'MATERIALES (2)'!$C$199)+((((A22*2)+(B22*4))/0.1)*'MATERIALES (2)'!$C$181)+(((A22*2)+(B22*4))*'MATERIALES (2)'!$C$154)+(2*'MATERIALES (2)'!$C$176)+(0.5*'MATERIALES (2)'!$C$156)</f>
        <v>43194</v>
      </c>
      <c r="H22" s="59">
        <f>(16*'MATERIALES (2)'!$C$178)+(1*'MATERIALES (2)'!$C$183)+(4*'MATERIALES (2)'!$C$195)+(2*'MATERIALES (2)'!$C$197)+(((A22*2)+(B22*6))*'MATERIALES (2)'!$C$198)+(4*'MATERIALES (2)'!$C$137)+(((A22*5)*2)*'MATERIALES (2)'!$C$136)+(((A22*2)+(B22*2))*'MATERIALES (2)'!$C$199)+((((A22*2)+(B22*6))/0.1)*'MATERIALES (2)'!$C$181)+(((A22*2)+(B22*6))*'MATERIALES (2)'!$C$154)+(2*'MATERIALES (2)'!$C$176)+(0.5*'MATERIALES (2)'!$C$156)</f>
        <v>54974</v>
      </c>
      <c r="I22" s="75"/>
      <c r="J22" s="55">
        <f>(A22*B22)*'MATERIALES (2)'!$D$85</f>
        <v>4884</v>
      </c>
      <c r="K22" s="55">
        <f>(A22*B22)*'MATERIALES (2)'!$D$85</f>
        <v>4884</v>
      </c>
      <c r="L22" s="55">
        <f>(A22*B22)*'MATERIALES (2)'!$D$85</f>
        <v>4884</v>
      </c>
      <c r="M22" s="55">
        <f>(((A22*B22)*2)*'MATERIALES (2)'!$D$86)+(4*'MATERIALES (2)'!$C$218)+(((A22*2)+(B22*2))*'MATERIALES (2)'!$C$219)+(((A22*2)+(B22*2))*'MATERIALES (2)'!$C$220)+((((A22*2)+(B22*2))/15)*'MATERIALES (2)'!$C$221)+((((A22*2)+(B22*2))/15)*('MATERIALES (2)'!$C$222*0.15))</f>
        <v>17553.64166666667</v>
      </c>
      <c r="N22" s="55">
        <f>(((A22*B22)*2)*'MATERIALES (2)'!$D$86)+(8*'MATERIALES (2)'!$C$218)+(((A22*2)+(B22*4))*'MATERIALES (2)'!$C$219)+(((A22*2)+(B22*4))*'MATERIALES (2)'!$C$220)+((((A22*2)+(B22*4))/15)*'MATERIALES (2)'!$C$221)+((((A22*2)+(B22*4))/15)*('MATERIALES (2)'!$C$222*0.15))</f>
        <v>21435.033333333336</v>
      </c>
      <c r="O22" s="55">
        <f>(((A22*B22)*2)*'MATERIALES (2)'!$D$86)+(12*'MATERIALES (2)'!$C$218)+(((A22*2)+(B22*6))*'MATERIALES (2)'!$C$219)+(((A22*2)+(B22*6))*'MATERIALES (2)'!$C$220)+((((A22*2)+(B22*6))/15)*'MATERIALES (2)'!$C$221)+((((A22*2)+(B22*6))/15)*('MATERIALES (2)'!$C$222*0.15))</f>
        <v>25316.425000000003</v>
      </c>
      <c r="P22" s="55">
        <f>(A22*B22)*'MATERIALES (2)'!$D$92</f>
        <v>23859</v>
      </c>
      <c r="Q22" s="55">
        <f>(A22*B22)*'MATERIALES (2)'!$D$92</f>
        <v>23859</v>
      </c>
      <c r="R22" s="55">
        <f>(A22*B22)*'MATERIALES (2)'!$D$92</f>
        <v>23859</v>
      </c>
      <c r="S22" s="125">
        <f t="shared" si="0"/>
        <v>193879.39779140629</v>
      </c>
      <c r="T22" s="125">
        <f t="shared" si="1"/>
        <v>277060.50306720845</v>
      </c>
      <c r="U22" s="125">
        <f t="shared" si="2"/>
        <v>362438.74751801067</v>
      </c>
      <c r="V22" s="125">
        <f t="shared" si="3"/>
        <v>227682.63524015635</v>
      </c>
      <c r="W22" s="125">
        <f t="shared" si="4"/>
        <v>321219.48755220842</v>
      </c>
      <c r="X22" s="125">
        <f t="shared" si="5"/>
        <v>416953.47903926071</v>
      </c>
      <c r="Y22" s="125">
        <f t="shared" si="6"/>
        <v>244505.64654140631</v>
      </c>
      <c r="Z22" s="125">
        <f t="shared" si="7"/>
        <v>327686.75181720848</v>
      </c>
      <c r="AA22" s="67">
        <f t="shared" si="8"/>
        <v>413064.99626801064</v>
      </c>
      <c r="AD22" s="249" t="s">
        <v>653</v>
      </c>
      <c r="AE22" s="246">
        <f>+$S$22</f>
        <v>193879.39779140629</v>
      </c>
      <c r="AF22" s="246">
        <f>+$V$22</f>
        <v>227682.63524015635</v>
      </c>
      <c r="AG22" s="251">
        <f>+$Y$22</f>
        <v>244505.64654140631</v>
      </c>
      <c r="AH22" s="250">
        <f>+'MODENA CORREDIZA'!$M$30</f>
        <v>49380.189692006272</v>
      </c>
      <c r="AI22" s="252"/>
      <c r="AJ22" s="252"/>
    </row>
    <row r="23" spans="1:36" ht="16.5" thickBot="1">
      <c r="A23" s="68">
        <v>0.6</v>
      </c>
      <c r="B23" s="69">
        <v>1.2</v>
      </c>
      <c r="C23" s="59">
        <f>((((A23*2)+(B23*2))*'MATERIALES (2)'!$C$60)+(((A23*2)+(B23*2))*'MATERIALES (2)'!$C$59)+(((A23*2)+(B23*2))*'MATERIALES (2)'!$C$76))*'MATERIALES (2)'!$F$2</f>
        <v>71772.749999999985</v>
      </c>
      <c r="D23" s="59">
        <f>((((A23*2)+(B23*2))*'MATERIALES (2)'!$C$60)+(((A23*2)+(B23*4))*'MATERIALES (2)'!$C$59)+(((A23*2)+(B23*4))*'MATERIALES (2)'!$C$76)+(B23*'MATERIALES (2)'!$C$80))*'MATERIALES (2)'!$F$2</f>
        <v>110639.40300000001</v>
      </c>
      <c r="E23" s="59">
        <f>((((A23*2)+(B23*2))*'MATERIALES (2)'!$C$60)+(((A23*2)+(B23*6))*'MATERIALES (2)'!$C$59)+(((A23*2)+(B23*6))*'MATERIALES (2)'!$C$76)+((B23*2)*'MATERIALES (2)'!$C$80))*'MATERIALES (2)'!$F$2</f>
        <v>149506.05599999995</v>
      </c>
      <c r="F23" s="59">
        <f>(8*'MATERIALES (2)'!$C$178)+(1*'MATERIALES (2)'!$C$183)+(2*'MATERIALES (2)'!$C$195)+(((A23*2)+(B23*2))*'MATERIALES (2)'!$C$198)+(4*'MATERIALES (2)'!$C$137)+(((A23*5)*2)*'MATERIALES (2)'!$C$136)+(((A23*2)+(B23*2))*'MATERIALES (2)'!$C$199)+((((A23*2)+(B23*2))/0.1)*'MATERIALES (2)'!$C$181)+(((A23*2)+(B23*2))*'MATERIALES (2)'!$C$154)+(2*'MATERIALES (2)'!$C$176)+(0.5*'MATERIALES (2)'!$C$156)</f>
        <v>32866</v>
      </c>
      <c r="G23" s="59">
        <f>(12*'MATERIALES (2)'!$C$178)+(1*'MATERIALES (2)'!$C$183)+(4*'MATERIALES (2)'!$C$195)+(((A23*2)+(B23*4))*'MATERIALES (2)'!$C$198)+(4*'MATERIALES (2)'!$C$137)+(((A23*5)*2)*'MATERIALES (2)'!$C$136)+(((A23*2)+(B23*2))*'MATERIALES (2)'!$C$199)+((((A23*2)+(B23*4))/0.1)*'MATERIALES (2)'!$C$181)+(((A23*2)+(B23*4))*'MATERIALES (2)'!$C$154)+(2*'MATERIALES (2)'!$C$176)+(0.5*'MATERIALES (2)'!$C$156)</f>
        <v>43586</v>
      </c>
      <c r="H23" s="59">
        <f>(16*'MATERIALES (2)'!$C$178)+(1*'MATERIALES (2)'!$C$183)+(4*'MATERIALES (2)'!$C$195)+(2*'MATERIALES (2)'!$C$197)+(((A23*2)+(B23*6))*'MATERIALES (2)'!$C$198)+(4*'MATERIALES (2)'!$C$137)+(((A23*5)*2)*'MATERIALES (2)'!$C$136)+(((A23*2)+(B23*2))*'MATERIALES (2)'!$C$199)+((((A23*2)+(B23*6))/0.1)*'MATERIALES (2)'!$C$181)+(((A23*2)+(B23*6))*'MATERIALES (2)'!$C$154)+(2*'MATERIALES (2)'!$C$176)+(0.5*'MATERIALES (2)'!$C$156)</f>
        <v>55526</v>
      </c>
      <c r="I23" s="75"/>
      <c r="J23" s="55">
        <f>(A23*B23)*'MATERIALES (2)'!$D$85</f>
        <v>5328</v>
      </c>
      <c r="K23" s="55">
        <f>(A23*B23)*'MATERIALES (2)'!$D$85</f>
        <v>5328</v>
      </c>
      <c r="L23" s="55">
        <f>(A23*B23)*'MATERIALES (2)'!$D$85</f>
        <v>5328</v>
      </c>
      <c r="M23" s="55">
        <f>(((A23*B23)*2)*'MATERIALES (2)'!$D$86)+(4*'MATERIALES (2)'!$C$218)+(((A23*2)+(B23*2))*'MATERIALES (2)'!$C$219)+(((A23*2)+(B23*2))*'MATERIALES (2)'!$C$220)+((((A23*2)+(B23*2))/15)*'MATERIALES (2)'!$C$221)+((((A23*2)+(B23*2))/15)*('MATERIALES (2)'!$C$222*0.15))</f>
        <v>18950.349999999999</v>
      </c>
      <c r="N23" s="55">
        <f>(((A23*B23)*2)*'MATERIALES (2)'!$D$86)+(8*'MATERIALES (2)'!$C$218)+(((A23*2)+(B23*4))*'MATERIALES (2)'!$C$219)+(((A23*2)+(B23*4))*'MATERIALES (2)'!$C$220)+((((A23*2)+(B23*4))/15)*'MATERIALES (2)'!$C$221)+((((A23*2)+(B23*4))/15)*('MATERIALES (2)'!$C$222*0.15))</f>
        <v>23170.05</v>
      </c>
      <c r="O23" s="55">
        <f>(((A23*B23)*2)*'MATERIALES (2)'!$D$86)+(12*'MATERIALES (2)'!$C$218)+(((A23*2)+(B23*6))*'MATERIALES (2)'!$C$219)+(((A23*2)+(B23*6))*'MATERIALES (2)'!$C$220)+((((A23*2)+(B23*6))/15)*'MATERIALES (2)'!$C$221)+((((A23*2)+(B23*6))/15)*('MATERIALES (2)'!$C$222*0.15))</f>
        <v>27389.75</v>
      </c>
      <c r="P23" s="55">
        <f>(A23*B23)*'MATERIALES (2)'!$D$92</f>
        <v>26028</v>
      </c>
      <c r="Q23" s="55">
        <f>(A23*B23)*'MATERIALES (2)'!$D$92</f>
        <v>26028</v>
      </c>
      <c r="R23" s="55">
        <f>(A23*B23)*'MATERIALES (2)'!$D$92</f>
        <v>26028</v>
      </c>
      <c r="S23" s="125">
        <f t="shared" si="0"/>
        <v>202662.82683281251</v>
      </c>
      <c r="T23" s="125">
        <f t="shared" si="1"/>
        <v>291965.10377005127</v>
      </c>
      <c r="U23" s="125">
        <f t="shared" si="2"/>
        <v>383464.51988228998</v>
      </c>
      <c r="V23" s="125">
        <f t="shared" si="3"/>
        <v>239007.93775031256</v>
      </c>
      <c r="W23" s="125">
        <f t="shared" si="4"/>
        <v>339568.58527255128</v>
      </c>
      <c r="X23" s="125">
        <f t="shared" si="5"/>
        <v>442326.37196978991</v>
      </c>
      <c r="Y23" s="125">
        <f t="shared" si="6"/>
        <v>257891.46183281252</v>
      </c>
      <c r="Z23" s="125">
        <f t="shared" si="7"/>
        <v>347193.73877005128</v>
      </c>
      <c r="AA23" s="67">
        <f t="shared" si="8"/>
        <v>438693.15488228999</v>
      </c>
      <c r="AD23" s="249" t="s">
        <v>605</v>
      </c>
      <c r="AE23" s="246">
        <f>+$S$23</f>
        <v>202662.82683281251</v>
      </c>
      <c r="AF23" s="246">
        <f>+$V$23</f>
        <v>239007.93775031256</v>
      </c>
      <c r="AG23" s="251">
        <f>+$Y$23</f>
        <v>257891.46183281252</v>
      </c>
      <c r="AH23" s="250">
        <f>+'MODENA CORREDIZA'!$M$31</f>
        <v>53852.925720824918</v>
      </c>
      <c r="AI23" s="252"/>
      <c r="AJ23" s="252"/>
    </row>
    <row r="24" spans="1:36" ht="16.5" thickBot="1">
      <c r="A24" s="68">
        <v>0.6</v>
      </c>
      <c r="B24" s="69">
        <v>1.5</v>
      </c>
      <c r="C24" s="59">
        <f>((((A24*2)+(B24*2))*'MATERIALES (2)'!$C$60)+(((A24*2)+(B24*2))*'MATERIALES (2)'!$C$59)+(((A24*2)+(B24*2))*'MATERIALES (2)'!$C$76))*'MATERIALES (2)'!$F$2</f>
        <v>83734.875</v>
      </c>
      <c r="D24" s="59">
        <f>((((A24*2)+(B24*2))*'MATERIALES (2)'!$C$60)+(((A24*2)+(B24*4))*'MATERIALES (2)'!$C$59)+(((A24*2)+(B24*4))*'MATERIALES (2)'!$C$76)+(B24*'MATERIALES (2)'!$C$80))*'MATERIALES (2)'!$F$2</f>
        <v>132318.19125</v>
      </c>
      <c r="E24" s="59">
        <f>((((A24*2)+(B24*2))*'MATERIALES (2)'!$C$60)+(((A24*2)+(B24*6))*'MATERIALES (2)'!$C$59)+(((A24*2)+(B24*6))*'MATERIALES (2)'!$C$76)+((B24*2)*'MATERIALES (2)'!$C$80))*'MATERIALES (2)'!$F$2</f>
        <v>180901.50749999998</v>
      </c>
      <c r="F24" s="59">
        <f>(8*'MATERIALES (2)'!$C$178)+(1*'MATERIALES (2)'!$C$183)+(2*'MATERIALES (2)'!$C$195)+(((A24*2)+(B24*2))*'MATERIALES (2)'!$C$198)+(4*'MATERIALES (2)'!$C$137)+(((A24*5)*2)*'MATERIALES (2)'!$C$136)+(((A24*2)+(B24*2))*'MATERIALES (2)'!$C$199)+((((A24*2)+(B24*2))/0.1)*'MATERIALES (2)'!$C$181)+(((A24*2)+(B24*2))*'MATERIALES (2)'!$C$154)+(2*'MATERIALES (2)'!$C$176)+(0.5*'MATERIALES (2)'!$C$156)</f>
        <v>33562</v>
      </c>
      <c r="G24" s="59">
        <f>(12*'MATERIALES (2)'!$C$178)+(1*'MATERIALES (2)'!$C$183)+(4*'MATERIALES (2)'!$C$195)+(((A24*2)+(B24*4))*'MATERIALES (2)'!$C$198)+(4*'MATERIALES (2)'!$C$137)+(((A24*5)*2)*'MATERIALES (2)'!$C$136)+(((A24*2)+(B24*2))*'MATERIALES (2)'!$C$199)+((((A24*2)+(B24*4))/0.1)*'MATERIALES (2)'!$C$181)+(((A24*2)+(B24*4))*'MATERIALES (2)'!$C$154)+(2*'MATERIALES (2)'!$C$176)+(0.5*'MATERIALES (2)'!$C$156)</f>
        <v>44762</v>
      </c>
      <c r="H24" s="59">
        <f>(16*'MATERIALES (2)'!$C$178)+(1*'MATERIALES (2)'!$C$183)+(4*'MATERIALES (2)'!$C$195)+(2*'MATERIALES (2)'!$C$197)+(((A24*2)+(B24*6))*'MATERIALES (2)'!$C$198)+(4*'MATERIALES (2)'!$C$137)+(((A24*5)*2)*'MATERIALES (2)'!$C$136)+(((A24*2)+(B24*2))*'MATERIALES (2)'!$C$199)+((((A24*2)+(B24*6))/0.1)*'MATERIALES (2)'!$C$181)+(((A24*2)+(B24*6))*'MATERIALES (2)'!$C$154)+(2*'MATERIALES (2)'!$C$176)+(0.5*'MATERIALES (2)'!$C$156)</f>
        <v>57182</v>
      </c>
      <c r="I24" s="75"/>
      <c r="J24" s="55">
        <f>(A24*B24)*'MATERIALES (2)'!$D$85</f>
        <v>6659.9999999999991</v>
      </c>
      <c r="K24" s="55">
        <f>(A24*B24)*'MATERIALES (2)'!$D$85</f>
        <v>6659.9999999999991</v>
      </c>
      <c r="L24" s="55">
        <f>(A24*B24)*'MATERIALES (2)'!$D$85</f>
        <v>6659.9999999999991</v>
      </c>
      <c r="M24" s="55">
        <f>(((A24*B24)*2)*'MATERIALES (2)'!$D$86)+(4*'MATERIALES (2)'!$C$218)+(((A24*2)+(B24*2))*'MATERIALES (2)'!$C$219)+(((A24*2)+(B24*2))*'MATERIALES (2)'!$C$220)+((((A24*2)+(B24*2))/15)*'MATERIALES (2)'!$C$221)+((((A24*2)+(B24*2))/15)*('MATERIALES (2)'!$C$222*0.15))</f>
        <v>23140.474999999999</v>
      </c>
      <c r="N24" s="55">
        <f>(((A24*B24)*2)*'MATERIALES (2)'!$D$86)+(8*'MATERIALES (2)'!$C$218)+(((A24*2)+(B24*4))*'MATERIALES (2)'!$C$219)+(((A24*2)+(B24*4))*'MATERIALES (2)'!$C$220)+((((A24*2)+(B24*4))/15)*'MATERIALES (2)'!$C$221)+((((A24*2)+(B24*4))/15)*('MATERIALES (2)'!$C$222*0.15))</f>
        <v>28375.1</v>
      </c>
      <c r="O24" s="55">
        <f>(((A24*B24)*2)*'MATERIALES (2)'!$D$86)+(12*'MATERIALES (2)'!$C$218)+(((A24*2)+(B24*6))*'MATERIALES (2)'!$C$219)+(((A24*2)+(B24*6))*'MATERIALES (2)'!$C$220)+((((A24*2)+(B24*6))/15)*'MATERIALES (2)'!$C$221)+((((A24*2)+(B24*6))/15)*('MATERIALES (2)'!$C$222*0.15))</f>
        <v>33609.724999999999</v>
      </c>
      <c r="P24" s="55">
        <f>(A24*B24)*'MATERIALES (2)'!$D$92</f>
        <v>32534.999999999996</v>
      </c>
      <c r="Q24" s="55">
        <f>(A24*B24)*'MATERIALES (2)'!$D$92</f>
        <v>32534.999999999996</v>
      </c>
      <c r="R24" s="55">
        <f>(A24*B24)*'MATERIALES (2)'!$D$92</f>
        <v>32534.999999999996</v>
      </c>
      <c r="S24" s="125">
        <f t="shared" si="0"/>
        <v>229013.11395703125</v>
      </c>
      <c r="T24" s="125">
        <f t="shared" si="1"/>
        <v>336678.90587857971</v>
      </c>
      <c r="U24" s="125">
        <f t="shared" si="2"/>
        <v>446541.83697512816</v>
      </c>
      <c r="V24" s="125">
        <f t="shared" si="3"/>
        <v>272983.84528078127</v>
      </c>
      <c r="W24" s="125">
        <f t="shared" si="4"/>
        <v>394615.8784335797</v>
      </c>
      <c r="X24" s="125">
        <f t="shared" si="5"/>
        <v>518445.0507613782</v>
      </c>
      <c r="Y24" s="125">
        <f t="shared" si="6"/>
        <v>298048.90770703129</v>
      </c>
      <c r="Z24" s="125">
        <f t="shared" si="7"/>
        <v>405714.69962857966</v>
      </c>
      <c r="AA24" s="67">
        <f t="shared" si="8"/>
        <v>515577.63072512817</v>
      </c>
      <c r="AD24" s="249" t="s">
        <v>606</v>
      </c>
      <c r="AE24" s="246">
        <f>+$S$24</f>
        <v>229013.11395703125</v>
      </c>
      <c r="AF24" s="246">
        <f>+$V$24</f>
        <v>272983.84528078127</v>
      </c>
      <c r="AG24" s="251">
        <f>+$Y$24</f>
        <v>298048.90770703129</v>
      </c>
      <c r="AH24" s="250">
        <f>+'MODENA CORREDIZA'!$M$32</f>
        <v>67271.133807281207</v>
      </c>
      <c r="AI24" s="252"/>
      <c r="AJ24" s="252"/>
    </row>
    <row r="25" spans="1:36" ht="40.5" customHeight="1" thickBot="1">
      <c r="A25" s="68">
        <v>1</v>
      </c>
      <c r="B25" s="69">
        <v>0.8</v>
      </c>
      <c r="C25" s="59">
        <f>((((A25*2)+(B25*2))*'MATERIALES (2)'!$C$60)+(((A25*2)+(B25*2))*'MATERIALES (2)'!$C$59)+(((A25*2)+(B25*2))*'MATERIALES (2)'!$C$76))*'MATERIALES (2)'!$F$2</f>
        <v>71772.750000000015</v>
      </c>
      <c r="D25" s="59">
        <f>((((A25*2)+(B25*2))*'MATERIALES (2)'!$C$60)+(((A25*2)+(B25*4))*'MATERIALES (2)'!$C$59)+(((A25*2)+(B25*4))*'MATERIALES (2)'!$C$76)+(B25*'MATERIALES (2)'!$C$80))*'MATERIALES (2)'!$F$2</f>
        <v>97683.852000000014</v>
      </c>
      <c r="E25" s="59">
        <f>((((A25*2)+(B25*2))*'MATERIALES (2)'!$C$60)+(((A25*2)+(B25*6))*'MATERIALES (2)'!$C$59)+(((A25*2)+(B25*6))*'MATERIALES (2)'!$C$76)+((B25*2)*'MATERIALES (2)'!$C$80))*'MATERIALES (2)'!$F$2</f>
        <v>123594.95399999998</v>
      </c>
      <c r="F25" s="59">
        <f>(8*'MATERIALES (2)'!$C$178)+(1*'MATERIALES (2)'!$C$183)+(2*'MATERIALES (2)'!$C$195)+(((A25*2)+(B25*2))*'MATERIALES (2)'!$C$198)+(4*'MATERIALES (2)'!$C$137)+(((A25*5)*2)*'MATERIALES (2)'!$C$136)+(((A25*2)+(B25*2))*'MATERIALES (2)'!$C$199)+((((A25*2)+(B25*2))/0.1)*'MATERIALES (2)'!$C$181)+(((A25*2)+(B25*2))*'MATERIALES (2)'!$C$154)+(2*'MATERIALES (2)'!$C$176)+(0.5*'MATERIALES (2)'!$C$156)</f>
        <v>32866</v>
      </c>
      <c r="G25" s="59">
        <f>(12*'MATERIALES (2)'!$C$178)+(1*'MATERIALES (2)'!$C$183)+(4*'MATERIALES (2)'!$C$195)+(((A25*2)+(B25*4))*'MATERIALES (2)'!$C$198)+(4*'MATERIALES (2)'!$C$137)+(((A25*5)*2)*'MATERIALES (2)'!$C$136)+(((A25*2)+(B25*2))*'MATERIALES (2)'!$C$199)+((((A25*2)+(B25*4))/0.1)*'MATERIALES (2)'!$C$181)+(((A25*2)+(B25*4))*'MATERIALES (2)'!$C$154)+(2*'MATERIALES (2)'!$C$176)+(0.5*'MATERIALES (2)'!$C$156)</f>
        <v>42946</v>
      </c>
      <c r="H25" s="59">
        <f>(16*'MATERIALES (2)'!$C$178)+(1*'MATERIALES (2)'!$C$183)+(4*'MATERIALES (2)'!$C$195)+(2*'MATERIALES (2)'!$C$197)+(((A25*2)+(B25*6))*'MATERIALES (2)'!$C$198)+(4*'MATERIALES (2)'!$C$137)+(((A25*5)*2)*'MATERIALES (2)'!$C$136)+(((A25*2)+(B25*2))*'MATERIALES (2)'!$C$199)+((((A25*2)+(B25*6))/0.1)*'MATERIALES (2)'!$C$181)+(((A25*2)+(B25*6))*'MATERIALES (2)'!$C$154)+(2*'MATERIALES (2)'!$C$176)+(0.5*'MATERIALES (2)'!$C$156)</f>
        <v>54246</v>
      </c>
      <c r="I25" s="75"/>
      <c r="J25" s="55">
        <f>(A25*B25)*'MATERIALES (2)'!$D$85</f>
        <v>5920</v>
      </c>
      <c r="K25" s="55">
        <f>(A25*B25)*'MATERIALES (2)'!$D$85</f>
        <v>5920</v>
      </c>
      <c r="L25" s="55">
        <f>(A25*B25)*'MATERIALES (2)'!$D$85</f>
        <v>5920</v>
      </c>
      <c r="M25" s="55">
        <f>(((A25*B25)*2)*'MATERIALES (2)'!$D$86)+(4*'MATERIALES (2)'!$C$218)+(((A25*2)+(B25*2))*'MATERIALES (2)'!$C$219)+(((A25*2)+(B25*2))*'MATERIALES (2)'!$C$220)+((((A25*2)+(B25*2))/15)*'MATERIALES (2)'!$C$221)+((((A25*2)+(B25*2))/15)*('MATERIALES (2)'!$C$222*0.15))</f>
        <v>20361.55</v>
      </c>
      <c r="N25" s="55">
        <f>(((A25*B25)*2)*'MATERIALES (2)'!$D$86)+(8*'MATERIALES (2)'!$C$218)+(((A25*2)+(B25*4))*'MATERIALES (2)'!$C$219)+(((A25*2)+(B25*4))*'MATERIALES (2)'!$C$220)+((((A25*2)+(B25*4))/15)*'MATERIALES (2)'!$C$221)+((((A25*2)+(B25*4))/15)*('MATERIALES (2)'!$C$222*0.15))</f>
        <v>23228.016666666666</v>
      </c>
      <c r="O25" s="55">
        <f>(((A25*B25)*2)*'MATERIALES (2)'!$D$86)+(12*'MATERIALES (2)'!$C$218)+(((A25*2)+(B25*6))*'MATERIALES (2)'!$C$219)+(((A25*2)+(B25*6))*'MATERIALES (2)'!$C$220)+((((A25*2)+(B25*6))/15)*'MATERIALES (2)'!$C$221)+((((A25*2)+(B25*6))/15)*('MATERIALES (2)'!$C$222*0.15))</f>
        <v>26094.483333333337</v>
      </c>
      <c r="P25" s="55">
        <f>(A25*B25)*'MATERIALES (2)'!$D$92</f>
        <v>28920</v>
      </c>
      <c r="Q25" s="55">
        <f>(A25*B25)*'MATERIALES (2)'!$D$92</f>
        <v>28920</v>
      </c>
      <c r="R25" s="55">
        <f>(A25*B25)*'MATERIALES (2)'!$D$92</f>
        <v>28920</v>
      </c>
      <c r="S25" s="125">
        <f t="shared" si="0"/>
        <v>204242.31243281256</v>
      </c>
      <c r="T25" s="125">
        <f t="shared" si="1"/>
        <v>269059.90272430505</v>
      </c>
      <c r="U25" s="125">
        <f t="shared" si="2"/>
        <v>336074.63219079742</v>
      </c>
      <c r="V25" s="125">
        <f t="shared" si="3"/>
        <v>242773.08991031256</v>
      </c>
      <c r="W25" s="125">
        <f t="shared" si="4"/>
        <v>315238.55659180507</v>
      </c>
      <c r="X25" s="125">
        <f t="shared" si="5"/>
        <v>389901.16244829749</v>
      </c>
      <c r="Y25" s="125">
        <f t="shared" si="6"/>
        <v>265607.46243281255</v>
      </c>
      <c r="Z25" s="125">
        <f t="shared" si="7"/>
        <v>330425.05272430502</v>
      </c>
      <c r="AA25" s="67">
        <f t="shared" si="8"/>
        <v>397439.7821907975</v>
      </c>
      <c r="AD25" s="239" t="s">
        <v>534</v>
      </c>
      <c r="AE25" s="240" t="s">
        <v>654</v>
      </c>
      <c r="AF25" s="241" t="s">
        <v>908</v>
      </c>
      <c r="AG25" s="240" t="s">
        <v>909</v>
      </c>
      <c r="AH25" s="240" t="s">
        <v>645</v>
      </c>
      <c r="AI25" s="252"/>
      <c r="AJ25" s="252"/>
    </row>
    <row r="26" spans="1:36" ht="16.5" customHeight="1" thickBot="1">
      <c r="A26" s="68">
        <v>1</v>
      </c>
      <c r="B26" s="69">
        <v>1</v>
      </c>
      <c r="C26" s="59">
        <f>((((A26*2)+(B26*2))*'MATERIALES (2)'!$C$60)+(((A26*2)+(B26*2))*'MATERIALES (2)'!$C$59)+(((A26*2)+(B26*2))*'MATERIALES (2)'!$C$76))*'MATERIALES (2)'!$F$2</f>
        <v>79747.499999999985</v>
      </c>
      <c r="D26" s="59">
        <f>((((A26*2)+(B26*2))*'MATERIALES (2)'!$C$60)+(((A26*2)+(B26*4))*'MATERIALES (2)'!$C$59)+(((A26*2)+(B26*4))*'MATERIALES (2)'!$C$76)+(B26*'MATERIALES (2)'!$C$80))*'MATERIALES (2)'!$F$2</f>
        <v>112136.3775</v>
      </c>
      <c r="E26" s="59">
        <f>((((A26*2)+(B26*2))*'MATERIALES (2)'!$C$60)+(((A26*2)+(B26*6))*'MATERIALES (2)'!$C$59)+(((A26*2)+(B26*6))*'MATERIALES (2)'!$C$76)+((B26*2)*'MATERIALES (2)'!$C$80))*'MATERIALES (2)'!$F$2</f>
        <v>144525.255</v>
      </c>
      <c r="F26" s="59">
        <f>(8*'MATERIALES (2)'!$C$178)+(1*'MATERIALES (2)'!$C$183)+(2*'MATERIALES (2)'!$C$195)+(((A26*2)+(B26*2))*'MATERIALES (2)'!$C$198)+(4*'MATERIALES (2)'!$C$137)+(((A26*5)*2)*'MATERIALES (2)'!$C$136)+(((A26*2)+(B26*2))*'MATERIALES (2)'!$C$199)+((((A26*2)+(B26*2))/0.1)*'MATERIALES (2)'!$C$181)+(((A26*2)+(B26*2))*'MATERIALES (2)'!$C$154)+(2*'MATERIALES (2)'!$C$176)+(0.5*'MATERIALES (2)'!$C$156)</f>
        <v>33330</v>
      </c>
      <c r="G26" s="59">
        <f>(12*'MATERIALES (2)'!$C$178)+(1*'MATERIALES (2)'!$C$183)+(4*'MATERIALES (2)'!$C$195)+(((A26*2)+(B26*4))*'MATERIALES (2)'!$C$198)+(4*'MATERIALES (2)'!$C$137)+(((A26*5)*2)*'MATERIALES (2)'!$C$136)+(((A26*2)+(B26*2))*'MATERIALES (2)'!$C$199)+((((A26*2)+(B26*4))/0.1)*'MATERIALES (2)'!$C$181)+(((A26*2)+(B26*4))*'MATERIALES (2)'!$C$154)+(2*'MATERIALES (2)'!$C$176)+(0.5*'MATERIALES (2)'!$C$156)</f>
        <v>43730</v>
      </c>
      <c r="H26" s="59">
        <f>(16*'MATERIALES (2)'!$C$178)+(1*'MATERIALES (2)'!$C$183)+(4*'MATERIALES (2)'!$C$195)+(2*'MATERIALES (2)'!$C$197)+(((A26*2)+(B26*6))*'MATERIALES (2)'!$C$198)+(4*'MATERIALES (2)'!$C$137)+(((A26*5)*2)*'MATERIALES (2)'!$C$136)+(((A26*2)+(B26*2))*'MATERIALES (2)'!$C$199)+((((A26*2)+(B26*6))/0.1)*'MATERIALES (2)'!$C$181)+(((A26*2)+(B26*6))*'MATERIALES (2)'!$C$154)+(2*'MATERIALES (2)'!$C$176)+(0.5*'MATERIALES (2)'!$C$156)</f>
        <v>55350</v>
      </c>
      <c r="I26" s="75"/>
      <c r="J26" s="55">
        <f>(A26*B26)*'MATERIALES (2)'!$D$85</f>
        <v>7400</v>
      </c>
      <c r="K26" s="55">
        <f>(A26*B26)*'MATERIALES (2)'!$D$85</f>
        <v>7400</v>
      </c>
      <c r="L26" s="55">
        <f>(A26*B26)*'MATERIALES (2)'!$D$85</f>
        <v>7400</v>
      </c>
      <c r="M26" s="55">
        <f>(((A26*B26)*2)*'MATERIALES (2)'!$D$86)+(4*'MATERIALES (2)'!$C$218)+(((A26*2)+(B26*2))*'MATERIALES (2)'!$C$219)+(((A26*2)+(B26*2))*'MATERIALES (2)'!$C$220)+((((A26*2)+(B26*2))/15)*'MATERIALES (2)'!$C$221)+((((A26*2)+(B26*2))/15)*('MATERIALES (2)'!$C$222*0.15))</f>
        <v>24566.166666666668</v>
      </c>
      <c r="N26" s="55">
        <f>(((A26*B26)*2)*'MATERIALES (2)'!$D$86)+(8*'MATERIALES (2)'!$C$218)+(((A26*2)+(B26*4))*'MATERIALES (2)'!$C$219)+(((A26*2)+(B26*4))*'MATERIALES (2)'!$C$220)+((((A26*2)+(B26*4))/15)*'MATERIALES (2)'!$C$221)+((((A26*2)+(B26*4))/15)*('MATERIALES (2)'!$C$222*0.15))</f>
        <v>28109.25</v>
      </c>
      <c r="O26" s="55">
        <f>(((A26*B26)*2)*'MATERIALES (2)'!$D$86)+(12*'MATERIALES (2)'!$C$218)+(((A26*2)+(B26*6))*'MATERIALES (2)'!$C$219)+(((A26*2)+(B26*6))*'MATERIALES (2)'!$C$220)+((((A26*2)+(B26*6))/15)*'MATERIALES (2)'!$C$221)+((((A26*2)+(B26*6))/15)*('MATERIALES (2)'!$C$222*0.15))</f>
        <v>31652.333333333332</v>
      </c>
      <c r="P26" s="55">
        <f>(A26*B26)*'MATERIALES (2)'!$D$92</f>
        <v>36150</v>
      </c>
      <c r="Q26" s="55">
        <f>(A26*B26)*'MATERIALES (2)'!$D$92</f>
        <v>36150</v>
      </c>
      <c r="R26" s="55">
        <f>(A26*B26)*'MATERIALES (2)'!$D$92</f>
        <v>36150</v>
      </c>
      <c r="S26" s="125">
        <f t="shared" si="0"/>
        <v>223388.65611562502</v>
      </c>
      <c r="T26" s="125">
        <f t="shared" si="1"/>
        <v>300448.58972999064</v>
      </c>
      <c r="U26" s="125">
        <f t="shared" si="2"/>
        <v>379705.66251935629</v>
      </c>
      <c r="V26" s="125">
        <f t="shared" si="3"/>
        <v>269188.84709062503</v>
      </c>
      <c r="W26" s="125">
        <f t="shared" si="4"/>
        <v>355701.90419249074</v>
      </c>
      <c r="X26" s="125">
        <f t="shared" si="5"/>
        <v>444412.10046935629</v>
      </c>
      <c r="Y26" s="125">
        <f t="shared" si="6"/>
        <v>300095.09361562505</v>
      </c>
      <c r="Z26" s="125">
        <f t="shared" si="7"/>
        <v>377155.02722999075</v>
      </c>
      <c r="AA26" s="67">
        <f t="shared" si="8"/>
        <v>456412.10001935635</v>
      </c>
      <c r="AD26" s="250" t="s">
        <v>546</v>
      </c>
      <c r="AE26" s="246">
        <f>+$T$25</f>
        <v>269059.90272430505</v>
      </c>
      <c r="AF26" s="247">
        <f>+$W$25</f>
        <v>315238.55659180507</v>
      </c>
      <c r="AG26" s="250">
        <f>+$Z$25</f>
        <v>330425.05272430502</v>
      </c>
      <c r="AH26" s="250">
        <f>+'MODENA CORREDIZA'!$M$28</f>
        <v>35961.981605549925</v>
      </c>
      <c r="AI26" s="252"/>
      <c r="AJ26" s="252"/>
    </row>
    <row r="27" spans="1:36" ht="16.5" thickBot="1">
      <c r="A27" s="68">
        <v>1</v>
      </c>
      <c r="B27" s="69">
        <v>1.1000000000000001</v>
      </c>
      <c r="C27" s="59">
        <f>((((A27*2)+(B27*2))*'MATERIALES (2)'!$C$60)+(((A27*2)+(B27*2))*'MATERIALES (2)'!$C$59)+(((A27*2)+(B27*2))*'MATERIALES (2)'!$C$76))*'MATERIALES (2)'!$F$2</f>
        <v>83734.875</v>
      </c>
      <c r="D27" s="59">
        <f>((((A27*2)+(B27*2))*'MATERIALES (2)'!$C$60)+(((A27*2)+(B27*4))*'MATERIALES (2)'!$C$59)+(((A27*2)+(B27*4))*'MATERIALES (2)'!$C$76)+(B27*'MATERIALES (2)'!$C$80))*'MATERIALES (2)'!$F$2</f>
        <v>119362.64025000001</v>
      </c>
      <c r="E27" s="59">
        <f>((((A27*2)+(B27*2))*'MATERIALES (2)'!$C$60)+(((A27*2)+(B27*6))*'MATERIALES (2)'!$C$59)+(((A27*2)+(B27*6))*'MATERIALES (2)'!$C$76)+((B27*2)*'MATERIALES (2)'!$C$80))*'MATERIALES (2)'!$F$2</f>
        <v>154990.40550000002</v>
      </c>
      <c r="F27" s="59">
        <f>(8*'MATERIALES (2)'!$C$178)+(1*'MATERIALES (2)'!$C$183)+(2*'MATERIALES (2)'!$C$195)+(((A27*2)+(B27*2))*'MATERIALES (2)'!$C$198)+(4*'MATERIALES (2)'!$C$137)+(((A27*5)*2)*'MATERIALES (2)'!$C$136)+(((A27*2)+(B27*2))*'MATERIALES (2)'!$C$199)+((((A27*2)+(B27*2))/0.1)*'MATERIALES (2)'!$C$181)+(((A27*2)+(B27*2))*'MATERIALES (2)'!$C$154)+(2*'MATERIALES (2)'!$C$176)+(0.5*'MATERIALES (2)'!$C$156)</f>
        <v>33562</v>
      </c>
      <c r="G27" s="59">
        <f>(12*'MATERIALES (2)'!$C$178)+(1*'MATERIALES (2)'!$C$183)+(4*'MATERIALES (2)'!$C$195)+(((A27*2)+(B27*4))*'MATERIALES (2)'!$C$198)+(4*'MATERIALES (2)'!$C$137)+(((A27*5)*2)*'MATERIALES (2)'!$C$136)+(((A27*2)+(B27*2))*'MATERIALES (2)'!$C$199)+((((A27*2)+(B27*4))/0.1)*'MATERIALES (2)'!$C$181)+(((A27*2)+(B27*4))*'MATERIALES (2)'!$C$154)+(2*'MATERIALES (2)'!$C$176)+(0.5*'MATERIALES (2)'!$C$156)</f>
        <v>44122</v>
      </c>
      <c r="H27" s="59">
        <f>(16*'MATERIALES (2)'!$C$178)+(1*'MATERIALES (2)'!$C$183)+(4*'MATERIALES (2)'!$C$195)+(2*'MATERIALES (2)'!$C$197)+(((A27*2)+(B27*6))*'MATERIALES (2)'!$C$198)+(4*'MATERIALES (2)'!$C$137)+(((A27*5)*2)*'MATERIALES (2)'!$C$136)+(((A27*2)+(B27*2))*'MATERIALES (2)'!$C$199)+((((A27*2)+(B27*6))/0.1)*'MATERIALES (2)'!$C$181)+(((A27*2)+(B27*6))*'MATERIALES (2)'!$C$154)+(2*'MATERIALES (2)'!$C$176)+(0.5*'MATERIALES (2)'!$C$156)</f>
        <v>55902</v>
      </c>
      <c r="I27" s="75"/>
      <c r="J27" s="55">
        <f>(A27*B27)*'MATERIALES (2)'!$D$85</f>
        <v>8140.0000000000009</v>
      </c>
      <c r="K27" s="55">
        <f>(A27*B27)*'MATERIALES (2)'!$D$85</f>
        <v>8140.0000000000009</v>
      </c>
      <c r="L27" s="55">
        <f>(A27*B27)*'MATERIALES (2)'!$D$85</f>
        <v>8140.0000000000009</v>
      </c>
      <c r="M27" s="55">
        <f>(((A27*B27)*2)*'MATERIALES (2)'!$D$86)+(4*'MATERIALES (2)'!$C$218)+(((A27*2)+(B27*2))*'MATERIALES (2)'!$C$219)+(((A27*2)+(B27*2))*'MATERIALES (2)'!$C$220)+((((A27*2)+(B27*2))/15)*'MATERIALES (2)'!$C$221)+((((A27*2)+(B27*2))/15)*('MATERIALES (2)'!$C$222*0.15))</f>
        <v>26668.474999999999</v>
      </c>
      <c r="N27" s="55">
        <f>(((A27*B27)*2)*'MATERIALES (2)'!$D$86)+(8*'MATERIALES (2)'!$C$218)+(((A27*2)+(B27*4))*'MATERIALES (2)'!$C$219)+(((A27*2)+(B27*4))*'MATERIALES (2)'!$C$220)+((((A27*2)+(B27*4))/15)*'MATERIALES (2)'!$C$221)+((((A27*2)+(B27*4))/15)*('MATERIALES (2)'!$C$222*0.15))</f>
        <v>30549.866666666669</v>
      </c>
      <c r="O27" s="55">
        <f>(((A27*B27)*2)*'MATERIALES (2)'!$D$86)+(12*'MATERIALES (2)'!$C$218)+(((A27*2)+(B27*6))*'MATERIALES (2)'!$C$219)+(((A27*2)+(B27*6))*'MATERIALES (2)'!$C$220)+((((A27*2)+(B27*6))/15)*'MATERIALES (2)'!$C$221)+((((A27*2)+(B27*6))/15)*('MATERIALES (2)'!$C$222*0.15))</f>
        <v>34431.258333333339</v>
      </c>
      <c r="P27" s="55">
        <f>(A27*B27)*'MATERIALES (2)'!$D$92</f>
        <v>39765</v>
      </c>
      <c r="Q27" s="55">
        <f>(A27*B27)*'MATERIALES (2)'!$D$92</f>
        <v>39765</v>
      </c>
      <c r="R27" s="55">
        <f>(A27*B27)*'MATERIALES (2)'!$D$92</f>
        <v>39765</v>
      </c>
      <c r="S27" s="125">
        <f t="shared" si="0"/>
        <v>232961.82795703123</v>
      </c>
      <c r="T27" s="125">
        <f t="shared" si="1"/>
        <v>316142.93323283346</v>
      </c>
      <c r="U27" s="125">
        <f t="shared" si="2"/>
        <v>401521.17768363573</v>
      </c>
      <c r="V27" s="125">
        <f t="shared" si="3"/>
        <v>282396.72568078124</v>
      </c>
      <c r="W27" s="125">
        <f t="shared" si="4"/>
        <v>375933.57799283351</v>
      </c>
      <c r="X27" s="125">
        <f t="shared" si="5"/>
        <v>471667.56947988574</v>
      </c>
      <c r="Y27" s="125">
        <f t="shared" si="6"/>
        <v>317338.90920703131</v>
      </c>
      <c r="Z27" s="125">
        <f t="shared" si="7"/>
        <v>400520.01448283339</v>
      </c>
      <c r="AA27" s="67">
        <f t="shared" si="8"/>
        <v>485898.25893363578</v>
      </c>
      <c r="AD27" s="250" t="s">
        <v>547</v>
      </c>
      <c r="AE27" s="246">
        <f>+$T$26</f>
        <v>300448.58972999064</v>
      </c>
      <c r="AF27" s="247">
        <f>+$W$26</f>
        <v>355701.90419249074</v>
      </c>
      <c r="AG27" s="250">
        <f>+$Z$26</f>
        <v>377155.02722999075</v>
      </c>
      <c r="AH27" s="250">
        <f>+'MODENA CORREDIZA'!$M$29</f>
        <v>44907.453663187451</v>
      </c>
      <c r="AI27" s="252"/>
      <c r="AJ27" s="252"/>
    </row>
    <row r="28" spans="1:36" ht="16.5" thickBot="1">
      <c r="A28" s="68">
        <v>1</v>
      </c>
      <c r="B28" s="69">
        <v>1.2</v>
      </c>
      <c r="C28" s="59">
        <f>((((A28*2)+(B28*2))*'MATERIALES (2)'!$C$60)+(((A28*2)+(B28*2))*'MATERIALES (2)'!$C$59)+(((A28*2)+(B28*2))*'MATERIALES (2)'!$C$76))*'MATERIALES (2)'!$F$2</f>
        <v>87722.25</v>
      </c>
      <c r="D28" s="59">
        <f>((((A28*2)+(B28*2))*'MATERIALES (2)'!$C$60)+(((A28*2)+(B28*4))*'MATERIALES (2)'!$C$59)+(((A28*2)+(B28*4))*'MATERIALES (2)'!$C$76)+(B28*'MATERIALES (2)'!$C$80))*'MATERIALES (2)'!$F$2</f>
        <v>126588.90299999999</v>
      </c>
      <c r="E28" s="59">
        <f>((((A28*2)+(B28*2))*'MATERIALES (2)'!$C$60)+(((A28*2)+(B28*6))*'MATERIALES (2)'!$C$59)+(((A28*2)+(B28*6))*'MATERIALES (2)'!$C$76)+((B28*2)*'MATERIALES (2)'!$C$80))*'MATERIALES (2)'!$F$2</f>
        <v>165455.55599999998</v>
      </c>
      <c r="F28" s="59">
        <f>(8*'MATERIALES (2)'!$C$178)+(1*'MATERIALES (2)'!$C$183)+(2*'MATERIALES (2)'!$C$195)+(((A28*2)+(B28*2))*'MATERIALES (2)'!$C$198)+(4*'MATERIALES (2)'!$C$137)+(((A28*5)*2)*'MATERIALES (2)'!$C$136)+(((A28*2)+(B28*2))*'MATERIALES (2)'!$C$199)+((((A28*2)+(B28*2))/0.1)*'MATERIALES (2)'!$C$181)+(((A28*2)+(B28*2))*'MATERIALES (2)'!$C$154)+(2*'MATERIALES (2)'!$C$176)+(0.5*'MATERIALES (2)'!$C$156)</f>
        <v>33794</v>
      </c>
      <c r="G28" s="59">
        <f>(12*'MATERIALES (2)'!$C$178)+(1*'MATERIALES (2)'!$C$183)+(4*'MATERIALES (2)'!$C$195)+(((A28*2)+(B28*4))*'MATERIALES (2)'!$C$198)+(4*'MATERIALES (2)'!$C$137)+(((A28*5)*2)*'MATERIALES (2)'!$C$136)+(((A28*2)+(B28*2))*'MATERIALES (2)'!$C$199)+((((A28*2)+(B28*4))/0.1)*'MATERIALES (2)'!$C$181)+(((A28*2)+(B28*4))*'MATERIALES (2)'!$C$154)+(2*'MATERIALES (2)'!$C$176)+(0.5*'MATERIALES (2)'!$C$156)</f>
        <v>44514</v>
      </c>
      <c r="H28" s="59">
        <f>(16*'MATERIALES (2)'!$C$178)+(1*'MATERIALES (2)'!$C$183)+(4*'MATERIALES (2)'!$C$195)+(2*'MATERIALES (2)'!$C$197)+(((A28*2)+(B28*6))*'MATERIALES (2)'!$C$198)+(4*'MATERIALES (2)'!$C$137)+(((A28*5)*2)*'MATERIALES (2)'!$C$136)+(((A28*2)+(B28*2))*'MATERIALES (2)'!$C$199)+((((A28*2)+(B28*6))/0.1)*'MATERIALES (2)'!$C$181)+(((A28*2)+(B28*6))*'MATERIALES (2)'!$C$154)+(2*'MATERIALES (2)'!$C$176)+(0.5*'MATERIALES (2)'!$C$156)</f>
        <v>56454</v>
      </c>
      <c r="I28" s="75"/>
      <c r="J28" s="55">
        <f>(A28*B28)*'MATERIALES (2)'!$D$85</f>
        <v>8880</v>
      </c>
      <c r="K28" s="55">
        <f>(A28*B28)*'MATERIALES (2)'!$D$85</f>
        <v>8880</v>
      </c>
      <c r="L28" s="55">
        <f>(A28*B28)*'MATERIALES (2)'!$D$85</f>
        <v>8880</v>
      </c>
      <c r="M28" s="55">
        <f>(((A28*B28)*2)*'MATERIALES (2)'!$D$86)+(4*'MATERIALES (2)'!$C$218)+(((A28*2)+(B28*2))*'MATERIALES (2)'!$C$219)+(((A28*2)+(B28*2))*'MATERIALES (2)'!$C$220)+((((A28*2)+(B28*2))/15)*'MATERIALES (2)'!$C$221)+((((A28*2)+(B28*2))/15)*('MATERIALES (2)'!$C$222*0.15))</f>
        <v>28770.783333333333</v>
      </c>
      <c r="N28" s="55">
        <f>(((A28*B28)*2)*'MATERIALES (2)'!$D$86)+(8*'MATERIALES (2)'!$C$218)+(((A28*2)+(B28*4))*'MATERIALES (2)'!$C$219)+(((A28*2)+(B28*4))*'MATERIALES (2)'!$C$220)+((((A28*2)+(B28*4))/15)*'MATERIALES (2)'!$C$221)+((((A28*2)+(B28*4))/15)*('MATERIALES (2)'!$C$222*0.15))</f>
        <v>32990.48333333333</v>
      </c>
      <c r="O28" s="55">
        <f>(((A28*B28)*2)*'MATERIALES (2)'!$D$86)+(12*'MATERIALES (2)'!$C$218)+(((A28*2)+(B28*6))*'MATERIALES (2)'!$C$219)+(((A28*2)+(B28*6))*'MATERIALES (2)'!$C$220)+((((A28*2)+(B28*6))/15)*'MATERIALES (2)'!$C$221)+((((A28*2)+(B28*6))/15)*('MATERIALES (2)'!$C$222*0.15))</f>
        <v>37210.183333333334</v>
      </c>
      <c r="P28" s="55">
        <f>(A28*B28)*'MATERIALES (2)'!$D$92</f>
        <v>43380</v>
      </c>
      <c r="Q28" s="55">
        <f>(A28*B28)*'MATERIALES (2)'!$D$92</f>
        <v>43380</v>
      </c>
      <c r="R28" s="55">
        <f>(A28*B28)*'MATERIALES (2)'!$D$92</f>
        <v>43380</v>
      </c>
      <c r="S28" s="125">
        <f t="shared" si="0"/>
        <v>242534.99979843752</v>
      </c>
      <c r="T28" s="125">
        <f t="shared" si="1"/>
        <v>331837.27673567634</v>
      </c>
      <c r="U28" s="125">
        <f t="shared" si="2"/>
        <v>423336.69284791505</v>
      </c>
      <c r="V28" s="125">
        <f t="shared" si="3"/>
        <v>295604.6042709375</v>
      </c>
      <c r="W28" s="125">
        <f t="shared" si="4"/>
        <v>396165.25179317623</v>
      </c>
      <c r="X28" s="125">
        <f t="shared" si="5"/>
        <v>498923.03849041497</v>
      </c>
      <c r="Y28" s="125">
        <f t="shared" si="6"/>
        <v>334582.7247984375</v>
      </c>
      <c r="Z28" s="125">
        <f t="shared" si="7"/>
        <v>423885.00173567631</v>
      </c>
      <c r="AA28" s="67">
        <f t="shared" si="8"/>
        <v>515384.41784791509</v>
      </c>
      <c r="AD28" s="250" t="s">
        <v>548</v>
      </c>
      <c r="AE28" s="246">
        <f>+$T$27</f>
        <v>316142.93323283346</v>
      </c>
      <c r="AF28" s="247">
        <f>+$W$27</f>
        <v>375933.57799283351</v>
      </c>
      <c r="AG28" s="250">
        <f>+$Z$27</f>
        <v>400520.01448283339</v>
      </c>
      <c r="AH28" s="250">
        <f>+'MODENA CORREDIZA'!$M$30</f>
        <v>49380.189692006272</v>
      </c>
      <c r="AI28" s="252"/>
      <c r="AJ28" s="252"/>
    </row>
    <row r="29" spans="1:36" ht="16.5" thickBot="1">
      <c r="A29" s="68">
        <v>1</v>
      </c>
      <c r="B29" s="69">
        <v>1.5</v>
      </c>
      <c r="C29" s="59">
        <f>((((A29*2)+(B29*2))*'MATERIALES (2)'!$C$60)+(((A29*2)+(B29*2))*'MATERIALES (2)'!$C$59)+(((A29*2)+(B29*2))*'MATERIALES (2)'!$C$76))*'MATERIALES (2)'!$F$2</f>
        <v>99684.375</v>
      </c>
      <c r="D29" s="59">
        <f>((((A29*2)+(B29*2))*'MATERIALES (2)'!$C$60)+(((A29*2)+(B29*4))*'MATERIALES (2)'!$C$59)+(((A29*2)+(B29*4))*'MATERIALES (2)'!$C$76)+(B29*'MATERIALES (2)'!$C$80))*'MATERIALES (2)'!$F$2</f>
        <v>148267.69124999997</v>
      </c>
      <c r="E29" s="59">
        <f>((((A29*2)+(B29*2))*'MATERIALES (2)'!$C$60)+(((A29*2)+(B29*6))*'MATERIALES (2)'!$C$59)+(((A29*2)+(B29*6))*'MATERIALES (2)'!$C$76)+((B29*2)*'MATERIALES (2)'!$C$80))*'MATERIALES (2)'!$F$2</f>
        <v>196851.00750000001</v>
      </c>
      <c r="F29" s="59">
        <f>(8*'MATERIALES (2)'!$C$178)+(1*'MATERIALES (2)'!$C$183)+(2*'MATERIALES (2)'!$C$195)+(((A29*2)+(B29*2))*'MATERIALES (2)'!$C$198)+(4*'MATERIALES (2)'!$C$137)+(((A29*5)*2)*'MATERIALES (2)'!$C$136)+(((A29*2)+(B29*2))*'MATERIALES (2)'!$C$199)+((((A29*2)+(B29*2))/0.1)*'MATERIALES (2)'!$C$181)+(((A29*2)+(B29*2))*'MATERIALES (2)'!$C$154)+(2*'MATERIALES (2)'!$C$176)+(0.5*'MATERIALES (2)'!$C$156)</f>
        <v>34490</v>
      </c>
      <c r="G29" s="59">
        <f>(12*'MATERIALES (2)'!$C$178)+(1*'MATERIALES (2)'!$C$183)+(4*'MATERIALES (2)'!$C$195)+(((A29*2)+(B29*4))*'MATERIALES (2)'!$C$198)+(4*'MATERIALES (2)'!$C$137)+(((A29*5)*2)*'MATERIALES (2)'!$C$136)+(((A29*2)+(B29*2))*'MATERIALES (2)'!$C$199)+((((A29*2)+(B29*4))/0.1)*'MATERIALES (2)'!$C$181)+(((A29*2)+(B29*4))*'MATERIALES (2)'!$C$154)+(2*'MATERIALES (2)'!$C$176)+(0.5*'MATERIALES (2)'!$C$156)</f>
        <v>45690</v>
      </c>
      <c r="H29" s="59">
        <f>(16*'MATERIALES (2)'!$C$178)+(1*'MATERIALES (2)'!$C$183)+(4*'MATERIALES (2)'!$C$195)+(2*'MATERIALES (2)'!$C$197)+(((A29*2)+(B29*6))*'MATERIALES (2)'!$C$198)+(4*'MATERIALES (2)'!$C$137)+(((A29*5)*2)*'MATERIALES (2)'!$C$136)+(((A29*2)+(B29*2))*'MATERIALES (2)'!$C$199)+((((A29*2)+(B29*6))/0.1)*'MATERIALES (2)'!$C$181)+(((A29*2)+(B29*6))*'MATERIALES (2)'!$C$154)+(2*'MATERIALES (2)'!$C$176)+(0.5*'MATERIALES (2)'!$C$156)</f>
        <v>58110</v>
      </c>
      <c r="I29" s="75"/>
      <c r="J29" s="55">
        <f>(A29*B29)*'MATERIALES (2)'!$D$85</f>
        <v>11100</v>
      </c>
      <c r="K29" s="55">
        <f>(A29*B29)*'MATERIALES (2)'!$D$85</f>
        <v>11100</v>
      </c>
      <c r="L29" s="55">
        <f>(A29*B29)*'MATERIALES (2)'!$D$85</f>
        <v>11100</v>
      </c>
      <c r="M29" s="55">
        <f>(((A29*B29)*2)*'MATERIALES (2)'!$D$86)+(4*'MATERIALES (2)'!$C$218)+(((A29*2)+(B29*2))*'MATERIALES (2)'!$C$219)+(((A29*2)+(B29*2))*'MATERIALES (2)'!$C$220)+((((A29*2)+(B29*2))/15)*'MATERIALES (2)'!$C$221)+((((A29*2)+(B29*2))/15)*('MATERIALES (2)'!$C$222*0.15))</f>
        <v>35077.708333333336</v>
      </c>
      <c r="N29" s="55">
        <f>(((A29*B29)*2)*'MATERIALES (2)'!$D$86)+(8*'MATERIALES (2)'!$C$218)+(((A29*2)+(B29*4))*'MATERIALES (2)'!$C$219)+(((A29*2)+(B29*4))*'MATERIALES (2)'!$C$220)+((((A29*2)+(B29*4))/15)*'MATERIALES (2)'!$C$221)+((((A29*2)+(B29*4))/15)*('MATERIALES (2)'!$C$222*0.15))</f>
        <v>40312.333333333336</v>
      </c>
      <c r="O29" s="55">
        <f>(((A29*B29)*2)*'MATERIALES (2)'!$D$86)+(12*'MATERIALES (2)'!$C$218)+(((A29*2)+(B29*6))*'MATERIALES (2)'!$C$219)+(((A29*2)+(B29*6))*'MATERIALES (2)'!$C$220)+((((A29*2)+(B29*6))/15)*'MATERIALES (2)'!$C$221)+((((A29*2)+(B29*6))/15)*('MATERIALES (2)'!$C$222*0.15))</f>
        <v>45546.958333333328</v>
      </c>
      <c r="P29" s="55">
        <f>(A29*B29)*'MATERIALES (2)'!$D$92</f>
        <v>54225</v>
      </c>
      <c r="Q29" s="55">
        <f>(A29*B29)*'MATERIALES (2)'!$D$92</f>
        <v>54225</v>
      </c>
      <c r="R29" s="55">
        <f>(A29*B29)*'MATERIALES (2)'!$D$92</f>
        <v>54225</v>
      </c>
      <c r="S29" s="125">
        <f t="shared" si="0"/>
        <v>271254.51532265625</v>
      </c>
      <c r="T29" s="125">
        <f t="shared" si="1"/>
        <v>378920.30724420468</v>
      </c>
      <c r="U29" s="125">
        <f t="shared" si="2"/>
        <v>488783.23834075319</v>
      </c>
      <c r="V29" s="125">
        <f t="shared" si="3"/>
        <v>335228.2400414063</v>
      </c>
      <c r="W29" s="125">
        <f t="shared" si="4"/>
        <v>456860.27319420467</v>
      </c>
      <c r="X29" s="125">
        <f t="shared" si="5"/>
        <v>580689.44552200323</v>
      </c>
      <c r="Y29" s="125">
        <f t="shared" si="6"/>
        <v>386314.17157265625</v>
      </c>
      <c r="Z29" s="125">
        <f t="shared" si="7"/>
        <v>493979.96349420468</v>
      </c>
      <c r="AA29" s="67">
        <f t="shared" si="8"/>
        <v>603842.89459075325</v>
      </c>
      <c r="AD29" s="250" t="s">
        <v>549</v>
      </c>
      <c r="AE29" s="246">
        <f>+$T$28</f>
        <v>331837.27673567634</v>
      </c>
      <c r="AF29" s="247">
        <f>+$W$28</f>
        <v>396165.25179317623</v>
      </c>
      <c r="AG29" s="250">
        <f>+$Z$28</f>
        <v>423885.00173567631</v>
      </c>
      <c r="AH29" s="250">
        <f>+'MODENA CORREDIZA'!$M$31</f>
        <v>53852.925720824918</v>
      </c>
      <c r="AI29" s="252"/>
      <c r="AJ29" s="252"/>
    </row>
    <row r="30" spans="1:36" ht="16.5" thickBot="1">
      <c r="A30" s="68">
        <v>1.2</v>
      </c>
      <c r="B30" s="69">
        <v>0.8</v>
      </c>
      <c r="C30" s="59">
        <f>((((A30*2)+(B30*2))*'MATERIALES (2)'!$C$60)+(((A30*2)+(B30*2))*'MATERIALES (2)'!$C$59)+(((A30*2)+(B30*2))*'MATERIALES (2)'!$C$76))*'MATERIALES (2)'!$F$2</f>
        <v>79747.499999999985</v>
      </c>
      <c r="D30" s="59">
        <f>((((A30*2)+(B30*2))*'MATERIALES (2)'!$C$60)+(((A30*2)+(B30*4))*'MATERIALES (2)'!$C$59)+(((A30*2)+(B30*4))*'MATERIALES (2)'!$C$76)+(B30*'MATERIALES (2)'!$C$80))*'MATERIALES (2)'!$F$2</f>
        <v>105658.602</v>
      </c>
      <c r="E30" s="59">
        <f>((((A30*2)+(B30*2))*'MATERIALES (2)'!$C$60)+(((A30*2)+(B30*6))*'MATERIALES (2)'!$C$59)+(((A30*2)+(B30*6))*'MATERIALES (2)'!$C$76)+((B30*2)*'MATERIALES (2)'!$C$80))*'MATERIALES (2)'!$F$2</f>
        <v>131569.70400000003</v>
      </c>
      <c r="F30" s="59">
        <f>(8*'MATERIALES (2)'!$C$178)+(1*'MATERIALES (2)'!$C$183)+(2*'MATERIALES (2)'!$C$195)+(((A30*2)+(B30*2))*'MATERIALES (2)'!$C$198)+(4*'MATERIALES (2)'!$C$137)+(((A30*5)*2)*'MATERIALES (2)'!$C$136)+(((A30*2)+(B30*2))*'MATERIALES (2)'!$C$199)+((((A30*2)+(B30*2))/0.1)*'MATERIALES (2)'!$C$181)+(((A30*2)+(B30*2))*'MATERIALES (2)'!$C$154)+(2*'MATERIALES (2)'!$C$176)+(0.5*'MATERIALES (2)'!$C$156)</f>
        <v>33330</v>
      </c>
      <c r="G30" s="59">
        <f>(12*'MATERIALES (2)'!$C$178)+(1*'MATERIALES (2)'!$C$183)+(4*'MATERIALES (2)'!$C$195)+(((A30*2)+(B30*4))*'MATERIALES (2)'!$C$198)+(4*'MATERIALES (2)'!$C$137)+(((A30*5)*2)*'MATERIALES (2)'!$C$136)+(((A30*2)+(B30*2))*'MATERIALES (2)'!$C$199)+((((A30*2)+(B30*4))/0.1)*'MATERIALES (2)'!$C$181)+(((A30*2)+(B30*4))*'MATERIALES (2)'!$C$154)+(2*'MATERIALES (2)'!$C$176)+(0.5*'MATERIALES (2)'!$C$156)</f>
        <v>43410</v>
      </c>
      <c r="H30" s="59">
        <f>(16*'MATERIALES (2)'!$C$178)+(1*'MATERIALES (2)'!$C$183)+(4*'MATERIALES (2)'!$C$195)+(2*'MATERIALES (2)'!$C$197)+(((A30*2)+(B30*6))*'MATERIALES (2)'!$C$198)+(4*'MATERIALES (2)'!$C$137)+(((A30*5)*2)*'MATERIALES (2)'!$C$136)+(((A30*2)+(B30*2))*'MATERIALES (2)'!$C$199)+((((A30*2)+(B30*6))/0.1)*'MATERIALES (2)'!$C$181)+(((A30*2)+(B30*6))*'MATERIALES (2)'!$C$154)+(2*'MATERIALES (2)'!$C$176)+(0.5*'MATERIALES (2)'!$C$156)</f>
        <v>54710</v>
      </c>
      <c r="I30" s="75"/>
      <c r="J30" s="55">
        <f>(A30*B30)*'MATERIALES (2)'!$D$85</f>
        <v>7104</v>
      </c>
      <c r="K30" s="55">
        <f>(A30*B30)*'MATERIALES (2)'!$D$85</f>
        <v>7104</v>
      </c>
      <c r="L30" s="55">
        <f>(A30*B30)*'MATERIALES (2)'!$D$85</f>
        <v>7104</v>
      </c>
      <c r="M30" s="55">
        <f>(((A30*B30)*2)*'MATERIALES (2)'!$D$86)+(4*'MATERIALES (2)'!$C$218)+(((A30*2)+(B30*2))*'MATERIALES (2)'!$C$219)+(((A30*2)+(B30*2))*'MATERIALES (2)'!$C$220)+((((A30*2)+(B30*2))/15)*'MATERIALES (2)'!$C$221)+((((A30*2)+(B30*2))/15)*('MATERIALES (2)'!$C$222*0.15))</f>
        <v>23860.566666666666</v>
      </c>
      <c r="N30" s="55">
        <f>(((A30*B30)*2)*'MATERIALES (2)'!$D$86)+(8*'MATERIALES (2)'!$C$218)+(((A30*2)+(B30*4))*'MATERIALES (2)'!$C$219)+(((A30*2)+(B30*4))*'MATERIALES (2)'!$C$220)+((((A30*2)+(B30*4))/15)*'MATERIALES (2)'!$C$221)+((((A30*2)+(B30*4))/15)*('MATERIALES (2)'!$C$222*0.15))</f>
        <v>26727.033333333329</v>
      </c>
      <c r="O30" s="55">
        <f>(((A30*B30)*2)*'MATERIALES (2)'!$D$86)+(12*'MATERIALES (2)'!$C$218)+(((A30*2)+(B30*6))*'MATERIALES (2)'!$C$219)+(((A30*2)+(B30*6))*'MATERIALES (2)'!$C$220)+((((A30*2)+(B30*6))/15)*'MATERIALES (2)'!$C$221)+((((A30*2)+(B30*6))/15)*('MATERIALES (2)'!$C$222*0.15))</f>
        <v>29593.499999999996</v>
      </c>
      <c r="P30" s="55">
        <f>(A30*B30)*'MATERIALES (2)'!$D$92</f>
        <v>34704</v>
      </c>
      <c r="Q30" s="55">
        <f>(A30*B30)*'MATERIALES (2)'!$D$92</f>
        <v>34704</v>
      </c>
      <c r="R30" s="55">
        <f>(A30*B30)*'MATERIALES (2)'!$D$92</f>
        <v>34704</v>
      </c>
      <c r="S30" s="125">
        <f t="shared" si="0"/>
        <v>222598.91331562502</v>
      </c>
      <c r="T30" s="125">
        <f t="shared" si="1"/>
        <v>287416.50360711751</v>
      </c>
      <c r="U30" s="125">
        <f t="shared" si="2"/>
        <v>354431.23307361011</v>
      </c>
      <c r="V30" s="125">
        <f t="shared" si="3"/>
        <v>267306.271010625</v>
      </c>
      <c r="W30" s="125">
        <f t="shared" si="4"/>
        <v>339771.73769211757</v>
      </c>
      <c r="X30" s="125">
        <f t="shared" si="5"/>
        <v>414434.34354861005</v>
      </c>
      <c r="Y30" s="125">
        <f t="shared" si="6"/>
        <v>296237.09331562504</v>
      </c>
      <c r="Z30" s="125">
        <f t="shared" si="7"/>
        <v>361054.68360711756</v>
      </c>
      <c r="AA30" s="67">
        <f t="shared" si="8"/>
        <v>428069.41307361011</v>
      </c>
      <c r="AD30" s="250" t="s">
        <v>550</v>
      </c>
      <c r="AE30" s="246">
        <f>+$T$29</f>
        <v>378920.30724420468</v>
      </c>
      <c r="AF30" s="247">
        <f>+$W$29</f>
        <v>456860.27319420467</v>
      </c>
      <c r="AG30" s="250">
        <f>+$Z$29</f>
        <v>493979.96349420468</v>
      </c>
      <c r="AH30" s="250">
        <f>+'MODENA CORREDIZA'!$M$32</f>
        <v>67271.133807281207</v>
      </c>
      <c r="AI30" s="252"/>
      <c r="AJ30" s="252"/>
    </row>
    <row r="31" spans="1:36" ht="16.5" thickBot="1">
      <c r="A31" s="68">
        <v>1.2</v>
      </c>
      <c r="B31" s="69">
        <v>1</v>
      </c>
      <c r="C31" s="59">
        <f>((((A31*2)+(B31*2))*'MATERIALES (2)'!$C$60)+(((A31*2)+(B31*2))*'MATERIALES (2)'!$C$59)+(((A31*2)+(B31*2))*'MATERIALES (2)'!$C$76))*'MATERIALES (2)'!$F$2</f>
        <v>87722.25</v>
      </c>
      <c r="D31" s="59">
        <f>((((A31*2)+(B31*2))*'MATERIALES (2)'!$C$60)+(((A31*2)+(B31*4))*'MATERIALES (2)'!$C$59)+(((A31*2)+(B31*4))*'MATERIALES (2)'!$C$76)+(B31*'MATERIALES (2)'!$C$80))*'MATERIALES (2)'!$F$2</f>
        <v>120111.12749999999</v>
      </c>
      <c r="E31" s="59">
        <f>((((A31*2)+(B31*2))*'MATERIALES (2)'!$C$60)+(((A31*2)+(B31*6))*'MATERIALES (2)'!$C$59)+(((A31*2)+(B31*6))*'MATERIALES (2)'!$C$76)+((B31*2)*'MATERIALES (2)'!$C$80))*'MATERIALES (2)'!$F$2</f>
        <v>152500.005</v>
      </c>
      <c r="F31" s="59">
        <f>(8*'MATERIALES (2)'!$C$178)+(1*'MATERIALES (2)'!$C$183)+(2*'MATERIALES (2)'!$C$195)+(((A31*2)+(B31*2))*'MATERIALES (2)'!$C$198)+(4*'MATERIALES (2)'!$C$137)+(((A31*5)*2)*'MATERIALES (2)'!$C$136)+(((A31*2)+(B31*2))*'MATERIALES (2)'!$C$199)+((((A31*2)+(B31*2))/0.1)*'MATERIALES (2)'!$C$181)+(((A31*2)+(B31*2))*'MATERIALES (2)'!$C$154)+(2*'MATERIALES (2)'!$C$176)+(0.5*'MATERIALES (2)'!$C$156)</f>
        <v>33794</v>
      </c>
      <c r="G31" s="59">
        <f>(12*'MATERIALES (2)'!$C$178)+(1*'MATERIALES (2)'!$C$183)+(4*'MATERIALES (2)'!$C$195)+(((A31*2)+(B31*4))*'MATERIALES (2)'!$C$198)+(4*'MATERIALES (2)'!$C$137)+(((A31*5)*2)*'MATERIALES (2)'!$C$136)+(((A31*2)+(B31*2))*'MATERIALES (2)'!$C$199)+((((A31*2)+(B31*4))/0.1)*'MATERIALES (2)'!$C$181)+(((A31*2)+(B31*4))*'MATERIALES (2)'!$C$154)+(2*'MATERIALES (2)'!$C$176)+(0.5*'MATERIALES (2)'!$C$156)</f>
        <v>44194</v>
      </c>
      <c r="H31" s="59">
        <f>(16*'MATERIALES (2)'!$C$178)+(1*'MATERIALES (2)'!$C$183)+(4*'MATERIALES (2)'!$C$195)+(2*'MATERIALES (2)'!$C$197)+(((A31*2)+(B31*6))*'MATERIALES (2)'!$C$198)+(4*'MATERIALES (2)'!$C$137)+(((A31*5)*2)*'MATERIALES (2)'!$C$136)+(((A31*2)+(B31*2))*'MATERIALES (2)'!$C$199)+((((A31*2)+(B31*6))/0.1)*'MATERIALES (2)'!$C$181)+(((A31*2)+(B31*6))*'MATERIALES (2)'!$C$154)+(2*'MATERIALES (2)'!$C$176)+(0.5*'MATERIALES (2)'!$C$156)</f>
        <v>55814</v>
      </c>
      <c r="I31" s="75"/>
      <c r="J31" s="55">
        <f>(A31*B31)*'MATERIALES (2)'!$D$85</f>
        <v>8880</v>
      </c>
      <c r="K31" s="55">
        <f>(A31*B31)*'MATERIALES (2)'!$D$85</f>
        <v>8880</v>
      </c>
      <c r="L31" s="55">
        <f>(A31*B31)*'MATERIALES (2)'!$D$85</f>
        <v>8880</v>
      </c>
      <c r="M31" s="55">
        <f>(((A31*B31)*2)*'MATERIALES (2)'!$D$86)+(4*'MATERIALES (2)'!$C$218)+(((A31*2)+(B31*2))*'MATERIALES (2)'!$C$219)+(((A31*2)+(B31*2))*'MATERIALES (2)'!$C$220)+((((A31*2)+(B31*2))/15)*'MATERIALES (2)'!$C$221)+((((A31*2)+(B31*2))/15)*('MATERIALES (2)'!$C$222*0.15))</f>
        <v>28770.783333333333</v>
      </c>
      <c r="N31" s="55">
        <f>(((A31*B31)*2)*'MATERIALES (2)'!$D$86)+(8*'MATERIALES (2)'!$C$218)+(((A31*2)+(B31*4))*'MATERIALES (2)'!$C$219)+(((A31*2)+(B31*4))*'MATERIALES (2)'!$C$220)+((((A31*2)+(B31*4))/15)*'MATERIALES (2)'!$C$221)+((((A31*2)+(B31*4))/15)*('MATERIALES (2)'!$C$222*0.15))</f>
        <v>32313.866666666669</v>
      </c>
      <c r="O31" s="55">
        <f>(((A31*B31)*2)*'MATERIALES (2)'!$D$86)+(12*'MATERIALES (2)'!$C$218)+(((A31*2)+(B31*6))*'MATERIALES (2)'!$C$219)+(((A31*2)+(B31*6))*'MATERIALES (2)'!$C$220)+((((A31*2)+(B31*6))/15)*'MATERIALES (2)'!$C$221)+((((A31*2)+(B31*6))/15)*('MATERIALES (2)'!$C$222*0.15))</f>
        <v>35856.949999999997</v>
      </c>
      <c r="P31" s="55">
        <f>(A31*B31)*'MATERIALES (2)'!$D$92</f>
        <v>43380</v>
      </c>
      <c r="Q31" s="55">
        <f>(A31*B31)*'MATERIALES (2)'!$D$92</f>
        <v>43380</v>
      </c>
      <c r="R31" s="55">
        <f>(A31*B31)*'MATERIALES (2)'!$D$92</f>
        <v>43380</v>
      </c>
      <c r="S31" s="125">
        <f t="shared" si="0"/>
        <v>242534.99979843752</v>
      </c>
      <c r="T31" s="125">
        <f t="shared" si="1"/>
        <v>319594.93341280316</v>
      </c>
      <c r="U31" s="125">
        <f t="shared" si="2"/>
        <v>398852.00620216882</v>
      </c>
      <c r="V31" s="125">
        <f t="shared" si="3"/>
        <v>295604.6042709375</v>
      </c>
      <c r="W31" s="125">
        <f t="shared" si="4"/>
        <v>382117.66137280309</v>
      </c>
      <c r="X31" s="125">
        <f t="shared" si="5"/>
        <v>470827.85764966876</v>
      </c>
      <c r="Y31" s="125">
        <f t="shared" si="6"/>
        <v>334582.7247984375</v>
      </c>
      <c r="Z31" s="125">
        <f t="shared" si="7"/>
        <v>411642.6584128032</v>
      </c>
      <c r="AA31" s="67">
        <f t="shared" si="8"/>
        <v>490899.7312021688</v>
      </c>
      <c r="AD31" s="250" t="s">
        <v>553</v>
      </c>
      <c r="AE31" s="246">
        <f>+$T$30</f>
        <v>287416.50360711751</v>
      </c>
      <c r="AF31" s="247">
        <f>+$W$30</f>
        <v>339771.73769211757</v>
      </c>
      <c r="AG31" s="250">
        <f>+$Z$30</f>
        <v>361054.68360711756</v>
      </c>
      <c r="AH31" s="250">
        <f>+'MODENA CORREDIZA'!$M$28</f>
        <v>35961.981605549925</v>
      </c>
      <c r="AI31" s="252"/>
    </row>
    <row r="32" spans="1:36" ht="16.5" thickBot="1">
      <c r="A32" s="68">
        <v>1.2</v>
      </c>
      <c r="B32" s="69">
        <v>1.1000000000000001</v>
      </c>
      <c r="C32" s="59">
        <f>((((A32*2)+(B32*2))*'MATERIALES (2)'!$C$60)+(((A32*2)+(B32*2))*'MATERIALES (2)'!$C$59)+(((A32*2)+(B32*2))*'MATERIALES (2)'!$C$76))*'MATERIALES (2)'!$F$2</f>
        <v>91709.625000000015</v>
      </c>
      <c r="D32" s="59">
        <f>((((A32*2)+(B32*2))*'MATERIALES (2)'!$C$60)+(((A32*2)+(B32*4))*'MATERIALES (2)'!$C$59)+(((A32*2)+(B32*4))*'MATERIALES (2)'!$C$76)+(B32*'MATERIALES (2)'!$C$80))*'MATERIALES (2)'!$F$2</f>
        <v>127337.39025000001</v>
      </c>
      <c r="E32" s="59">
        <f>((((A32*2)+(B32*2))*'MATERIALES (2)'!$C$60)+(((A32*2)+(B32*6))*'MATERIALES (2)'!$C$59)+(((A32*2)+(B32*6))*'MATERIALES (2)'!$C$76)+((B32*2)*'MATERIALES (2)'!$C$80))*'MATERIALES (2)'!$F$2</f>
        <v>162965.15549999999</v>
      </c>
      <c r="F32" s="59">
        <f>(8*'MATERIALES (2)'!$C$178)+(1*'MATERIALES (2)'!$C$183)+(2*'MATERIALES (2)'!$C$195)+(((A32*2)+(B32*2))*'MATERIALES (2)'!$C$198)+(4*'MATERIALES (2)'!$C$137)+(((A32*5)*2)*'MATERIALES (2)'!$C$136)+(((A32*2)+(B32*2))*'MATERIALES (2)'!$C$199)+((((A32*2)+(B32*2))/0.1)*'MATERIALES (2)'!$C$181)+(((A32*2)+(B32*2))*'MATERIALES (2)'!$C$154)+(2*'MATERIALES (2)'!$C$176)+(0.5*'MATERIALES (2)'!$C$156)</f>
        <v>34026</v>
      </c>
      <c r="G32" s="59">
        <f>(12*'MATERIALES (2)'!$C$178)+(1*'MATERIALES (2)'!$C$183)+(4*'MATERIALES (2)'!$C$195)+(((A32*2)+(B32*4))*'MATERIALES (2)'!$C$198)+(4*'MATERIALES (2)'!$C$137)+(((A32*5)*2)*'MATERIALES (2)'!$C$136)+(((A32*2)+(B32*2))*'MATERIALES (2)'!$C$199)+((((A32*2)+(B32*4))/0.1)*'MATERIALES (2)'!$C$181)+(((A32*2)+(B32*4))*'MATERIALES (2)'!$C$154)+(2*'MATERIALES (2)'!$C$176)+(0.5*'MATERIALES (2)'!$C$156)</f>
        <v>44586</v>
      </c>
      <c r="H32" s="59">
        <f>(16*'MATERIALES (2)'!$C$178)+(1*'MATERIALES (2)'!$C$183)+(4*'MATERIALES (2)'!$C$195)+(2*'MATERIALES (2)'!$C$197)+(((A32*2)+(B32*6))*'MATERIALES (2)'!$C$198)+(4*'MATERIALES (2)'!$C$137)+(((A32*5)*2)*'MATERIALES (2)'!$C$136)+(((A32*2)+(B32*2))*'MATERIALES (2)'!$C$199)+((((A32*2)+(B32*6))/0.1)*'MATERIALES (2)'!$C$181)+(((A32*2)+(B32*6))*'MATERIALES (2)'!$C$154)+(2*'MATERIALES (2)'!$C$176)+(0.5*'MATERIALES (2)'!$C$156)</f>
        <v>56366</v>
      </c>
      <c r="I32" s="75"/>
      <c r="J32" s="55">
        <f>(A32*B32)*'MATERIALES (2)'!$D$85</f>
        <v>9768</v>
      </c>
      <c r="K32" s="55">
        <f>(A32*B32)*'MATERIALES (2)'!$D$85</f>
        <v>9768</v>
      </c>
      <c r="L32" s="55">
        <f>(A32*B32)*'MATERIALES (2)'!$D$85</f>
        <v>9768</v>
      </c>
      <c r="M32" s="55">
        <f>(((A32*B32)*2)*'MATERIALES (2)'!$D$86)+(4*'MATERIALES (2)'!$C$218)+(((A32*2)+(B32*2))*'MATERIALES (2)'!$C$219)+(((A32*2)+(B32*2))*'MATERIALES (2)'!$C$220)+((((A32*2)+(B32*2))/15)*'MATERIALES (2)'!$C$221)+((((A32*2)+(B32*2))/15)*('MATERIALES (2)'!$C$222*0.15))</f>
        <v>31225.89166666667</v>
      </c>
      <c r="N32" s="55">
        <f>(((A32*B32)*2)*'MATERIALES (2)'!$D$86)+(8*'MATERIALES (2)'!$C$218)+(((A32*2)+(B32*4))*'MATERIALES (2)'!$C$219)+(((A32*2)+(B32*4))*'MATERIALES (2)'!$C$220)+((((A32*2)+(B32*4))/15)*'MATERIALES (2)'!$C$221)+((((A32*2)+(B32*4))/15)*('MATERIALES (2)'!$C$222*0.15))</f>
        <v>35107.28333333334</v>
      </c>
      <c r="O32" s="55">
        <f>(((A32*B32)*2)*'MATERIALES (2)'!$D$86)+(12*'MATERIALES (2)'!$C$218)+(((A32*2)+(B32*6))*'MATERIALES (2)'!$C$219)+(((A32*2)+(B32*6))*'MATERIALES (2)'!$C$220)+((((A32*2)+(B32*6))/15)*'MATERIALES (2)'!$C$221)+((((A32*2)+(B32*6))/15)*('MATERIALES (2)'!$C$222*0.15))</f>
        <v>38988.675000000003</v>
      </c>
      <c r="P32" s="55">
        <f>(A32*B32)*'MATERIALES (2)'!$D$92</f>
        <v>47718</v>
      </c>
      <c r="Q32" s="55">
        <f>(A32*B32)*'MATERIALES (2)'!$D$92</f>
        <v>47718</v>
      </c>
      <c r="R32" s="55">
        <f>(A32*B32)*'MATERIALES (2)'!$D$92</f>
        <v>47718</v>
      </c>
      <c r="S32" s="125">
        <f t="shared" si="0"/>
        <v>252503.04303984379</v>
      </c>
      <c r="T32" s="125">
        <f t="shared" si="1"/>
        <v>335684.14831564593</v>
      </c>
      <c r="U32" s="125">
        <f t="shared" si="2"/>
        <v>421062.3927664482</v>
      </c>
      <c r="V32" s="125">
        <f t="shared" si="3"/>
        <v>309753.77090109384</v>
      </c>
      <c r="W32" s="125">
        <f t="shared" si="4"/>
        <v>403290.623213146</v>
      </c>
      <c r="X32" s="125">
        <f t="shared" si="5"/>
        <v>499024.61470019823</v>
      </c>
      <c r="Y32" s="125">
        <f t="shared" si="6"/>
        <v>353755.54053984379</v>
      </c>
      <c r="Z32" s="125">
        <f t="shared" si="7"/>
        <v>436936.64581564593</v>
      </c>
      <c r="AA32" s="67">
        <f t="shared" si="8"/>
        <v>522314.8902664482</v>
      </c>
      <c r="AD32" s="250" t="s">
        <v>554</v>
      </c>
      <c r="AE32" s="246">
        <f>+$T$31</f>
        <v>319594.93341280316</v>
      </c>
      <c r="AF32" s="247">
        <f>+$W$31</f>
        <v>382117.66137280309</v>
      </c>
      <c r="AG32" s="250">
        <f>+$Z$31</f>
        <v>411642.6584128032</v>
      </c>
      <c r="AH32" s="250">
        <f>+'MODENA CORREDIZA'!$M$29</f>
        <v>44907.453663187451</v>
      </c>
      <c r="AI32" s="252"/>
    </row>
    <row r="33" spans="1:36" ht="16.5" customHeight="1" thickBot="1">
      <c r="A33" s="68">
        <v>1.2</v>
      </c>
      <c r="B33" s="69">
        <v>1.2</v>
      </c>
      <c r="C33" s="59">
        <f>((((A33*2)+(B33*2))*'MATERIALES (2)'!$C$60)+(((A33*2)+(B33*2))*'MATERIALES (2)'!$C$59)+(((A33*2)+(B33*2))*'MATERIALES (2)'!$C$76))*'MATERIALES (2)'!$F$2</f>
        <v>95697</v>
      </c>
      <c r="D33" s="59">
        <f>((((A33*2)+(B33*2))*'MATERIALES (2)'!$C$60)+(((A33*2)+(B33*4))*'MATERIALES (2)'!$C$59)+(((A33*2)+(B33*4))*'MATERIALES (2)'!$C$76)+(B33*'MATERIALES (2)'!$C$80))*'MATERIALES (2)'!$F$2</f>
        <v>134563.65299999999</v>
      </c>
      <c r="E33" s="59">
        <f>((((A33*2)+(B33*2))*'MATERIALES (2)'!$C$60)+(((A33*2)+(B33*6))*'MATERIALES (2)'!$C$59)+(((A33*2)+(B33*6))*'MATERIALES (2)'!$C$76)+((B33*2)*'MATERIALES (2)'!$C$80))*'MATERIALES (2)'!$F$2</f>
        <v>173430.30600000001</v>
      </c>
      <c r="F33" s="59">
        <f>(8*'MATERIALES (2)'!$C$178)+(1*'MATERIALES (2)'!$C$183)+(2*'MATERIALES (2)'!$C$195)+(((A33*2)+(B33*2))*'MATERIALES (2)'!$C$198)+(4*'MATERIALES (2)'!$C$137)+(((A33*5)*2)*'MATERIALES (2)'!$C$136)+(((A33*2)+(B33*2))*'MATERIALES (2)'!$C$199)+((((A33*2)+(B33*2))/0.1)*'MATERIALES (2)'!$C$181)+(((A33*2)+(B33*2))*'MATERIALES (2)'!$C$154)+(2*'MATERIALES (2)'!$C$176)+(0.5*'MATERIALES (2)'!$C$156)</f>
        <v>34258</v>
      </c>
      <c r="G33" s="59">
        <f>(12*'MATERIALES (2)'!$C$178)+(1*'MATERIALES (2)'!$C$183)+(4*'MATERIALES (2)'!$C$195)+(((A33*2)+(B33*4))*'MATERIALES (2)'!$C$198)+(4*'MATERIALES (2)'!$C$137)+(((A33*5)*2)*'MATERIALES (2)'!$C$136)+(((A33*2)+(B33*2))*'MATERIALES (2)'!$C$199)+((((A33*2)+(B33*4))/0.1)*'MATERIALES (2)'!$C$181)+(((A33*2)+(B33*4))*'MATERIALES (2)'!$C$154)+(2*'MATERIALES (2)'!$C$176)+(0.5*'MATERIALES (2)'!$C$156)</f>
        <v>44978</v>
      </c>
      <c r="H33" s="59">
        <f>(16*'MATERIALES (2)'!$C$178)+(1*'MATERIALES (2)'!$C$183)+(4*'MATERIALES (2)'!$C$195)+(2*'MATERIALES (2)'!$C$197)+(((A33*2)+(B33*6))*'MATERIALES (2)'!$C$198)+(4*'MATERIALES (2)'!$C$137)+(((A33*5)*2)*'MATERIALES (2)'!$C$136)+(((A33*2)+(B33*2))*'MATERIALES (2)'!$C$199)+((((A33*2)+(B33*6))/0.1)*'MATERIALES (2)'!$C$181)+(((A33*2)+(B33*6))*'MATERIALES (2)'!$C$154)+(2*'MATERIALES (2)'!$C$176)+(0.5*'MATERIALES (2)'!$C$156)</f>
        <v>56918</v>
      </c>
      <c r="I33" s="75"/>
      <c r="J33" s="55">
        <f>(A33*B33)*'MATERIALES (2)'!$D$85</f>
        <v>10656</v>
      </c>
      <c r="K33" s="55">
        <f>(A33*B33)*'MATERIALES (2)'!$D$85</f>
        <v>10656</v>
      </c>
      <c r="L33" s="55">
        <f>(A33*B33)*'MATERIALES (2)'!$D$85</f>
        <v>10656</v>
      </c>
      <c r="M33" s="55">
        <f>(((A33*B33)*2)*'MATERIALES (2)'!$D$86)+(4*'MATERIALES (2)'!$C$218)+(((A33*2)+(B33*2))*'MATERIALES (2)'!$C$219)+(((A33*2)+(B33*2))*'MATERIALES (2)'!$C$220)+((((A33*2)+(B33*2))/15)*'MATERIALES (2)'!$C$221)+((((A33*2)+(B33*2))/15)*('MATERIALES (2)'!$C$222*0.15))</f>
        <v>33681</v>
      </c>
      <c r="N33" s="55">
        <f>(((A33*B33)*2)*'MATERIALES (2)'!$D$86)+(8*'MATERIALES (2)'!$C$218)+(((A33*2)+(B33*4))*'MATERIALES (2)'!$C$219)+(((A33*2)+(B33*4))*'MATERIALES (2)'!$C$220)+((((A33*2)+(B33*4))/15)*'MATERIALES (2)'!$C$221)+((((A33*2)+(B33*4))/15)*('MATERIALES (2)'!$C$222*0.15))</f>
        <v>37900.699999999997</v>
      </c>
      <c r="O33" s="55">
        <f>(((A33*B33)*2)*'MATERIALES (2)'!$D$86)+(12*'MATERIALES (2)'!$C$218)+(((A33*2)+(B33*6))*'MATERIALES (2)'!$C$219)+(((A33*2)+(B33*6))*'MATERIALES (2)'!$C$220)+((((A33*2)+(B33*6))/15)*'MATERIALES (2)'!$C$221)+((((A33*2)+(B33*6))/15)*('MATERIALES (2)'!$C$222*0.15))</f>
        <v>42120.4</v>
      </c>
      <c r="P33" s="55">
        <f>(A33*B33)*'MATERIALES (2)'!$D$92</f>
        <v>52056</v>
      </c>
      <c r="Q33" s="55">
        <f>(A33*B33)*'MATERIALES (2)'!$D$92</f>
        <v>52056</v>
      </c>
      <c r="R33" s="55">
        <f>(A33*B33)*'MATERIALES (2)'!$D$92</f>
        <v>52056</v>
      </c>
      <c r="S33" s="125">
        <f t="shared" si="0"/>
        <v>262471.08628125</v>
      </c>
      <c r="T33" s="125">
        <f t="shared" si="1"/>
        <v>351773.36321848875</v>
      </c>
      <c r="U33" s="125">
        <f t="shared" si="2"/>
        <v>443272.77933072759</v>
      </c>
      <c r="V33" s="125">
        <f t="shared" si="3"/>
        <v>323902.93753125006</v>
      </c>
      <c r="W33" s="125">
        <f t="shared" si="4"/>
        <v>424463.58505348873</v>
      </c>
      <c r="X33" s="125">
        <f t="shared" si="5"/>
        <v>527221.37175072753</v>
      </c>
      <c r="Y33" s="125">
        <f t="shared" si="6"/>
        <v>372928.35628125007</v>
      </c>
      <c r="Z33" s="125">
        <f t="shared" si="7"/>
        <v>462230.63321848877</v>
      </c>
      <c r="AA33" s="67">
        <f t="shared" si="8"/>
        <v>553730.04933072755</v>
      </c>
      <c r="AD33" s="250" t="s">
        <v>555</v>
      </c>
      <c r="AE33" s="246">
        <f>+$T$32</f>
        <v>335684.14831564593</v>
      </c>
      <c r="AF33" s="247">
        <f>+$W$32</f>
        <v>403290.623213146</v>
      </c>
      <c r="AG33" s="250">
        <f>+$Z$32</f>
        <v>436936.64581564593</v>
      </c>
      <c r="AH33" s="250">
        <f>+'MODENA CORREDIZA'!$M$30</f>
        <v>49380.189692006272</v>
      </c>
      <c r="AI33" s="259"/>
    </row>
    <row r="34" spans="1:36" ht="16.5" customHeight="1" thickBot="1">
      <c r="A34" s="68">
        <v>1.2</v>
      </c>
      <c r="B34" s="69">
        <v>1.5</v>
      </c>
      <c r="C34" s="59">
        <f>((((A34*2)+(B34*2))*'MATERIALES (2)'!$C$60)+(((A34*2)+(B34*2))*'MATERIALES (2)'!$C$59)+(((A34*2)+(B34*2))*'MATERIALES (2)'!$C$76))*'MATERIALES (2)'!$F$2</f>
        <v>107659.12500000001</v>
      </c>
      <c r="D34" s="59">
        <f>((((A34*2)+(B34*2))*'MATERIALES (2)'!$C$60)+(((A34*2)+(B34*4))*'MATERIALES (2)'!$C$59)+(((A34*2)+(B34*4))*'MATERIALES (2)'!$C$76)+(B34*'MATERIALES (2)'!$C$80))*'MATERIALES (2)'!$F$2</f>
        <v>156242.44125</v>
      </c>
      <c r="E34" s="59">
        <f>((((A34*2)+(B34*2))*'MATERIALES (2)'!$C$60)+(((A34*2)+(B34*6))*'MATERIALES (2)'!$C$59)+(((A34*2)+(B34*6))*'MATERIALES (2)'!$C$76)+((B34*2)*'MATERIALES (2)'!$C$80))*'MATERIALES (2)'!$F$2</f>
        <v>204825.75749999998</v>
      </c>
      <c r="F34" s="59">
        <f>(8*'MATERIALES (2)'!$C$178)+(1*'MATERIALES (2)'!$C$183)+(2*'MATERIALES (2)'!$C$195)+(((A34*2)+(B34*2))*'MATERIALES (2)'!$C$198)+(4*'MATERIALES (2)'!$C$137)+(((A34*5)*2)*'MATERIALES (2)'!$C$136)+(((A34*2)+(B34*2))*'MATERIALES (2)'!$C$199)+((((A34*2)+(B34*2))/0.1)*'MATERIALES (2)'!$C$181)+(((A34*2)+(B34*2))*'MATERIALES (2)'!$C$154)+(2*'MATERIALES (2)'!$C$176)+(0.5*'MATERIALES (2)'!$C$156)</f>
        <v>34954</v>
      </c>
      <c r="G34" s="59">
        <f>(12*'MATERIALES (2)'!$C$178)+(1*'MATERIALES (2)'!$C$183)+(4*'MATERIALES (2)'!$C$195)+(((A34*2)+(B34*4))*'MATERIALES (2)'!$C$198)+(4*'MATERIALES (2)'!$C$137)+(((A34*5)*2)*'MATERIALES (2)'!$C$136)+(((A34*2)+(B34*2))*'MATERIALES (2)'!$C$199)+((((A34*2)+(B34*4))/0.1)*'MATERIALES (2)'!$C$181)+(((A34*2)+(B34*4))*'MATERIALES (2)'!$C$154)+(2*'MATERIALES (2)'!$C$176)+(0.5*'MATERIALES (2)'!$C$156)</f>
        <v>46154</v>
      </c>
      <c r="H34" s="59">
        <f>(16*'MATERIALES (2)'!$C$178)+(1*'MATERIALES (2)'!$C$183)+(4*'MATERIALES (2)'!$C$195)+(2*'MATERIALES (2)'!$C$197)+(((A34*2)+(B34*6))*'MATERIALES (2)'!$C$198)+(4*'MATERIALES (2)'!$C$137)+(((A34*5)*2)*'MATERIALES (2)'!$C$136)+(((A34*2)+(B34*2))*'MATERIALES (2)'!$C$199)+((((A34*2)+(B34*6))/0.1)*'MATERIALES (2)'!$C$181)+(((A34*2)+(B34*6))*'MATERIALES (2)'!$C$154)+(2*'MATERIALES (2)'!$C$176)+(0.5*'MATERIALES (2)'!$C$156)</f>
        <v>58574</v>
      </c>
      <c r="I34" s="75"/>
      <c r="J34" s="55">
        <f>(A34*B34)*'MATERIALES (2)'!$D$85</f>
        <v>13319.999999999998</v>
      </c>
      <c r="K34" s="55">
        <f>(A34*B34)*'MATERIALES (2)'!$D$85</f>
        <v>13319.999999999998</v>
      </c>
      <c r="L34" s="55">
        <f>(A34*B34)*'MATERIALES (2)'!$D$85</f>
        <v>13319.999999999998</v>
      </c>
      <c r="M34" s="55">
        <f>(((A34*B34)*2)*'MATERIALES (2)'!$D$86)+(4*'MATERIALES (2)'!$C$218)+(((A34*2)+(B34*2))*'MATERIALES (2)'!$C$219)+(((A34*2)+(B34*2))*'MATERIALES (2)'!$C$220)+((((A34*2)+(B34*2))/15)*'MATERIALES (2)'!$C$221)+((((A34*2)+(B34*2))/15)*('MATERIALES (2)'!$C$222*0.15))</f>
        <v>41046.324999999997</v>
      </c>
      <c r="N34" s="55">
        <f>(((A34*B34)*2)*'MATERIALES (2)'!$D$86)+(8*'MATERIALES (2)'!$C$218)+(((A34*2)+(B34*4))*'MATERIALES (2)'!$C$219)+(((A34*2)+(B34*4))*'MATERIALES (2)'!$C$220)+((((A34*2)+(B34*4))/15)*'MATERIALES (2)'!$C$221)+((((A34*2)+(B34*4))/15)*('MATERIALES (2)'!$C$222*0.15))</f>
        <v>46280.95</v>
      </c>
      <c r="O34" s="55">
        <f>(((A34*B34)*2)*'MATERIALES (2)'!$D$86)+(12*'MATERIALES (2)'!$C$218)+(((A34*2)+(B34*6))*'MATERIALES (2)'!$C$219)+(((A34*2)+(B34*6))*'MATERIALES (2)'!$C$220)+((((A34*2)+(B34*6))/15)*'MATERIALES (2)'!$C$221)+((((A34*2)+(B34*6))/15)*('MATERIALES (2)'!$C$222*0.15))</f>
        <v>51515.574999999997</v>
      </c>
      <c r="P34" s="55">
        <f>(A34*B34)*'MATERIALES (2)'!$D$92</f>
        <v>65069.999999999993</v>
      </c>
      <c r="Q34" s="55">
        <f>(A34*B34)*'MATERIALES (2)'!$D$92</f>
        <v>65069.999999999993</v>
      </c>
      <c r="R34" s="55">
        <f>(A34*B34)*'MATERIALES (2)'!$D$92</f>
        <v>65069.999999999993</v>
      </c>
      <c r="S34" s="125">
        <f t="shared" si="0"/>
        <v>292375.2160054688</v>
      </c>
      <c r="T34" s="125">
        <f t="shared" si="1"/>
        <v>400041.00792701723</v>
      </c>
      <c r="U34" s="125">
        <f t="shared" si="2"/>
        <v>509903.93902356556</v>
      </c>
      <c r="V34" s="125">
        <f t="shared" si="3"/>
        <v>366350.43742171879</v>
      </c>
      <c r="W34" s="125">
        <f t="shared" si="4"/>
        <v>487982.47057451715</v>
      </c>
      <c r="X34" s="125">
        <f t="shared" si="5"/>
        <v>611811.64290231548</v>
      </c>
      <c r="Y34" s="125">
        <f t="shared" si="6"/>
        <v>430446.80350546882</v>
      </c>
      <c r="Z34" s="125">
        <f t="shared" si="7"/>
        <v>538112.59542701719</v>
      </c>
      <c r="AA34" s="67">
        <f t="shared" si="8"/>
        <v>647975.52652356564</v>
      </c>
      <c r="AD34" s="250" t="s">
        <v>556</v>
      </c>
      <c r="AE34" s="246">
        <f>+$T$33</f>
        <v>351773.36321848875</v>
      </c>
      <c r="AF34" s="247">
        <f>+$W$33</f>
        <v>424463.58505348873</v>
      </c>
      <c r="AG34" s="250">
        <f>+$Z$33</f>
        <v>462230.63321848877</v>
      </c>
      <c r="AH34" s="250">
        <f>+'MODENA CORREDIZA'!$M$31</f>
        <v>53852.925720824918</v>
      </c>
      <c r="AI34" s="259"/>
    </row>
    <row r="35" spans="1:36" ht="16.5" thickBot="1">
      <c r="A35" s="68">
        <v>1.2</v>
      </c>
      <c r="B35" s="69">
        <v>1.8</v>
      </c>
      <c r="C35" s="59">
        <f>((((A35*2)+(B35*2))*'MATERIALES (2)'!$C$60)+(((A35*2)+(B35*2))*'MATERIALES (2)'!$C$59)+(((A35*2)+(B35*2))*'MATERIALES (2)'!$C$76))*'MATERIALES (2)'!$F$2</f>
        <v>119621.25</v>
      </c>
      <c r="D35" s="59">
        <f>((((A35*2)+(B35*2))*'MATERIALES (2)'!$C$60)+(((A35*2)+(B35*4))*'MATERIALES (2)'!$C$59)+(((A35*2)+(B35*4))*'MATERIALES (2)'!$C$76)+(B35*'MATERIALES (2)'!$C$80))*'MATERIALES (2)'!$F$2</f>
        <v>177921.22949999999</v>
      </c>
      <c r="E35" s="59">
        <f>((((A35*2)+(B35*2))*'MATERIALES (2)'!$C$60)+(((A35*2)+(B35*6))*'MATERIALES (2)'!$C$59)+(((A35*2)+(B35*6))*'MATERIALES (2)'!$C$76)+((B35*2)*'MATERIALES (2)'!$C$80))*'MATERIALES (2)'!$F$2</f>
        <v>236221.20900000003</v>
      </c>
      <c r="F35" s="59">
        <f>(8*'MATERIALES (2)'!$C$178)+(1*'MATERIALES (2)'!$C$183)+(2*'MATERIALES (2)'!$C$195)+(((A35*2)+(B35*2))*'MATERIALES (2)'!$C$198)+(4*'MATERIALES (2)'!$C$137)+(((A35*5)*2)*'MATERIALES (2)'!$C$136)+(((A35*2)+(B35*2))*'MATERIALES (2)'!$C$199)+((((A35*2)+(B35*2))/0.1)*'MATERIALES (2)'!$C$181)+(((A35*2)+(B35*2))*'MATERIALES (2)'!$C$154)+(2*'MATERIALES (2)'!$C$176)+(0.5*'MATERIALES (2)'!$C$156)</f>
        <v>35650</v>
      </c>
      <c r="G35" s="59">
        <f>(12*'MATERIALES (2)'!$C$178)+(1*'MATERIALES (2)'!$C$183)+(4*'MATERIALES (2)'!$C$195)+(((A35*2)+(B35*4))*'MATERIALES (2)'!$C$198)+(4*'MATERIALES (2)'!$C$137)+(((A35*5)*2)*'MATERIALES (2)'!$C$136)+(((A35*2)+(B35*2))*'MATERIALES (2)'!$C$199)+((((A35*2)+(B35*4))/0.1)*'MATERIALES (2)'!$C$181)+(((A35*2)+(B35*4))*'MATERIALES (2)'!$C$154)+(2*'MATERIALES (2)'!$C$176)+(0.5*'MATERIALES (2)'!$C$156)</f>
        <v>47330</v>
      </c>
      <c r="H35" s="59">
        <f>(16*'MATERIALES (2)'!$C$178)+(1*'MATERIALES (2)'!$C$183)+(4*'MATERIALES (2)'!$C$195)+(2*'MATERIALES (2)'!$C$197)+(((A35*2)+(B35*6))*'MATERIALES (2)'!$C$198)+(4*'MATERIALES (2)'!$C$137)+(((A35*5)*2)*'MATERIALES (2)'!$C$136)+(((A35*2)+(B35*2))*'MATERIALES (2)'!$C$199)+((((A35*2)+(B35*6))/0.1)*'MATERIALES (2)'!$C$181)+(((A35*2)+(B35*6))*'MATERIALES (2)'!$C$154)+(2*'MATERIALES (2)'!$C$176)+(0.5*'MATERIALES (2)'!$C$156)</f>
        <v>60230</v>
      </c>
      <c r="I35" s="75"/>
      <c r="J35" s="55">
        <f>(A35*B35)*'MATERIALES (2)'!$D$85</f>
        <v>15984.000000000002</v>
      </c>
      <c r="K35" s="55">
        <f>(A35*B35)*'MATERIALES (2)'!$D$85</f>
        <v>15984.000000000002</v>
      </c>
      <c r="L35" s="55">
        <f>(A35*B35)*'MATERIALES (2)'!$D$85</f>
        <v>15984.000000000002</v>
      </c>
      <c r="M35" s="55">
        <f>(((A35*B35)*2)*'MATERIALES (2)'!$D$86)+(4*'MATERIALES (2)'!$C$218)+(((A35*2)+(B35*2))*'MATERIALES (2)'!$C$219)+(((A35*2)+(B35*2))*'MATERIALES (2)'!$C$220)+((((A35*2)+(B35*2))/15)*'MATERIALES (2)'!$C$221)+((((A35*2)+(B35*2))/15)*('MATERIALES (2)'!$C$222*0.15))</f>
        <v>48411.65</v>
      </c>
      <c r="N35" s="55">
        <f>(((A35*B35)*2)*'MATERIALES (2)'!$D$86)+(8*'MATERIALES (2)'!$C$218)+(((A35*2)+(B35*4))*'MATERIALES (2)'!$C$219)+(((A35*2)+(B35*4))*'MATERIALES (2)'!$C$220)+((((A35*2)+(B35*4))/15)*'MATERIALES (2)'!$C$221)+((((A35*2)+(B35*4))/15)*('MATERIALES (2)'!$C$222*0.15))</f>
        <v>54661.200000000004</v>
      </c>
      <c r="O35" s="55">
        <f>(((A35*B35)*2)*'MATERIALES (2)'!$D$86)+(12*'MATERIALES (2)'!$C$218)+(((A35*2)+(B35*6))*'MATERIALES (2)'!$C$219)+(((A35*2)+(B35*6))*'MATERIALES (2)'!$C$220)+((((A35*2)+(B35*6))/15)*'MATERIALES (2)'!$C$221)+((((A35*2)+(B35*6))/15)*('MATERIALES (2)'!$C$222*0.15))</f>
        <v>60910.75</v>
      </c>
      <c r="P35" s="55">
        <f>(A35*B35)*'MATERIALES (2)'!$D$92</f>
        <v>78084</v>
      </c>
      <c r="Q35" s="55">
        <f>(A35*B35)*'MATERIALES (2)'!$D$92</f>
        <v>78084</v>
      </c>
      <c r="R35" s="55">
        <f>(A35*B35)*'MATERIALES (2)'!$D$92</f>
        <v>78084</v>
      </c>
      <c r="S35" s="125">
        <f t="shared" si="0"/>
        <v>322279.34572968748</v>
      </c>
      <c r="T35" s="125">
        <f t="shared" si="1"/>
        <v>448308.65263554564</v>
      </c>
      <c r="U35" s="125">
        <f t="shared" si="2"/>
        <v>576535.09871640382</v>
      </c>
      <c r="V35" s="125">
        <f t="shared" si="3"/>
        <v>408797.93731218745</v>
      </c>
      <c r="W35" s="125">
        <f t="shared" si="4"/>
        <v>551501.35609554569</v>
      </c>
      <c r="X35" s="125">
        <f t="shared" si="5"/>
        <v>696401.91405390389</v>
      </c>
      <c r="Y35" s="125">
        <f t="shared" si="6"/>
        <v>487965.25072968757</v>
      </c>
      <c r="Z35" s="125">
        <f t="shared" si="7"/>
        <v>613994.55763554561</v>
      </c>
      <c r="AA35" s="67">
        <f t="shared" si="8"/>
        <v>742221.00371640385</v>
      </c>
      <c r="AD35" s="250" t="s">
        <v>557</v>
      </c>
      <c r="AE35" s="246">
        <f>+$T$34</f>
        <v>400041.00792701723</v>
      </c>
      <c r="AF35" s="247">
        <f>+$W$34</f>
        <v>487982.47057451715</v>
      </c>
      <c r="AG35" s="250">
        <f>+$Z$34</f>
        <v>538112.59542701719</v>
      </c>
      <c r="AH35" s="250">
        <f>+'MODENA CORREDIZA'!$M$32</f>
        <v>67271.133807281207</v>
      </c>
    </row>
    <row r="36" spans="1:36" ht="16.5" thickBot="1">
      <c r="A36" s="68">
        <v>1.5</v>
      </c>
      <c r="B36" s="69">
        <v>0.8</v>
      </c>
      <c r="C36" s="59">
        <f>((((A36*2)+(B36*2))*'MATERIALES (2)'!$C$60)+(((A36*2)+(B36*2))*'MATERIALES (2)'!$C$59)+(((A36*2)+(B36*2))*'MATERIALES (2)'!$C$76))*'MATERIALES (2)'!$F$2</f>
        <v>91709.625000000015</v>
      </c>
      <c r="D36" s="59">
        <f>((((A36*2)+(B36*2))*'MATERIALES (2)'!$C$60)+(((A36*2)+(B36*4))*'MATERIALES (2)'!$C$59)+(((A36*2)+(B36*4))*'MATERIALES (2)'!$C$76)+(B36*'MATERIALES (2)'!$C$80))*'MATERIALES (2)'!$F$2</f>
        <v>117620.72700000003</v>
      </c>
      <c r="E36" s="59">
        <f>((((A36*2)+(B36*2))*'MATERIALES (2)'!$C$60)+(((A36*2)+(B36*6))*'MATERIALES (2)'!$C$59)+(((A36*2)+(B36*6))*'MATERIALES (2)'!$C$76)+((B36*2)*'MATERIALES (2)'!$C$80))*'MATERIALES (2)'!$F$2</f>
        <v>143531.829</v>
      </c>
      <c r="F36" s="59">
        <f>(8*'MATERIALES (2)'!$C$178)+(1*'MATERIALES (2)'!$C$183)+(2*'MATERIALES (2)'!$C$195)+(((A36*2)+(B36*2))*'MATERIALES (2)'!$C$198)+(4*'MATERIALES (2)'!$C$137)+(((A36*5)*2)*'MATERIALES (2)'!$C$136)+(((A36*2)+(B36*2))*'MATERIALES (2)'!$C$199)+((((A36*2)+(B36*2))/0.1)*'MATERIALES (2)'!$C$181)+(((A36*2)+(B36*2))*'MATERIALES (2)'!$C$154)+(2*'MATERIALES (2)'!$C$176)+(0.5*'MATERIALES (2)'!$C$156)</f>
        <v>34026</v>
      </c>
      <c r="G36" s="59">
        <f>(12*'MATERIALES (2)'!$C$178)+(1*'MATERIALES (2)'!$C$183)+(4*'MATERIALES (2)'!$C$195)+(((A36*2)+(B36*4))*'MATERIALES (2)'!$C$198)+(4*'MATERIALES (2)'!$C$137)+(((A36*5)*2)*'MATERIALES (2)'!$C$136)+(((A36*2)+(B36*2))*'MATERIALES (2)'!$C$199)+((((A36*2)+(B36*4))/0.1)*'MATERIALES (2)'!$C$181)+(((A36*2)+(B36*4))*'MATERIALES (2)'!$C$154)+(2*'MATERIALES (2)'!$C$176)+(0.5*'MATERIALES (2)'!$C$156)</f>
        <v>44106</v>
      </c>
      <c r="H36" s="59">
        <f>(16*'MATERIALES (2)'!$C$178)+(1*'MATERIALES (2)'!$C$183)+(4*'MATERIALES (2)'!$C$195)+(2*'MATERIALES (2)'!$C$197)+(((A36*2)+(B36*6))*'MATERIALES (2)'!$C$198)+(4*'MATERIALES (2)'!$C$137)+(((A36*5)*2)*'MATERIALES (2)'!$C$136)+(((A36*2)+(B36*2))*'MATERIALES (2)'!$C$199)+((((A36*2)+(B36*6))/0.1)*'MATERIALES (2)'!$C$181)+(((A36*2)+(B36*6))*'MATERIALES (2)'!$C$154)+(2*'MATERIALES (2)'!$C$176)+(0.5*'MATERIALES (2)'!$C$156)</f>
        <v>55406</v>
      </c>
      <c r="I36" s="75"/>
      <c r="J36" s="55">
        <f>(A36*B36)*'MATERIALES (2)'!$D$85</f>
        <v>8880.0000000000018</v>
      </c>
      <c r="K36" s="55">
        <f>(A36*B36)*'MATERIALES (2)'!$D$85</f>
        <v>8880.0000000000018</v>
      </c>
      <c r="L36" s="55">
        <f>(A36*B36)*'MATERIALES (2)'!$D$85</f>
        <v>8880.0000000000018</v>
      </c>
      <c r="M36" s="55">
        <f>(((A36*B36)*2)*'MATERIALES (2)'!$D$86)+(4*'MATERIALES (2)'!$C$218)+(((A36*2)+(B36*2))*'MATERIALES (2)'!$C$219)+(((A36*2)+(B36*2))*'MATERIALES (2)'!$C$220)+((((A36*2)+(B36*2))/15)*'MATERIALES (2)'!$C$221)+((((A36*2)+(B36*2))/15)*('MATERIALES (2)'!$C$222*0.15))</f>
        <v>29109.091666666671</v>
      </c>
      <c r="N36" s="55">
        <f>(((A36*B36)*2)*'MATERIALES (2)'!$D$86)+(8*'MATERIALES (2)'!$C$218)+(((A36*2)+(B36*4))*'MATERIALES (2)'!$C$219)+(((A36*2)+(B36*4))*'MATERIALES (2)'!$C$220)+((((A36*2)+(B36*4))/15)*'MATERIALES (2)'!$C$221)+((((A36*2)+(B36*4))/15)*('MATERIALES (2)'!$C$222*0.15))</f>
        <v>31975.558333333334</v>
      </c>
      <c r="O36" s="55">
        <f>(((A36*B36)*2)*'MATERIALES (2)'!$D$86)+(12*'MATERIALES (2)'!$C$218)+(((A36*2)+(B36*6))*'MATERIALES (2)'!$C$219)+(((A36*2)+(B36*6))*'MATERIALES (2)'!$C$220)+((((A36*2)+(B36*6))/15)*'MATERIALES (2)'!$C$221)+((((A36*2)+(B36*6))/15)*('MATERIALES (2)'!$C$222*0.15))</f>
        <v>34842.025000000001</v>
      </c>
      <c r="P36" s="55">
        <f>(A36*B36)*'MATERIALES (2)'!$D$92</f>
        <v>43380.000000000007</v>
      </c>
      <c r="Q36" s="55">
        <f>(A36*B36)*'MATERIALES (2)'!$D$92</f>
        <v>43380.000000000007</v>
      </c>
      <c r="R36" s="55">
        <f>(A36*B36)*'MATERIALES (2)'!$D$92</f>
        <v>43380.000000000007</v>
      </c>
      <c r="S36" s="125">
        <f t="shared" si="0"/>
        <v>250133.8146398438</v>
      </c>
      <c r="T36" s="125">
        <f t="shared" si="1"/>
        <v>314951.40493133629</v>
      </c>
      <c r="U36" s="125">
        <f t="shared" si="2"/>
        <v>381966.13439782884</v>
      </c>
      <c r="V36" s="125">
        <f t="shared" si="3"/>
        <v>304106.04266109387</v>
      </c>
      <c r="W36" s="125">
        <f t="shared" si="4"/>
        <v>376571.50934258633</v>
      </c>
      <c r="X36" s="125">
        <f t="shared" si="5"/>
        <v>451234.11519907881</v>
      </c>
      <c r="Y36" s="125">
        <f t="shared" si="6"/>
        <v>342181.53963984392</v>
      </c>
      <c r="Z36" s="125">
        <f t="shared" si="7"/>
        <v>406999.12993133639</v>
      </c>
      <c r="AA36" s="67">
        <f t="shared" si="8"/>
        <v>474013.85939782881</v>
      </c>
      <c r="AD36" s="250" t="s">
        <v>558</v>
      </c>
      <c r="AE36" s="246">
        <f>+$T$35</f>
        <v>448308.65263554564</v>
      </c>
      <c r="AF36" s="247">
        <f>+$W$35</f>
        <v>551501.35609554569</v>
      </c>
      <c r="AG36" s="250">
        <f>+$Z$35</f>
        <v>613994.55763554561</v>
      </c>
      <c r="AH36" s="250">
        <f>+'MODENA CORREDIZA'!$M$33</f>
        <v>80689.341893737554</v>
      </c>
    </row>
    <row r="37" spans="1:36" ht="16.5" thickBot="1">
      <c r="A37" s="68">
        <v>1.5</v>
      </c>
      <c r="B37" s="69">
        <v>1</v>
      </c>
      <c r="C37" s="59">
        <f>((((A37*2)+(B37*2))*'MATERIALES (2)'!$C$60)+(((A37*2)+(B37*2))*'MATERIALES (2)'!$C$59)+(((A37*2)+(B37*2))*'MATERIALES (2)'!$C$76))*'MATERIALES (2)'!$F$2</f>
        <v>99684.375</v>
      </c>
      <c r="D37" s="59">
        <f>((((A37*2)+(B37*2))*'MATERIALES (2)'!$C$60)+(((A37*2)+(B37*4))*'MATERIALES (2)'!$C$59)+(((A37*2)+(B37*4))*'MATERIALES (2)'!$C$76)+(B37*'MATERIALES (2)'!$C$80))*'MATERIALES (2)'!$F$2</f>
        <v>132073.2525</v>
      </c>
      <c r="E37" s="59">
        <f>((((A37*2)+(B37*2))*'MATERIALES (2)'!$C$60)+(((A37*2)+(B37*6))*'MATERIALES (2)'!$C$59)+(((A37*2)+(B37*6))*'MATERIALES (2)'!$C$76)+((B37*2)*'MATERIALES (2)'!$C$80))*'MATERIALES (2)'!$F$2</f>
        <v>164462.13</v>
      </c>
      <c r="F37" s="59">
        <f>(8*'MATERIALES (2)'!$C$178)+(1*'MATERIALES (2)'!$C$183)+(2*'MATERIALES (2)'!$C$195)+(((A37*2)+(B37*2))*'MATERIALES (2)'!$C$198)+(4*'MATERIALES (2)'!$C$137)+(((A37*5)*2)*'MATERIALES (2)'!$C$136)+(((A37*2)+(B37*2))*'MATERIALES (2)'!$C$199)+((((A37*2)+(B37*2))/0.1)*'MATERIALES (2)'!$C$181)+(((A37*2)+(B37*2))*'MATERIALES (2)'!$C$154)+(2*'MATERIALES (2)'!$C$176)+(0.5*'MATERIALES (2)'!$C$156)</f>
        <v>34490</v>
      </c>
      <c r="G37" s="59">
        <f>(12*'MATERIALES (2)'!$C$178)+(1*'MATERIALES (2)'!$C$183)+(4*'MATERIALES (2)'!$C$195)+(((A37*2)+(B37*4))*'MATERIALES (2)'!$C$198)+(4*'MATERIALES (2)'!$C$137)+(((A37*5)*2)*'MATERIALES (2)'!$C$136)+(((A37*2)+(B37*2))*'MATERIALES (2)'!$C$199)+((((A37*2)+(B37*4))/0.1)*'MATERIALES (2)'!$C$181)+(((A37*2)+(B37*4))*'MATERIALES (2)'!$C$154)+(2*'MATERIALES (2)'!$C$176)+(0.5*'MATERIALES (2)'!$C$156)</f>
        <v>44890</v>
      </c>
      <c r="H37" s="59">
        <f>(16*'MATERIALES (2)'!$C$178)+(1*'MATERIALES (2)'!$C$183)+(4*'MATERIALES (2)'!$C$195)+(2*'MATERIALES (2)'!$C$197)+(((A37*2)+(B37*6))*'MATERIALES (2)'!$C$198)+(4*'MATERIALES (2)'!$C$137)+(((A37*5)*2)*'MATERIALES (2)'!$C$136)+(((A37*2)+(B37*2))*'MATERIALES (2)'!$C$199)+((((A37*2)+(B37*6))/0.1)*'MATERIALES (2)'!$C$181)+(((A37*2)+(B37*6))*'MATERIALES (2)'!$C$154)+(2*'MATERIALES (2)'!$C$176)+(0.5*'MATERIALES (2)'!$C$156)</f>
        <v>56510</v>
      </c>
      <c r="I37" s="75"/>
      <c r="J37" s="55">
        <f>(A37*B37)*'MATERIALES (2)'!$D$85</f>
        <v>11100</v>
      </c>
      <c r="K37" s="55">
        <f>(A37*B37)*'MATERIALES (2)'!$D$85</f>
        <v>11100</v>
      </c>
      <c r="L37" s="55">
        <f>(A37*B37)*'MATERIALES (2)'!$D$85</f>
        <v>11100</v>
      </c>
      <c r="M37" s="55">
        <f>(((A37*B37)*2)*'MATERIALES (2)'!$D$86)+(4*'MATERIALES (2)'!$C$218)+(((A37*2)+(B37*2))*'MATERIALES (2)'!$C$219)+(((A37*2)+(B37*2))*'MATERIALES (2)'!$C$220)+((((A37*2)+(B37*2))/15)*'MATERIALES (2)'!$C$221)+((((A37*2)+(B37*2))/15)*('MATERIALES (2)'!$C$222*0.15))</f>
        <v>35077.708333333336</v>
      </c>
      <c r="N37" s="55">
        <f>(((A37*B37)*2)*'MATERIALES (2)'!$D$86)+(8*'MATERIALES (2)'!$C$218)+(((A37*2)+(B37*4))*'MATERIALES (2)'!$C$219)+(((A37*2)+(B37*4))*'MATERIALES (2)'!$C$220)+((((A37*2)+(B37*4))/15)*'MATERIALES (2)'!$C$221)+((((A37*2)+(B37*4))/15)*('MATERIALES (2)'!$C$222*0.15))</f>
        <v>38620.791666666664</v>
      </c>
      <c r="O37" s="55">
        <f>(((A37*B37)*2)*'MATERIALES (2)'!$D$86)+(12*'MATERIALES (2)'!$C$218)+(((A37*2)+(B37*6))*'MATERIALES (2)'!$C$219)+(((A37*2)+(B37*6))*'MATERIALES (2)'!$C$220)+((((A37*2)+(B37*6))/15)*'MATERIALES (2)'!$C$221)+((((A37*2)+(B37*6))/15)*('MATERIALES (2)'!$C$222*0.15))</f>
        <v>42163.875</v>
      </c>
      <c r="P37" s="55">
        <f>(A37*B37)*'MATERIALES (2)'!$D$92</f>
        <v>54225</v>
      </c>
      <c r="Q37" s="55">
        <f>(A37*B37)*'MATERIALES (2)'!$D$92</f>
        <v>54225</v>
      </c>
      <c r="R37" s="55">
        <f>(A37*B37)*'MATERIALES (2)'!$D$92</f>
        <v>54225</v>
      </c>
      <c r="S37" s="125">
        <f t="shared" si="0"/>
        <v>271254.51532265625</v>
      </c>
      <c r="T37" s="125">
        <f t="shared" si="1"/>
        <v>348314.44893702195</v>
      </c>
      <c r="U37" s="125">
        <f t="shared" si="2"/>
        <v>427571.52172638755</v>
      </c>
      <c r="V37" s="125">
        <f t="shared" si="3"/>
        <v>335228.2400414063</v>
      </c>
      <c r="W37" s="125">
        <f t="shared" si="4"/>
        <v>421741.29714327195</v>
      </c>
      <c r="X37" s="125">
        <f t="shared" si="5"/>
        <v>510451.49342013762</v>
      </c>
      <c r="Y37" s="125">
        <f t="shared" si="6"/>
        <v>386314.17157265625</v>
      </c>
      <c r="Z37" s="125">
        <f t="shared" si="7"/>
        <v>463374.10518702195</v>
      </c>
      <c r="AA37" s="67">
        <f t="shared" si="8"/>
        <v>542631.17797638755</v>
      </c>
      <c r="AD37" s="250" t="s">
        <v>561</v>
      </c>
      <c r="AE37" s="246">
        <f>+$T$36</f>
        <v>314951.40493133629</v>
      </c>
      <c r="AF37" s="247">
        <f>+$W$36</f>
        <v>376571.50934258633</v>
      </c>
      <c r="AG37" s="250">
        <f>+$Z$36</f>
        <v>406999.12993133639</v>
      </c>
      <c r="AH37" s="250">
        <f>+'MODENA CORREDIZA'!$M$28</f>
        <v>35961.981605549925</v>
      </c>
    </row>
    <row r="38" spans="1:36" ht="16.5" thickBot="1">
      <c r="A38" s="68">
        <v>1.5</v>
      </c>
      <c r="B38" s="69">
        <v>1.1000000000000001</v>
      </c>
      <c r="C38" s="59">
        <f>((((A38*2)+(B38*2))*'MATERIALES (2)'!$C$60)+(((A38*2)+(B38*2))*'MATERIALES (2)'!$C$59)+(((A38*2)+(B38*2))*'MATERIALES (2)'!$C$76))*'MATERIALES (2)'!$F$2</f>
        <v>103671.75000000001</v>
      </c>
      <c r="D38" s="59">
        <f>((((A38*2)+(B38*2))*'MATERIALES (2)'!$C$60)+(((A38*2)+(B38*4))*'MATERIALES (2)'!$C$59)+(((A38*2)+(B38*4))*'MATERIALES (2)'!$C$76)+(B38*'MATERIALES (2)'!$C$80))*'MATERIALES (2)'!$F$2</f>
        <v>139299.51525000003</v>
      </c>
      <c r="E38" s="59">
        <f>((((A38*2)+(B38*2))*'MATERIALES (2)'!$C$60)+(((A38*2)+(B38*6))*'MATERIALES (2)'!$C$59)+(((A38*2)+(B38*6))*'MATERIALES (2)'!$C$76)+((B38*2)*'MATERIALES (2)'!$C$80))*'MATERIALES (2)'!$F$2</f>
        <v>174927.28050000002</v>
      </c>
      <c r="F38" s="59">
        <f>(8*'MATERIALES (2)'!$C$178)+(1*'MATERIALES (2)'!$C$183)+(2*'MATERIALES (2)'!$C$195)+(((A38*2)+(B38*2))*'MATERIALES (2)'!$C$198)+(4*'MATERIALES (2)'!$C$137)+(((A38*5)*2)*'MATERIALES (2)'!$C$136)+(((A38*2)+(B38*2))*'MATERIALES (2)'!$C$199)+((((A38*2)+(B38*2))/0.1)*'MATERIALES (2)'!$C$181)+(((A38*2)+(B38*2))*'MATERIALES (2)'!$C$154)+(2*'MATERIALES (2)'!$C$176)+(0.5*'MATERIALES (2)'!$C$156)</f>
        <v>34722</v>
      </c>
      <c r="G38" s="59">
        <f>(12*'MATERIALES (2)'!$C$178)+(1*'MATERIALES (2)'!$C$183)+(4*'MATERIALES (2)'!$C$195)+(((A38*2)+(B38*4))*'MATERIALES (2)'!$C$198)+(4*'MATERIALES (2)'!$C$137)+(((A38*5)*2)*'MATERIALES (2)'!$C$136)+(((A38*2)+(B38*2))*'MATERIALES (2)'!$C$199)+((((A38*2)+(B38*4))/0.1)*'MATERIALES (2)'!$C$181)+(((A38*2)+(B38*4))*'MATERIALES (2)'!$C$154)+(2*'MATERIALES (2)'!$C$176)+(0.5*'MATERIALES (2)'!$C$156)</f>
        <v>45282</v>
      </c>
      <c r="H38" s="59">
        <f>(16*'MATERIALES (2)'!$C$178)+(1*'MATERIALES (2)'!$C$183)+(4*'MATERIALES (2)'!$C$195)+(2*'MATERIALES (2)'!$C$197)+(((A38*2)+(B38*6))*'MATERIALES (2)'!$C$198)+(4*'MATERIALES (2)'!$C$137)+(((A38*5)*2)*'MATERIALES (2)'!$C$136)+(((A38*2)+(B38*2))*'MATERIALES (2)'!$C$199)+((((A38*2)+(B38*6))/0.1)*'MATERIALES (2)'!$C$181)+(((A38*2)+(B38*6))*'MATERIALES (2)'!$C$154)+(2*'MATERIALES (2)'!$C$176)+(0.5*'MATERIALES (2)'!$C$156)</f>
        <v>57062</v>
      </c>
      <c r="I38" s="75"/>
      <c r="J38" s="55">
        <f>(A38*B38)*'MATERIALES (2)'!$D$85</f>
        <v>12210.000000000002</v>
      </c>
      <c r="K38" s="55">
        <f>(A38*B38)*'MATERIALES (2)'!$D$85</f>
        <v>12210.000000000002</v>
      </c>
      <c r="L38" s="55">
        <f>(A38*B38)*'MATERIALES (2)'!$D$85</f>
        <v>12210.000000000002</v>
      </c>
      <c r="M38" s="55">
        <f>(((A38*B38)*2)*'MATERIALES (2)'!$D$86)+(4*'MATERIALES (2)'!$C$218)+(((A38*2)+(B38*2))*'MATERIALES (2)'!$C$219)+(((A38*2)+(B38*2))*'MATERIALES (2)'!$C$220)+((((A38*2)+(B38*2))/15)*'MATERIALES (2)'!$C$221)+((((A38*2)+(B38*2))/15)*('MATERIALES (2)'!$C$222*0.15))</f>
        <v>38062.016666666663</v>
      </c>
      <c r="N38" s="55">
        <f>(((A38*B38)*2)*'MATERIALES (2)'!$D$86)+(8*'MATERIALES (2)'!$C$218)+(((A38*2)+(B38*4))*'MATERIALES (2)'!$C$219)+(((A38*2)+(B38*4))*'MATERIALES (2)'!$C$220)+((((A38*2)+(B38*4))/15)*'MATERIALES (2)'!$C$221)+((((A38*2)+(B38*4))/15)*('MATERIALES (2)'!$C$222*0.15))</f>
        <v>41943.408333333333</v>
      </c>
      <c r="O38" s="55">
        <f>(((A38*B38)*2)*'MATERIALES (2)'!$D$86)+(12*'MATERIALES (2)'!$C$218)+(((A38*2)+(B38*6))*'MATERIALES (2)'!$C$219)+(((A38*2)+(B38*6))*'MATERIALES (2)'!$C$220)+((((A38*2)+(B38*6))/15)*'MATERIALES (2)'!$C$221)+((((A38*2)+(B38*6))/15)*('MATERIALES (2)'!$C$222*0.15))</f>
        <v>45824.80000000001</v>
      </c>
      <c r="P38" s="55">
        <f>(A38*B38)*'MATERIALES (2)'!$D$92</f>
        <v>59647.500000000007</v>
      </c>
      <c r="Q38" s="55">
        <f>(A38*B38)*'MATERIALES (2)'!$D$92</f>
        <v>59647.500000000007</v>
      </c>
      <c r="R38" s="55">
        <f>(A38*B38)*'MATERIALES (2)'!$D$92</f>
        <v>59647.500000000007</v>
      </c>
      <c r="S38" s="125">
        <f t="shared" si="0"/>
        <v>281814.8656640625</v>
      </c>
      <c r="T38" s="125">
        <f t="shared" si="1"/>
        <v>364995.97093986487</v>
      </c>
      <c r="U38" s="125">
        <f t="shared" si="2"/>
        <v>450374.21539066703</v>
      </c>
      <c r="V38" s="125">
        <f t="shared" si="3"/>
        <v>350789.33873156249</v>
      </c>
      <c r="W38" s="125">
        <f t="shared" si="4"/>
        <v>444326.19104361482</v>
      </c>
      <c r="X38" s="125">
        <f t="shared" si="5"/>
        <v>540060.18253066705</v>
      </c>
      <c r="Y38" s="125">
        <f t="shared" si="6"/>
        <v>408380.48753906251</v>
      </c>
      <c r="Z38" s="125">
        <f t="shared" si="7"/>
        <v>491561.59281486482</v>
      </c>
      <c r="AA38" s="67">
        <f t="shared" si="8"/>
        <v>576939.83726566692</v>
      </c>
      <c r="AD38" s="250" t="s">
        <v>562</v>
      </c>
      <c r="AE38" s="246">
        <f>+$T$37</f>
        <v>348314.44893702195</v>
      </c>
      <c r="AF38" s="247">
        <f>+$W$37</f>
        <v>421741.29714327195</v>
      </c>
      <c r="AG38" s="250">
        <f>+$Z$37</f>
        <v>463374.10518702195</v>
      </c>
      <c r="AH38" s="250">
        <f>+'MODENA CORREDIZA'!$M$29</f>
        <v>44907.453663187451</v>
      </c>
    </row>
    <row r="39" spans="1:36" ht="16.5" thickBot="1">
      <c r="A39" s="68">
        <v>1.5</v>
      </c>
      <c r="B39" s="69">
        <v>1.2</v>
      </c>
      <c r="C39" s="59">
        <f>((((A39*2)+(B39*2))*'MATERIALES (2)'!$C$60)+(((A39*2)+(B39*2))*'MATERIALES (2)'!$C$59)+(((A39*2)+(B39*2))*'MATERIALES (2)'!$C$76))*'MATERIALES (2)'!$F$2</f>
        <v>107659.12500000001</v>
      </c>
      <c r="D39" s="59">
        <f>((((A39*2)+(B39*2))*'MATERIALES (2)'!$C$60)+(((A39*2)+(B39*4))*'MATERIALES (2)'!$C$59)+(((A39*2)+(B39*4))*'MATERIALES (2)'!$C$76)+(B39*'MATERIALES (2)'!$C$80))*'MATERIALES (2)'!$F$2</f>
        <v>146525.77799999999</v>
      </c>
      <c r="E39" s="59">
        <f>((((A39*2)+(B39*2))*'MATERIALES (2)'!$C$60)+(((A39*2)+(B39*6))*'MATERIALES (2)'!$C$59)+(((A39*2)+(B39*6))*'MATERIALES (2)'!$C$76)+((B39*2)*'MATERIALES (2)'!$C$80))*'MATERIALES (2)'!$F$2</f>
        <v>185392.43099999998</v>
      </c>
      <c r="F39" s="59">
        <f>(8*'MATERIALES (2)'!$C$178)+(1*'MATERIALES (2)'!$C$183)+(2*'MATERIALES (2)'!$C$195)+(((A39*2)+(B39*2))*'MATERIALES (2)'!$C$198)+(4*'MATERIALES (2)'!$C$137)+(((A39*5)*2)*'MATERIALES (2)'!$C$136)+(((A39*2)+(B39*2))*'MATERIALES (2)'!$C$199)+((((A39*2)+(B39*2))/0.1)*'MATERIALES (2)'!$C$181)+(((A39*2)+(B39*2))*'MATERIALES (2)'!$C$154)+(2*'MATERIALES (2)'!$C$176)+(0.5*'MATERIALES (2)'!$C$156)</f>
        <v>34954</v>
      </c>
      <c r="G39" s="59">
        <f>(12*'MATERIALES (2)'!$C$178)+(1*'MATERIALES (2)'!$C$183)+(4*'MATERIALES (2)'!$C$195)+(((A39*2)+(B39*4))*'MATERIALES (2)'!$C$198)+(4*'MATERIALES (2)'!$C$137)+(((A39*5)*2)*'MATERIALES (2)'!$C$136)+(((A39*2)+(B39*2))*'MATERIALES (2)'!$C$199)+((((A39*2)+(B39*4))/0.1)*'MATERIALES (2)'!$C$181)+(((A39*2)+(B39*4))*'MATERIALES (2)'!$C$154)+(2*'MATERIALES (2)'!$C$176)+(0.5*'MATERIALES (2)'!$C$156)</f>
        <v>45674</v>
      </c>
      <c r="H39" s="59">
        <f>(16*'MATERIALES (2)'!$C$178)+(1*'MATERIALES (2)'!$C$183)+(4*'MATERIALES (2)'!$C$195)+(2*'MATERIALES (2)'!$C$197)+(((A39*2)+(B39*6))*'MATERIALES (2)'!$C$198)+(4*'MATERIALES (2)'!$C$137)+(((A39*5)*2)*'MATERIALES (2)'!$C$136)+(((A39*2)+(B39*2))*'MATERIALES (2)'!$C$199)+((((A39*2)+(B39*6))/0.1)*'MATERIALES (2)'!$C$181)+(((A39*2)+(B39*6))*'MATERIALES (2)'!$C$154)+(2*'MATERIALES (2)'!$C$176)+(0.5*'MATERIALES (2)'!$C$156)</f>
        <v>57614</v>
      </c>
      <c r="I39" s="75"/>
      <c r="J39" s="55">
        <f>(A39*B39)*'MATERIALES (2)'!$D$85</f>
        <v>13319.999999999998</v>
      </c>
      <c r="K39" s="55">
        <f>(A39*B39)*'MATERIALES (2)'!$D$85</f>
        <v>13319.999999999998</v>
      </c>
      <c r="L39" s="55">
        <f>(A39*B39)*'MATERIALES (2)'!$D$85</f>
        <v>13319.999999999998</v>
      </c>
      <c r="M39" s="55">
        <f>(((A39*B39)*2)*'MATERIALES (2)'!$D$86)+(4*'MATERIALES (2)'!$C$218)+(((A39*2)+(B39*2))*'MATERIALES (2)'!$C$219)+(((A39*2)+(B39*2))*'MATERIALES (2)'!$C$220)+((((A39*2)+(B39*2))/15)*'MATERIALES (2)'!$C$221)+((((A39*2)+(B39*2))/15)*('MATERIALES (2)'!$C$222*0.15))</f>
        <v>41046.324999999997</v>
      </c>
      <c r="N39" s="55">
        <f>(((A39*B39)*2)*'MATERIALES (2)'!$D$86)+(8*'MATERIALES (2)'!$C$218)+(((A39*2)+(B39*4))*'MATERIALES (2)'!$C$219)+(((A39*2)+(B39*4))*'MATERIALES (2)'!$C$220)+((((A39*2)+(B39*4))/15)*'MATERIALES (2)'!$C$221)+((((A39*2)+(B39*4))/15)*('MATERIALES (2)'!$C$222*0.15))</f>
        <v>45266.025000000001</v>
      </c>
      <c r="O39" s="55">
        <f>(((A39*B39)*2)*'MATERIALES (2)'!$D$86)+(12*'MATERIALES (2)'!$C$218)+(((A39*2)+(B39*6))*'MATERIALES (2)'!$C$219)+(((A39*2)+(B39*6))*'MATERIALES (2)'!$C$220)+((((A39*2)+(B39*6))/15)*'MATERIALES (2)'!$C$221)+((((A39*2)+(B39*6))/15)*('MATERIALES (2)'!$C$222*0.15))</f>
        <v>49485.724999999999</v>
      </c>
      <c r="P39" s="55">
        <f>(A39*B39)*'MATERIALES (2)'!$D$92</f>
        <v>65069.999999999993</v>
      </c>
      <c r="Q39" s="55">
        <f>(A39*B39)*'MATERIALES (2)'!$D$92</f>
        <v>65069.999999999993</v>
      </c>
      <c r="R39" s="55">
        <f>(A39*B39)*'MATERIALES (2)'!$D$92</f>
        <v>65069.999999999993</v>
      </c>
      <c r="S39" s="125">
        <f t="shared" si="0"/>
        <v>292375.2160054688</v>
      </c>
      <c r="T39" s="125">
        <f t="shared" si="1"/>
        <v>381677.4929427075</v>
      </c>
      <c r="U39" s="125">
        <f t="shared" si="2"/>
        <v>473176.90905494627</v>
      </c>
      <c r="V39" s="125">
        <f t="shared" si="3"/>
        <v>366350.43742171879</v>
      </c>
      <c r="W39" s="125">
        <f t="shared" si="4"/>
        <v>466911.08494395757</v>
      </c>
      <c r="X39" s="125">
        <f t="shared" si="5"/>
        <v>569668.87164119631</v>
      </c>
      <c r="Y39" s="125">
        <f t="shared" si="6"/>
        <v>430446.80350546882</v>
      </c>
      <c r="Z39" s="125">
        <f t="shared" si="7"/>
        <v>519749.08044270746</v>
      </c>
      <c r="AA39" s="67">
        <f t="shared" si="8"/>
        <v>611248.49655494618</v>
      </c>
      <c r="AD39" s="250" t="s">
        <v>563</v>
      </c>
      <c r="AE39" s="246">
        <f>+$T$38</f>
        <v>364995.97093986487</v>
      </c>
      <c r="AF39" s="247">
        <f>+$W$38</f>
        <v>444326.19104361482</v>
      </c>
      <c r="AG39" s="250">
        <f>+$Z$38</f>
        <v>491561.59281486482</v>
      </c>
      <c r="AH39" s="250">
        <f>+'MODENA CORREDIZA'!$M$30</f>
        <v>49380.189692006272</v>
      </c>
    </row>
    <row r="40" spans="1:36" ht="16.5" thickBot="1">
      <c r="A40" s="68">
        <v>1.5</v>
      </c>
      <c r="B40" s="69">
        <v>1.5</v>
      </c>
      <c r="C40" s="59">
        <f>((((A40*2)+(B40*2))*'MATERIALES (2)'!$C$60)+(((A40*2)+(B40*2))*'MATERIALES (2)'!$C$59)+(((A40*2)+(B40*2))*'MATERIALES (2)'!$C$76))*'MATERIALES (2)'!$F$2</f>
        <v>119621.25</v>
      </c>
      <c r="D40" s="59">
        <f>((((A40*2)+(B40*2))*'MATERIALES (2)'!$C$60)+(((A40*2)+(B40*4))*'MATERIALES (2)'!$C$59)+(((A40*2)+(B40*4))*'MATERIALES (2)'!$C$76)+(B40*'MATERIALES (2)'!$C$80))*'MATERIALES (2)'!$F$2</f>
        <v>168204.56625000003</v>
      </c>
      <c r="E40" s="59">
        <f>((((A40*2)+(B40*2))*'MATERIALES (2)'!$C$60)+(((A40*2)+(B40*6))*'MATERIALES (2)'!$C$59)+(((A40*2)+(B40*6))*'MATERIALES (2)'!$C$76)+((B40*2)*'MATERIALES (2)'!$C$80))*'MATERIALES (2)'!$F$2</f>
        <v>216787.88249999995</v>
      </c>
      <c r="F40" s="59">
        <f>(8*'MATERIALES (2)'!$C$178)+(1*'MATERIALES (2)'!$C$183)+(2*'MATERIALES (2)'!$C$195)+(((A40*2)+(B40*2))*'MATERIALES (2)'!$C$198)+(4*'MATERIALES (2)'!$C$137)+(((A40*5)*2)*'MATERIALES (2)'!$C$136)+(((A40*2)+(B40*2))*'MATERIALES (2)'!$C$199)+((((A40*2)+(B40*2))/0.1)*'MATERIALES (2)'!$C$181)+(((A40*2)+(B40*2))*'MATERIALES (2)'!$C$154)+(2*'MATERIALES (2)'!$C$176)+(0.5*'MATERIALES (2)'!$C$156)</f>
        <v>35650</v>
      </c>
      <c r="G40" s="59">
        <f>(12*'MATERIALES (2)'!$C$178)+(1*'MATERIALES (2)'!$C$183)+(4*'MATERIALES (2)'!$C$195)+(((A40*2)+(B40*4))*'MATERIALES (2)'!$C$198)+(4*'MATERIALES (2)'!$C$137)+(((A40*5)*2)*'MATERIALES (2)'!$C$136)+(((A40*2)+(B40*2))*'MATERIALES (2)'!$C$199)+((((A40*2)+(B40*4))/0.1)*'MATERIALES (2)'!$C$181)+(((A40*2)+(B40*4))*'MATERIALES (2)'!$C$154)+(2*'MATERIALES (2)'!$C$176)+(0.5*'MATERIALES (2)'!$C$156)</f>
        <v>46850</v>
      </c>
      <c r="H40" s="59">
        <f>(16*'MATERIALES (2)'!$C$178)+(1*'MATERIALES (2)'!$C$183)+(4*'MATERIALES (2)'!$C$195)+(2*'MATERIALES (2)'!$C$197)+(((A40*2)+(B40*6))*'MATERIALES (2)'!$C$198)+(4*'MATERIALES (2)'!$C$137)+(((A40*5)*2)*'MATERIALES (2)'!$C$136)+(((A40*2)+(B40*2))*'MATERIALES (2)'!$C$199)+((((A40*2)+(B40*6))/0.1)*'MATERIALES (2)'!$C$181)+(((A40*2)+(B40*6))*'MATERIALES (2)'!$C$154)+(2*'MATERIALES (2)'!$C$176)+(0.5*'MATERIALES (2)'!$C$156)</f>
        <v>59270</v>
      </c>
      <c r="I40" s="75"/>
      <c r="J40" s="55">
        <f>(A40*B40)*'MATERIALES (2)'!$D$85</f>
        <v>16650</v>
      </c>
      <c r="K40" s="55">
        <f>(A40*B40)*'MATERIALES (2)'!$D$85</f>
        <v>16650</v>
      </c>
      <c r="L40" s="55">
        <f>(A40*B40)*'MATERIALES (2)'!$D$85</f>
        <v>16650</v>
      </c>
      <c r="M40" s="55">
        <f>(((A40*B40)*2)*'MATERIALES (2)'!$D$86)+(4*'MATERIALES (2)'!$C$218)+(((A40*2)+(B40*2))*'MATERIALES (2)'!$C$219)+(((A40*2)+(B40*2))*'MATERIALES (2)'!$C$220)+((((A40*2)+(B40*2))/15)*'MATERIALES (2)'!$C$221)+((((A40*2)+(B40*2))/15)*('MATERIALES (2)'!$C$222*0.15))</f>
        <v>49999.25</v>
      </c>
      <c r="N40" s="55">
        <f>(((A40*B40)*2)*'MATERIALES (2)'!$D$86)+(8*'MATERIALES (2)'!$C$218)+(((A40*2)+(B40*4))*'MATERIALES (2)'!$C$219)+(((A40*2)+(B40*4))*'MATERIALES (2)'!$C$220)+((((A40*2)+(B40*4))/15)*'MATERIALES (2)'!$C$221)+((((A40*2)+(B40*4))/15)*('MATERIALES (2)'!$C$222*0.15))</f>
        <v>55233.875</v>
      </c>
      <c r="O40" s="55">
        <f>(((A40*B40)*2)*'MATERIALES (2)'!$D$86)+(12*'MATERIALES (2)'!$C$218)+(((A40*2)+(B40*6))*'MATERIALES (2)'!$C$219)+(((A40*2)+(B40*6))*'MATERIALES (2)'!$C$220)+((((A40*2)+(B40*6))/15)*'MATERIALES (2)'!$C$221)+((((A40*2)+(B40*6))/15)*('MATERIALES (2)'!$C$222*0.15))</f>
        <v>60468.5</v>
      </c>
      <c r="P40" s="55">
        <f>(A40*B40)*'MATERIALES (2)'!$D$92</f>
        <v>81337.5</v>
      </c>
      <c r="Q40" s="55">
        <f>(A40*B40)*'MATERIALES (2)'!$D$92</f>
        <v>81337.5</v>
      </c>
      <c r="R40" s="55">
        <f>(A40*B40)*'MATERIALES (2)'!$D$92</f>
        <v>81337.5</v>
      </c>
      <c r="S40" s="125">
        <f t="shared" si="0"/>
        <v>324056.26702968747</v>
      </c>
      <c r="T40" s="125">
        <f t="shared" si="1"/>
        <v>431722.05895123607</v>
      </c>
      <c r="U40" s="125">
        <f t="shared" si="2"/>
        <v>541584.99004778441</v>
      </c>
      <c r="V40" s="125">
        <f t="shared" si="3"/>
        <v>413033.73349218752</v>
      </c>
      <c r="W40" s="125">
        <f t="shared" si="4"/>
        <v>534665.766644986</v>
      </c>
      <c r="X40" s="125">
        <f t="shared" si="5"/>
        <v>658494.93897278432</v>
      </c>
      <c r="Y40" s="125">
        <f t="shared" si="6"/>
        <v>496645.75140468753</v>
      </c>
      <c r="Z40" s="125">
        <f t="shared" si="7"/>
        <v>604311.54332623607</v>
      </c>
      <c r="AA40" s="67">
        <f t="shared" si="8"/>
        <v>714174.47442278417</v>
      </c>
      <c r="AD40" s="250" t="s">
        <v>564</v>
      </c>
      <c r="AE40" s="246">
        <f>+$T$39</f>
        <v>381677.4929427075</v>
      </c>
      <c r="AF40" s="247">
        <f>+$W$39</f>
        <v>466911.08494395757</v>
      </c>
      <c r="AG40" s="250">
        <f>+$Z$39</f>
        <v>519749.08044270746</v>
      </c>
      <c r="AH40" s="250">
        <f>+'MODENA CORREDIZA'!$M$31</f>
        <v>53852.925720824918</v>
      </c>
    </row>
    <row r="41" spans="1:36" ht="16.5" thickBot="1">
      <c r="A41" s="68">
        <v>1.5</v>
      </c>
      <c r="B41" s="69">
        <v>1.8</v>
      </c>
      <c r="C41" s="59">
        <f>((((A41*2)+(B41*2))*'MATERIALES (2)'!$C$60)+(((A41*2)+(B41*2))*'MATERIALES (2)'!$C$59)+(((A41*2)+(B41*2))*'MATERIALES (2)'!$C$76))*'MATERIALES (2)'!$F$2</f>
        <v>131583.375</v>
      </c>
      <c r="D41" s="59">
        <f>((((A41*2)+(B41*2))*'MATERIALES (2)'!$C$60)+(((A41*2)+(B41*4))*'MATERIALES (2)'!$C$59)+(((A41*2)+(B41*4))*'MATERIALES (2)'!$C$76)+(B41*'MATERIALES (2)'!$C$80))*'MATERIALES (2)'!$F$2</f>
        <v>189883.35449999996</v>
      </c>
      <c r="E41" s="59">
        <f>((((A41*2)+(B41*2))*'MATERIALES (2)'!$C$60)+(((A41*2)+(B41*6))*'MATERIALES (2)'!$C$59)+(((A41*2)+(B41*6))*'MATERIALES (2)'!$C$76)+((B41*2)*'MATERIALES (2)'!$C$80))*'MATERIALES (2)'!$F$2</f>
        <v>248183.334</v>
      </c>
      <c r="F41" s="59">
        <f>(8*'MATERIALES (2)'!$C$178)+(1*'MATERIALES (2)'!$C$183)+(2*'MATERIALES (2)'!$C$195)+(((A41*2)+(B41*2))*'MATERIALES (2)'!$C$198)+(4*'MATERIALES (2)'!$C$137)+(((A41*5)*2)*'MATERIALES (2)'!$C$136)+(((A41*2)+(B41*2))*'MATERIALES (2)'!$C$199)+((((A41*2)+(B41*2))/0.1)*'MATERIALES (2)'!$C$181)+(((A41*2)+(B41*2))*'MATERIALES (2)'!$C$154)+(2*'MATERIALES (2)'!$C$176)+(0.5*'MATERIALES (2)'!$C$156)</f>
        <v>36346</v>
      </c>
      <c r="G41" s="59">
        <f>(12*'MATERIALES (2)'!$C$178)+(1*'MATERIALES (2)'!$C$183)+(4*'MATERIALES (2)'!$C$195)+(((A41*2)+(B41*4))*'MATERIALES (2)'!$C$198)+(4*'MATERIALES (2)'!$C$137)+(((A41*5)*2)*'MATERIALES (2)'!$C$136)+(((A41*2)+(B41*2))*'MATERIALES (2)'!$C$199)+((((A41*2)+(B41*4))/0.1)*'MATERIALES (2)'!$C$181)+(((A41*2)+(B41*4))*'MATERIALES (2)'!$C$154)+(2*'MATERIALES (2)'!$C$176)+(0.5*'MATERIALES (2)'!$C$156)</f>
        <v>48026</v>
      </c>
      <c r="H41" s="59">
        <f>(16*'MATERIALES (2)'!$C$178)+(1*'MATERIALES (2)'!$C$183)+(4*'MATERIALES (2)'!$C$195)+(2*'MATERIALES (2)'!$C$197)+(((A41*2)+(B41*6))*'MATERIALES (2)'!$C$198)+(4*'MATERIALES (2)'!$C$137)+(((A41*5)*2)*'MATERIALES (2)'!$C$136)+(((A41*2)+(B41*2))*'MATERIALES (2)'!$C$199)+((((A41*2)+(B41*6))/0.1)*'MATERIALES (2)'!$C$181)+(((A41*2)+(B41*6))*'MATERIALES (2)'!$C$154)+(2*'MATERIALES (2)'!$C$176)+(0.5*'MATERIALES (2)'!$C$156)</f>
        <v>60926</v>
      </c>
      <c r="I41" s="75"/>
      <c r="J41" s="55">
        <f>(A41*B41)*'MATERIALES (2)'!$D$85</f>
        <v>19980</v>
      </c>
      <c r="K41" s="55">
        <f>(A41*B41)*'MATERIALES (2)'!$D$85</f>
        <v>19980</v>
      </c>
      <c r="L41" s="55">
        <f>(A41*B41)*'MATERIALES (2)'!$D$85</f>
        <v>19980</v>
      </c>
      <c r="M41" s="55">
        <f>(((A41*B41)*2)*'MATERIALES (2)'!$D$86)+(4*'MATERIALES (2)'!$C$218)+(((A41*2)+(B41*2))*'MATERIALES (2)'!$C$219)+(((A41*2)+(B41*2))*'MATERIALES (2)'!$C$220)+((((A41*2)+(B41*2))/15)*'MATERIALES (2)'!$C$221)+((((A41*2)+(B41*2))/15)*('MATERIALES (2)'!$C$222*0.15))</f>
        <v>58952.175000000003</v>
      </c>
      <c r="N41" s="55">
        <f>(((A41*B41)*2)*'MATERIALES (2)'!$D$86)+(8*'MATERIALES (2)'!$C$218)+(((A41*2)+(B41*4))*'MATERIALES (2)'!$C$219)+(((A41*2)+(B41*4))*'MATERIALES (2)'!$C$220)+((((A41*2)+(B41*4))/15)*'MATERIALES (2)'!$C$221)+((((A41*2)+(B41*4))/15)*('MATERIALES (2)'!$C$222*0.15))</f>
        <v>65201.724999999999</v>
      </c>
      <c r="O41" s="55">
        <f>(((A41*B41)*2)*'MATERIALES (2)'!$D$86)+(12*'MATERIALES (2)'!$C$218)+(((A41*2)+(B41*6))*'MATERIALES (2)'!$C$219)+(((A41*2)+(B41*6))*'MATERIALES (2)'!$C$220)+((((A41*2)+(B41*6))/15)*'MATERIALES (2)'!$C$221)+((((A41*2)+(B41*6))/15)*('MATERIALES (2)'!$C$222*0.15))</f>
        <v>71451.274999999994</v>
      </c>
      <c r="P41" s="55">
        <f>(A41*B41)*'MATERIALES (2)'!$D$92</f>
        <v>97605</v>
      </c>
      <c r="Q41" s="55">
        <f>(A41*B41)*'MATERIALES (2)'!$D$92</f>
        <v>97605</v>
      </c>
      <c r="R41" s="55">
        <f>(A41*B41)*'MATERIALES (2)'!$D$92</f>
        <v>97605</v>
      </c>
      <c r="S41" s="125">
        <f t="shared" si="0"/>
        <v>355737.31805390632</v>
      </c>
      <c r="T41" s="125">
        <f t="shared" si="1"/>
        <v>481766.62495976436</v>
      </c>
      <c r="U41" s="125">
        <f t="shared" si="2"/>
        <v>609993.07104062266</v>
      </c>
      <c r="V41" s="125">
        <f t="shared" si="3"/>
        <v>459717.0295626563</v>
      </c>
      <c r="W41" s="125">
        <f t="shared" si="4"/>
        <v>602420.44834601437</v>
      </c>
      <c r="X41" s="125">
        <f t="shared" si="5"/>
        <v>747321.00630437257</v>
      </c>
      <c r="Y41" s="125">
        <f t="shared" si="6"/>
        <v>562844.69930390629</v>
      </c>
      <c r="Z41" s="125">
        <f t="shared" si="7"/>
        <v>688874.00620976428</v>
      </c>
      <c r="AA41" s="67">
        <f t="shared" si="8"/>
        <v>817100.45229062263</v>
      </c>
      <c r="AD41" s="250" t="s">
        <v>565</v>
      </c>
      <c r="AE41" s="246">
        <f>+$T$40</f>
        <v>431722.05895123607</v>
      </c>
      <c r="AF41" s="247">
        <f>+$W$40</f>
        <v>534665.766644986</v>
      </c>
      <c r="AG41" s="250">
        <f>+$Z$40</f>
        <v>604311.54332623607</v>
      </c>
      <c r="AH41" s="250">
        <f>+'MODENA CORREDIZA'!$M$32</f>
        <v>67271.133807281207</v>
      </c>
      <c r="AJ41" s="252"/>
    </row>
    <row r="42" spans="1:36" ht="16.5" thickBot="1">
      <c r="A42" s="68">
        <v>1.8</v>
      </c>
      <c r="B42" s="69">
        <v>0.8</v>
      </c>
      <c r="C42" s="59">
        <f>((((A42*2)+(B42*2))*'MATERIALES (2)'!$C$60)+(((A42*2)+(B42*2))*'MATERIALES (2)'!$C$59)+(((A42*2)+(B42*2))*'MATERIALES (2)'!$C$76))*'MATERIALES (2)'!$F$2</f>
        <v>103671.75000000001</v>
      </c>
      <c r="D42" s="59">
        <f>((((A42*2)+(B42*2))*'MATERIALES (2)'!$C$60)+(((A42*2)+(B42*4))*'MATERIALES (2)'!$C$59)+(((A42*2)+(B42*4))*'MATERIALES (2)'!$C$76)+(B42*'MATERIALES (2)'!$C$80))*'MATERIALES (2)'!$F$2</f>
        <v>129582.852</v>
      </c>
      <c r="E42" s="59">
        <f>((((A42*2)+(B42*2))*'MATERIALES (2)'!$C$60)+(((A42*2)+(B42*6))*'MATERIALES (2)'!$C$59)+(((A42*2)+(B42*6))*'MATERIALES (2)'!$C$76)+((B42*2)*'MATERIALES (2)'!$C$80))*'MATERIALES (2)'!$F$2</f>
        <v>155493.954</v>
      </c>
      <c r="F42" s="59">
        <f>(8*'MATERIALES (2)'!$C$178)+(1*'MATERIALES (2)'!$C$183)+(2*'MATERIALES (2)'!$C$195)+(((A42*2)+(B42*2))*'MATERIALES (2)'!$C$198)+(4*'MATERIALES (2)'!$C$137)+(((A42*5)*2)*'MATERIALES (2)'!$C$136)+(((A42*2)+(B42*2))*'MATERIALES (2)'!$C$199)+((((A42*2)+(B42*2))/0.1)*'MATERIALES (2)'!$C$181)+(((A42*2)+(B42*2))*'MATERIALES (2)'!$C$154)+(2*'MATERIALES (2)'!$C$176)+(0.5*'MATERIALES (2)'!$C$156)</f>
        <v>34722</v>
      </c>
      <c r="G42" s="59">
        <f>(12*'MATERIALES (2)'!$C$178)+(1*'MATERIALES (2)'!$C$183)+(4*'MATERIALES (2)'!$C$195)+(((A42*2)+(B42*4))*'MATERIALES (2)'!$C$198)+(4*'MATERIALES (2)'!$C$137)+(((A42*5)*2)*'MATERIALES (2)'!$C$136)+(((A42*2)+(B42*2))*'MATERIALES (2)'!$C$199)+((((A42*2)+(B42*4))/0.1)*'MATERIALES (2)'!$C$181)+(((A42*2)+(B42*4))*'MATERIALES (2)'!$C$154)+(2*'MATERIALES (2)'!$C$176)+(0.5*'MATERIALES (2)'!$C$156)</f>
        <v>44802</v>
      </c>
      <c r="H42" s="59">
        <f>(16*'MATERIALES (2)'!$C$178)+(1*'MATERIALES (2)'!$C$183)+(4*'MATERIALES (2)'!$C$195)+(2*'MATERIALES (2)'!$C$197)+(((A42*2)+(B42*6))*'MATERIALES (2)'!$C$198)+(4*'MATERIALES (2)'!$C$137)+(((A42*5)*2)*'MATERIALES (2)'!$C$136)+(((A42*2)+(B42*2))*'MATERIALES (2)'!$C$199)+((((A42*2)+(B42*6))/0.1)*'MATERIALES (2)'!$C$181)+(((A42*2)+(B42*6))*'MATERIALES (2)'!$C$154)+(2*'MATERIALES (2)'!$C$176)+(0.5*'MATERIALES (2)'!$C$156)</f>
        <v>56102</v>
      </c>
      <c r="I42" s="75"/>
      <c r="J42" s="55">
        <f>(A42*B42)*'MATERIALES (2)'!$D$85</f>
        <v>10656.000000000002</v>
      </c>
      <c r="K42" s="55">
        <f>(A42*B42)*'MATERIALES (2)'!$D$85</f>
        <v>10656.000000000002</v>
      </c>
      <c r="L42" s="55">
        <f>(A42*B42)*'MATERIALES (2)'!$D$85</f>
        <v>10656.000000000002</v>
      </c>
      <c r="M42" s="55">
        <f>(((A42*B42)*2)*'MATERIALES (2)'!$D$86)+(4*'MATERIALES (2)'!$C$218)+(((A42*2)+(B42*2))*'MATERIALES (2)'!$C$219)+(((A42*2)+(B42*2))*'MATERIALES (2)'!$C$220)+((((A42*2)+(B42*2))/15)*'MATERIALES (2)'!$C$221)+((((A42*2)+(B42*2))/15)*('MATERIALES (2)'!$C$222*0.15))</f>
        <v>34357.616666666669</v>
      </c>
      <c r="N42" s="55">
        <f>(((A42*B42)*2)*'MATERIALES (2)'!$D$86)+(8*'MATERIALES (2)'!$C$218)+(((A42*2)+(B42*4))*'MATERIALES (2)'!$C$219)+(((A42*2)+(B42*4))*'MATERIALES (2)'!$C$220)+((((A42*2)+(B42*4))/15)*'MATERIALES (2)'!$C$221)+((((A42*2)+(B42*4))/15)*('MATERIALES (2)'!$C$222*0.15))</f>
        <v>37224.083333333336</v>
      </c>
      <c r="O42" s="55">
        <f>(((A42*B42)*2)*'MATERIALES (2)'!$D$86)+(12*'MATERIALES (2)'!$C$218)+(((A42*2)+(B42*6))*'MATERIALES (2)'!$C$219)+(((A42*2)+(B42*6))*'MATERIALES (2)'!$C$220)+((((A42*2)+(B42*6))/15)*'MATERIALES (2)'!$C$221)+((((A42*2)+(B42*6))/15)*('MATERIALES (2)'!$C$222*0.15))</f>
        <v>40090.550000000003</v>
      </c>
      <c r="P42" s="55">
        <f>(A42*B42)*'MATERIALES (2)'!$D$92</f>
        <v>52056.000000000007</v>
      </c>
      <c r="Q42" s="55">
        <f>(A42*B42)*'MATERIALES (2)'!$D$92</f>
        <v>52056.000000000007</v>
      </c>
      <c r="R42" s="55">
        <f>(A42*B42)*'MATERIALES (2)'!$D$92</f>
        <v>52056.000000000007</v>
      </c>
      <c r="S42" s="125">
        <f t="shared" si="0"/>
        <v>277668.71596406255</v>
      </c>
      <c r="T42" s="125">
        <f t="shared" si="1"/>
        <v>342486.30625555507</v>
      </c>
      <c r="U42" s="125">
        <f t="shared" si="2"/>
        <v>409501.0357220475</v>
      </c>
      <c r="V42" s="125">
        <f t="shared" si="3"/>
        <v>340905.81431156251</v>
      </c>
      <c r="W42" s="125">
        <f t="shared" si="4"/>
        <v>413371.28099305497</v>
      </c>
      <c r="X42" s="125">
        <f t="shared" si="5"/>
        <v>488033.88684954745</v>
      </c>
      <c r="Y42" s="125">
        <f t="shared" si="6"/>
        <v>388125.98596406251</v>
      </c>
      <c r="Z42" s="125">
        <f t="shared" si="7"/>
        <v>452943.57625555509</v>
      </c>
      <c r="AA42" s="67">
        <f t="shared" si="8"/>
        <v>519958.30572204752</v>
      </c>
      <c r="AD42" s="250" t="s">
        <v>566</v>
      </c>
      <c r="AE42" s="246">
        <f>+$T$41</f>
        <v>481766.62495976436</v>
      </c>
      <c r="AF42" s="247">
        <f>+$W$41</f>
        <v>602420.44834601437</v>
      </c>
      <c r="AG42" s="250">
        <f>+$Z$41</f>
        <v>688874.00620976428</v>
      </c>
      <c r="AH42" s="250">
        <f>+'MODENA CORREDIZA'!$M$33</f>
        <v>80689.341893737554</v>
      </c>
    </row>
    <row r="43" spans="1:36" ht="40.5" customHeight="1" thickBot="1">
      <c r="A43" s="68">
        <v>1.8</v>
      </c>
      <c r="B43" s="69">
        <v>1</v>
      </c>
      <c r="C43" s="59">
        <f>((((A43*2)+(B43*2))*'MATERIALES (2)'!$C$60)+(((A43*2)+(B43*2))*'MATERIALES (2)'!$C$59)+(((A43*2)+(B43*2))*'MATERIALES (2)'!$C$76))*'MATERIALES (2)'!$F$2</f>
        <v>111646.50000000001</v>
      </c>
      <c r="D43" s="59">
        <f>((((A43*2)+(B43*2))*'MATERIALES (2)'!$C$60)+(((A43*2)+(B43*4))*'MATERIALES (2)'!$C$59)+(((A43*2)+(B43*4))*'MATERIALES (2)'!$C$76)+(B43*'MATERIALES (2)'!$C$80))*'MATERIALES (2)'!$F$2</f>
        <v>144035.37749999997</v>
      </c>
      <c r="E43" s="59">
        <f>((((A43*2)+(B43*2))*'MATERIALES (2)'!$C$60)+(((A43*2)+(B43*6))*'MATERIALES (2)'!$C$59)+(((A43*2)+(B43*6))*'MATERIALES (2)'!$C$76)+((B43*2)*'MATERIALES (2)'!$C$80))*'MATERIALES (2)'!$F$2</f>
        <v>176424.255</v>
      </c>
      <c r="F43" s="59">
        <f>(8*'MATERIALES (2)'!$C$178)+(1*'MATERIALES (2)'!$C$183)+(2*'MATERIALES (2)'!$C$195)+(((A43*2)+(B43*2))*'MATERIALES (2)'!$C$198)+(4*'MATERIALES (2)'!$C$137)+(((A43*5)*2)*'MATERIALES (2)'!$C$136)+(((A43*2)+(B43*2))*'MATERIALES (2)'!$C$199)+((((A43*2)+(B43*2))/0.1)*'MATERIALES (2)'!$C$181)+(((A43*2)+(B43*2))*'MATERIALES (2)'!$C$154)+(2*'MATERIALES (2)'!$C$176)+(0.5*'MATERIALES (2)'!$C$156)</f>
        <v>35186</v>
      </c>
      <c r="G43" s="59">
        <f>(12*'MATERIALES (2)'!$C$178)+(1*'MATERIALES (2)'!$C$183)+(4*'MATERIALES (2)'!$C$195)+(((A43*2)+(B43*4))*'MATERIALES (2)'!$C$198)+(4*'MATERIALES (2)'!$C$137)+(((A43*5)*2)*'MATERIALES (2)'!$C$136)+(((A43*2)+(B43*2))*'MATERIALES (2)'!$C$199)+((((A43*2)+(B43*4))/0.1)*'MATERIALES (2)'!$C$181)+(((A43*2)+(B43*4))*'MATERIALES (2)'!$C$154)+(2*'MATERIALES (2)'!$C$176)+(0.5*'MATERIALES (2)'!$C$156)</f>
        <v>45586</v>
      </c>
      <c r="H43" s="59">
        <f>(16*'MATERIALES (2)'!$C$178)+(1*'MATERIALES (2)'!$C$183)+(4*'MATERIALES (2)'!$C$195)+(2*'MATERIALES (2)'!$C$197)+(((A43*2)+(B43*6))*'MATERIALES (2)'!$C$198)+(4*'MATERIALES (2)'!$C$137)+(((A43*5)*2)*'MATERIALES (2)'!$C$136)+(((A43*2)+(B43*2))*'MATERIALES (2)'!$C$199)+((((A43*2)+(B43*6))/0.1)*'MATERIALES (2)'!$C$181)+(((A43*2)+(B43*6))*'MATERIALES (2)'!$C$154)+(2*'MATERIALES (2)'!$C$176)+(0.5*'MATERIALES (2)'!$C$156)</f>
        <v>57206</v>
      </c>
      <c r="I43" s="75"/>
      <c r="J43" s="55">
        <f>(A43*B43)*'MATERIALES (2)'!$D$85</f>
        <v>13320</v>
      </c>
      <c r="K43" s="55">
        <f>(A43*B43)*'MATERIALES (2)'!$D$85</f>
        <v>13320</v>
      </c>
      <c r="L43" s="55">
        <f>(A43*B43)*'MATERIALES (2)'!$D$85</f>
        <v>13320</v>
      </c>
      <c r="M43" s="55">
        <f>(((A43*B43)*2)*'MATERIALES (2)'!$D$86)+(4*'MATERIALES (2)'!$C$218)+(((A43*2)+(B43*2))*'MATERIALES (2)'!$C$219)+(((A43*2)+(B43*2))*'MATERIALES (2)'!$C$220)+((((A43*2)+(B43*2))/15)*'MATERIALES (2)'!$C$221)+((((A43*2)+(B43*2))/15)*('MATERIALES (2)'!$C$222*0.15))</f>
        <v>41384.633333333339</v>
      </c>
      <c r="N43" s="55">
        <f>(((A43*B43)*2)*'MATERIALES (2)'!$D$86)+(8*'MATERIALES (2)'!$C$218)+(((A43*2)+(B43*4))*'MATERIALES (2)'!$C$219)+(((A43*2)+(B43*4))*'MATERIALES (2)'!$C$220)+((((A43*2)+(B43*4))/15)*'MATERIALES (2)'!$C$221)+((((A43*2)+(B43*4))/15)*('MATERIALES (2)'!$C$222*0.15))</f>
        <v>44927.716666666667</v>
      </c>
      <c r="O43" s="55">
        <f>(((A43*B43)*2)*'MATERIALES (2)'!$D$86)+(12*'MATERIALES (2)'!$C$218)+(((A43*2)+(B43*6))*'MATERIALES (2)'!$C$219)+(((A43*2)+(B43*6))*'MATERIALES (2)'!$C$220)+((((A43*2)+(B43*6))/15)*'MATERIALES (2)'!$C$221)+((((A43*2)+(B43*6))/15)*('MATERIALES (2)'!$C$222*0.15))</f>
        <v>48470.8</v>
      </c>
      <c r="P43" s="55">
        <f>(A43*B43)*'MATERIALES (2)'!$D$92</f>
        <v>65070</v>
      </c>
      <c r="Q43" s="55">
        <f>(A43*B43)*'MATERIALES (2)'!$D$92</f>
        <v>65070</v>
      </c>
      <c r="R43" s="55">
        <f>(A43*B43)*'MATERIALES (2)'!$D$92</f>
        <v>65070</v>
      </c>
      <c r="S43" s="125">
        <f t="shared" si="0"/>
        <v>299974.03084687504</v>
      </c>
      <c r="T43" s="125">
        <f t="shared" si="1"/>
        <v>377033.96446124068</v>
      </c>
      <c r="U43" s="125">
        <f t="shared" si="2"/>
        <v>456291.03725060628</v>
      </c>
      <c r="V43" s="125">
        <f t="shared" si="3"/>
        <v>374851.87581187504</v>
      </c>
      <c r="W43" s="125">
        <f t="shared" si="4"/>
        <v>461364.93291374063</v>
      </c>
      <c r="X43" s="125">
        <f t="shared" si="5"/>
        <v>550075.12919060641</v>
      </c>
      <c r="Y43" s="125">
        <f t="shared" si="6"/>
        <v>438045.61834687507</v>
      </c>
      <c r="Z43" s="125">
        <f t="shared" si="7"/>
        <v>515105.55196124071</v>
      </c>
      <c r="AA43" s="67">
        <f t="shared" si="8"/>
        <v>594362.62475060637</v>
      </c>
      <c r="AD43" s="239" t="s">
        <v>534</v>
      </c>
      <c r="AE43" s="240" t="s">
        <v>697</v>
      </c>
      <c r="AF43" s="241" t="s">
        <v>910</v>
      </c>
      <c r="AG43" s="240" t="s">
        <v>911</v>
      </c>
      <c r="AH43" s="240" t="s">
        <v>645</v>
      </c>
    </row>
    <row r="44" spans="1:36" ht="16.5" thickBot="1">
      <c r="A44" s="68">
        <v>1.8</v>
      </c>
      <c r="B44" s="69">
        <v>1.1000000000000001</v>
      </c>
      <c r="C44" s="59">
        <f>((((A44*2)+(B44*2))*'MATERIALES (2)'!$C$60)+(((A44*2)+(B44*2))*'MATERIALES (2)'!$C$59)+(((A44*2)+(B44*2))*'MATERIALES (2)'!$C$76))*'MATERIALES (2)'!$F$2</f>
        <v>115633.87500000003</v>
      </c>
      <c r="D44" s="59">
        <f>((((A44*2)+(B44*2))*'MATERIALES (2)'!$C$60)+(((A44*2)+(B44*4))*'MATERIALES (2)'!$C$59)+(((A44*2)+(B44*4))*'MATERIALES (2)'!$C$76)+(B44*'MATERIALES (2)'!$C$80))*'MATERIALES (2)'!$F$2</f>
        <v>151261.64025</v>
      </c>
      <c r="E44" s="59">
        <f>((((A44*2)+(B44*2))*'MATERIALES (2)'!$C$60)+(((A44*2)+(B44*6))*'MATERIALES (2)'!$C$59)+(((A44*2)+(B44*6))*'MATERIALES (2)'!$C$76)+((B44*2)*'MATERIALES (2)'!$C$80))*'MATERIALES (2)'!$F$2</f>
        <v>186889.40550000002</v>
      </c>
      <c r="F44" s="59">
        <f>(8*'MATERIALES (2)'!$C$178)+(1*'MATERIALES (2)'!$C$183)+(2*'MATERIALES (2)'!$C$195)+(((A44*2)+(B44*2))*'MATERIALES (2)'!$C$198)+(4*'MATERIALES (2)'!$C$137)+(((A44*5)*2)*'MATERIALES (2)'!$C$136)+(((A44*2)+(B44*2))*'MATERIALES (2)'!$C$199)+((((A44*2)+(B44*2))/0.1)*'MATERIALES (2)'!$C$181)+(((A44*2)+(B44*2))*'MATERIALES (2)'!$C$154)+(2*'MATERIALES (2)'!$C$176)+(0.5*'MATERIALES (2)'!$C$156)</f>
        <v>35418</v>
      </c>
      <c r="G44" s="59">
        <f>(12*'MATERIALES (2)'!$C$178)+(1*'MATERIALES (2)'!$C$183)+(4*'MATERIALES (2)'!$C$195)+(((A44*2)+(B44*4))*'MATERIALES (2)'!$C$198)+(4*'MATERIALES (2)'!$C$137)+(((A44*5)*2)*'MATERIALES (2)'!$C$136)+(((A44*2)+(B44*2))*'MATERIALES (2)'!$C$199)+((((A44*2)+(B44*4))/0.1)*'MATERIALES (2)'!$C$181)+(((A44*2)+(B44*4))*'MATERIALES (2)'!$C$154)+(2*'MATERIALES (2)'!$C$176)+(0.5*'MATERIALES (2)'!$C$156)</f>
        <v>45978</v>
      </c>
      <c r="H44" s="59">
        <f>(16*'MATERIALES (2)'!$C$178)+(1*'MATERIALES (2)'!$C$183)+(4*'MATERIALES (2)'!$C$195)+(2*'MATERIALES (2)'!$C$197)+(((A44*2)+(B44*6))*'MATERIALES (2)'!$C$198)+(4*'MATERIALES (2)'!$C$137)+(((A44*5)*2)*'MATERIALES (2)'!$C$136)+(((A44*2)+(B44*2))*'MATERIALES (2)'!$C$199)+((((A44*2)+(B44*6))/0.1)*'MATERIALES (2)'!$C$181)+(((A44*2)+(B44*6))*'MATERIALES (2)'!$C$154)+(2*'MATERIALES (2)'!$C$176)+(0.5*'MATERIALES (2)'!$C$156)</f>
        <v>57758</v>
      </c>
      <c r="I44" s="75"/>
      <c r="J44" s="55">
        <f>(A44*B44)*'MATERIALES (2)'!$D$85</f>
        <v>14652.000000000002</v>
      </c>
      <c r="K44" s="55">
        <f>(A44*B44)*'MATERIALES (2)'!$D$85</f>
        <v>14652.000000000002</v>
      </c>
      <c r="L44" s="55">
        <f>(A44*B44)*'MATERIALES (2)'!$D$85</f>
        <v>14652.000000000002</v>
      </c>
      <c r="M44" s="55">
        <f>(((A44*B44)*2)*'MATERIALES (2)'!$D$86)+(4*'MATERIALES (2)'!$C$218)+(((A44*2)+(B44*2))*'MATERIALES (2)'!$C$219)+(((A44*2)+(B44*2))*'MATERIALES (2)'!$C$220)+((((A44*2)+(B44*2))/15)*'MATERIALES (2)'!$C$221)+((((A44*2)+(B44*2))/15)*('MATERIALES (2)'!$C$222*0.15))</f>
        <v>44898.14166666667</v>
      </c>
      <c r="N44" s="55">
        <f>(((A44*B44)*2)*'MATERIALES (2)'!$D$86)+(8*'MATERIALES (2)'!$C$218)+(((A44*2)+(B44*4))*'MATERIALES (2)'!$C$219)+(((A44*2)+(B44*4))*'MATERIALES (2)'!$C$220)+((((A44*2)+(B44*4))/15)*'MATERIALES (2)'!$C$221)+((((A44*2)+(B44*4))/15)*('MATERIALES (2)'!$C$222*0.15))</f>
        <v>48779.53333333334</v>
      </c>
      <c r="O44" s="55">
        <f>(((A44*B44)*2)*'MATERIALES (2)'!$D$86)+(12*'MATERIALES (2)'!$C$218)+(((A44*2)+(B44*6))*'MATERIALES (2)'!$C$219)+(((A44*2)+(B44*6))*'MATERIALES (2)'!$C$220)+((((A44*2)+(B44*6))/15)*'MATERIALES (2)'!$C$221)+((((A44*2)+(B44*6))/15)*('MATERIALES (2)'!$C$222*0.15))</f>
        <v>52660.925000000003</v>
      </c>
      <c r="P44" s="55">
        <f>(A44*B44)*'MATERIALES (2)'!$D$92</f>
        <v>71577.000000000015</v>
      </c>
      <c r="Q44" s="55">
        <f>(A44*B44)*'MATERIALES (2)'!$D$92</f>
        <v>71577.000000000015</v>
      </c>
      <c r="R44" s="55">
        <f>(A44*B44)*'MATERIALES (2)'!$D$92</f>
        <v>71577.000000000015</v>
      </c>
      <c r="S44" s="125">
        <f t="shared" si="0"/>
        <v>311126.68828828132</v>
      </c>
      <c r="T44" s="125">
        <f t="shared" si="1"/>
        <v>394307.79356408346</v>
      </c>
      <c r="U44" s="125">
        <f t="shared" si="2"/>
        <v>479686.03801488579</v>
      </c>
      <c r="V44" s="125">
        <f t="shared" si="3"/>
        <v>391824.9065620313</v>
      </c>
      <c r="W44" s="125">
        <f t="shared" si="4"/>
        <v>485361.75887408358</v>
      </c>
      <c r="X44" s="125">
        <f t="shared" si="5"/>
        <v>581095.75036113581</v>
      </c>
      <c r="Y44" s="125">
        <f t="shared" si="6"/>
        <v>463005.43453828141</v>
      </c>
      <c r="Z44" s="125">
        <f t="shared" si="7"/>
        <v>546186.5398140836</v>
      </c>
      <c r="AA44" s="67">
        <f t="shared" si="8"/>
        <v>631564.78426488582</v>
      </c>
      <c r="AD44" s="250" t="s">
        <v>561</v>
      </c>
      <c r="AE44" s="246">
        <f>+U36</f>
        <v>381966.13439782884</v>
      </c>
      <c r="AF44" s="247">
        <f t="shared" ref="AF44:AF61" si="9">+X36</f>
        <v>451234.11519907881</v>
      </c>
      <c r="AG44" s="250">
        <f t="shared" ref="AG44:AG61" si="10">+AA36</f>
        <v>474013.85939782881</v>
      </c>
      <c r="AH44" s="250">
        <f>+'MODENA CORREDIZA'!$M$28</f>
        <v>35961.981605549925</v>
      </c>
    </row>
    <row r="45" spans="1:36" ht="16.5" thickBot="1">
      <c r="A45" s="68">
        <v>1.8</v>
      </c>
      <c r="B45" s="69">
        <v>1.2</v>
      </c>
      <c r="C45" s="59">
        <f>((((A45*2)+(B45*2))*'MATERIALES (2)'!$C$60)+(((A45*2)+(B45*2))*'MATERIALES (2)'!$C$59)+(((A45*2)+(B45*2))*'MATERIALES (2)'!$C$76))*'MATERIALES (2)'!$F$2</f>
        <v>119621.25</v>
      </c>
      <c r="D45" s="59">
        <f>((((A45*2)+(B45*2))*'MATERIALES (2)'!$C$60)+(((A45*2)+(B45*4))*'MATERIALES (2)'!$C$59)+(((A45*2)+(B45*4))*'MATERIALES (2)'!$C$76)+(B45*'MATERIALES (2)'!$C$80))*'MATERIALES (2)'!$F$2</f>
        <v>158487.90299999999</v>
      </c>
      <c r="E45" s="59">
        <f>((((A45*2)+(B45*2))*'MATERIALES (2)'!$C$60)+(((A45*2)+(B45*6))*'MATERIALES (2)'!$C$59)+(((A45*2)+(B45*6))*'MATERIALES (2)'!$C$76)+((B45*2)*'MATERIALES (2)'!$C$80))*'MATERIALES (2)'!$F$2</f>
        <v>197354.55600000001</v>
      </c>
      <c r="F45" s="59">
        <f>(8*'MATERIALES (2)'!$C$178)+(1*'MATERIALES (2)'!$C$183)+(2*'MATERIALES (2)'!$C$195)+(((A45*2)+(B45*2))*'MATERIALES (2)'!$C$198)+(4*'MATERIALES (2)'!$C$137)+(((A45*5)*2)*'MATERIALES (2)'!$C$136)+(((A45*2)+(B45*2))*'MATERIALES (2)'!$C$199)+((((A45*2)+(B45*2))/0.1)*'MATERIALES (2)'!$C$181)+(((A45*2)+(B45*2))*'MATERIALES (2)'!$C$154)+(2*'MATERIALES (2)'!$C$176)+(0.5*'MATERIALES (2)'!$C$156)</f>
        <v>35650</v>
      </c>
      <c r="G45" s="59">
        <f>(12*'MATERIALES (2)'!$C$178)+(1*'MATERIALES (2)'!$C$183)+(4*'MATERIALES (2)'!$C$195)+(((A45*2)+(B45*4))*'MATERIALES (2)'!$C$198)+(4*'MATERIALES (2)'!$C$137)+(((A45*5)*2)*'MATERIALES (2)'!$C$136)+(((A45*2)+(B45*2))*'MATERIALES (2)'!$C$199)+((((A45*2)+(B45*4))/0.1)*'MATERIALES (2)'!$C$181)+(((A45*2)+(B45*4))*'MATERIALES (2)'!$C$154)+(2*'MATERIALES (2)'!$C$176)+(0.5*'MATERIALES (2)'!$C$156)</f>
        <v>46370</v>
      </c>
      <c r="H45" s="59">
        <f>(16*'MATERIALES (2)'!$C$178)+(1*'MATERIALES (2)'!$C$183)+(4*'MATERIALES (2)'!$C$195)+(2*'MATERIALES (2)'!$C$197)+(((A45*2)+(B45*6))*'MATERIALES (2)'!$C$198)+(4*'MATERIALES (2)'!$C$137)+(((A45*5)*2)*'MATERIALES (2)'!$C$136)+(((A45*2)+(B45*2))*'MATERIALES (2)'!$C$199)+((((A45*2)+(B45*6))/0.1)*'MATERIALES (2)'!$C$181)+(((A45*2)+(B45*6))*'MATERIALES (2)'!$C$154)+(2*'MATERIALES (2)'!$C$176)+(0.5*'MATERIALES (2)'!$C$156)</f>
        <v>58310</v>
      </c>
      <c r="I45" s="75"/>
      <c r="J45" s="55">
        <f>(A45*B45)*'MATERIALES (2)'!$D$85</f>
        <v>15984.000000000002</v>
      </c>
      <c r="K45" s="55">
        <f>(A45*B45)*'MATERIALES (2)'!$D$85</f>
        <v>15984.000000000002</v>
      </c>
      <c r="L45" s="55">
        <f>(A45*B45)*'MATERIALES (2)'!$D$85</f>
        <v>15984.000000000002</v>
      </c>
      <c r="M45" s="55">
        <f>(((A45*B45)*2)*'MATERIALES (2)'!$D$86)+(4*'MATERIALES (2)'!$C$218)+(((A45*2)+(B45*2))*'MATERIALES (2)'!$C$219)+(((A45*2)+(B45*2))*'MATERIALES (2)'!$C$220)+((((A45*2)+(B45*2))/15)*'MATERIALES (2)'!$C$221)+((((A45*2)+(B45*2))/15)*('MATERIALES (2)'!$C$222*0.15))</f>
        <v>48411.65</v>
      </c>
      <c r="N45" s="55">
        <f>(((A45*B45)*2)*'MATERIALES (2)'!$D$86)+(8*'MATERIALES (2)'!$C$218)+(((A45*2)+(B45*4))*'MATERIALES (2)'!$C$219)+(((A45*2)+(B45*4))*'MATERIALES (2)'!$C$220)+((((A45*2)+(B45*4))/15)*'MATERIALES (2)'!$C$221)+((((A45*2)+(B45*4))/15)*('MATERIALES (2)'!$C$222*0.15))</f>
        <v>52631.35</v>
      </c>
      <c r="O45" s="55">
        <f>(((A45*B45)*2)*'MATERIALES (2)'!$D$86)+(12*'MATERIALES (2)'!$C$218)+(((A45*2)+(B45*6))*'MATERIALES (2)'!$C$219)+(((A45*2)+(B45*6))*'MATERIALES (2)'!$C$220)+((((A45*2)+(B45*6))/15)*'MATERIALES (2)'!$C$221)+((((A45*2)+(B45*6))/15)*('MATERIALES (2)'!$C$222*0.15))</f>
        <v>56851.05</v>
      </c>
      <c r="P45" s="55">
        <f>(A45*B45)*'MATERIALES (2)'!$D$92</f>
        <v>78084</v>
      </c>
      <c r="Q45" s="55">
        <f>(A45*B45)*'MATERIALES (2)'!$D$92</f>
        <v>78084</v>
      </c>
      <c r="R45" s="55">
        <f>(A45*B45)*'MATERIALES (2)'!$D$92</f>
        <v>78084</v>
      </c>
      <c r="S45" s="125">
        <f t="shared" si="0"/>
        <v>322279.34572968748</v>
      </c>
      <c r="T45" s="125">
        <f t="shared" si="1"/>
        <v>411581.6226669263</v>
      </c>
      <c r="U45" s="125">
        <f t="shared" si="2"/>
        <v>503081.03877916507</v>
      </c>
      <c r="V45" s="125">
        <f t="shared" si="3"/>
        <v>408797.93731218745</v>
      </c>
      <c r="W45" s="125">
        <f t="shared" si="4"/>
        <v>509358.58483442635</v>
      </c>
      <c r="X45" s="125">
        <f t="shared" si="5"/>
        <v>612116.37153166498</v>
      </c>
      <c r="Y45" s="125">
        <f t="shared" si="6"/>
        <v>487965.25072968757</v>
      </c>
      <c r="Z45" s="125">
        <f t="shared" si="7"/>
        <v>577267.52766692627</v>
      </c>
      <c r="AA45" s="67">
        <f t="shared" si="8"/>
        <v>668766.94377916504</v>
      </c>
      <c r="AD45" s="250" t="s">
        <v>562</v>
      </c>
      <c r="AE45" s="246">
        <f t="shared" ref="AE45:AE61" si="11">+U37</f>
        <v>427571.52172638755</v>
      </c>
      <c r="AF45" s="247">
        <f t="shared" si="9"/>
        <v>510451.49342013762</v>
      </c>
      <c r="AG45" s="250">
        <f t="shared" si="10"/>
        <v>542631.17797638755</v>
      </c>
      <c r="AH45" s="250">
        <f>+'MODENA CORREDIZA'!$M$29</f>
        <v>44907.453663187451</v>
      </c>
    </row>
    <row r="46" spans="1:36" ht="16.5" thickBot="1">
      <c r="A46" s="68">
        <v>1.8</v>
      </c>
      <c r="B46" s="69">
        <v>1.5</v>
      </c>
      <c r="C46" s="59">
        <f>((((A46*2)+(B46*2))*'MATERIALES (2)'!$C$60)+(((A46*2)+(B46*2))*'MATERIALES (2)'!$C$59)+(((A46*2)+(B46*2))*'MATERIALES (2)'!$C$76))*'MATERIALES (2)'!$F$2</f>
        <v>131583.375</v>
      </c>
      <c r="D46" s="59">
        <f>((((A46*2)+(B46*2))*'MATERIALES (2)'!$C$60)+(((A46*2)+(B46*4))*'MATERIALES (2)'!$C$59)+(((A46*2)+(B46*4))*'MATERIALES (2)'!$C$76)+(B46*'MATERIALES (2)'!$C$80))*'MATERIALES (2)'!$F$2</f>
        <v>180166.69124999997</v>
      </c>
      <c r="E46" s="59">
        <f>((((A46*2)+(B46*2))*'MATERIALES (2)'!$C$60)+(((A46*2)+(B46*6))*'MATERIALES (2)'!$C$59)+(((A46*2)+(B46*6))*'MATERIALES (2)'!$C$76)+((B46*2)*'MATERIALES (2)'!$C$80))*'MATERIALES (2)'!$F$2</f>
        <v>228750.00750000001</v>
      </c>
      <c r="F46" s="59">
        <f>(8*'MATERIALES (2)'!$C$178)+(1*'MATERIALES (2)'!$C$183)+(2*'MATERIALES (2)'!$C$195)+(((A46*2)+(B46*2))*'MATERIALES (2)'!$C$198)+(4*'MATERIALES (2)'!$C$137)+(((A46*5)*2)*'MATERIALES (2)'!$C$136)+(((A46*2)+(B46*2))*'MATERIALES (2)'!$C$199)+((((A46*2)+(B46*2))/0.1)*'MATERIALES (2)'!$C$181)+(((A46*2)+(B46*2))*'MATERIALES (2)'!$C$154)+(2*'MATERIALES (2)'!$C$176)+(0.5*'MATERIALES (2)'!$C$156)</f>
        <v>36346</v>
      </c>
      <c r="G46" s="59">
        <f>(12*'MATERIALES (2)'!$C$178)+(1*'MATERIALES (2)'!$C$183)+(4*'MATERIALES (2)'!$C$195)+(((A46*2)+(B46*4))*'MATERIALES (2)'!$C$198)+(4*'MATERIALES (2)'!$C$137)+(((A46*5)*2)*'MATERIALES (2)'!$C$136)+(((A46*2)+(B46*2))*'MATERIALES (2)'!$C$199)+((((A46*2)+(B46*4))/0.1)*'MATERIALES (2)'!$C$181)+(((A46*2)+(B46*4))*'MATERIALES (2)'!$C$154)+(2*'MATERIALES (2)'!$C$176)+(0.5*'MATERIALES (2)'!$C$156)</f>
        <v>47546</v>
      </c>
      <c r="H46" s="59">
        <f>(16*'MATERIALES (2)'!$C$178)+(1*'MATERIALES (2)'!$C$183)+(4*'MATERIALES (2)'!$C$195)+(2*'MATERIALES (2)'!$C$197)+(((A46*2)+(B46*6))*'MATERIALES (2)'!$C$198)+(4*'MATERIALES (2)'!$C$137)+(((A46*5)*2)*'MATERIALES (2)'!$C$136)+(((A46*2)+(B46*2))*'MATERIALES (2)'!$C$199)+((((A46*2)+(B46*6))/0.1)*'MATERIALES (2)'!$C$181)+(((A46*2)+(B46*6))*'MATERIALES (2)'!$C$154)+(2*'MATERIALES (2)'!$C$176)+(0.5*'MATERIALES (2)'!$C$156)</f>
        <v>59966</v>
      </c>
      <c r="I46" s="75"/>
      <c r="J46" s="55">
        <f>(A46*B46)*'MATERIALES (2)'!$D$85</f>
        <v>19980</v>
      </c>
      <c r="K46" s="55">
        <f>(A46*B46)*'MATERIALES (2)'!$D$85</f>
        <v>19980</v>
      </c>
      <c r="L46" s="55">
        <f>(A46*B46)*'MATERIALES (2)'!$D$85</f>
        <v>19980</v>
      </c>
      <c r="M46" s="55">
        <f>(((A46*B46)*2)*'MATERIALES (2)'!$D$86)+(4*'MATERIALES (2)'!$C$218)+(((A46*2)+(B46*2))*'MATERIALES (2)'!$C$219)+(((A46*2)+(B46*2))*'MATERIALES (2)'!$C$220)+((((A46*2)+(B46*2))/15)*'MATERIALES (2)'!$C$221)+((((A46*2)+(B46*2))/15)*('MATERIALES (2)'!$C$222*0.15))</f>
        <v>58952.175000000003</v>
      </c>
      <c r="N46" s="55">
        <f>(((A46*B46)*2)*'MATERIALES (2)'!$D$86)+(8*'MATERIALES (2)'!$C$218)+(((A46*2)+(B46*4))*'MATERIALES (2)'!$C$219)+(((A46*2)+(B46*4))*'MATERIALES (2)'!$C$220)+((((A46*2)+(B46*4))/15)*'MATERIALES (2)'!$C$221)+((((A46*2)+(B46*4))/15)*('MATERIALES (2)'!$C$222*0.15))</f>
        <v>64186.8</v>
      </c>
      <c r="O46" s="55">
        <f>(((A46*B46)*2)*'MATERIALES (2)'!$D$86)+(12*'MATERIALES (2)'!$C$218)+(((A46*2)+(B46*6))*'MATERIALES (2)'!$C$219)+(((A46*2)+(B46*6))*'MATERIALES (2)'!$C$220)+((((A46*2)+(B46*6))/15)*'MATERIALES (2)'!$C$221)+((((A46*2)+(B46*6))/15)*('MATERIALES (2)'!$C$222*0.15))</f>
        <v>69421.425000000003</v>
      </c>
      <c r="P46" s="55">
        <f>(A46*B46)*'MATERIALES (2)'!$D$92</f>
        <v>97605</v>
      </c>
      <c r="Q46" s="55">
        <f>(A46*B46)*'MATERIALES (2)'!$D$92</f>
        <v>97605</v>
      </c>
      <c r="R46" s="55">
        <f>(A46*B46)*'MATERIALES (2)'!$D$92</f>
        <v>97605</v>
      </c>
      <c r="S46" s="125">
        <f t="shared" si="0"/>
        <v>355737.31805390632</v>
      </c>
      <c r="T46" s="125">
        <f t="shared" si="1"/>
        <v>463403.10997545475</v>
      </c>
      <c r="U46" s="125">
        <f t="shared" si="2"/>
        <v>573266.04107200308</v>
      </c>
      <c r="V46" s="125">
        <f t="shared" si="3"/>
        <v>459717.0295626563</v>
      </c>
      <c r="W46" s="125">
        <f t="shared" si="4"/>
        <v>581349.06271545484</v>
      </c>
      <c r="X46" s="125">
        <f t="shared" si="5"/>
        <v>705178.23504325305</v>
      </c>
      <c r="Y46" s="125">
        <f t="shared" si="6"/>
        <v>562844.69930390629</v>
      </c>
      <c r="Z46" s="125">
        <f t="shared" si="7"/>
        <v>670510.49122545472</v>
      </c>
      <c r="AA46" s="67">
        <f t="shared" si="8"/>
        <v>780373.42232200317</v>
      </c>
      <c r="AD46" s="250" t="s">
        <v>563</v>
      </c>
      <c r="AE46" s="246">
        <f t="shared" si="11"/>
        <v>450374.21539066703</v>
      </c>
      <c r="AF46" s="247">
        <f t="shared" si="9"/>
        <v>540060.18253066705</v>
      </c>
      <c r="AG46" s="250">
        <f t="shared" si="10"/>
        <v>576939.83726566692</v>
      </c>
      <c r="AH46" s="250">
        <f>+'MODENA CORREDIZA'!$M$30</f>
        <v>49380.189692006272</v>
      </c>
    </row>
    <row r="47" spans="1:36" ht="16.5" thickBot="1">
      <c r="A47" s="68">
        <v>1.8</v>
      </c>
      <c r="B47" s="69">
        <v>1.8</v>
      </c>
      <c r="C47" s="59">
        <f>((((A47*2)+(B47*2))*'MATERIALES (2)'!$C$60)+(((A47*2)+(B47*2))*'MATERIALES (2)'!$C$59)+(((A47*2)+(B47*2))*'MATERIALES (2)'!$C$76))*'MATERIALES (2)'!$F$2</f>
        <v>143545.50000000003</v>
      </c>
      <c r="D47" s="59">
        <f>((((A47*2)+(B47*2))*'MATERIALES (2)'!$C$60)+(((A47*2)+(B47*4))*'MATERIALES (2)'!$C$59)+(((A47*2)+(B47*4))*'MATERIALES (2)'!$C$76)+(B47*'MATERIALES (2)'!$C$80))*'MATERIALES (2)'!$F$2</f>
        <v>201845.47949999999</v>
      </c>
      <c r="E47" s="59">
        <f>((((A47*2)+(B47*2))*'MATERIALES (2)'!$C$60)+(((A47*2)+(B47*6))*'MATERIALES (2)'!$C$59)+(((A47*2)+(B47*6))*'MATERIALES (2)'!$C$76)+((B47*2)*'MATERIALES (2)'!$C$80))*'MATERIALES (2)'!$F$2</f>
        <v>260145.45900000006</v>
      </c>
      <c r="F47" s="59">
        <f>(8*'MATERIALES (2)'!$C$178)+(1*'MATERIALES (2)'!$C$183)+(2*'MATERIALES (2)'!$C$195)+(((A47*2)+(B47*2))*'MATERIALES (2)'!$C$198)+(4*'MATERIALES (2)'!$C$137)+(((A47*5)*2)*'MATERIALES (2)'!$C$136)+(((A47*2)+(B47*2))*'MATERIALES (2)'!$C$199)+((((A47*2)+(B47*2))/0.1)*'MATERIALES (2)'!$C$181)+(((A47*2)+(B47*2))*'MATERIALES (2)'!$C$154)+(2*'MATERIALES (2)'!$C$176)+(0.5*'MATERIALES (2)'!$C$156)</f>
        <v>37042</v>
      </c>
      <c r="G47" s="59">
        <f>(12*'MATERIALES (2)'!$C$178)+(1*'MATERIALES (2)'!$C$183)+(4*'MATERIALES (2)'!$C$195)+(((A47*2)+(B47*4))*'MATERIALES (2)'!$C$198)+(4*'MATERIALES (2)'!$C$137)+(((A47*5)*2)*'MATERIALES (2)'!$C$136)+(((A47*2)+(B47*2))*'MATERIALES (2)'!$C$199)+((((A47*2)+(B47*4))/0.1)*'MATERIALES (2)'!$C$181)+(((A47*2)+(B47*4))*'MATERIALES (2)'!$C$154)+(2*'MATERIALES (2)'!$C$176)+(0.5*'MATERIALES (2)'!$C$156)</f>
        <v>48722</v>
      </c>
      <c r="H47" s="59">
        <f>(16*'MATERIALES (2)'!$C$178)+(1*'MATERIALES (2)'!$C$183)+(4*'MATERIALES (2)'!$C$195)+(2*'MATERIALES (2)'!$C$197)+(((A47*2)+(B47*6))*'MATERIALES (2)'!$C$198)+(4*'MATERIALES (2)'!$C$137)+(((A47*5)*2)*'MATERIALES (2)'!$C$136)+(((A47*2)+(B47*2))*'MATERIALES (2)'!$C$199)+((((A47*2)+(B47*6))/0.1)*'MATERIALES (2)'!$C$181)+(((A47*2)+(B47*6))*'MATERIALES (2)'!$C$154)+(2*'MATERIALES (2)'!$C$176)+(0.5*'MATERIALES (2)'!$C$156)</f>
        <v>61622</v>
      </c>
      <c r="I47" s="75"/>
      <c r="J47" s="55">
        <f>(A47*B47)*'MATERIALES (2)'!$D$85</f>
        <v>23976</v>
      </c>
      <c r="K47" s="55">
        <f>(A47*B47)*'MATERIALES (2)'!$D$85</f>
        <v>23976</v>
      </c>
      <c r="L47" s="55">
        <f>(A47*B47)*'MATERIALES (2)'!$D$85</f>
        <v>23976</v>
      </c>
      <c r="M47" s="55">
        <f>(((A47*B47)*2)*'MATERIALES (2)'!$D$86)+(4*'MATERIALES (2)'!$C$218)+(((A47*2)+(B47*2))*'MATERIALES (2)'!$C$219)+(((A47*2)+(B47*2))*'MATERIALES (2)'!$C$220)+((((A47*2)+(B47*2))/15)*'MATERIALES (2)'!$C$221)+((((A47*2)+(B47*2))/15)*('MATERIALES (2)'!$C$222*0.15))</f>
        <v>69492.700000000012</v>
      </c>
      <c r="N47" s="55">
        <f>(((A47*B47)*2)*'MATERIALES (2)'!$D$86)+(8*'MATERIALES (2)'!$C$218)+(((A47*2)+(B47*4))*'MATERIALES (2)'!$C$219)+(((A47*2)+(B47*4))*'MATERIALES (2)'!$C$220)+((((A47*2)+(B47*4))/15)*'MATERIALES (2)'!$C$221)+((((A47*2)+(B47*4))/15)*('MATERIALES (2)'!$C$222*0.15))</f>
        <v>75742.25</v>
      </c>
      <c r="O47" s="55">
        <f>(((A47*B47)*2)*'MATERIALES (2)'!$D$86)+(12*'MATERIALES (2)'!$C$218)+(((A47*2)+(B47*6))*'MATERIALES (2)'!$C$219)+(((A47*2)+(B47*6))*'MATERIALES (2)'!$C$220)+((((A47*2)+(B47*6))/15)*'MATERIALES (2)'!$C$221)+((((A47*2)+(B47*6))/15)*('MATERIALES (2)'!$C$222*0.15))</f>
        <v>81991.8</v>
      </c>
      <c r="P47" s="55">
        <f>(A47*B47)*'MATERIALES (2)'!$D$92</f>
        <v>117126.00000000001</v>
      </c>
      <c r="Q47" s="55">
        <f>(A47*B47)*'MATERIALES (2)'!$D$92</f>
        <v>117126.00000000001</v>
      </c>
      <c r="R47" s="55">
        <f>(A47*B47)*'MATERIALES (2)'!$D$92</f>
        <v>117126.00000000001</v>
      </c>
      <c r="S47" s="125">
        <f t="shared" si="0"/>
        <v>389195.29037812509</v>
      </c>
      <c r="T47" s="125">
        <f t="shared" si="1"/>
        <v>515224.5972839832</v>
      </c>
      <c r="U47" s="125">
        <f t="shared" si="2"/>
        <v>643451.04336484126</v>
      </c>
      <c r="V47" s="125">
        <f t="shared" si="3"/>
        <v>510636.12181312515</v>
      </c>
      <c r="W47" s="125">
        <f t="shared" si="4"/>
        <v>653339.54059648316</v>
      </c>
      <c r="X47" s="125">
        <f t="shared" si="5"/>
        <v>798240.09855484136</v>
      </c>
      <c r="Y47" s="125">
        <f t="shared" si="6"/>
        <v>637724.14787812519</v>
      </c>
      <c r="Z47" s="125">
        <f t="shared" si="7"/>
        <v>763753.45478398318</v>
      </c>
      <c r="AA47" s="67">
        <f t="shared" si="8"/>
        <v>891979.9008648413</v>
      </c>
      <c r="AD47" s="250" t="s">
        <v>564</v>
      </c>
      <c r="AE47" s="246">
        <f t="shared" si="11"/>
        <v>473176.90905494627</v>
      </c>
      <c r="AF47" s="247">
        <f t="shared" si="9"/>
        <v>569668.87164119631</v>
      </c>
      <c r="AG47" s="250">
        <f t="shared" si="10"/>
        <v>611248.49655494618</v>
      </c>
      <c r="AH47" s="250">
        <f>+'MODENA CORREDIZA'!$M$31</f>
        <v>53852.925720824918</v>
      </c>
    </row>
    <row r="48" spans="1:36" ht="16.5" thickBot="1">
      <c r="A48" s="68">
        <v>2</v>
      </c>
      <c r="B48" s="69">
        <v>0.8</v>
      </c>
      <c r="C48" s="59">
        <f>((((A48*2)+(B48*2))*'MATERIALES (2)'!$C$60)+(((A48*2)+(B48*2))*'MATERIALES (2)'!$C$59)+(((A48*2)+(B48*2))*'MATERIALES (2)'!$C$76))*'MATERIALES (2)'!$F$2</f>
        <v>111646.50000000001</v>
      </c>
      <c r="D48" s="59">
        <f>((((A48*2)+(B48*2))*'MATERIALES (2)'!$C$60)+(((A48*2)+(B48*4))*'MATERIALES (2)'!$C$59)+(((A48*2)+(B48*4))*'MATERIALES (2)'!$C$76)+(B48*'MATERIALES (2)'!$C$80))*'MATERIALES (2)'!$F$2</f>
        <v>137557.60200000004</v>
      </c>
      <c r="E48" s="59">
        <f>((((A48*2)+(B48*2))*'MATERIALES (2)'!$C$60)+(((A48*2)+(B48*6))*'MATERIALES (2)'!$C$59)+(((A48*2)+(B48*6))*'MATERIALES (2)'!$C$76)+((B48*2)*'MATERIALES (2)'!$C$80))*'MATERIALES (2)'!$F$2</f>
        <v>163468.704</v>
      </c>
      <c r="F48" s="59">
        <f>(8*'MATERIALES (2)'!$C$178)+(1*'MATERIALES (2)'!$C$183)+(2*'MATERIALES (2)'!$C$195)+(((A48*2)+(B48*2))*'MATERIALES (2)'!$C$198)+(4*'MATERIALES (2)'!$C$137)+(((A48*5)*2)*'MATERIALES (2)'!$C$136)+(((A48*2)+(B48*2))*'MATERIALES (2)'!$C$199)+((((A48*2)+(B48*2))/0.1)*'MATERIALES (2)'!$C$181)+(((A48*2)+(B48*2))*'MATERIALES (2)'!$C$154)+(2*'MATERIALES (2)'!$C$176)+(0.5*'MATERIALES (2)'!$C$156)</f>
        <v>35186</v>
      </c>
      <c r="G48" s="59">
        <f>(12*'MATERIALES (2)'!$C$178)+(1*'MATERIALES (2)'!$C$183)+(4*'MATERIALES (2)'!$C$195)+(((A48*2)+(B48*4))*'MATERIALES (2)'!$C$198)+(4*'MATERIALES (2)'!$C$137)+(((A48*5)*2)*'MATERIALES (2)'!$C$136)+(((A48*2)+(B48*2))*'MATERIALES (2)'!$C$199)+((((A48*2)+(B48*4))/0.1)*'MATERIALES (2)'!$C$181)+(((A48*2)+(B48*4))*'MATERIALES (2)'!$C$154)+(2*'MATERIALES (2)'!$C$176)+(0.5*'MATERIALES (2)'!$C$156)</f>
        <v>45266</v>
      </c>
      <c r="H48" s="59">
        <f>(16*'MATERIALES (2)'!$C$178)+(1*'MATERIALES (2)'!$C$183)+(4*'MATERIALES (2)'!$C$195)+(2*'MATERIALES (2)'!$C$197)+(((A48*2)+(B48*6))*'MATERIALES (2)'!$C$198)+(4*'MATERIALES (2)'!$C$137)+(((A48*5)*2)*'MATERIALES (2)'!$C$136)+(((A48*2)+(B48*2))*'MATERIALES (2)'!$C$199)+((((A48*2)+(B48*6))/0.1)*'MATERIALES (2)'!$C$181)+(((A48*2)+(B48*6))*'MATERIALES (2)'!$C$154)+(2*'MATERIALES (2)'!$C$176)+(0.5*'MATERIALES (2)'!$C$156)</f>
        <v>56566</v>
      </c>
      <c r="I48" s="75"/>
      <c r="J48" s="55">
        <f>(A48*B48)*'MATERIALES (2)'!$D$85</f>
        <v>11840</v>
      </c>
      <c r="K48" s="55">
        <f>(A48*B48)*'MATERIALES (2)'!$D$85</f>
        <v>11840</v>
      </c>
      <c r="L48" s="55">
        <f>(A48*B48)*'MATERIALES (2)'!$D$85</f>
        <v>11840</v>
      </c>
      <c r="M48" s="55">
        <f>(((A48*B48)*2)*'MATERIALES (2)'!$D$86)+(4*'MATERIALES (2)'!$C$218)+(((A48*2)+(B48*2))*'MATERIALES (2)'!$C$219)+(((A48*2)+(B48*2))*'MATERIALES (2)'!$C$220)+((((A48*2)+(B48*2))/15)*'MATERIALES (2)'!$C$221)+((((A48*2)+(B48*2))/15)*('MATERIALES (2)'!$C$222*0.15))</f>
        <v>37856.633333333339</v>
      </c>
      <c r="N48" s="55">
        <f>(((A48*B48)*2)*'MATERIALES (2)'!$D$86)+(8*'MATERIALES (2)'!$C$218)+(((A48*2)+(B48*4))*'MATERIALES (2)'!$C$219)+(((A48*2)+(B48*4))*'MATERIALES (2)'!$C$220)+((((A48*2)+(B48*4))/15)*'MATERIALES (2)'!$C$221)+((((A48*2)+(B48*4))/15)*('MATERIALES (2)'!$C$222*0.15))</f>
        <v>40723.1</v>
      </c>
      <c r="O48" s="55">
        <f>(((A48*B48)*2)*'MATERIALES (2)'!$D$86)+(12*'MATERIALES (2)'!$C$218)+(((A48*2)+(B48*6))*'MATERIALES (2)'!$C$219)+(((A48*2)+(B48*6))*'MATERIALES (2)'!$C$220)+((((A48*2)+(B48*6))/15)*'MATERIALES (2)'!$C$221)+((((A48*2)+(B48*6))/15)*('MATERIALES (2)'!$C$222*0.15))</f>
        <v>43589.566666666666</v>
      </c>
      <c r="P48" s="55">
        <f>(A48*B48)*'MATERIALES (2)'!$D$92</f>
        <v>57840</v>
      </c>
      <c r="Q48" s="55">
        <f>(A48*B48)*'MATERIALES (2)'!$D$92</f>
        <v>57840</v>
      </c>
      <c r="R48" s="55">
        <f>(A48*B48)*'MATERIALES (2)'!$D$92</f>
        <v>57840</v>
      </c>
      <c r="S48" s="125">
        <f t="shared" si="0"/>
        <v>296025.31684687501</v>
      </c>
      <c r="T48" s="125">
        <f t="shared" si="1"/>
        <v>360842.90713836759</v>
      </c>
      <c r="U48" s="125">
        <f t="shared" si="2"/>
        <v>427857.63660486008</v>
      </c>
      <c r="V48" s="125">
        <f t="shared" si="3"/>
        <v>365438.99541187502</v>
      </c>
      <c r="W48" s="125">
        <f t="shared" si="4"/>
        <v>437904.46209336765</v>
      </c>
      <c r="X48" s="125">
        <f t="shared" si="5"/>
        <v>512567.06794985995</v>
      </c>
      <c r="Y48" s="125">
        <f t="shared" si="6"/>
        <v>418755.616846875</v>
      </c>
      <c r="Z48" s="125">
        <f t="shared" si="7"/>
        <v>483573.20713836764</v>
      </c>
      <c r="AA48" s="67">
        <f t="shared" si="8"/>
        <v>550587.93660486001</v>
      </c>
      <c r="AD48" s="250" t="s">
        <v>565</v>
      </c>
      <c r="AE48" s="246">
        <f t="shared" si="11"/>
        <v>541584.99004778441</v>
      </c>
      <c r="AF48" s="247">
        <f t="shared" si="9"/>
        <v>658494.93897278432</v>
      </c>
      <c r="AG48" s="250">
        <f t="shared" si="10"/>
        <v>714174.47442278417</v>
      </c>
      <c r="AH48" s="250">
        <f>+'MODENA CORREDIZA'!$M$32</f>
        <v>67271.133807281207</v>
      </c>
    </row>
    <row r="49" spans="1:34" ht="16.5" thickBot="1">
      <c r="A49" s="68">
        <v>2</v>
      </c>
      <c r="B49" s="69">
        <v>1</v>
      </c>
      <c r="C49" s="59">
        <f>((((A49*2)+(B49*2))*'MATERIALES (2)'!$C$60)+(((A49*2)+(B49*2))*'MATERIALES (2)'!$C$59)+(((A49*2)+(B49*2))*'MATERIALES (2)'!$C$76))*'MATERIALES (2)'!$F$2</f>
        <v>119621.25</v>
      </c>
      <c r="D49" s="59">
        <f>((((A49*2)+(B49*2))*'MATERIALES (2)'!$C$60)+(((A49*2)+(B49*4))*'MATERIALES (2)'!$C$59)+(((A49*2)+(B49*4))*'MATERIALES (2)'!$C$76)+(B49*'MATERIALES (2)'!$C$80))*'MATERIALES (2)'!$F$2</f>
        <v>152010.12749999997</v>
      </c>
      <c r="E49" s="59">
        <f>((((A49*2)+(B49*2))*'MATERIALES (2)'!$C$60)+(((A49*2)+(B49*6))*'MATERIALES (2)'!$C$59)+(((A49*2)+(B49*6))*'MATERIALES (2)'!$C$76)+((B49*2)*'MATERIALES (2)'!$C$80))*'MATERIALES (2)'!$F$2</f>
        <v>184399.005</v>
      </c>
      <c r="F49" s="59">
        <f>(8*'MATERIALES (2)'!$C$178)+(1*'MATERIALES (2)'!$C$183)+(2*'MATERIALES (2)'!$C$195)+(((A49*2)+(B49*2))*'MATERIALES (2)'!$C$198)+(4*'MATERIALES (2)'!$C$137)+(((A49*5)*2)*'MATERIALES (2)'!$C$136)+(((A49*2)+(B49*2))*'MATERIALES (2)'!$C$199)+((((A49*2)+(B49*2))/0.1)*'MATERIALES (2)'!$C$181)+(((A49*2)+(B49*2))*'MATERIALES (2)'!$C$154)+(2*'MATERIALES (2)'!$C$176)+(0.5*'MATERIALES (2)'!$C$156)</f>
        <v>35650</v>
      </c>
      <c r="G49" s="59">
        <f>(12*'MATERIALES (2)'!$C$178)+(1*'MATERIALES (2)'!$C$183)+(4*'MATERIALES (2)'!$C$195)+(((A49*2)+(B49*4))*'MATERIALES (2)'!$C$198)+(4*'MATERIALES (2)'!$C$137)+(((A49*5)*2)*'MATERIALES (2)'!$C$136)+(((A49*2)+(B49*2))*'MATERIALES (2)'!$C$199)+((((A49*2)+(B49*4))/0.1)*'MATERIALES (2)'!$C$181)+(((A49*2)+(B49*4))*'MATERIALES (2)'!$C$154)+(2*'MATERIALES (2)'!$C$176)+(0.5*'MATERIALES (2)'!$C$156)</f>
        <v>46050</v>
      </c>
      <c r="H49" s="59">
        <f>(16*'MATERIALES (2)'!$C$178)+(1*'MATERIALES (2)'!$C$183)+(4*'MATERIALES (2)'!$C$195)+(2*'MATERIALES (2)'!$C$197)+(((A49*2)+(B49*6))*'MATERIALES (2)'!$C$198)+(4*'MATERIALES (2)'!$C$137)+(((A49*5)*2)*'MATERIALES (2)'!$C$136)+(((A49*2)+(B49*2))*'MATERIALES (2)'!$C$199)+((((A49*2)+(B49*6))/0.1)*'MATERIALES (2)'!$C$181)+(((A49*2)+(B49*6))*'MATERIALES (2)'!$C$154)+(2*'MATERIALES (2)'!$C$176)+(0.5*'MATERIALES (2)'!$C$156)</f>
        <v>57670</v>
      </c>
      <c r="I49" s="75"/>
      <c r="J49" s="55">
        <f>(A49*B49)*'MATERIALES (2)'!$D$85</f>
        <v>14800</v>
      </c>
      <c r="K49" s="55">
        <f>(A49*B49)*'MATERIALES (2)'!$D$85</f>
        <v>14800</v>
      </c>
      <c r="L49" s="55">
        <f>(A49*B49)*'MATERIALES (2)'!$D$85</f>
        <v>14800</v>
      </c>
      <c r="M49" s="55">
        <f>(((A49*B49)*2)*'MATERIALES (2)'!$D$86)+(4*'MATERIALES (2)'!$C$218)+(((A49*2)+(B49*2))*'MATERIALES (2)'!$C$219)+(((A49*2)+(B49*2))*'MATERIALES (2)'!$C$220)+((((A49*2)+(B49*2))/15)*'MATERIALES (2)'!$C$221)+((((A49*2)+(B49*2))/15)*('MATERIALES (2)'!$C$222*0.15))</f>
        <v>45589.25</v>
      </c>
      <c r="N49" s="55">
        <f>(((A49*B49)*2)*'MATERIALES (2)'!$D$86)+(8*'MATERIALES (2)'!$C$218)+(((A49*2)+(B49*4))*'MATERIALES (2)'!$C$219)+(((A49*2)+(B49*4))*'MATERIALES (2)'!$C$220)+((((A49*2)+(B49*4))/15)*'MATERIALES (2)'!$C$221)+((((A49*2)+(B49*4))/15)*('MATERIALES (2)'!$C$222*0.15))</f>
        <v>49132.333333333336</v>
      </c>
      <c r="O49" s="55">
        <f>(((A49*B49)*2)*'MATERIALES (2)'!$D$86)+(12*'MATERIALES (2)'!$C$218)+(((A49*2)+(B49*6))*'MATERIALES (2)'!$C$219)+(((A49*2)+(B49*6))*'MATERIALES (2)'!$C$220)+((((A49*2)+(B49*6))/15)*'MATERIALES (2)'!$C$221)+((((A49*2)+(B49*6))/15)*('MATERIALES (2)'!$C$222*0.15))</f>
        <v>52675.416666666664</v>
      </c>
      <c r="P49" s="55">
        <f>(A49*B49)*'MATERIALES (2)'!$D$92</f>
        <v>72300</v>
      </c>
      <c r="Q49" s="55">
        <f>(A49*B49)*'MATERIALES (2)'!$D$92</f>
        <v>72300</v>
      </c>
      <c r="R49" s="55">
        <f>(A49*B49)*'MATERIALES (2)'!$D$92</f>
        <v>72300</v>
      </c>
      <c r="S49" s="125">
        <f t="shared" si="0"/>
        <v>319120.37452968751</v>
      </c>
      <c r="T49" s="125">
        <f t="shared" si="1"/>
        <v>396180.30814405315</v>
      </c>
      <c r="U49" s="125">
        <f t="shared" si="2"/>
        <v>475437.38093341881</v>
      </c>
      <c r="V49" s="125">
        <f t="shared" si="3"/>
        <v>401267.63299218751</v>
      </c>
      <c r="W49" s="125">
        <f t="shared" si="4"/>
        <v>487780.69009405316</v>
      </c>
      <c r="X49" s="125">
        <f t="shared" si="5"/>
        <v>576490.88637091883</v>
      </c>
      <c r="Y49" s="125">
        <f t="shared" si="6"/>
        <v>472533.24952968751</v>
      </c>
      <c r="Z49" s="125">
        <f t="shared" si="7"/>
        <v>549593.1831440531</v>
      </c>
      <c r="AA49" s="67">
        <f t="shared" si="8"/>
        <v>628850.25593341887</v>
      </c>
      <c r="AD49" s="250" t="s">
        <v>566</v>
      </c>
      <c r="AE49" s="246">
        <f t="shared" si="11"/>
        <v>609993.07104062266</v>
      </c>
      <c r="AF49" s="247">
        <f t="shared" si="9"/>
        <v>747321.00630437257</v>
      </c>
      <c r="AG49" s="250">
        <f t="shared" si="10"/>
        <v>817100.45229062263</v>
      </c>
      <c r="AH49" s="250">
        <f>+'MODENA CORREDIZA'!$M$33</f>
        <v>80689.341893737554</v>
      </c>
    </row>
    <row r="50" spans="1:34" ht="16.5" thickBot="1">
      <c r="A50" s="68">
        <v>2</v>
      </c>
      <c r="B50" s="69">
        <v>1.1000000000000001</v>
      </c>
      <c r="C50" s="59">
        <f>((((A50*2)+(B50*2))*'MATERIALES (2)'!$C$60)+(((A50*2)+(B50*2))*'MATERIALES (2)'!$C$59)+(((A50*2)+(B50*2))*'MATERIALES (2)'!$C$76))*'MATERIALES (2)'!$F$2</f>
        <v>123608.62500000001</v>
      </c>
      <c r="D50" s="59">
        <f>((((A50*2)+(B50*2))*'MATERIALES (2)'!$C$60)+(((A50*2)+(B50*4))*'MATERIALES (2)'!$C$59)+(((A50*2)+(B50*4))*'MATERIALES (2)'!$C$76)+(B50*'MATERIALES (2)'!$C$80))*'MATERIALES (2)'!$F$2</f>
        <v>159236.39025</v>
      </c>
      <c r="E50" s="59">
        <f>((((A50*2)+(B50*2))*'MATERIALES (2)'!$C$60)+(((A50*2)+(B50*6))*'MATERIALES (2)'!$C$59)+(((A50*2)+(B50*6))*'MATERIALES (2)'!$C$76)+((B50*2)*'MATERIALES (2)'!$C$80))*'MATERIALES (2)'!$F$2</f>
        <v>194864.15550000002</v>
      </c>
      <c r="F50" s="59">
        <f>(8*'MATERIALES (2)'!$C$178)+(1*'MATERIALES (2)'!$C$183)+(2*'MATERIALES (2)'!$C$195)+(((A50*2)+(B50*2))*'MATERIALES (2)'!$C$198)+(4*'MATERIALES (2)'!$C$137)+(((A50*5)*2)*'MATERIALES (2)'!$C$136)+(((A50*2)+(B50*2))*'MATERIALES (2)'!$C$199)+((((A50*2)+(B50*2))/0.1)*'MATERIALES (2)'!$C$181)+(((A50*2)+(B50*2))*'MATERIALES (2)'!$C$154)+(2*'MATERIALES (2)'!$C$176)+(0.5*'MATERIALES (2)'!$C$156)</f>
        <v>35882</v>
      </c>
      <c r="G50" s="59">
        <f>(12*'MATERIALES (2)'!$C$178)+(1*'MATERIALES (2)'!$C$183)+(4*'MATERIALES (2)'!$C$195)+(((A50*2)+(B50*4))*'MATERIALES (2)'!$C$198)+(4*'MATERIALES (2)'!$C$137)+(((A50*5)*2)*'MATERIALES (2)'!$C$136)+(((A50*2)+(B50*2))*'MATERIALES (2)'!$C$199)+((((A50*2)+(B50*4))/0.1)*'MATERIALES (2)'!$C$181)+(((A50*2)+(B50*4))*'MATERIALES (2)'!$C$154)+(2*'MATERIALES (2)'!$C$176)+(0.5*'MATERIALES (2)'!$C$156)</f>
        <v>46442</v>
      </c>
      <c r="H50" s="59">
        <f>(16*'MATERIALES (2)'!$C$178)+(1*'MATERIALES (2)'!$C$183)+(4*'MATERIALES (2)'!$C$195)+(2*'MATERIALES (2)'!$C$197)+(((A50*2)+(B50*6))*'MATERIALES (2)'!$C$198)+(4*'MATERIALES (2)'!$C$137)+(((A50*5)*2)*'MATERIALES (2)'!$C$136)+(((A50*2)+(B50*2))*'MATERIALES (2)'!$C$199)+((((A50*2)+(B50*6))/0.1)*'MATERIALES (2)'!$C$181)+(((A50*2)+(B50*6))*'MATERIALES (2)'!$C$154)+(2*'MATERIALES (2)'!$C$176)+(0.5*'MATERIALES (2)'!$C$156)</f>
        <v>58222</v>
      </c>
      <c r="I50" s="75"/>
      <c r="J50" s="55">
        <f>(A50*B50)*'MATERIALES (2)'!$D$85</f>
        <v>16280.000000000002</v>
      </c>
      <c r="K50" s="55">
        <f>(A50*B50)*'MATERIALES (2)'!$D$85</f>
        <v>16280.000000000002</v>
      </c>
      <c r="L50" s="55">
        <f>(A50*B50)*'MATERIALES (2)'!$D$85</f>
        <v>16280.000000000002</v>
      </c>
      <c r="M50" s="55">
        <f>(((A50*B50)*2)*'MATERIALES (2)'!$D$86)+(4*'MATERIALES (2)'!$C$218)+(((A50*2)+(B50*2))*'MATERIALES (2)'!$C$219)+(((A50*2)+(B50*2))*'MATERIALES (2)'!$C$220)+((((A50*2)+(B50*2))/15)*'MATERIALES (2)'!$C$221)+((((A50*2)+(B50*2))/15)*('MATERIALES (2)'!$C$222*0.15))</f>
        <v>49455.558333333334</v>
      </c>
      <c r="N50" s="55">
        <f>(((A50*B50)*2)*'MATERIALES (2)'!$D$86)+(8*'MATERIALES (2)'!$C$218)+(((A50*2)+(B50*4))*'MATERIALES (2)'!$C$219)+(((A50*2)+(B50*4))*'MATERIALES (2)'!$C$220)+((((A50*2)+(B50*4))/15)*'MATERIALES (2)'!$C$221)+((((A50*2)+(B50*4))/15)*('MATERIALES (2)'!$C$222*0.15))</f>
        <v>53336.95</v>
      </c>
      <c r="O50" s="55">
        <f>(((A50*B50)*2)*'MATERIALES (2)'!$D$86)+(12*'MATERIALES (2)'!$C$218)+(((A50*2)+(B50*6))*'MATERIALES (2)'!$C$219)+(((A50*2)+(B50*6))*'MATERIALES (2)'!$C$220)+((((A50*2)+(B50*6))/15)*'MATERIALES (2)'!$C$221)+((((A50*2)+(B50*6))/15)*('MATERIALES (2)'!$C$222*0.15))</f>
        <v>57218.341666666674</v>
      </c>
      <c r="P50" s="55">
        <f>(A50*B50)*'MATERIALES (2)'!$D$92</f>
        <v>79530</v>
      </c>
      <c r="Q50" s="55">
        <f>(A50*B50)*'MATERIALES (2)'!$D$92</f>
        <v>79530</v>
      </c>
      <c r="R50" s="55">
        <f>(A50*B50)*'MATERIALES (2)'!$D$92</f>
        <v>79530</v>
      </c>
      <c r="S50" s="125">
        <f t="shared" si="0"/>
        <v>330667.90337109379</v>
      </c>
      <c r="T50" s="125">
        <f t="shared" si="1"/>
        <v>413849.00864689599</v>
      </c>
      <c r="U50" s="125">
        <f t="shared" si="2"/>
        <v>499227.25309769827</v>
      </c>
      <c r="V50" s="125">
        <f t="shared" si="3"/>
        <v>419181.95178234373</v>
      </c>
      <c r="W50" s="125">
        <f t="shared" si="4"/>
        <v>512718.80409439595</v>
      </c>
      <c r="X50" s="125">
        <f t="shared" si="5"/>
        <v>608452.79558144836</v>
      </c>
      <c r="Y50" s="125">
        <f t="shared" si="6"/>
        <v>499422.06587109377</v>
      </c>
      <c r="Z50" s="125">
        <f t="shared" si="7"/>
        <v>582603.17114689597</v>
      </c>
      <c r="AA50" s="67">
        <f t="shared" si="8"/>
        <v>667981.4155976983</v>
      </c>
      <c r="AD50" s="250" t="s">
        <v>567</v>
      </c>
      <c r="AE50" s="246">
        <f t="shared" si="11"/>
        <v>409501.0357220475</v>
      </c>
      <c r="AF50" s="247">
        <f t="shared" si="9"/>
        <v>488033.88684954745</v>
      </c>
      <c r="AG50" s="250">
        <f t="shared" si="10"/>
        <v>519958.30572204752</v>
      </c>
      <c r="AH50" s="250">
        <f>+'MODENA CORREDIZA'!$M$28</f>
        <v>35961.981605549925</v>
      </c>
    </row>
    <row r="51" spans="1:34" ht="16.5" thickBot="1">
      <c r="A51" s="68">
        <v>2</v>
      </c>
      <c r="B51" s="69">
        <v>1.2</v>
      </c>
      <c r="C51" s="59">
        <f>((((A51*2)+(B51*2))*'MATERIALES (2)'!$C$60)+(((A51*2)+(B51*2))*'MATERIALES (2)'!$C$59)+(((A51*2)+(B51*2))*'MATERIALES (2)'!$C$76))*'MATERIALES (2)'!$F$2</f>
        <v>127595.99999999999</v>
      </c>
      <c r="D51" s="59">
        <f>((((A51*2)+(B51*2))*'MATERIALES (2)'!$C$60)+(((A51*2)+(B51*4))*'MATERIALES (2)'!$C$59)+(((A51*2)+(B51*4))*'MATERIALES (2)'!$C$76)+(B51*'MATERIALES (2)'!$C$80))*'MATERIALES (2)'!$F$2</f>
        <v>166462.65300000002</v>
      </c>
      <c r="E51" s="59">
        <f>((((A51*2)+(B51*2))*'MATERIALES (2)'!$C$60)+(((A51*2)+(B51*6))*'MATERIALES (2)'!$C$59)+(((A51*2)+(B51*6))*'MATERIALES (2)'!$C$76)+((B51*2)*'MATERIALES (2)'!$C$80))*'MATERIALES (2)'!$F$2</f>
        <v>205329.30599999998</v>
      </c>
      <c r="F51" s="59">
        <f>(8*'MATERIALES (2)'!$C$178)+(1*'MATERIALES (2)'!$C$183)+(2*'MATERIALES (2)'!$C$195)+(((A51*2)+(B51*2))*'MATERIALES (2)'!$C$198)+(4*'MATERIALES (2)'!$C$137)+(((A51*5)*2)*'MATERIALES (2)'!$C$136)+(((A51*2)+(B51*2))*'MATERIALES (2)'!$C$199)+((((A51*2)+(B51*2))/0.1)*'MATERIALES (2)'!$C$181)+(((A51*2)+(B51*2))*'MATERIALES (2)'!$C$154)+(2*'MATERIALES (2)'!$C$176)+(0.5*'MATERIALES (2)'!$C$156)</f>
        <v>36114</v>
      </c>
      <c r="G51" s="59">
        <f>(12*'MATERIALES (2)'!$C$178)+(1*'MATERIALES (2)'!$C$183)+(4*'MATERIALES (2)'!$C$195)+(((A51*2)+(B51*4))*'MATERIALES (2)'!$C$198)+(4*'MATERIALES (2)'!$C$137)+(((A51*5)*2)*'MATERIALES (2)'!$C$136)+(((A51*2)+(B51*2))*'MATERIALES (2)'!$C$199)+((((A51*2)+(B51*4))/0.1)*'MATERIALES (2)'!$C$181)+(((A51*2)+(B51*4))*'MATERIALES (2)'!$C$154)+(2*'MATERIALES (2)'!$C$176)+(0.5*'MATERIALES (2)'!$C$156)</f>
        <v>46834</v>
      </c>
      <c r="H51" s="59">
        <f>(16*'MATERIALES (2)'!$C$178)+(1*'MATERIALES (2)'!$C$183)+(4*'MATERIALES (2)'!$C$195)+(2*'MATERIALES (2)'!$C$197)+(((A51*2)+(B51*6))*'MATERIALES (2)'!$C$198)+(4*'MATERIALES (2)'!$C$137)+(((A51*5)*2)*'MATERIALES (2)'!$C$136)+(((A51*2)+(B51*2))*'MATERIALES (2)'!$C$199)+((((A51*2)+(B51*6))/0.1)*'MATERIALES (2)'!$C$181)+(((A51*2)+(B51*6))*'MATERIALES (2)'!$C$154)+(2*'MATERIALES (2)'!$C$176)+(0.5*'MATERIALES (2)'!$C$156)</f>
        <v>58774</v>
      </c>
      <c r="I51" s="75"/>
      <c r="J51" s="55">
        <f>(A51*B51)*'MATERIALES (2)'!$D$85</f>
        <v>17760</v>
      </c>
      <c r="K51" s="55">
        <f>(A51*B51)*'MATERIALES (2)'!$D$85</f>
        <v>17760</v>
      </c>
      <c r="L51" s="55">
        <f>(A51*B51)*'MATERIALES (2)'!$D$85</f>
        <v>17760</v>
      </c>
      <c r="M51" s="55">
        <f>(((A51*B51)*2)*'MATERIALES (2)'!$D$86)+(4*'MATERIALES (2)'!$C$218)+(((A51*2)+(B51*2))*'MATERIALES (2)'!$C$219)+(((A51*2)+(B51*2))*'MATERIALES (2)'!$C$220)+((((A51*2)+(B51*2))/15)*'MATERIALES (2)'!$C$221)+((((A51*2)+(B51*2))/15)*('MATERIALES (2)'!$C$222*0.15))</f>
        <v>53321.866666666661</v>
      </c>
      <c r="N51" s="55">
        <f>(((A51*B51)*2)*'MATERIALES (2)'!$D$86)+(8*'MATERIALES (2)'!$C$218)+(((A51*2)+(B51*4))*'MATERIALES (2)'!$C$219)+(((A51*2)+(B51*4))*'MATERIALES (2)'!$C$220)+((((A51*2)+(B51*4))/15)*'MATERIALES (2)'!$C$221)+((((A51*2)+(B51*4))/15)*('MATERIALES (2)'!$C$222*0.15))</f>
        <v>57541.566666666666</v>
      </c>
      <c r="O51" s="55">
        <f>(((A51*B51)*2)*'MATERIALES (2)'!$D$86)+(12*'MATERIALES (2)'!$C$218)+(((A51*2)+(B51*6))*'MATERIALES (2)'!$C$219)+(((A51*2)+(B51*6))*'MATERIALES (2)'!$C$220)+((((A51*2)+(B51*6))/15)*'MATERIALES (2)'!$C$221)+((((A51*2)+(B51*6))/15)*('MATERIALES (2)'!$C$222*0.15))</f>
        <v>61761.266666666663</v>
      </c>
      <c r="P51" s="55">
        <f>(A51*B51)*'MATERIALES (2)'!$D$92</f>
        <v>86760</v>
      </c>
      <c r="Q51" s="55">
        <f>(A51*B51)*'MATERIALES (2)'!$D$92</f>
        <v>86760</v>
      </c>
      <c r="R51" s="55">
        <f>(A51*B51)*'MATERIALES (2)'!$D$92</f>
        <v>86760</v>
      </c>
      <c r="S51" s="125">
        <f t="shared" si="0"/>
        <v>342215.43221250002</v>
      </c>
      <c r="T51" s="125">
        <f t="shared" si="1"/>
        <v>431517.70914973883</v>
      </c>
      <c r="U51" s="125">
        <f t="shared" si="2"/>
        <v>523017.12526197761</v>
      </c>
      <c r="V51" s="125">
        <f t="shared" si="3"/>
        <v>437096.27057250001</v>
      </c>
      <c r="W51" s="125">
        <f t="shared" si="4"/>
        <v>537656.91809473874</v>
      </c>
      <c r="X51" s="125">
        <f t="shared" si="5"/>
        <v>640414.70479197754</v>
      </c>
      <c r="Y51" s="125">
        <f t="shared" si="6"/>
        <v>526310.88221250009</v>
      </c>
      <c r="Z51" s="125">
        <f t="shared" si="7"/>
        <v>615613.15914973873</v>
      </c>
      <c r="AA51" s="67">
        <f t="shared" si="8"/>
        <v>707112.57526197762</v>
      </c>
      <c r="AD51" s="250" t="s">
        <v>568</v>
      </c>
      <c r="AE51" s="246">
        <f t="shared" si="11"/>
        <v>456291.03725060628</v>
      </c>
      <c r="AF51" s="247">
        <f t="shared" si="9"/>
        <v>550075.12919060641</v>
      </c>
      <c r="AG51" s="250">
        <f t="shared" si="10"/>
        <v>594362.62475060637</v>
      </c>
      <c r="AH51" s="250">
        <f>+'MODENA CORREDIZA'!$M$29</f>
        <v>44907.453663187451</v>
      </c>
    </row>
    <row r="52" spans="1:34" ht="16.5" thickBot="1">
      <c r="A52" s="68">
        <v>2</v>
      </c>
      <c r="B52" s="69">
        <v>1.5</v>
      </c>
      <c r="C52" s="59">
        <f>((((A52*2)+(B52*2))*'MATERIALES (2)'!$C$60)+(((A52*2)+(B52*2))*'MATERIALES (2)'!$C$59)+(((A52*2)+(B52*2))*'MATERIALES (2)'!$C$76))*'MATERIALES (2)'!$F$2</f>
        <v>139558.125</v>
      </c>
      <c r="D52" s="59">
        <f>((((A52*2)+(B52*2))*'MATERIALES (2)'!$C$60)+(((A52*2)+(B52*4))*'MATERIALES (2)'!$C$59)+(((A52*2)+(B52*4))*'MATERIALES (2)'!$C$76)+(B52*'MATERIALES (2)'!$C$80))*'MATERIALES (2)'!$F$2</f>
        <v>188141.44124999997</v>
      </c>
      <c r="E52" s="59">
        <f>((((A52*2)+(B52*2))*'MATERIALES (2)'!$C$60)+(((A52*2)+(B52*6))*'MATERIALES (2)'!$C$59)+(((A52*2)+(B52*6))*'MATERIALES (2)'!$C$76)+((B52*2)*'MATERIALES (2)'!$C$80))*'MATERIALES (2)'!$F$2</f>
        <v>236724.75749999995</v>
      </c>
      <c r="F52" s="59">
        <f>(8*'MATERIALES (2)'!$C$178)+(1*'MATERIALES (2)'!$C$183)+(2*'MATERIALES (2)'!$C$195)+(((A52*2)+(B52*2))*'MATERIALES (2)'!$C$198)+(4*'MATERIALES (2)'!$C$137)+(((A52*5)*2)*'MATERIALES (2)'!$C$136)+(((A52*2)+(B52*2))*'MATERIALES (2)'!$C$199)+((((A52*2)+(B52*2))/0.1)*'MATERIALES (2)'!$C$181)+(((A52*2)+(B52*2))*'MATERIALES (2)'!$C$154)+(2*'MATERIALES (2)'!$C$176)+(0.5*'MATERIALES (2)'!$C$156)</f>
        <v>36810</v>
      </c>
      <c r="G52" s="59">
        <f>(12*'MATERIALES (2)'!$C$178)+(1*'MATERIALES (2)'!$C$183)+(4*'MATERIALES (2)'!$C$195)+(((A52*2)+(B52*4))*'MATERIALES (2)'!$C$198)+(4*'MATERIALES (2)'!$C$137)+(((A52*5)*2)*'MATERIALES (2)'!$C$136)+(((A52*2)+(B52*2))*'MATERIALES (2)'!$C$199)+((((A52*2)+(B52*4))/0.1)*'MATERIALES (2)'!$C$181)+(((A52*2)+(B52*4))*'MATERIALES (2)'!$C$154)+(2*'MATERIALES (2)'!$C$176)+(0.5*'MATERIALES (2)'!$C$156)</f>
        <v>48010</v>
      </c>
      <c r="H52" s="59">
        <f>(16*'MATERIALES (2)'!$C$178)+(1*'MATERIALES (2)'!$C$183)+(4*'MATERIALES (2)'!$C$195)+(2*'MATERIALES (2)'!$C$197)+(((A52*2)+(B52*6))*'MATERIALES (2)'!$C$198)+(4*'MATERIALES (2)'!$C$137)+(((A52*5)*2)*'MATERIALES (2)'!$C$136)+(((A52*2)+(B52*2))*'MATERIALES (2)'!$C$199)+((((A52*2)+(B52*6))/0.1)*'MATERIALES (2)'!$C$181)+(((A52*2)+(B52*6))*'MATERIALES (2)'!$C$154)+(2*'MATERIALES (2)'!$C$176)+(0.5*'MATERIALES (2)'!$C$156)</f>
        <v>60430</v>
      </c>
      <c r="I52" s="75"/>
      <c r="J52" s="55">
        <f>(A52*B52)*'MATERIALES (2)'!$D$85</f>
        <v>22200</v>
      </c>
      <c r="K52" s="55">
        <f>(A52*B52)*'MATERIALES (2)'!$D$85</f>
        <v>22200</v>
      </c>
      <c r="L52" s="55">
        <f>(A52*B52)*'MATERIALES (2)'!$D$85</f>
        <v>22200</v>
      </c>
      <c r="M52" s="55">
        <f>(((A52*B52)*2)*'MATERIALES (2)'!$D$86)+(4*'MATERIALES (2)'!$C$218)+(((A52*2)+(B52*2))*'MATERIALES (2)'!$C$219)+(((A52*2)+(B52*2))*'MATERIALES (2)'!$C$220)+((((A52*2)+(B52*2))/15)*'MATERIALES (2)'!$C$221)+((((A52*2)+(B52*2))/15)*('MATERIALES (2)'!$C$222*0.15))</f>
        <v>64920.791666666664</v>
      </c>
      <c r="N52" s="55">
        <f>(((A52*B52)*2)*'MATERIALES (2)'!$D$86)+(8*'MATERIALES (2)'!$C$218)+(((A52*2)+(B52*4))*'MATERIALES (2)'!$C$219)+(((A52*2)+(B52*4))*'MATERIALES (2)'!$C$220)+((((A52*2)+(B52*4))/15)*'MATERIALES (2)'!$C$221)+((((A52*2)+(B52*4))/15)*('MATERIALES (2)'!$C$222*0.15))</f>
        <v>70155.416666666672</v>
      </c>
      <c r="O52" s="55">
        <f>(((A52*B52)*2)*'MATERIALES (2)'!$D$86)+(12*'MATERIALES (2)'!$C$218)+(((A52*2)+(B52*6))*'MATERIALES (2)'!$C$219)+(((A52*2)+(B52*6))*'MATERIALES (2)'!$C$220)+((((A52*2)+(B52*6))/15)*'MATERIALES (2)'!$C$221)+((((A52*2)+(B52*6))/15)*('MATERIALES (2)'!$C$222*0.15))</f>
        <v>75390.041666666672</v>
      </c>
      <c r="P52" s="55">
        <f>(A52*B52)*'MATERIALES (2)'!$D$92</f>
        <v>108450</v>
      </c>
      <c r="Q52" s="55">
        <f>(A52*B52)*'MATERIALES (2)'!$D$92</f>
        <v>108450</v>
      </c>
      <c r="R52" s="55">
        <f>(A52*B52)*'MATERIALES (2)'!$D$92</f>
        <v>108450</v>
      </c>
      <c r="S52" s="125">
        <f t="shared" si="0"/>
        <v>376858.01873671875</v>
      </c>
      <c r="T52" s="125">
        <f t="shared" si="1"/>
        <v>484523.81065826723</v>
      </c>
      <c r="U52" s="125">
        <f t="shared" si="2"/>
        <v>594386.74175481556</v>
      </c>
      <c r="V52" s="125">
        <f t="shared" si="3"/>
        <v>490839.22694296885</v>
      </c>
      <c r="W52" s="125">
        <f t="shared" si="4"/>
        <v>612471.26009576721</v>
      </c>
      <c r="X52" s="125">
        <f t="shared" si="5"/>
        <v>736300.43242356565</v>
      </c>
      <c r="Y52" s="125">
        <f t="shared" si="6"/>
        <v>606977.3312367188</v>
      </c>
      <c r="Z52" s="125">
        <f t="shared" si="7"/>
        <v>714643.12315826735</v>
      </c>
      <c r="AA52" s="67">
        <f t="shared" si="8"/>
        <v>824506.05425481556</v>
      </c>
      <c r="AD52" s="250" t="s">
        <v>569</v>
      </c>
      <c r="AE52" s="246">
        <f t="shared" si="11"/>
        <v>479686.03801488579</v>
      </c>
      <c r="AF52" s="247">
        <f t="shared" si="9"/>
        <v>581095.75036113581</v>
      </c>
      <c r="AG52" s="250">
        <f t="shared" si="10"/>
        <v>631564.78426488582</v>
      </c>
      <c r="AH52" s="250">
        <f>+'MODENA CORREDIZA'!$M$30</f>
        <v>49380.189692006272</v>
      </c>
    </row>
    <row r="53" spans="1:34" ht="16.5" thickBot="1">
      <c r="A53" s="68">
        <v>2</v>
      </c>
      <c r="B53" s="69">
        <v>1.8</v>
      </c>
      <c r="C53" s="59">
        <f>((((A53*2)+(B53*2))*'MATERIALES (2)'!$C$60)+(((A53*2)+(B53*2))*'MATERIALES (2)'!$C$59)+(((A53*2)+(B53*2))*'MATERIALES (2)'!$C$76))*'MATERIALES (2)'!$F$2</f>
        <v>151520.25</v>
      </c>
      <c r="D53" s="59">
        <f>((((A53*2)+(B53*2))*'MATERIALES (2)'!$C$60)+(((A53*2)+(B53*4))*'MATERIALES (2)'!$C$59)+(((A53*2)+(B53*4))*'MATERIALES (2)'!$C$76)+(B53*'MATERIALES (2)'!$C$80))*'MATERIALES (2)'!$F$2</f>
        <v>209820.22950000002</v>
      </c>
      <c r="E53" s="59">
        <f>((((A53*2)+(B53*2))*'MATERIALES (2)'!$C$60)+(((A53*2)+(B53*6))*'MATERIALES (2)'!$C$59)+(((A53*2)+(B53*6))*'MATERIALES (2)'!$C$76)+((B53*2)*'MATERIALES (2)'!$C$80))*'MATERIALES (2)'!$F$2</f>
        <v>268120.20900000003</v>
      </c>
      <c r="F53" s="59">
        <f>(8*'MATERIALES (2)'!$C$178)+(1*'MATERIALES (2)'!$C$183)+(2*'MATERIALES (2)'!$C$195)+(((A53*2)+(B53*2))*'MATERIALES (2)'!$C$198)+(4*'MATERIALES (2)'!$C$137)+(((A53*5)*2)*'MATERIALES (2)'!$C$136)+(((A53*2)+(B53*2))*'MATERIALES (2)'!$C$199)+((((A53*2)+(B53*2))/0.1)*'MATERIALES (2)'!$C$181)+(((A53*2)+(B53*2))*'MATERIALES (2)'!$C$154)+(2*'MATERIALES (2)'!$C$176)+(0.5*'MATERIALES (2)'!$C$156)</f>
        <v>37506</v>
      </c>
      <c r="G53" s="59">
        <f>(12*'MATERIALES (2)'!$C$178)+(1*'MATERIALES (2)'!$C$183)+(4*'MATERIALES (2)'!$C$195)+(((A53*2)+(B53*4))*'MATERIALES (2)'!$C$198)+(4*'MATERIALES (2)'!$C$137)+(((A53*5)*2)*'MATERIALES (2)'!$C$136)+(((A53*2)+(B53*2))*'MATERIALES (2)'!$C$199)+((((A53*2)+(B53*4))/0.1)*'MATERIALES (2)'!$C$181)+(((A53*2)+(B53*4))*'MATERIALES (2)'!$C$154)+(2*'MATERIALES (2)'!$C$176)+(0.5*'MATERIALES (2)'!$C$156)</f>
        <v>49186</v>
      </c>
      <c r="H53" s="59">
        <f>(16*'MATERIALES (2)'!$C$178)+(1*'MATERIALES (2)'!$C$183)+(4*'MATERIALES (2)'!$C$195)+(2*'MATERIALES (2)'!$C$197)+(((A53*2)+(B53*6))*'MATERIALES (2)'!$C$198)+(4*'MATERIALES (2)'!$C$137)+(((A53*5)*2)*'MATERIALES (2)'!$C$136)+(((A53*2)+(B53*2))*'MATERIALES (2)'!$C$199)+((((A53*2)+(B53*6))/0.1)*'MATERIALES (2)'!$C$181)+(((A53*2)+(B53*6))*'MATERIALES (2)'!$C$154)+(2*'MATERIALES (2)'!$C$176)+(0.5*'MATERIALES (2)'!$C$156)</f>
        <v>62086</v>
      </c>
      <c r="I53" s="75"/>
      <c r="J53" s="55">
        <f>(A53*B53)*'MATERIALES (2)'!$D$85</f>
        <v>26640</v>
      </c>
      <c r="K53" s="55">
        <f>(A53*B53)*'MATERIALES (2)'!$D$85</f>
        <v>26640</v>
      </c>
      <c r="L53" s="55">
        <f>(A53*B53)*'MATERIALES (2)'!$D$85</f>
        <v>26640</v>
      </c>
      <c r="M53" s="55">
        <f>(((A53*B53)*2)*'MATERIALES (2)'!$D$86)+(4*'MATERIALES (2)'!$C$218)+(((A53*2)+(B53*2))*'MATERIALES (2)'!$C$219)+(((A53*2)+(B53*2))*'MATERIALES (2)'!$C$220)+((((A53*2)+(B53*2))/15)*'MATERIALES (2)'!$C$221)+((((A53*2)+(B53*2))/15)*('MATERIALES (2)'!$C$222*0.15))</f>
        <v>76519.716666666674</v>
      </c>
      <c r="N53" s="55">
        <f>(((A53*B53)*2)*'MATERIALES (2)'!$D$86)+(8*'MATERIALES (2)'!$C$218)+(((A53*2)+(B53*4))*'MATERIALES (2)'!$C$219)+(((A53*2)+(B53*4))*'MATERIALES (2)'!$C$220)+((((A53*2)+(B53*4))/15)*'MATERIALES (2)'!$C$221)+((((A53*2)+(B53*4))/15)*('MATERIALES (2)'!$C$222*0.15))</f>
        <v>82769.266666666677</v>
      </c>
      <c r="O53" s="55">
        <f>(((A53*B53)*2)*'MATERIALES (2)'!$D$86)+(12*'MATERIALES (2)'!$C$218)+(((A53*2)+(B53*6))*'MATERIALES (2)'!$C$219)+(((A53*2)+(B53*6))*'MATERIALES (2)'!$C$220)+((((A53*2)+(B53*6))/15)*'MATERIALES (2)'!$C$221)+((((A53*2)+(B53*6))/15)*('MATERIALES (2)'!$C$222*0.15))</f>
        <v>89018.816666666666</v>
      </c>
      <c r="P53" s="55">
        <f>(A53*B53)*'MATERIALES (2)'!$D$92</f>
        <v>130140</v>
      </c>
      <c r="Q53" s="55">
        <f>(A53*B53)*'MATERIALES (2)'!$D$92</f>
        <v>130140</v>
      </c>
      <c r="R53" s="55">
        <f>(A53*B53)*'MATERIALES (2)'!$D$92</f>
        <v>130140</v>
      </c>
      <c r="S53" s="125">
        <f t="shared" si="0"/>
        <v>411500.60526093759</v>
      </c>
      <c r="T53" s="125">
        <f t="shared" si="1"/>
        <v>537529.91216679569</v>
      </c>
      <c r="U53" s="125">
        <f t="shared" si="2"/>
        <v>665756.35824765393</v>
      </c>
      <c r="V53" s="125">
        <f t="shared" si="3"/>
        <v>544582.1833134375</v>
      </c>
      <c r="W53" s="125">
        <f t="shared" si="4"/>
        <v>687285.60209679569</v>
      </c>
      <c r="X53" s="125">
        <f t="shared" si="5"/>
        <v>832186.16005515389</v>
      </c>
      <c r="Y53" s="125">
        <f t="shared" si="6"/>
        <v>687643.78026093752</v>
      </c>
      <c r="Z53" s="125">
        <f t="shared" si="7"/>
        <v>813673.08716679562</v>
      </c>
      <c r="AA53" s="67">
        <f t="shared" si="8"/>
        <v>941899.53324765386</v>
      </c>
      <c r="AD53" s="250" t="s">
        <v>570</v>
      </c>
      <c r="AE53" s="246">
        <f t="shared" si="11"/>
        <v>503081.03877916507</v>
      </c>
      <c r="AF53" s="247">
        <f t="shared" si="9"/>
        <v>612116.37153166498</v>
      </c>
      <c r="AG53" s="250">
        <f t="shared" si="10"/>
        <v>668766.94377916504</v>
      </c>
      <c r="AH53" s="250">
        <f>+'MODENA CORREDIZA'!$M$31</f>
        <v>53852.925720824918</v>
      </c>
    </row>
    <row r="54" spans="1:34" ht="16.5" thickBot="1">
      <c r="A54" s="68"/>
      <c r="B54" s="69"/>
      <c r="C54" s="59">
        <f>((((A54*2)+(B54*2))*'MATERIALES (2)'!$C$60)+(((A54*2)+(B54*2))*'MATERIALES (2)'!$C$59)+(((A54*2)+(B54*2))*'MATERIALES (2)'!$C$76))*'MATERIALES (2)'!$F$2</f>
        <v>0</v>
      </c>
      <c r="D54" s="59">
        <f>((((A54*2)+(B54*2))*'MATERIALES (2)'!$C$60)+(((A54*2)+(B54*4))*'MATERIALES (2)'!$C$59)+(((A54*2)+(B54*4))*'MATERIALES (2)'!$C$76)+(B54*'MATERIALES (2)'!$C$80))*'MATERIALES (2)'!$F$2</f>
        <v>0</v>
      </c>
      <c r="E54" s="59">
        <f>((((A54*2)+(B54*2))*'MATERIALES (2)'!$C$60)+(((A54*2)+(B54*6))*'MATERIALES (2)'!$C$59)+(((A54*2)+(B54*6))*'MATERIALES (2)'!$C$76)+((B54*2)*'MATERIALES (2)'!$C$80))*'MATERIALES (2)'!$F$2</f>
        <v>0</v>
      </c>
      <c r="F54" s="59">
        <f>(8*'MATERIALES (2)'!$C$178)+(1*'MATERIALES (2)'!$C$183)+(2*'MATERIALES (2)'!$C$195)+(((A54*2)+(B54*2))*'MATERIALES (2)'!$C$198)+(4*'MATERIALES (2)'!$C$137)+(((A54*5)*2)*'MATERIALES (2)'!$C$136)+(((A54*2)+(B54*2))*'MATERIALES (2)'!$C$199)+((((A54*2)+(B54*2))/0.1)*'MATERIALES (2)'!$C$181)+(((A54*2)+(B54*2))*'MATERIALES (2)'!$C$154)+(2*'MATERIALES (2)'!$C$176)+(0.5*'MATERIALES (2)'!$C$156)</f>
        <v>28690</v>
      </c>
      <c r="G54" s="59">
        <f>(12*'MATERIALES (2)'!$C$178)+(1*'MATERIALES (2)'!$C$183)+(4*'MATERIALES (2)'!$C$195)+(((A54*2)+(B54*4))*'MATERIALES (2)'!$C$198)+(4*'MATERIALES (2)'!$C$137)+(((A54*5)*2)*'MATERIALES (2)'!$C$136)+(((A54*2)+(B54*2))*'MATERIALES (2)'!$C$199)+((((A54*2)+(B54*4))/0.1)*'MATERIALES (2)'!$C$181)+(((A54*2)+(B54*4))*'MATERIALES (2)'!$C$154)+(2*'MATERIALES (2)'!$C$176)+(0.5*'MATERIALES (2)'!$C$156)</f>
        <v>37490</v>
      </c>
      <c r="H54" s="59">
        <f>(16*'MATERIALES (2)'!$C$178)+(1*'MATERIALES (2)'!$C$183)+(4*'MATERIALES (2)'!$C$195)+(2*'MATERIALES (2)'!$C$197)+(((A54*2)+(B54*6))*'MATERIALES (2)'!$C$198)+(4*'MATERIALES (2)'!$C$137)+(((A54*5)*2)*'MATERIALES (2)'!$C$136)+(((A54*2)+(B54*2))*'MATERIALES (2)'!$C$199)+((((A54*2)+(B54*6))/0.1)*'MATERIALES (2)'!$C$181)+(((A54*2)+(B54*6))*'MATERIALES (2)'!$C$154)+(2*'MATERIALES (2)'!$C$176)+(0.5*'MATERIALES (2)'!$C$156)</f>
        <v>47510</v>
      </c>
      <c r="I54" s="75"/>
      <c r="J54" s="55">
        <f>(A54*B54)*'MATERIALES (2)'!$D$85</f>
        <v>0</v>
      </c>
      <c r="K54" s="55">
        <f>(A54*B54)*'MATERIALES (2)'!$D$85</f>
        <v>0</v>
      </c>
      <c r="L54" s="55">
        <f>(A54*B54)*'MATERIALES (2)'!$D$85</f>
        <v>0</v>
      </c>
      <c r="M54" s="55">
        <f>(((A54*B54)*2)*'MATERIALES (2)'!$D$86)+(4*'MATERIALES (2)'!$C$218)+(((A54*2)+(B54*2))*'MATERIALES (2)'!$C$219)+(((A54*2)+(B54*2))*'MATERIALES (2)'!$C$220)+((((A54*2)+(B54*2))/15)*'MATERIALES (2)'!$C$221)+((((A54*2)+(B54*2))/15)*('MATERIALES (2)'!$C$222*0.15))</f>
        <v>160</v>
      </c>
      <c r="N54" s="55">
        <f>(((A54*B54)*2)*'MATERIALES (2)'!$D$86)+(8*'MATERIALES (2)'!$C$218)+(((A54*2)+(B54*4))*'MATERIALES (2)'!$C$219)+(((A54*2)+(B54*4))*'MATERIALES (2)'!$C$220)+((((A54*2)+(B54*4))/15)*'MATERIALES (2)'!$C$221)+((((A54*2)+(B54*4))/15)*('MATERIALES (2)'!$C$222*0.15))</f>
        <v>320</v>
      </c>
      <c r="O54" s="55">
        <f>(((A54*B54)*2)*'MATERIALES (2)'!$D$86)+(12*'MATERIALES (2)'!$C$218)+(((A54*2)+(B54*6))*'MATERIALES (2)'!$C$219)+(((A54*2)+(B54*6))*'MATERIALES (2)'!$C$220)+((((A54*2)+(B54*6))/15)*'MATERIALES (2)'!$C$221)+((((A54*2)+(B54*6))/15)*('MATERIALES (2)'!$C$222*0.15))</f>
        <v>480</v>
      </c>
      <c r="P54" s="55">
        <f>(A54*B54)*'MATERIALES (2)'!$D$92</f>
        <v>0</v>
      </c>
      <c r="Q54" s="55">
        <f>(A54*B54)*'MATERIALES (2)'!$D$92</f>
        <v>0</v>
      </c>
      <c r="R54" s="55">
        <f>(A54*B54)*'MATERIALES (2)'!$D$92</f>
        <v>0</v>
      </c>
      <c r="S54" s="125">
        <f t="shared" si="0"/>
        <v>51668.789287500003</v>
      </c>
      <c r="T54" s="125">
        <f t="shared" si="1"/>
        <v>67517.0062875</v>
      </c>
      <c r="U54" s="125">
        <f t="shared" si="2"/>
        <v>85562.362462500008</v>
      </c>
      <c r="V54" s="125">
        <f t="shared" si="3"/>
        <v>52095.677287500002</v>
      </c>
      <c r="W54" s="125">
        <f t="shared" si="4"/>
        <v>68370.782287499998</v>
      </c>
      <c r="X54" s="125">
        <f t="shared" si="5"/>
        <v>86843.026462500013</v>
      </c>
      <c r="Y54" s="125">
        <f t="shared" si="6"/>
        <v>51668.789287500003</v>
      </c>
      <c r="Z54" s="125">
        <f t="shared" si="7"/>
        <v>67517.0062875</v>
      </c>
      <c r="AA54" s="67">
        <f t="shared" si="8"/>
        <v>85562.362462500008</v>
      </c>
      <c r="AD54" s="250" t="s">
        <v>571</v>
      </c>
      <c r="AE54" s="246">
        <f t="shared" si="11"/>
        <v>573266.04107200308</v>
      </c>
      <c r="AF54" s="247">
        <f t="shared" si="9"/>
        <v>705178.23504325305</v>
      </c>
      <c r="AG54" s="250">
        <f t="shared" si="10"/>
        <v>780373.42232200317</v>
      </c>
      <c r="AH54" s="250">
        <f>+'MODENA CORREDIZA'!$M$32</f>
        <v>67271.133807281207</v>
      </c>
    </row>
    <row r="55" spans="1:34" ht="16.5" thickBot="1">
      <c r="A55" s="68"/>
      <c r="B55" s="69"/>
      <c r="C55" s="59">
        <f>((((A55*2)+(B55*2))*'MATERIALES (2)'!$C$60)+(((A55*2)+(B55*2))*'MATERIALES (2)'!$C$59)+(((A55*2)+(B55*2))*'MATERIALES (2)'!$C$76))*'MATERIALES (2)'!$F$2</f>
        <v>0</v>
      </c>
      <c r="D55" s="59">
        <f>((((A55*2)+(B55*2))*'MATERIALES (2)'!$C$60)+(((A55*2)+(B55*4))*'MATERIALES (2)'!$C$59)+(((A55*2)+(B55*4))*'MATERIALES (2)'!$C$76)+(B55*'MATERIALES (2)'!$C$80))*'MATERIALES (2)'!$F$2</f>
        <v>0</v>
      </c>
      <c r="E55" s="59">
        <f>((((A55*2)+(B55*2))*'MATERIALES (2)'!$C$60)+(((A55*2)+(B55*6))*'MATERIALES (2)'!$C$59)+(((A55*2)+(B55*6))*'MATERIALES (2)'!$C$76)+((B55*2)*'MATERIALES (2)'!$C$80))*'MATERIALES (2)'!$F$2</f>
        <v>0</v>
      </c>
      <c r="F55" s="59">
        <f>(8*'MATERIALES (2)'!$C$178)+(1*'MATERIALES (2)'!$C$183)+(2*'MATERIALES (2)'!$C$195)+(((A55*2)+(B55*2))*'MATERIALES (2)'!$C$198)+(4*'MATERIALES (2)'!$C$137)+(((A55*5)*2)*'MATERIALES (2)'!$C$136)+(((A55*2)+(B55*2))*'MATERIALES (2)'!$C$199)+((((A55*2)+(B55*2))/0.1)*'MATERIALES (2)'!$C$181)+(((A55*2)+(B55*2))*'MATERIALES (2)'!$C$154)+(2*'MATERIALES (2)'!$C$176)+(0.5*'MATERIALES (2)'!$C$156)</f>
        <v>28690</v>
      </c>
      <c r="G55" s="59">
        <f>(12*'MATERIALES (2)'!$C$178)+(1*'MATERIALES (2)'!$C$183)+(4*'MATERIALES (2)'!$C$195)+(((A55*2)+(B55*4))*'MATERIALES (2)'!$C$198)+(4*'MATERIALES (2)'!$C$137)+(((A55*5)*2)*'MATERIALES (2)'!$C$136)+(((A55*2)+(B55*2))*'MATERIALES (2)'!$C$199)+((((A55*2)+(B55*4))/0.1)*'MATERIALES (2)'!$C$181)+(((A55*2)+(B55*4))*'MATERIALES (2)'!$C$154)+(2*'MATERIALES (2)'!$C$176)+(0.5*'MATERIALES (2)'!$C$156)</f>
        <v>37490</v>
      </c>
      <c r="H55" s="59">
        <f>(16*'MATERIALES (2)'!$C$178)+(1*'MATERIALES (2)'!$C$183)+(4*'MATERIALES (2)'!$C$195)+(2*'MATERIALES (2)'!$C$197)+(((A55*2)+(B55*6))*'MATERIALES (2)'!$C$198)+(4*'MATERIALES (2)'!$C$137)+(((A55*5)*2)*'MATERIALES (2)'!$C$136)+(((A55*2)+(B55*2))*'MATERIALES (2)'!$C$199)+((((A55*2)+(B55*6))/0.1)*'MATERIALES (2)'!$C$181)+(((A55*2)+(B55*6))*'MATERIALES (2)'!$C$154)+(2*'MATERIALES (2)'!$C$176)+(0.5*'MATERIALES (2)'!$C$156)</f>
        <v>47510</v>
      </c>
      <c r="I55" s="75"/>
      <c r="J55" s="55">
        <f>(A55*B55)*'MATERIALES (2)'!$D$85</f>
        <v>0</v>
      </c>
      <c r="K55" s="55">
        <f>(A55*B55)*'MATERIALES (2)'!$D$85</f>
        <v>0</v>
      </c>
      <c r="L55" s="55">
        <f>(A55*B55)*'MATERIALES (2)'!$D$85</f>
        <v>0</v>
      </c>
      <c r="M55" s="55">
        <f>(((A55*B55)*2)*'MATERIALES (2)'!$D$86)+(4*'MATERIALES (2)'!$C$218)+(((A55*2)+(B55*2))*'MATERIALES (2)'!$C$219)+(((A55*2)+(B55*2))*'MATERIALES (2)'!$C$220)+((((A55*2)+(B55*2))/15)*'MATERIALES (2)'!$C$221)+((((A55*2)+(B55*2))/15)*('MATERIALES (2)'!$C$222*0.15))</f>
        <v>160</v>
      </c>
      <c r="N55" s="55">
        <f>(((A55*B55)*2)*'MATERIALES (2)'!$D$86)+(8*'MATERIALES (2)'!$C$218)+(((A55*2)+(B55*4))*'MATERIALES (2)'!$C$219)+(((A55*2)+(B55*4))*'MATERIALES (2)'!$C$220)+((((A55*2)+(B55*4))/15)*'MATERIALES (2)'!$C$221)+((((A55*2)+(B55*4))/15)*('MATERIALES (2)'!$C$222*0.15))</f>
        <v>320</v>
      </c>
      <c r="O55" s="55">
        <f>(((A55*B55)*2)*'MATERIALES (2)'!$D$86)+(12*'MATERIALES (2)'!$C$218)+(((A55*2)+(B55*6))*'MATERIALES (2)'!$C$219)+(((A55*2)+(B55*6))*'MATERIALES (2)'!$C$220)+((((A55*2)+(B55*6))/15)*'MATERIALES (2)'!$C$221)+((((A55*2)+(B55*6))/15)*('MATERIALES (2)'!$C$222*0.15))</f>
        <v>480</v>
      </c>
      <c r="P55" s="55">
        <f>(A55*B55)*'MATERIALES (2)'!$D$92</f>
        <v>0</v>
      </c>
      <c r="Q55" s="55">
        <f>(A55*B55)*'MATERIALES (2)'!$D$92</f>
        <v>0</v>
      </c>
      <c r="R55" s="55">
        <f>(A55*B55)*'MATERIALES (2)'!$D$92</f>
        <v>0</v>
      </c>
      <c r="S55" s="125">
        <f t="shared" si="0"/>
        <v>51668.789287500003</v>
      </c>
      <c r="T55" s="125">
        <f t="shared" si="1"/>
        <v>67517.0062875</v>
      </c>
      <c r="U55" s="125">
        <f t="shared" si="2"/>
        <v>85562.362462500008</v>
      </c>
      <c r="V55" s="125">
        <f t="shared" si="3"/>
        <v>52095.677287500002</v>
      </c>
      <c r="W55" s="125">
        <f t="shared" si="4"/>
        <v>68370.782287499998</v>
      </c>
      <c r="X55" s="125">
        <f t="shared" si="5"/>
        <v>86843.026462500013</v>
      </c>
      <c r="Y55" s="125">
        <f t="shared" si="6"/>
        <v>51668.789287500003</v>
      </c>
      <c r="Z55" s="125">
        <f t="shared" si="7"/>
        <v>67517.0062875</v>
      </c>
      <c r="AA55" s="67">
        <f t="shared" si="8"/>
        <v>85562.362462500008</v>
      </c>
      <c r="AD55" s="250" t="s">
        <v>572</v>
      </c>
      <c r="AE55" s="246">
        <f t="shared" si="11"/>
        <v>643451.04336484126</v>
      </c>
      <c r="AF55" s="247">
        <f t="shared" si="9"/>
        <v>798240.09855484136</v>
      </c>
      <c r="AG55" s="250">
        <f t="shared" si="10"/>
        <v>891979.9008648413</v>
      </c>
      <c r="AH55" s="250">
        <f>+'MODENA CORREDIZA'!$M$33</f>
        <v>80689.341893737554</v>
      </c>
    </row>
    <row r="56" spans="1:34" ht="16.5" thickBot="1">
      <c r="A56" s="68">
        <v>2.4</v>
      </c>
      <c r="B56" s="69">
        <v>0.6</v>
      </c>
      <c r="C56" s="59">
        <f>((((A56*2)+(B56*2))*'MATERIALES (2)'!$C$60)+(((A56*2)+(B56*2))*'MATERIALES (2)'!$C$59)+(((A56*2)+(B56*2))*'MATERIALES (2)'!$C$76))*'MATERIALES (2)'!$F$2</f>
        <v>119621.25</v>
      </c>
      <c r="D56" s="59">
        <f>((((A56*2)+(B56*2))*'MATERIALES (2)'!$C$60)+(((A56*2)+(B56*4))*'MATERIALES (2)'!$C$59)+(((A56*2)+(B56*4))*'MATERIALES (2)'!$C$76)+(B56*'MATERIALES (2)'!$C$80))*'MATERIALES (2)'!$F$2</f>
        <v>139054.5765</v>
      </c>
      <c r="E56" s="59">
        <f>((((A56*2)+(B56*2))*'MATERIALES (2)'!$C$60)+(((A56*2)+(B56*6))*'MATERIALES (2)'!$C$59)+(((A56*2)+(B56*6))*'MATERIALES (2)'!$C$76)+((B56*2)*'MATERIALES (2)'!$C$80))*'MATERIALES (2)'!$F$2</f>
        <v>158487.90299999999</v>
      </c>
      <c r="F56" s="59">
        <f>(8*'MATERIALES (2)'!$C$178)+(1*'MATERIALES (2)'!$C$183)+(2*'MATERIALES (2)'!$C$195)+(((A56*2)+(B56*2))*'MATERIALES (2)'!$C$198)+(4*'MATERIALES (2)'!$C$137)+(((A56*5)*2)*'MATERIALES (2)'!$C$136)+(((A56*2)+(B56*2))*'MATERIALES (2)'!$C$199)+((((A56*2)+(B56*2))/0.1)*'MATERIALES (2)'!$C$181)+(((A56*2)+(B56*2))*'MATERIALES (2)'!$C$154)+(2*'MATERIALES (2)'!$C$176)+(0.5*'MATERIALES (2)'!$C$156)</f>
        <v>35650</v>
      </c>
      <c r="G56" s="59">
        <f>(12*'MATERIALES (2)'!$C$178)+(1*'MATERIALES (2)'!$C$183)+(4*'MATERIALES (2)'!$C$195)+(((A56*2)+(B56*4))*'MATERIALES (2)'!$C$198)+(4*'MATERIALES (2)'!$C$137)+(((A56*5)*2)*'MATERIALES (2)'!$C$136)+(((A56*2)+(B56*2))*'MATERIALES (2)'!$C$199)+((((A56*2)+(B56*4))/0.1)*'MATERIALES (2)'!$C$181)+(((A56*2)+(B56*4))*'MATERIALES (2)'!$C$154)+(2*'MATERIALES (2)'!$C$176)+(0.5*'MATERIALES (2)'!$C$156)</f>
        <v>45410</v>
      </c>
      <c r="H56" s="59">
        <f>(16*'MATERIALES (2)'!$C$178)+(1*'MATERIALES (2)'!$C$183)+(4*'MATERIALES (2)'!$C$195)+(2*'MATERIALES (2)'!$C$197)+(((A56*2)+(B56*6))*'MATERIALES (2)'!$C$198)+(4*'MATERIALES (2)'!$C$137)+(((A56*5)*2)*'MATERIALES (2)'!$C$136)+(((A56*2)+(B56*2))*'MATERIALES (2)'!$C$199)+((((A56*2)+(B56*6))/0.1)*'MATERIALES (2)'!$C$181)+(((A56*2)+(B56*6))*'MATERIALES (2)'!$C$154)+(2*'MATERIALES (2)'!$C$176)+(0.5*'MATERIALES (2)'!$C$156)</f>
        <v>56390</v>
      </c>
      <c r="I56" s="75"/>
      <c r="J56" s="55">
        <f>(A56*B56)*'MATERIALES (2)'!$D$85</f>
        <v>10656</v>
      </c>
      <c r="K56" s="55">
        <f>(A56*B56)*'MATERIALES (2)'!$D$85</f>
        <v>10656</v>
      </c>
      <c r="L56" s="55">
        <f>(A56*B56)*'MATERIALES (2)'!$D$85</f>
        <v>10656</v>
      </c>
      <c r="M56" s="55">
        <f>(((A56*B56)*2)*'MATERIALES (2)'!$D$86)+(4*'MATERIALES (2)'!$C$218)+(((A56*2)+(B56*2))*'MATERIALES (2)'!$C$219)+(((A56*2)+(B56*2))*'MATERIALES (2)'!$C$220)+((((A56*2)+(B56*2))/15)*'MATERIALES (2)'!$C$221)+((((A56*2)+(B56*2))/15)*('MATERIALES (2)'!$C$222*0.15))</f>
        <v>35710.85</v>
      </c>
      <c r="N56" s="55">
        <f>(((A56*B56)*2)*'MATERIALES (2)'!$D$86)+(8*'MATERIALES (2)'!$C$218)+(((A56*2)+(B56*4))*'MATERIALES (2)'!$C$219)+(((A56*2)+(B56*4))*'MATERIALES (2)'!$C$220)+((((A56*2)+(B56*4))/15)*'MATERIALES (2)'!$C$221)+((((A56*2)+(B56*4))/15)*('MATERIALES (2)'!$C$222*0.15))</f>
        <v>37900.699999999997</v>
      </c>
      <c r="O56" s="55">
        <f>(((A56*B56)*2)*'MATERIALES (2)'!$D$86)+(12*'MATERIALES (2)'!$C$218)+(((A56*2)+(B56*6))*'MATERIALES (2)'!$C$219)+(((A56*2)+(B56*6))*'MATERIALES (2)'!$C$220)+((((A56*2)+(B56*6))/15)*'MATERIALES (2)'!$C$221)+((((A56*2)+(B56*6))/15)*('MATERIALES (2)'!$C$222*0.15))</f>
        <v>40090.549999999996</v>
      </c>
      <c r="P56" s="55">
        <f>(A56*B56)*'MATERIALES (2)'!$D$92</f>
        <v>52056</v>
      </c>
      <c r="Q56" s="55">
        <f>(A56*B56)*'MATERIALES (2)'!$D$92</f>
        <v>52056</v>
      </c>
      <c r="R56" s="55">
        <f>(A56*B56)*'MATERIALES (2)'!$D$92</f>
        <v>52056</v>
      </c>
      <c r="S56" s="125">
        <f t="shared" si="0"/>
        <v>308063.97532968753</v>
      </c>
      <c r="T56" s="125">
        <f t="shared" si="1"/>
        <v>360639.22229830688</v>
      </c>
      <c r="U56" s="125">
        <f t="shared" si="2"/>
        <v>415411.60844192631</v>
      </c>
      <c r="V56" s="125">
        <f t="shared" si="3"/>
        <v>374911.56787218759</v>
      </c>
      <c r="W56" s="125">
        <f t="shared" si="4"/>
        <v>433329.44413330691</v>
      </c>
      <c r="X56" s="125">
        <f t="shared" si="5"/>
        <v>493944.45956942631</v>
      </c>
      <c r="Y56" s="125">
        <f t="shared" si="6"/>
        <v>418521.24532968749</v>
      </c>
      <c r="Z56" s="125">
        <f t="shared" si="7"/>
        <v>471096.49229830684</v>
      </c>
      <c r="AA56" s="67">
        <f t="shared" si="8"/>
        <v>525868.87844192632</v>
      </c>
      <c r="AD56" s="250" t="s">
        <v>573</v>
      </c>
      <c r="AE56" s="246">
        <f t="shared" si="11"/>
        <v>427857.63660486008</v>
      </c>
      <c r="AF56" s="247">
        <f t="shared" si="9"/>
        <v>512567.06794985995</v>
      </c>
      <c r="AG56" s="250">
        <f t="shared" si="10"/>
        <v>550587.93660486001</v>
      </c>
      <c r="AH56" s="250">
        <f>+'MODENA CORREDIZA'!$M$28</f>
        <v>35961.981605549925</v>
      </c>
    </row>
    <row r="57" spans="1:34" ht="16.5" thickBot="1">
      <c r="A57" s="68">
        <v>2.4</v>
      </c>
      <c r="B57" s="69">
        <v>0.8</v>
      </c>
      <c r="C57" s="59">
        <f>((((A57*2)+(B57*2))*'MATERIALES (2)'!$C$60)+(((A57*2)+(B57*2))*'MATERIALES (2)'!$C$59)+(((A57*2)+(B57*2))*'MATERIALES (2)'!$C$76))*'MATERIALES (2)'!$F$2</f>
        <v>127595.99999999999</v>
      </c>
      <c r="D57" s="59">
        <f>((((A57*2)+(B57*2))*'MATERIALES (2)'!$C$60)+(((A57*2)+(B57*4))*'MATERIALES (2)'!$C$59)+(((A57*2)+(B57*4))*'MATERIALES (2)'!$C$76)+(B57*'MATERIALES (2)'!$C$80))*'MATERIALES (2)'!$F$2</f>
        <v>153507.10199999998</v>
      </c>
      <c r="E57" s="59">
        <f>((((A57*2)+(B57*2))*'MATERIALES (2)'!$C$60)+(((A57*2)+(B57*6))*'MATERIALES (2)'!$C$59)+(((A57*2)+(B57*6))*'MATERIALES (2)'!$C$76)+((B57*2)*'MATERIALES (2)'!$C$80))*'MATERIALES (2)'!$F$2</f>
        <v>179418.204</v>
      </c>
      <c r="F57" s="59">
        <f>(8*'MATERIALES (2)'!$C$178)+(1*'MATERIALES (2)'!$C$183)+(2*'MATERIALES (2)'!$C$195)+(((A57*2)+(B57*2))*'MATERIALES (2)'!$C$198)+(4*'MATERIALES (2)'!$C$137)+(((A57*5)*2)*'MATERIALES (2)'!$C$136)+(((A57*2)+(B57*2))*'MATERIALES (2)'!$C$199)+((((A57*2)+(B57*2))/0.1)*'MATERIALES (2)'!$C$181)+(((A57*2)+(B57*2))*'MATERIALES (2)'!$C$154)+(2*'MATERIALES (2)'!$C$176)+(0.5*'MATERIALES (2)'!$C$156)</f>
        <v>36114</v>
      </c>
      <c r="G57" s="59">
        <f>(12*'MATERIALES (2)'!$C$178)+(1*'MATERIALES (2)'!$C$183)+(4*'MATERIALES (2)'!$C$195)+(((A57*2)+(B57*4))*'MATERIALES (2)'!$C$198)+(4*'MATERIALES (2)'!$C$137)+(((A57*5)*2)*'MATERIALES (2)'!$C$136)+(((A57*2)+(B57*2))*'MATERIALES (2)'!$C$199)+((((A57*2)+(B57*4))/0.1)*'MATERIALES (2)'!$C$181)+(((A57*2)+(B57*4))*'MATERIALES (2)'!$C$154)+(2*'MATERIALES (2)'!$C$176)+(0.5*'MATERIALES (2)'!$C$156)</f>
        <v>46194</v>
      </c>
      <c r="H57" s="59">
        <f>(16*'MATERIALES (2)'!$C$178)+(1*'MATERIALES (2)'!$C$183)+(4*'MATERIALES (2)'!$C$195)+(2*'MATERIALES (2)'!$C$197)+(((A57*2)+(B57*6))*'MATERIALES (2)'!$C$198)+(4*'MATERIALES (2)'!$C$137)+(((A57*5)*2)*'MATERIALES (2)'!$C$136)+(((A57*2)+(B57*2))*'MATERIALES (2)'!$C$199)+((((A57*2)+(B57*6))/0.1)*'MATERIALES (2)'!$C$181)+(((A57*2)+(B57*6))*'MATERIALES (2)'!$C$154)+(2*'MATERIALES (2)'!$C$176)+(0.5*'MATERIALES (2)'!$C$156)</f>
        <v>57494</v>
      </c>
      <c r="I57" s="75"/>
      <c r="J57" s="55">
        <f>(A57*B57)*'MATERIALES (2)'!$D$85</f>
        <v>14208</v>
      </c>
      <c r="K57" s="55">
        <f>(A57*B57)*'MATERIALES (2)'!$D$85</f>
        <v>14208</v>
      </c>
      <c r="L57" s="55">
        <f>(A57*B57)*'MATERIALES (2)'!$D$85</f>
        <v>14208</v>
      </c>
      <c r="M57" s="55">
        <f>(((A57*B57)*2)*'MATERIALES (2)'!$D$86)+(4*'MATERIALES (2)'!$C$218)+(((A57*2)+(B57*2))*'MATERIALES (2)'!$C$219)+(((A57*2)+(B57*2))*'MATERIALES (2)'!$C$220)+((((A57*2)+(B57*2))/15)*'MATERIALES (2)'!$C$221)+((((A57*2)+(B57*2))/15)*('MATERIALES (2)'!$C$222*0.15))</f>
        <v>44854.666666666657</v>
      </c>
      <c r="N57" s="55">
        <f>(((A57*B57)*2)*'MATERIALES (2)'!$D$86)+(8*'MATERIALES (2)'!$C$218)+(((A57*2)+(B57*4))*'MATERIALES (2)'!$C$219)+(((A57*2)+(B57*4))*'MATERIALES (2)'!$C$220)+((((A57*2)+(B57*4))/15)*'MATERIALES (2)'!$C$221)+((((A57*2)+(B57*4))/15)*('MATERIALES (2)'!$C$222*0.15))</f>
        <v>47721.133333333331</v>
      </c>
      <c r="O57" s="55">
        <f>(((A57*B57)*2)*'MATERIALES (2)'!$D$86)+(12*'MATERIALES (2)'!$C$218)+(((A57*2)+(B57*6))*'MATERIALES (2)'!$C$219)+(((A57*2)+(B57*6))*'MATERIALES (2)'!$C$220)+((((A57*2)+(B57*6))/15)*'MATERIALES (2)'!$C$221)+((((A57*2)+(B57*6))/15)*('MATERIALES (2)'!$C$222*0.15))</f>
        <v>50587.6</v>
      </c>
      <c r="P57" s="55">
        <f>(A57*B57)*'MATERIALES (2)'!$D$92</f>
        <v>69408</v>
      </c>
      <c r="Q57" s="55">
        <f>(A57*B57)*'MATERIALES (2)'!$D$92</f>
        <v>69408</v>
      </c>
      <c r="R57" s="55">
        <f>(A57*B57)*'MATERIALES (2)'!$D$92</f>
        <v>69408</v>
      </c>
      <c r="S57" s="125">
        <f t="shared" si="0"/>
        <v>332738.51861250005</v>
      </c>
      <c r="T57" s="125">
        <f t="shared" si="1"/>
        <v>397556.10890399251</v>
      </c>
      <c r="U57" s="125">
        <f t="shared" si="2"/>
        <v>464570.838370485</v>
      </c>
      <c r="V57" s="125">
        <f t="shared" si="3"/>
        <v>414505.35761249997</v>
      </c>
      <c r="W57" s="125">
        <f t="shared" si="4"/>
        <v>486970.82429399254</v>
      </c>
      <c r="X57" s="125">
        <f t="shared" si="5"/>
        <v>561633.43015048502</v>
      </c>
      <c r="Y57" s="125">
        <f t="shared" si="6"/>
        <v>480014.87861249998</v>
      </c>
      <c r="Z57" s="125">
        <f t="shared" si="7"/>
        <v>544832.46890399256</v>
      </c>
      <c r="AA57" s="67">
        <f t="shared" si="8"/>
        <v>611847.1983704851</v>
      </c>
      <c r="AD57" s="250" t="s">
        <v>574</v>
      </c>
      <c r="AE57" s="246">
        <f t="shared" si="11"/>
        <v>475437.38093341881</v>
      </c>
      <c r="AF57" s="247">
        <f t="shared" si="9"/>
        <v>576490.88637091883</v>
      </c>
      <c r="AG57" s="250">
        <f t="shared" si="10"/>
        <v>628850.25593341887</v>
      </c>
      <c r="AH57" s="250">
        <f>+'MODENA CORREDIZA'!$M$29</f>
        <v>44907.453663187451</v>
      </c>
    </row>
    <row r="58" spans="1:34" ht="16.5" thickBot="1">
      <c r="A58" s="68">
        <v>2.4</v>
      </c>
      <c r="B58" s="69">
        <v>1</v>
      </c>
      <c r="C58" s="59">
        <f>((((A58*2)+(B58*2))*'MATERIALES (2)'!$C$60)+(((A58*2)+(B58*2))*'MATERIALES (2)'!$C$59)+(((A58*2)+(B58*2))*'MATERIALES (2)'!$C$76))*'MATERIALES (2)'!$F$2</f>
        <v>135570.75000000003</v>
      </c>
      <c r="D58" s="59">
        <f>((((A58*2)+(B58*2))*'MATERIALES (2)'!$C$60)+(((A58*2)+(B58*4))*'MATERIALES (2)'!$C$59)+(((A58*2)+(B58*4))*'MATERIALES (2)'!$C$76)+(B58*'MATERIALES (2)'!$C$80))*'MATERIALES (2)'!$F$2</f>
        <v>167959.6275</v>
      </c>
      <c r="E58" s="59">
        <f>((((A58*2)+(B58*2))*'MATERIALES (2)'!$C$60)+(((A58*2)+(B58*6))*'MATERIALES (2)'!$C$59)+(((A58*2)+(B58*6))*'MATERIALES (2)'!$C$76)+((B58*2)*'MATERIALES (2)'!$C$80))*'MATERIALES (2)'!$F$2</f>
        <v>200348.50499999998</v>
      </c>
      <c r="F58" s="59">
        <f>(8*'MATERIALES (2)'!$C$178)+(1*'MATERIALES (2)'!$C$183)+(2*'MATERIALES (2)'!$C$195)+(((A58*2)+(B58*2))*'MATERIALES (2)'!$C$198)+(4*'MATERIALES (2)'!$C$137)+(((A58*5)*2)*'MATERIALES (2)'!$C$136)+(((A58*2)+(B58*2))*'MATERIALES (2)'!$C$199)+((((A58*2)+(B58*2))/0.1)*'MATERIALES (2)'!$C$181)+(((A58*2)+(B58*2))*'MATERIALES (2)'!$C$154)+(2*'MATERIALES (2)'!$C$176)+(0.5*'MATERIALES (2)'!$C$156)</f>
        <v>36578</v>
      </c>
      <c r="G58" s="59">
        <f>(12*'MATERIALES (2)'!$C$178)+(1*'MATERIALES (2)'!$C$183)+(4*'MATERIALES (2)'!$C$195)+(((A58*2)+(B58*4))*'MATERIALES (2)'!$C$198)+(4*'MATERIALES (2)'!$C$137)+(((A58*5)*2)*'MATERIALES (2)'!$C$136)+(((A58*2)+(B58*2))*'MATERIALES (2)'!$C$199)+((((A58*2)+(B58*4))/0.1)*'MATERIALES (2)'!$C$181)+(((A58*2)+(B58*4))*'MATERIALES (2)'!$C$154)+(2*'MATERIALES (2)'!$C$176)+(0.5*'MATERIALES (2)'!$C$156)</f>
        <v>46978</v>
      </c>
      <c r="H58" s="59">
        <f>(16*'MATERIALES (2)'!$C$178)+(1*'MATERIALES (2)'!$C$183)+(4*'MATERIALES (2)'!$C$195)+(2*'MATERIALES (2)'!$C$197)+(((A58*2)+(B58*6))*'MATERIALES (2)'!$C$198)+(4*'MATERIALES (2)'!$C$137)+(((A58*5)*2)*'MATERIALES (2)'!$C$136)+(((A58*2)+(B58*2))*'MATERIALES (2)'!$C$199)+((((A58*2)+(B58*6))/0.1)*'MATERIALES (2)'!$C$181)+(((A58*2)+(B58*6))*'MATERIALES (2)'!$C$154)+(2*'MATERIALES (2)'!$C$176)+(0.5*'MATERIALES (2)'!$C$156)</f>
        <v>58598</v>
      </c>
      <c r="I58" s="75"/>
      <c r="J58" s="55">
        <f>(A58*B58)*'MATERIALES (2)'!$D$85</f>
        <v>17760</v>
      </c>
      <c r="K58" s="55">
        <f>(A58*B58)*'MATERIALES (2)'!$D$85</f>
        <v>17760</v>
      </c>
      <c r="L58" s="55">
        <f>(A58*B58)*'MATERIALES (2)'!$D$85</f>
        <v>17760</v>
      </c>
      <c r="M58" s="55">
        <f>(((A58*B58)*2)*'MATERIALES (2)'!$D$86)+(4*'MATERIALES (2)'!$C$218)+(((A58*2)+(B58*2))*'MATERIALES (2)'!$C$219)+(((A58*2)+(B58*2))*'MATERIALES (2)'!$C$220)+((((A58*2)+(B58*2))/15)*'MATERIALES (2)'!$C$221)+((((A58*2)+(B58*2))/15)*('MATERIALES (2)'!$C$222*0.15))</f>
        <v>53998.483333333337</v>
      </c>
      <c r="N58" s="55">
        <f>(((A58*B58)*2)*'MATERIALES (2)'!$D$86)+(8*'MATERIALES (2)'!$C$218)+(((A58*2)+(B58*4))*'MATERIALES (2)'!$C$219)+(((A58*2)+(B58*4))*'MATERIALES (2)'!$C$220)+((((A58*2)+(B58*4))/15)*'MATERIALES (2)'!$C$221)+((((A58*2)+(B58*4))/15)*('MATERIALES (2)'!$C$222*0.15))</f>
        <v>57541.566666666666</v>
      </c>
      <c r="O58" s="55">
        <f>(((A58*B58)*2)*'MATERIALES (2)'!$D$86)+(12*'MATERIALES (2)'!$C$218)+(((A58*2)+(B58*6))*'MATERIALES (2)'!$C$219)+(((A58*2)+(B58*6))*'MATERIALES (2)'!$C$220)+((((A58*2)+(B58*6))/15)*'MATERIALES (2)'!$C$221)+((((A58*2)+(B58*6))/15)*('MATERIALES (2)'!$C$222*0.15))</f>
        <v>61084.65</v>
      </c>
      <c r="P58" s="55">
        <f>(A58*B58)*'MATERIALES (2)'!$D$92</f>
        <v>86760</v>
      </c>
      <c r="Q58" s="55">
        <f>(A58*B58)*'MATERIALES (2)'!$D$92</f>
        <v>86760</v>
      </c>
      <c r="R58" s="55">
        <f>(A58*B58)*'MATERIALES (2)'!$D$92</f>
        <v>86760</v>
      </c>
      <c r="S58" s="125">
        <f t="shared" si="0"/>
        <v>357413.06189531257</v>
      </c>
      <c r="T58" s="125">
        <f t="shared" si="1"/>
        <v>434472.99550967815</v>
      </c>
      <c r="U58" s="125">
        <f t="shared" si="2"/>
        <v>513730.06829904375</v>
      </c>
      <c r="V58" s="125">
        <f t="shared" si="3"/>
        <v>454099.14735281258</v>
      </c>
      <c r="W58" s="125">
        <f t="shared" si="4"/>
        <v>540612.20445467823</v>
      </c>
      <c r="X58" s="125">
        <f t="shared" si="5"/>
        <v>629322.40073154366</v>
      </c>
      <c r="Y58" s="125">
        <f t="shared" si="6"/>
        <v>541508.51189531258</v>
      </c>
      <c r="Z58" s="125">
        <f t="shared" si="7"/>
        <v>618568.44550967833</v>
      </c>
      <c r="AA58" s="67">
        <f t="shared" si="8"/>
        <v>697825.51829904376</v>
      </c>
      <c r="AD58" s="250" t="s">
        <v>575</v>
      </c>
      <c r="AE58" s="246">
        <f t="shared" si="11"/>
        <v>499227.25309769827</v>
      </c>
      <c r="AF58" s="247">
        <f t="shared" si="9"/>
        <v>608452.79558144836</v>
      </c>
      <c r="AG58" s="250">
        <f t="shared" si="10"/>
        <v>667981.4155976983</v>
      </c>
      <c r="AH58" s="250">
        <f>+'MODENA CORREDIZA'!$M$30</f>
        <v>49380.189692006272</v>
      </c>
    </row>
    <row r="59" spans="1:34" ht="16.5" thickBot="1">
      <c r="A59" s="68">
        <v>2.4</v>
      </c>
      <c r="B59" s="69">
        <v>1.2</v>
      </c>
      <c r="C59" s="59">
        <f>((((A59*2)+(B59*2))*'MATERIALES (2)'!$C$60)+(((A59*2)+(B59*2))*'MATERIALES (2)'!$C$59)+(((A59*2)+(B59*2))*'MATERIALES (2)'!$C$76))*'MATERIALES (2)'!$F$2</f>
        <v>143545.49999999997</v>
      </c>
      <c r="D59" s="59">
        <f>((((A59*2)+(B59*2))*'MATERIALES (2)'!$C$60)+(((A59*2)+(B59*4))*'MATERIALES (2)'!$C$59)+(((A59*2)+(B59*4))*'MATERIALES (2)'!$C$76)+(B59*'MATERIALES (2)'!$C$80))*'MATERIALES (2)'!$F$2</f>
        <v>182412.15299999996</v>
      </c>
      <c r="E59" s="59">
        <f>((((A59*2)+(B59*2))*'MATERIALES (2)'!$C$60)+(((A59*2)+(B59*6))*'MATERIALES (2)'!$C$59)+(((A59*2)+(B59*6))*'MATERIALES (2)'!$C$76)+((B59*2)*'MATERIALES (2)'!$C$80))*'MATERIALES (2)'!$F$2</f>
        <v>221278.80600000001</v>
      </c>
      <c r="F59" s="59">
        <f>(8*'MATERIALES (2)'!$C$178)+(1*'MATERIALES (2)'!$C$183)+(2*'MATERIALES (2)'!$C$195)+(((A59*2)+(B59*2))*'MATERIALES (2)'!$C$198)+(4*'MATERIALES (2)'!$C$137)+(((A59*5)*2)*'MATERIALES (2)'!$C$136)+(((A59*2)+(B59*2))*'MATERIALES (2)'!$C$199)+((((A59*2)+(B59*2))/0.1)*'MATERIALES (2)'!$C$181)+(((A59*2)+(B59*2))*'MATERIALES (2)'!$C$154)+(2*'MATERIALES (2)'!$C$176)+(0.5*'MATERIALES (2)'!$C$156)</f>
        <v>37042</v>
      </c>
      <c r="G59" s="59">
        <f>(12*'MATERIALES (2)'!$C$178)+(1*'MATERIALES (2)'!$C$183)+(4*'MATERIALES (2)'!$C$195)+(((A59*2)+(B59*4))*'MATERIALES (2)'!$C$198)+(4*'MATERIALES (2)'!$C$137)+(((A59*5)*2)*'MATERIALES (2)'!$C$136)+(((A59*2)+(B59*2))*'MATERIALES (2)'!$C$199)+((((A59*2)+(B59*4))/0.1)*'MATERIALES (2)'!$C$181)+(((A59*2)+(B59*4))*'MATERIALES (2)'!$C$154)+(2*'MATERIALES (2)'!$C$176)+(0.5*'MATERIALES (2)'!$C$156)</f>
        <v>47762</v>
      </c>
      <c r="H59" s="59">
        <f>(16*'MATERIALES (2)'!$C$178)+(1*'MATERIALES (2)'!$C$183)+(4*'MATERIALES (2)'!$C$195)+(2*'MATERIALES (2)'!$C$197)+(((A59*2)+(B59*6))*'MATERIALES (2)'!$C$198)+(4*'MATERIALES (2)'!$C$137)+(((A59*5)*2)*'MATERIALES (2)'!$C$136)+(((A59*2)+(B59*2))*'MATERIALES (2)'!$C$199)+((((A59*2)+(B59*6))/0.1)*'MATERIALES (2)'!$C$181)+(((A59*2)+(B59*6))*'MATERIALES (2)'!$C$154)+(2*'MATERIALES (2)'!$C$176)+(0.5*'MATERIALES (2)'!$C$156)</f>
        <v>59702</v>
      </c>
      <c r="I59" s="75"/>
      <c r="J59" s="55">
        <f>(A59*B59)*'MATERIALES (2)'!$D$85</f>
        <v>21312</v>
      </c>
      <c r="K59" s="55">
        <f>(A59*B59)*'MATERIALES (2)'!$D$85</f>
        <v>21312</v>
      </c>
      <c r="L59" s="55">
        <f>(A59*B59)*'MATERIALES (2)'!$D$85</f>
        <v>21312</v>
      </c>
      <c r="M59" s="55">
        <f>(((A59*B59)*2)*'MATERIALES (2)'!$D$86)+(4*'MATERIALES (2)'!$C$218)+(((A59*2)+(B59*2))*'MATERIALES (2)'!$C$219)+(((A59*2)+(B59*2))*'MATERIALES (2)'!$C$220)+((((A59*2)+(B59*2))/15)*'MATERIALES (2)'!$C$221)+((((A59*2)+(B59*2))/15)*('MATERIALES (2)'!$C$222*0.15))</f>
        <v>63142.299999999996</v>
      </c>
      <c r="N59" s="55">
        <f>(((A59*B59)*2)*'MATERIALES (2)'!$D$86)+(8*'MATERIALES (2)'!$C$218)+(((A59*2)+(B59*4))*'MATERIALES (2)'!$C$219)+(((A59*2)+(B59*4))*'MATERIALES (2)'!$C$220)+((((A59*2)+(B59*4))/15)*'MATERIALES (2)'!$C$221)+((((A59*2)+(B59*4))/15)*('MATERIALES (2)'!$C$222*0.15))</f>
        <v>67362</v>
      </c>
      <c r="O59" s="55">
        <f>(((A59*B59)*2)*'MATERIALES (2)'!$D$86)+(12*'MATERIALES (2)'!$C$218)+(((A59*2)+(B59*6))*'MATERIALES (2)'!$C$219)+(((A59*2)+(B59*6))*'MATERIALES (2)'!$C$220)+((((A59*2)+(B59*6))/15)*'MATERIALES (2)'!$C$221)+((((A59*2)+(B59*6))/15)*('MATERIALES (2)'!$C$222*0.15))</f>
        <v>71581.7</v>
      </c>
      <c r="P59" s="55">
        <f>(A59*B59)*'MATERIALES (2)'!$D$92</f>
        <v>104112</v>
      </c>
      <c r="Q59" s="55">
        <f>(A59*B59)*'MATERIALES (2)'!$D$92</f>
        <v>104112</v>
      </c>
      <c r="R59" s="55">
        <f>(A59*B59)*'MATERIALES (2)'!$D$92</f>
        <v>104112</v>
      </c>
      <c r="S59" s="125">
        <f t="shared" si="0"/>
        <v>382087.60517812509</v>
      </c>
      <c r="T59" s="125">
        <f t="shared" si="1"/>
        <v>471389.88211536367</v>
      </c>
      <c r="U59" s="125">
        <f t="shared" si="2"/>
        <v>562889.2982276025</v>
      </c>
      <c r="V59" s="125">
        <f t="shared" si="3"/>
        <v>493692.93709312496</v>
      </c>
      <c r="W59" s="125">
        <f t="shared" si="4"/>
        <v>594253.58461536374</v>
      </c>
      <c r="X59" s="125">
        <f t="shared" si="5"/>
        <v>697011.37131260254</v>
      </c>
      <c r="Y59" s="125">
        <f t="shared" si="6"/>
        <v>603002.14517812489</v>
      </c>
      <c r="Z59" s="125">
        <f t="shared" si="7"/>
        <v>692304.42211536376</v>
      </c>
      <c r="AA59" s="67">
        <f t="shared" si="8"/>
        <v>783803.83822760254</v>
      </c>
      <c r="AD59" s="250" t="s">
        <v>576</v>
      </c>
      <c r="AE59" s="246">
        <f t="shared" si="11"/>
        <v>523017.12526197761</v>
      </c>
      <c r="AF59" s="247">
        <f t="shared" si="9"/>
        <v>640414.70479197754</v>
      </c>
      <c r="AG59" s="250">
        <f t="shared" si="10"/>
        <v>707112.57526197762</v>
      </c>
      <c r="AH59" s="250">
        <f>+'MODENA CORREDIZA'!$M$31</f>
        <v>53852.925720824918</v>
      </c>
    </row>
    <row r="60" spans="1:34" ht="16.5" thickBot="1">
      <c r="A60" s="68">
        <v>2.4</v>
      </c>
      <c r="B60" s="69">
        <v>1.5</v>
      </c>
      <c r="C60" s="59">
        <f>((((A60*2)+(B60*2))*'MATERIALES (2)'!$C$60)+(((A60*2)+(B60*2))*'MATERIALES (2)'!$C$59)+(((A60*2)+(B60*2))*'MATERIALES (2)'!$C$76))*'MATERIALES (2)'!$F$2</f>
        <v>155507.62499999997</v>
      </c>
      <c r="D60" s="59">
        <f>((((A60*2)+(B60*2))*'MATERIALES (2)'!$C$60)+(((A60*2)+(B60*4))*'MATERIALES (2)'!$C$59)+(((A60*2)+(B60*4))*'MATERIALES (2)'!$C$76)+(B60*'MATERIALES (2)'!$C$80))*'MATERIALES (2)'!$F$2</f>
        <v>204090.94125</v>
      </c>
      <c r="E60" s="59">
        <f>((((A60*2)+(B60*2))*'MATERIALES (2)'!$C$60)+(((A60*2)+(B60*6))*'MATERIALES (2)'!$C$59)+(((A60*2)+(B60*6))*'MATERIALES (2)'!$C$76)+((B60*2)*'MATERIALES (2)'!$C$80))*'MATERIALES (2)'!$F$2</f>
        <v>252674.25749999995</v>
      </c>
      <c r="F60" s="59">
        <f>(8*'MATERIALES (2)'!$C$178)+(1*'MATERIALES (2)'!$C$183)+(2*'MATERIALES (2)'!$C$195)+(((A60*2)+(B60*2))*'MATERIALES (2)'!$C$198)+(4*'MATERIALES (2)'!$C$137)+(((A60*5)*2)*'MATERIALES (2)'!$C$136)+(((A60*2)+(B60*2))*'MATERIALES (2)'!$C$199)+((((A60*2)+(B60*2))/0.1)*'MATERIALES (2)'!$C$181)+(((A60*2)+(B60*2))*'MATERIALES (2)'!$C$154)+(2*'MATERIALES (2)'!$C$176)+(0.5*'MATERIALES (2)'!$C$156)</f>
        <v>37738</v>
      </c>
      <c r="G60" s="59">
        <f>(12*'MATERIALES (2)'!$C$178)+(1*'MATERIALES (2)'!$C$183)+(4*'MATERIALES (2)'!$C$195)+(((A60*2)+(B60*4))*'MATERIALES (2)'!$C$198)+(4*'MATERIALES (2)'!$C$137)+(((A60*5)*2)*'MATERIALES (2)'!$C$136)+(((A60*2)+(B60*2))*'MATERIALES (2)'!$C$199)+((((A60*2)+(B60*4))/0.1)*'MATERIALES (2)'!$C$181)+(((A60*2)+(B60*4))*'MATERIALES (2)'!$C$154)+(2*'MATERIALES (2)'!$C$176)+(0.5*'MATERIALES (2)'!$C$156)</f>
        <v>48938</v>
      </c>
      <c r="H60" s="59">
        <f>(16*'MATERIALES (2)'!$C$178)+(1*'MATERIALES (2)'!$C$183)+(4*'MATERIALES (2)'!$C$195)+(2*'MATERIALES (2)'!$C$197)+(((A60*2)+(B60*6))*'MATERIALES (2)'!$C$198)+(4*'MATERIALES (2)'!$C$137)+(((A60*5)*2)*'MATERIALES (2)'!$C$136)+(((A60*2)+(B60*2))*'MATERIALES (2)'!$C$199)+((((A60*2)+(B60*6))/0.1)*'MATERIALES (2)'!$C$181)+(((A60*2)+(B60*6))*'MATERIALES (2)'!$C$154)+(2*'MATERIALES (2)'!$C$176)+(0.5*'MATERIALES (2)'!$C$156)</f>
        <v>61358</v>
      </c>
      <c r="I60" s="75"/>
      <c r="J60" s="55">
        <f>(A60*B60)*'MATERIALES (2)'!$D$85</f>
        <v>26639.999999999996</v>
      </c>
      <c r="K60" s="55">
        <f>(A60*B60)*'MATERIALES (2)'!$D$85</f>
        <v>26639.999999999996</v>
      </c>
      <c r="L60" s="55">
        <f>(A60*B60)*'MATERIALES (2)'!$D$85</f>
        <v>26639.999999999996</v>
      </c>
      <c r="M60" s="55">
        <f>(((A60*B60)*2)*'MATERIALES (2)'!$D$86)+(4*'MATERIALES (2)'!$C$218)+(((A60*2)+(B60*2))*'MATERIALES (2)'!$C$219)+(((A60*2)+(B60*2))*'MATERIALES (2)'!$C$220)+((((A60*2)+(B60*2))/15)*'MATERIALES (2)'!$C$221)+((((A60*2)+(B60*2))/15)*('MATERIALES (2)'!$C$222*0.15))</f>
        <v>76858.024999999994</v>
      </c>
      <c r="N60" s="55">
        <f>(((A60*B60)*2)*'MATERIALES (2)'!$D$86)+(8*'MATERIALES (2)'!$C$218)+(((A60*2)+(B60*4))*'MATERIALES (2)'!$C$219)+(((A60*2)+(B60*4))*'MATERIALES (2)'!$C$220)+((((A60*2)+(B60*4))/15)*'MATERIALES (2)'!$C$221)+((((A60*2)+(B60*4))/15)*('MATERIALES (2)'!$C$222*0.15))</f>
        <v>82092.649999999994</v>
      </c>
      <c r="O60" s="55">
        <f>(((A60*B60)*2)*'MATERIALES (2)'!$D$86)+(12*'MATERIALES (2)'!$C$218)+(((A60*2)+(B60*6))*'MATERIALES (2)'!$C$219)+(((A60*2)+(B60*6))*'MATERIALES (2)'!$C$220)+((((A60*2)+(B60*6))/15)*'MATERIALES (2)'!$C$221)+((((A60*2)+(B60*6))/15)*('MATERIALES (2)'!$C$222*0.15))</f>
        <v>87327.274999999994</v>
      </c>
      <c r="P60" s="55">
        <f>(A60*B60)*'MATERIALES (2)'!$D$92</f>
        <v>130139.99999999999</v>
      </c>
      <c r="Q60" s="55">
        <f>(A60*B60)*'MATERIALES (2)'!$D$92</f>
        <v>130139.99999999999</v>
      </c>
      <c r="R60" s="55"/>
      <c r="S60" s="125">
        <f t="shared" si="0"/>
        <v>419099.42010234372</v>
      </c>
      <c r="T60" s="125">
        <f t="shared" si="1"/>
        <v>526765.21202389221</v>
      </c>
      <c r="U60" s="125">
        <f t="shared" si="2"/>
        <v>636628.14312044054</v>
      </c>
      <c r="V60" s="125">
        <f t="shared" si="3"/>
        <v>553083.62170359376</v>
      </c>
      <c r="W60" s="125">
        <f t="shared" si="4"/>
        <v>674715.65485639218</v>
      </c>
      <c r="X60" s="125">
        <f t="shared" si="5"/>
        <v>798544.82718419062</v>
      </c>
      <c r="Y60" s="125">
        <f t="shared" si="6"/>
        <v>695242.59510234371</v>
      </c>
      <c r="Z60" s="125">
        <f t="shared" si="7"/>
        <v>802908.38702389214</v>
      </c>
      <c r="AA60" s="67">
        <f t="shared" si="8"/>
        <v>565551.29112044058</v>
      </c>
      <c r="AD60" s="250" t="s">
        <v>577</v>
      </c>
      <c r="AE60" s="246">
        <f t="shared" si="11"/>
        <v>594386.74175481556</v>
      </c>
      <c r="AF60" s="247">
        <f t="shared" si="9"/>
        <v>736300.43242356565</v>
      </c>
      <c r="AG60" s="250">
        <f t="shared" si="10"/>
        <v>824506.05425481556</v>
      </c>
      <c r="AH60" s="250">
        <f>+'MODENA CORREDIZA'!$M$32</f>
        <v>67271.133807281207</v>
      </c>
    </row>
    <row r="61" spans="1:34" ht="16.5" thickBot="1">
      <c r="A61" s="71">
        <v>2.4</v>
      </c>
      <c r="B61" s="72">
        <v>1.8</v>
      </c>
      <c r="C61" s="60">
        <f>((((A61*2)+(B61*2))*'MATERIALES (2)'!$C$60)+(((A61*2)+(B61*2))*'MATERIALES (2)'!$C$59)+(((A61*2)+(B61*2))*'MATERIALES (2)'!$C$76))*'MATERIALES (2)'!$F$2</f>
        <v>167469.75</v>
      </c>
      <c r="D61" s="60">
        <f>((((A61*2)+(B61*2))*'MATERIALES (2)'!$C$60)+(((A61*2)+(B61*4))*'MATERIALES (2)'!$C$59)+(((A61*2)+(B61*4))*'MATERIALES (2)'!$C$76)+(B61*'MATERIALES (2)'!$C$80))*'MATERIALES (2)'!$F$2</f>
        <v>225769.72949999999</v>
      </c>
      <c r="E61" s="60">
        <f>((((A61*2)+(B61*2))*'MATERIALES (2)'!$C$60)+(((A61*2)+(B61*6))*'MATERIALES (2)'!$C$59)+(((A61*2)+(B61*6))*'MATERIALES (2)'!$C$76)+((B61*2)*'MATERIALES (2)'!$C$80))*'MATERIALES (2)'!$F$2</f>
        <v>284069.70899999997</v>
      </c>
      <c r="F61" s="60">
        <f>(8*'MATERIALES (2)'!$C$178)+(1*'MATERIALES (2)'!$C$183)+(2*'MATERIALES (2)'!$C$195)+(((A61*2)+(B61*2))*'MATERIALES (2)'!$C$198)+(4*'MATERIALES (2)'!$C$137)+(((A61*5)*2)*'MATERIALES (2)'!$C$136)+(((A61*2)+(B61*2))*'MATERIALES (2)'!$C$199)+((((A61*2)+(B61*2))/0.1)*'MATERIALES (2)'!$C$181)+(((A61*2)+(B61*2))*'MATERIALES (2)'!$C$154)+(2*'MATERIALES (2)'!$C$176)+(0.5*'MATERIALES (2)'!$C$156)</f>
        <v>38434</v>
      </c>
      <c r="G61" s="60">
        <f>(12*'MATERIALES (2)'!$C$178)+(1*'MATERIALES (2)'!$C$183)+(4*'MATERIALES (2)'!$C$195)+(((A61*2)+(B61*4))*'MATERIALES (2)'!$C$198)+(4*'MATERIALES (2)'!$C$137)+(((A61*5)*2)*'MATERIALES (2)'!$C$136)+(((A61*2)+(B61*2))*'MATERIALES (2)'!$C$199)+((((A61*2)+(B61*4))/0.1)*'MATERIALES (2)'!$C$181)+(((A61*2)+(B61*4))*'MATERIALES (2)'!$C$154)+(2*'MATERIALES (2)'!$C$176)+(0.5*'MATERIALES (2)'!$C$156)</f>
        <v>50114</v>
      </c>
      <c r="H61" s="60">
        <f>(16*'MATERIALES (2)'!$C$178)+(1*'MATERIALES (2)'!$C$183)+(4*'MATERIALES (2)'!$C$195)+(2*'MATERIALES (2)'!$C$197)+(((A61*2)+(B61*6))*'MATERIALES (2)'!$C$198)+(4*'MATERIALES (2)'!$C$137)+(((A61*5)*2)*'MATERIALES (2)'!$C$136)+(((A61*2)+(B61*2))*'MATERIALES (2)'!$C$199)+((((A61*2)+(B61*6))/0.1)*'MATERIALES (2)'!$C$181)+(((A61*2)+(B61*6))*'MATERIALES (2)'!$C$154)+(2*'MATERIALES (2)'!$C$176)+(0.5*'MATERIALES (2)'!$C$156)</f>
        <v>63014</v>
      </c>
      <c r="I61" s="76"/>
      <c r="J61" s="56">
        <f>(A61*B61)*'MATERIALES (2)'!$D$85</f>
        <v>31968.000000000004</v>
      </c>
      <c r="K61" s="56">
        <f>(A61*B61)*'MATERIALES (2)'!$D$85</f>
        <v>31968.000000000004</v>
      </c>
      <c r="L61" s="56"/>
      <c r="M61" s="56">
        <f>(((A61*B61)*2)*'MATERIALES (2)'!$D$86)+(4*'MATERIALES (2)'!$C$218)+(((A61*2)+(B61*2))*'MATERIALES (2)'!$C$219)+(((A61*2)+(B61*2))*'MATERIALES (2)'!$C$220)+((((A61*2)+(B61*2))/15)*'MATERIALES (2)'!$C$221)+((((A61*2)+(B61*2))/15)*('MATERIALES (2)'!$C$222*0.15))</f>
        <v>90573.75</v>
      </c>
      <c r="N61" s="56">
        <f>(((A61*B61)*2)*'MATERIALES (2)'!$D$86)+(8*'MATERIALES (2)'!$C$218)+(((A61*2)+(B61*4))*'MATERIALES (2)'!$C$219)+(((A61*2)+(B61*4))*'MATERIALES (2)'!$C$220)+((((A61*2)+(B61*4))/15)*'MATERIALES (2)'!$C$221)+((((A61*2)+(B61*4))/15)*('MATERIALES (2)'!$C$222*0.15))</f>
        <v>96823.3</v>
      </c>
      <c r="O61" s="56">
        <f>(((A61*B61)*2)*'MATERIALES (2)'!$D$86)+(12*'MATERIALES (2)'!$C$218)+(((A61*2)+(B61*6))*'MATERIALES (2)'!$C$219)+(((A61*2)+(B61*6))*'MATERIALES (2)'!$C$220)+((((A61*2)+(B61*6))/15)*'MATERIALES (2)'!$C$221)+((((A61*2)+(B61*6))/15)*('MATERIALES (2)'!$C$222*0.15))</f>
        <v>103072.85</v>
      </c>
      <c r="P61" s="56">
        <f>(A61*B61)*'MATERIALES (2)'!$D$92</f>
        <v>156168</v>
      </c>
      <c r="Q61" s="56">
        <f>(A61*B61)*'MATERIALES (2)'!$D$92</f>
        <v>156168</v>
      </c>
      <c r="R61" s="56"/>
      <c r="S61" s="125">
        <f t="shared" si="0"/>
        <v>456111.23502656253</v>
      </c>
      <c r="T61" s="125">
        <f t="shared" si="1"/>
        <v>582140.54193242069</v>
      </c>
      <c r="U61" s="125">
        <f t="shared" si="2"/>
        <v>625074.76561327884</v>
      </c>
      <c r="V61" s="125">
        <f t="shared" si="3"/>
        <v>612474.30631406256</v>
      </c>
      <c r="W61" s="125">
        <f t="shared" si="4"/>
        <v>755177.72509742074</v>
      </c>
      <c r="X61" s="125">
        <f t="shared" si="5"/>
        <v>900078.28305577883</v>
      </c>
      <c r="Y61" s="125">
        <f t="shared" si="6"/>
        <v>787483.04502656253</v>
      </c>
      <c r="Z61" s="125">
        <f t="shared" si="7"/>
        <v>913512.35193242063</v>
      </c>
      <c r="AA61" s="67">
        <f t="shared" si="8"/>
        <v>625074.76561327884</v>
      </c>
      <c r="AD61" s="441" t="s">
        <v>578</v>
      </c>
      <c r="AE61" s="246">
        <f t="shared" si="11"/>
        <v>665756.35824765393</v>
      </c>
      <c r="AF61" s="247">
        <f t="shared" si="9"/>
        <v>832186.16005515389</v>
      </c>
      <c r="AG61" s="250">
        <f t="shared" si="10"/>
        <v>941899.53324765386</v>
      </c>
      <c r="AH61" s="250">
        <f>+'MODENA CORREDIZA'!$M$33</f>
        <v>80689.341893737554</v>
      </c>
    </row>
  </sheetData>
  <mergeCells count="12">
    <mergeCell ref="AJ5:AJ17"/>
    <mergeCell ref="AD5:AH6"/>
    <mergeCell ref="C4:I4"/>
    <mergeCell ref="P4:Q4"/>
    <mergeCell ref="J6:L6"/>
    <mergeCell ref="M6:O6"/>
    <mergeCell ref="J4:O4"/>
    <mergeCell ref="P6:R6"/>
    <mergeCell ref="S6:U6"/>
    <mergeCell ref="V6:X6"/>
    <mergeCell ref="Y6:AA6"/>
    <mergeCell ref="A5:AA5"/>
  </mergeCells>
  <pageMargins left="1.3385826771653544" right="0.70866141732283472" top="0.28000000000000003" bottom="0.39" header="0.31496062992125984" footer="0.31496062992125984"/>
  <pageSetup scale="70" orientation="portrait" r:id="rId1"/>
  <tableParts count="3">
    <tablePart r:id="rId2"/>
    <tablePart r:id="rId3"/>
    <tablePart r:id="rId4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2"/>
  <sheetViews>
    <sheetView topLeftCell="N35" zoomScale="90" zoomScaleNormal="90" workbookViewId="0">
      <selection activeCell="R42" sqref="R41:R42"/>
    </sheetView>
  </sheetViews>
  <sheetFormatPr baseColWidth="10" defaultColWidth="18.140625" defaultRowHeight="15"/>
  <cols>
    <col min="1" max="1" width="7" hidden="1" customWidth="1"/>
    <col min="2" max="2" width="4.7109375" hidden="1" customWidth="1"/>
    <col min="3" max="4" width="12.140625" hidden="1" customWidth="1"/>
    <col min="5" max="5" width="8.140625" hidden="1" customWidth="1"/>
    <col min="6" max="6" width="11.140625" hidden="1" customWidth="1"/>
    <col min="7" max="8" width="12.140625" hidden="1" customWidth="1"/>
    <col min="9" max="11" width="13.28515625" hidden="1" customWidth="1"/>
    <col min="12" max="12" width="19.28515625" hidden="1" customWidth="1"/>
    <col min="13" max="13" width="0" hidden="1" customWidth="1"/>
    <col min="14" max="14" width="16.140625" bestFit="1" customWidth="1"/>
    <col min="15" max="15" width="17.7109375" customWidth="1"/>
    <col min="16" max="17" width="17.85546875" customWidth="1"/>
    <col min="18" max="18" width="22.42578125" bestFit="1" customWidth="1"/>
    <col min="20" max="20" width="15.7109375" customWidth="1"/>
  </cols>
  <sheetData>
    <row r="1" spans="1:13" ht="15.75" hidden="1" thickBot="1"/>
    <row r="2" spans="1:13" ht="15.75" hidden="1" thickBot="1">
      <c r="C2" s="965">
        <v>1.35</v>
      </c>
      <c r="D2" s="966"/>
      <c r="E2" s="967"/>
      <c r="F2" s="965">
        <v>2</v>
      </c>
      <c r="G2" s="966"/>
      <c r="H2" s="548">
        <v>1.5</v>
      </c>
      <c r="K2" s="62" t="s">
        <v>163</v>
      </c>
    </row>
    <row r="3" spans="1:13" ht="15.75" hidden="1" thickBot="1">
      <c r="A3" s="792" t="s">
        <v>377</v>
      </c>
      <c r="B3" s="793"/>
      <c r="C3" s="793"/>
      <c r="D3" s="793"/>
      <c r="E3" s="793"/>
      <c r="F3" s="793"/>
      <c r="G3" s="793"/>
      <c r="H3" s="793"/>
      <c r="I3" s="793"/>
      <c r="J3" s="793"/>
      <c r="K3" s="794"/>
    </row>
    <row r="4" spans="1:13" s="32" customFormat="1" ht="15.75" hidden="1" thickBot="1">
      <c r="A4" s="116" t="s">
        <v>116</v>
      </c>
      <c r="B4" s="116" t="s">
        <v>117</v>
      </c>
      <c r="C4" s="116" t="s">
        <v>162</v>
      </c>
      <c r="D4" s="116" t="s">
        <v>376</v>
      </c>
      <c r="E4" s="116" t="s">
        <v>120</v>
      </c>
      <c r="F4" s="225" t="s">
        <v>520</v>
      </c>
      <c r="G4" s="189" t="s">
        <v>260</v>
      </c>
      <c r="H4" s="188" t="s">
        <v>259</v>
      </c>
      <c r="I4" s="225" t="s">
        <v>521</v>
      </c>
      <c r="J4" s="188" t="s">
        <v>262</v>
      </c>
      <c r="K4" s="116" t="s">
        <v>263</v>
      </c>
    </row>
    <row r="5" spans="1:13" ht="15.75" hidden="1" thickBot="1">
      <c r="A5" s="795"/>
      <c r="B5" s="796"/>
      <c r="C5" s="796"/>
      <c r="D5" s="796"/>
      <c r="E5" s="796"/>
      <c r="F5" s="796"/>
      <c r="G5" s="796"/>
      <c r="H5" s="796"/>
      <c r="I5" s="796"/>
      <c r="J5" s="796"/>
      <c r="K5" s="797"/>
      <c r="L5" s="197"/>
      <c r="M5" s="4"/>
    </row>
    <row r="6" spans="1:13" ht="15.75" hidden="1" thickBot="1">
      <c r="A6" s="158"/>
      <c r="B6" s="159"/>
      <c r="C6" s="74">
        <f>((((A6*2)+(B6*2))*'MATERIALES (2)'!$C$60)+(((A6*2)+(B6*2))*'MATERIALES (2)'!$C$59)+(((A6*2)+(B6*2))*'MATERIALES (2)'!$C$76))*'MATERIALES (2)'!$F$2</f>
        <v>0</v>
      </c>
      <c r="D6" s="74">
        <f>(8*'MATERIALES (2)'!$C$178)+(1*'MATERIALES (2)'!$C$184)+(((A6*2)+(B6*2))*'MATERIALES (2)'!$C$198)+(4*'MATERIALES (2)'!$C$137)+(((A6*5)*2)*'MATERIALES (2)'!$C$136)+(((A6*2)+(B6*2))*'MATERIALES (2)'!$C$199)+((((A6*2)+(B6*2))/0.1)*'MATERIALES (2)'!$C$181)+(((A6*2)+(B6*2))*'MATERIALES (2)'!$C$154)+(2*'MATERIALES (2)'!$C$176)</f>
        <v>65690</v>
      </c>
      <c r="E6" s="74"/>
      <c r="F6" s="111">
        <f>(A6*B6)*'MATERIALES (2)'!$D$85</f>
        <v>0</v>
      </c>
      <c r="G6" s="111">
        <f>(((A6*B6)*2)*'MATERIALES (2)'!$D$86)+(4*'MATERIALES (2)'!$C$218)+(((A6*2)+(B6*2))*'MATERIALES (2)'!$C$219)+(((A6*2)+(B6*2))*'MATERIALES (2)'!$C$220)+((((A6*2)+(B6*2))/15)*'MATERIALES (2)'!$C$221)+((((A6*2)+(B6*2))/15)*('MATERIALES (2)'!$C$222*0.15))</f>
        <v>160</v>
      </c>
      <c r="H6" s="111">
        <f>(A6*B6)*'MATERIALES (2)'!$D$92</f>
        <v>0</v>
      </c>
      <c r="I6" s="175">
        <f>(((((C6+D6+E6)*$C$2)+(F6*$F$2))*1.21)*1.05)*1.05</f>
        <v>118303.3380375</v>
      </c>
      <c r="J6" s="175">
        <f>(((((C6+D6+E6)*$C$2)+(G6*$F$2))*1.21)*1.05)*1.05</f>
        <v>118730.2260375</v>
      </c>
      <c r="K6" s="160">
        <f>(((((C6+D6+E6)*$C$2)+(H6*$F$2))*1.21)*1.05)*1.05</f>
        <v>118303.3380375</v>
      </c>
      <c r="L6" s="977" t="s">
        <v>404</v>
      </c>
    </row>
    <row r="7" spans="1:13" ht="15.75" hidden="1" thickBot="1">
      <c r="A7" s="161"/>
      <c r="B7" s="162"/>
      <c r="C7" s="75">
        <f>((((A7*2)+(B7*2))*'MATERIALES (2)'!$C$60)+(((A7*2)+(B7*2))*'MATERIALES (2)'!$C$59)+(((A7*2)+(B7*2))*'MATERIALES (2)'!$C$76))*'MATERIALES (2)'!$F$2</f>
        <v>0</v>
      </c>
      <c r="D7" s="75">
        <f>(8*'MATERIALES (2)'!$C$178)+(1*'MATERIALES (2)'!$C$184)+(((A7*2)+(B7*2))*'MATERIALES (2)'!$C$198)+(4*'MATERIALES (2)'!$C$137)+(((A7*5)*2)*'MATERIALES (2)'!$C$136)+(((A7*2)+(B7*2))*'MATERIALES (2)'!$C$199)+((((A7*2)+(B7*2))/0.1)*'MATERIALES (2)'!$C$181)+(((A7*2)+(B7*2))*'MATERIALES (2)'!$C$154)+(2*'MATERIALES (2)'!$C$176)</f>
        <v>65690</v>
      </c>
      <c r="E7" s="75"/>
      <c r="F7" s="112">
        <f>(A7*B7)*'MATERIALES (2)'!$D$85</f>
        <v>0</v>
      </c>
      <c r="G7" s="112">
        <f>(((A7*B7)*2)*'MATERIALES (2)'!$D$86)+(4*'MATERIALES (2)'!$C$218)+(((A7*2)+(B7*2))*'MATERIALES (2)'!$C$219)+(((A7*2)+(B7*2))*'MATERIALES (2)'!$C$220)+((((A7*2)+(B7*2))/15)*'MATERIALES (2)'!$C$221)+((((A7*2)+(B7*2))/15)*('MATERIALES (2)'!$C$222*0.15))</f>
        <v>160</v>
      </c>
      <c r="H7" s="112">
        <f>(A7*B7)*'MATERIALES (2)'!$D$92</f>
        <v>0</v>
      </c>
      <c r="I7" s="175">
        <f t="shared" ref="I7:I28" si="0">(((((C7+D7+E7)*$C$2)+(F7*$F$2))*1.21)*1.05)*1.05</f>
        <v>118303.3380375</v>
      </c>
      <c r="J7" s="175">
        <f t="shared" ref="J7:J28" si="1">(((((C7+D7+E7)*$C$2)+(G7*$F$2))*1.21)*1.05)*1.05</f>
        <v>118730.2260375</v>
      </c>
      <c r="K7" s="160">
        <f t="shared" ref="K7:K28" si="2">(((((C7+D7+E7)*$C$2)+(H7*$F$2))*1.21)*1.05)*1.05</f>
        <v>118303.3380375</v>
      </c>
      <c r="L7" s="978"/>
    </row>
    <row r="8" spans="1:13" ht="15.75" hidden="1" thickBot="1">
      <c r="A8" s="161"/>
      <c r="B8" s="162"/>
      <c r="C8" s="75">
        <f>((((A8*2)+(B8*2))*'MATERIALES (2)'!$C$60)+(((A8*2)+(B8*2))*'MATERIALES (2)'!$C$59)+(((A8*2)+(B8*2))*'MATERIALES (2)'!$C$76))*'MATERIALES (2)'!$F$2</f>
        <v>0</v>
      </c>
      <c r="D8" s="75">
        <f>(8*'MATERIALES (2)'!$C$178)+(1*'MATERIALES (2)'!$C$184)+(((A8*2)+(B8*2))*'MATERIALES (2)'!$C$198)+(4*'MATERIALES (2)'!$C$137)+(((A8*5)*2)*'MATERIALES (2)'!$C$136)+(((A8*2)+(B8*2))*'MATERIALES (2)'!$C$199)+((((A8*2)+(B8*2))/0.1)*'MATERIALES (2)'!$C$181)+(((A8*2)+(B8*2))*'MATERIALES (2)'!$C$154)+(2*'MATERIALES (2)'!$C$176)</f>
        <v>65690</v>
      </c>
      <c r="E8" s="75"/>
      <c r="F8" s="112">
        <f>(A8*B8)*'MATERIALES (2)'!$D$85</f>
        <v>0</v>
      </c>
      <c r="G8" s="112">
        <f>(((A8*B8)*2)*'MATERIALES (2)'!$D$86)+(4*'MATERIALES (2)'!$C$218)+(((A8*2)+(B8*2))*'MATERIALES (2)'!$C$219)+(((A8*2)+(B8*2))*'MATERIALES (2)'!$C$220)+((((A8*2)+(B8*2))/15)*'MATERIALES (2)'!$C$221)+((((A8*2)+(B8*2))/15)*('MATERIALES (2)'!$C$222*0.15))</f>
        <v>160</v>
      </c>
      <c r="H8" s="112">
        <f>(A8*B8)*'MATERIALES (2)'!$D$92</f>
        <v>0</v>
      </c>
      <c r="I8" s="175">
        <f t="shared" si="0"/>
        <v>118303.3380375</v>
      </c>
      <c r="J8" s="175">
        <f t="shared" si="1"/>
        <v>118730.2260375</v>
      </c>
      <c r="K8" s="160">
        <f t="shared" si="2"/>
        <v>118303.3380375</v>
      </c>
      <c r="L8" s="978"/>
    </row>
    <row r="9" spans="1:13" ht="15.75" hidden="1" thickBot="1">
      <c r="A9" s="161"/>
      <c r="B9" s="162"/>
      <c r="C9" s="75">
        <f>((((A9*2)+(B9*2))*'MATERIALES (2)'!$C$60)+(((A9*2)+(B9*2))*'MATERIALES (2)'!$C$59)+(((A9*2)+(B9*2))*'MATERIALES (2)'!$C$76))*'MATERIALES (2)'!$F$2</f>
        <v>0</v>
      </c>
      <c r="D9" s="75">
        <f>(8*'MATERIALES (2)'!$C$178)+(1*'MATERIALES (2)'!$C$184)+(((A9*2)+(B9*2))*'MATERIALES (2)'!$C$198)+(4*'MATERIALES (2)'!$C$137)+(((A9*5)*2)*'MATERIALES (2)'!$C$136)+(((A9*2)+(B9*2))*'MATERIALES (2)'!$C$199)+((((A9*2)+(B9*2))/0.1)*'MATERIALES (2)'!$C$181)+(((A9*2)+(B9*2))*'MATERIALES (2)'!$C$154)+(2*'MATERIALES (2)'!$C$176)</f>
        <v>65690</v>
      </c>
      <c r="E9" s="75"/>
      <c r="F9" s="112">
        <f>(A9*B9)*'MATERIALES (2)'!$D$85</f>
        <v>0</v>
      </c>
      <c r="G9" s="112">
        <f>(((A9*B9)*2)*'MATERIALES (2)'!$D$86)+(4*'MATERIALES (2)'!$C$218)+(((A9*2)+(B9*2))*'MATERIALES (2)'!$C$219)+(((A9*2)+(B9*2))*'MATERIALES (2)'!$C$220)+((((A9*2)+(B9*2))/15)*'MATERIALES (2)'!$C$221)+((((A9*2)+(B9*2))/15)*('MATERIALES (2)'!$C$222*0.15))</f>
        <v>160</v>
      </c>
      <c r="H9" s="112">
        <f>(A9*B9)*'MATERIALES (2)'!$D$92</f>
        <v>0</v>
      </c>
      <c r="I9" s="175">
        <f t="shared" si="0"/>
        <v>118303.3380375</v>
      </c>
      <c r="J9" s="175">
        <f t="shared" si="1"/>
        <v>118730.2260375</v>
      </c>
      <c r="K9" s="160">
        <f t="shared" si="2"/>
        <v>118303.3380375</v>
      </c>
      <c r="L9" s="978"/>
    </row>
    <row r="10" spans="1:13" ht="15.75" hidden="1" thickBot="1">
      <c r="A10" s="161"/>
      <c r="B10" s="162"/>
      <c r="C10" s="75">
        <f>((((A10*2)+(B10*2))*'MATERIALES (2)'!$C$60)+(((A10*2)+(B10*2))*'MATERIALES (2)'!$C$59)+(((A10*2)+(B10*2))*'MATERIALES (2)'!$C$76))*'MATERIALES (2)'!$F$2</f>
        <v>0</v>
      </c>
      <c r="D10" s="75">
        <f>(8*'MATERIALES (2)'!$C$178)+(1*'MATERIALES (2)'!$C$184)+(((A10*2)+(B10*2))*'MATERIALES (2)'!$C$198)+(4*'MATERIALES (2)'!$C$137)+(((A10*5)*2)*'MATERIALES (2)'!$C$136)+(((A10*2)+(B10*2))*'MATERIALES (2)'!$C$199)+((((A10*2)+(B10*2))/0.1)*'MATERIALES (2)'!$C$181)+(((A10*2)+(B10*2))*'MATERIALES (2)'!$C$154)+(2*'MATERIALES (2)'!$C$176)</f>
        <v>65690</v>
      </c>
      <c r="E10" s="75"/>
      <c r="F10" s="112">
        <f>(A10*B10)*'MATERIALES (2)'!$D$85</f>
        <v>0</v>
      </c>
      <c r="G10" s="112">
        <f>(((A10*B10)*2)*'MATERIALES (2)'!$D$86)+(4*'MATERIALES (2)'!$C$218)+(((A10*2)+(B10*2))*'MATERIALES (2)'!$C$219)+(((A10*2)+(B10*2))*'MATERIALES (2)'!$C$220)+((((A10*2)+(B10*2))/15)*'MATERIALES (2)'!$C$221)+((((A10*2)+(B10*2))/15)*('MATERIALES (2)'!$C$222*0.15))</f>
        <v>160</v>
      </c>
      <c r="H10" s="112">
        <f>(A10*B10)*'MATERIALES (2)'!$D$92</f>
        <v>0</v>
      </c>
      <c r="I10" s="175">
        <f t="shared" si="0"/>
        <v>118303.3380375</v>
      </c>
      <c r="J10" s="175">
        <f t="shared" si="1"/>
        <v>118730.2260375</v>
      </c>
      <c r="K10" s="160">
        <f t="shared" si="2"/>
        <v>118303.3380375</v>
      </c>
      <c r="L10" s="978"/>
    </row>
    <row r="11" spans="1:13" ht="15.75" hidden="1" thickBot="1">
      <c r="A11" s="161"/>
      <c r="B11" s="162"/>
      <c r="C11" s="75">
        <f>((((A11*2)+(B11*2))*'MATERIALES (2)'!$C$60)+(((A11*2)+(B11*2))*'MATERIALES (2)'!$C$59)+(((A11*2)+(B11*2))*'MATERIALES (2)'!$C$76))*'MATERIALES (2)'!$F$2</f>
        <v>0</v>
      </c>
      <c r="D11" s="75">
        <f>(8*'MATERIALES (2)'!$C$178)+(1*'MATERIALES (2)'!$C$184)+(((A11*2)+(B11*2))*'MATERIALES (2)'!$C$198)+(4*'MATERIALES (2)'!$C$137)+(((A11*5)*2)*'MATERIALES (2)'!$C$136)+(((A11*2)+(B11*2))*'MATERIALES (2)'!$C$199)+((((A11*2)+(B11*2))/0.1)*'MATERIALES (2)'!$C$181)+(((A11*2)+(B11*2))*'MATERIALES (2)'!$C$154)+(2*'MATERIALES (2)'!$C$176)</f>
        <v>65690</v>
      </c>
      <c r="E11" s="75"/>
      <c r="F11" s="112">
        <f>(A11*B11)*'MATERIALES (2)'!$D$85</f>
        <v>0</v>
      </c>
      <c r="G11" s="112">
        <f>(((A11*B11)*2)*'MATERIALES (2)'!$D$86)+(4*'MATERIALES (2)'!$C$218)+(((A11*2)+(B11*2))*'MATERIALES (2)'!$C$219)+(((A11*2)+(B11*2))*'MATERIALES (2)'!$C$220)+((((A11*2)+(B11*2))/15)*'MATERIALES (2)'!$C$221)+((((A11*2)+(B11*2))/15)*('MATERIALES (2)'!$C$222*0.15))</f>
        <v>160</v>
      </c>
      <c r="H11" s="112">
        <f>(A11*B11)*'MATERIALES (2)'!$D$92</f>
        <v>0</v>
      </c>
      <c r="I11" s="175">
        <f t="shared" si="0"/>
        <v>118303.3380375</v>
      </c>
      <c r="J11" s="175">
        <f t="shared" si="1"/>
        <v>118730.2260375</v>
      </c>
      <c r="K11" s="160">
        <f t="shared" si="2"/>
        <v>118303.3380375</v>
      </c>
      <c r="L11" s="978"/>
    </row>
    <row r="12" spans="1:13" ht="15.75" hidden="1" thickBot="1">
      <c r="A12" s="161"/>
      <c r="B12" s="162"/>
      <c r="C12" s="75">
        <f>((((A12*2)+(B12*2))*'MATERIALES (2)'!$C$60)+(((A12*2)+(B12*2))*'MATERIALES (2)'!$C$59)+(((A12*2)+(B12*2))*'MATERIALES (2)'!$C$76))*'MATERIALES (2)'!$F$2</f>
        <v>0</v>
      </c>
      <c r="D12" s="75">
        <f>(8*'MATERIALES (2)'!$C$178)+(1*'MATERIALES (2)'!$C$184)+(((A12*2)+(B12*2))*'MATERIALES (2)'!$C$198)+(4*'MATERIALES (2)'!$C$137)+(((A12*5)*2)*'MATERIALES (2)'!$C$136)+(((A12*2)+(B12*2))*'MATERIALES (2)'!$C$199)+((((A12*2)+(B12*2))/0.1)*'MATERIALES (2)'!$C$181)+(((A12*2)+(B12*2))*'MATERIALES (2)'!$C$154)+(2*'MATERIALES (2)'!$C$176)</f>
        <v>65690</v>
      </c>
      <c r="E12" s="75"/>
      <c r="F12" s="112">
        <f>(A12*B12)*'MATERIALES (2)'!$D$85</f>
        <v>0</v>
      </c>
      <c r="G12" s="112">
        <f>(((A12*B12)*2)*'MATERIALES (2)'!$D$86)+(4*'MATERIALES (2)'!$C$218)+(((A12*2)+(B12*2))*'MATERIALES (2)'!$C$219)+(((A12*2)+(B12*2))*'MATERIALES (2)'!$C$220)+((((A12*2)+(B12*2))/15)*'MATERIALES (2)'!$C$221)+((((A12*2)+(B12*2))/15)*('MATERIALES (2)'!$C$222*0.15))</f>
        <v>160</v>
      </c>
      <c r="H12" s="112">
        <f>(A12*B12)*'MATERIALES (2)'!$D$92</f>
        <v>0</v>
      </c>
      <c r="I12" s="175">
        <f t="shared" si="0"/>
        <v>118303.3380375</v>
      </c>
      <c r="J12" s="175">
        <f t="shared" si="1"/>
        <v>118730.2260375</v>
      </c>
      <c r="K12" s="160">
        <f t="shared" si="2"/>
        <v>118303.3380375</v>
      </c>
      <c r="L12" s="978"/>
    </row>
    <row r="13" spans="1:13" ht="15.75" hidden="1" thickBot="1">
      <c r="A13" s="161">
        <v>0.4</v>
      </c>
      <c r="B13" s="162">
        <v>0.8</v>
      </c>
      <c r="C13" s="75">
        <f>((((A13*2)+(B13*2))*'MATERIALES (2)'!$C$60)+(((A13*2)+(B13*2))*'MATERIALES (2)'!$C$59)+(((A13*2)+(B13*2))*'MATERIALES (2)'!$C$76))*'MATERIALES (2)'!$F$2</f>
        <v>47848.500000000015</v>
      </c>
      <c r="D13" s="75">
        <f>(8*'MATERIALES (2)'!$C$178)+(1*'MATERIALES (2)'!$C$184)+(((A13*2)+(B13*2))*'MATERIALES (2)'!$C$198)+(4*'MATERIALES (2)'!$C$137)+(((A13*5)*2)*'MATERIALES (2)'!$C$136)+(((A13*2)+(B13*2))*'MATERIALES (2)'!$C$199)+((((A13*2)+(B13*2))/0.1)*'MATERIALES (2)'!$C$181)+(((A13*2)+(B13*2))*'MATERIALES (2)'!$C$154)+(2*'MATERIALES (2)'!$C$176)</f>
        <v>68474</v>
      </c>
      <c r="E13" s="75"/>
      <c r="F13" s="112">
        <f>(A13*B13)*'MATERIALES (2)'!$D$85</f>
        <v>2368.0000000000005</v>
      </c>
      <c r="G13" s="112">
        <f>(((A13*B13)*2)*'MATERIALES (2)'!$D$86)+(4*'MATERIALES (2)'!$C$218)+(((A13*2)+(B13*2))*'MATERIALES (2)'!$C$219)+(((A13*2)+(B13*2))*'MATERIALES (2)'!$C$220)+((((A13*2)+(B13*2))/15)*'MATERIALES (2)'!$C$221)+((((A13*2)+(B13*2))/15)*('MATERIALES (2)'!$C$222*0.15))</f>
        <v>9864.5000000000018</v>
      </c>
      <c r="H13" s="112">
        <f>(A13*B13)*'MATERIALES (2)'!$D$92</f>
        <v>11568.000000000002</v>
      </c>
      <c r="I13" s="175">
        <f t="shared" si="0"/>
        <v>215807.05853437504</v>
      </c>
      <c r="J13" s="175">
        <f t="shared" si="1"/>
        <v>235808.09535937503</v>
      </c>
      <c r="K13" s="160">
        <f t="shared" si="2"/>
        <v>240353.11853437504</v>
      </c>
      <c r="L13" s="978"/>
    </row>
    <row r="14" spans="1:13" ht="15.75" hidden="1" thickBot="1">
      <c r="A14" s="168">
        <v>0.4</v>
      </c>
      <c r="B14" s="169">
        <v>1</v>
      </c>
      <c r="C14" s="170">
        <f>((((A14*2)+(B14*2))*'MATERIALES (2)'!$C$60)+(((A14*2)+(B14*2))*'MATERIALES (2)'!$C$59)+(((A14*2)+(B14*2))*'MATERIALES (2)'!$C$76))*'MATERIALES (2)'!$F$2</f>
        <v>55823.250000000007</v>
      </c>
      <c r="D14" s="170">
        <f>(8*'MATERIALES (2)'!$C$178)+(1*'MATERIALES (2)'!$C$184)+(((A14*2)+(B14*2))*'MATERIALES (2)'!$C$198)+(4*'MATERIALES (2)'!$C$137)+(((A14*5)*2)*'MATERIALES (2)'!$C$136)+(((A14*2)+(B14*2))*'MATERIALES (2)'!$C$199)+((((A14*2)+(B14*2))/0.1)*'MATERIALES (2)'!$C$181)+(((A14*2)+(B14*2))*'MATERIALES (2)'!$C$154)+(2*'MATERIALES (2)'!$C$176)</f>
        <v>68938</v>
      </c>
      <c r="E14" s="170"/>
      <c r="F14" s="171">
        <f>(A14*B14)*'MATERIALES (2)'!$D$85</f>
        <v>2960</v>
      </c>
      <c r="G14" s="171">
        <f>(((A14*B14)*2)*'MATERIALES (2)'!$D$86)+(4*'MATERIALES (2)'!$C$218)+(((A14*2)+(B14*2))*'MATERIALES (2)'!$C$219)+(((A14*2)+(B14*2))*'MATERIALES (2)'!$C$220)+((((A14*2)+(B14*2))/15)*'MATERIALES (2)'!$C$221)+((((A14*2)+(B14*2))/15)*('MATERIALES (2)'!$C$222*0.15))</f>
        <v>11952.316666666666</v>
      </c>
      <c r="H14" s="171">
        <f>(A14*B14)*'MATERIALES (2)'!$D$92</f>
        <v>14460</v>
      </c>
      <c r="I14" s="771">
        <f t="shared" si="0"/>
        <v>232584.17381718752</v>
      </c>
      <c r="J14" s="771">
        <f t="shared" si="1"/>
        <v>256576.12429968751</v>
      </c>
      <c r="K14" s="772">
        <f t="shared" si="2"/>
        <v>263266.7488171875</v>
      </c>
      <c r="L14" s="979" t="s">
        <v>405</v>
      </c>
    </row>
    <row r="15" spans="1:13" ht="15.75" hidden="1" thickBot="1">
      <c r="A15" s="168">
        <v>0.4</v>
      </c>
      <c r="B15" s="169">
        <v>1.1000000000000001</v>
      </c>
      <c r="C15" s="170">
        <f>((((A15*2)+(B15*2))*'MATERIALES (2)'!$C$60)+(((A15*2)+(B15*2))*'MATERIALES (2)'!$C$59)+(((A15*2)+(B15*2))*'MATERIALES (2)'!$C$76))*'MATERIALES (2)'!$F$2</f>
        <v>59810.625</v>
      </c>
      <c r="D15" s="170">
        <f>(8*'MATERIALES (2)'!$C$178)+(1*'MATERIALES (2)'!$C$184)+(((A15*2)+(B15*2))*'MATERIALES (2)'!$C$198)+(4*'MATERIALES (2)'!$C$137)+(((A15*5)*2)*'MATERIALES (2)'!$C$136)+(((A15*2)+(B15*2))*'MATERIALES (2)'!$C$199)+((((A15*2)+(B15*2))/0.1)*'MATERIALES (2)'!$C$181)+(((A15*2)+(B15*2))*'MATERIALES (2)'!$C$154)+(2*'MATERIALES (2)'!$C$176)</f>
        <v>69170</v>
      </c>
      <c r="E15" s="170"/>
      <c r="F15" s="171">
        <f>(A15*B15)*'MATERIALES (2)'!$D$85</f>
        <v>3256.0000000000005</v>
      </c>
      <c r="G15" s="171">
        <f>(((A15*B15)*2)*'MATERIALES (2)'!$D$86)+(4*'MATERIALES (2)'!$C$218)+(((A15*2)+(B15*2))*'MATERIALES (2)'!$C$219)+(((A15*2)+(B15*2))*'MATERIALES (2)'!$C$220)+((((A15*2)+(B15*2))/15)*'MATERIALES (2)'!$C$221)+((((A15*2)+(B15*2))/15)*('MATERIALES (2)'!$C$222*0.15))</f>
        <v>12996.225000000002</v>
      </c>
      <c r="H15" s="171">
        <f>(A15*B15)*'MATERIALES (2)'!$D$92</f>
        <v>15906.000000000002</v>
      </c>
      <c r="I15" s="771">
        <f t="shared" si="0"/>
        <v>240972.73145859377</v>
      </c>
      <c r="J15" s="771">
        <f t="shared" si="1"/>
        <v>266960.13876984379</v>
      </c>
      <c r="K15" s="772">
        <f t="shared" si="2"/>
        <v>274723.56395859376</v>
      </c>
      <c r="L15" s="980"/>
    </row>
    <row r="16" spans="1:13" ht="15.75" hidden="1" thickBot="1">
      <c r="A16" s="168">
        <v>0.4</v>
      </c>
      <c r="B16" s="169">
        <v>1.2</v>
      </c>
      <c r="C16" s="170">
        <f>((((A16*2)+(B16*2))*'MATERIALES (2)'!$C$60)+(((A16*2)+(B16*2))*'MATERIALES (2)'!$C$59)+(((A16*2)+(B16*2))*'MATERIALES (2)'!$C$76))*'MATERIALES (2)'!$F$2</f>
        <v>63797.999999999993</v>
      </c>
      <c r="D16" s="170">
        <f>(8*'MATERIALES (2)'!$C$178)+(1*'MATERIALES (2)'!$C$184)+(((A16*2)+(B16*2))*'MATERIALES (2)'!$C$198)+(4*'MATERIALES (2)'!$C$137)+(((A16*5)*2)*'MATERIALES (2)'!$C$136)+(((A16*2)+(B16*2))*'MATERIALES (2)'!$C$199)+((((A16*2)+(B16*2))/0.1)*'MATERIALES (2)'!$C$181)+(((A16*2)+(B16*2))*'MATERIALES (2)'!$C$154)+(2*'MATERIALES (2)'!$C$176)</f>
        <v>69402</v>
      </c>
      <c r="E16" s="170"/>
      <c r="F16" s="171">
        <f>(A16*B16)*'MATERIALES (2)'!$D$85</f>
        <v>3552</v>
      </c>
      <c r="G16" s="171">
        <f>(((A16*B16)*2)*'MATERIALES (2)'!$D$86)+(4*'MATERIALES (2)'!$C$218)+(((A16*2)+(B16*2))*'MATERIALES (2)'!$C$219)+(((A16*2)+(B16*2))*'MATERIALES (2)'!$C$220)+((((A16*2)+(B16*2))/15)*'MATERIALES (2)'!$C$221)+((((A16*2)+(B16*2))/15)*('MATERIALES (2)'!$C$222*0.15))</f>
        <v>14040.133333333333</v>
      </c>
      <c r="H16" s="171">
        <f>(A16*B16)*'MATERIALES (2)'!$D$92</f>
        <v>17352</v>
      </c>
      <c r="I16" s="771">
        <f t="shared" si="0"/>
        <v>249361.28909999999</v>
      </c>
      <c r="J16" s="771">
        <f t="shared" si="1"/>
        <v>277344.15324000001</v>
      </c>
      <c r="K16" s="772">
        <f t="shared" si="2"/>
        <v>286180.37909999996</v>
      </c>
      <c r="L16" s="980"/>
    </row>
    <row r="17" spans="1:12" ht="15.75" hidden="1" thickBot="1">
      <c r="A17" s="168">
        <v>0.4</v>
      </c>
      <c r="B17" s="169">
        <v>1.5</v>
      </c>
      <c r="C17" s="170">
        <f>((((A17*2)+(B17*2))*'MATERIALES (2)'!$C$60)+(((A17*2)+(B17*2))*'MATERIALES (2)'!$C$59)+(((A17*2)+(B17*2))*'MATERIALES (2)'!$C$76))*'MATERIALES (2)'!$F$2</f>
        <v>75760.125</v>
      </c>
      <c r="D17" s="170">
        <f>(8*'MATERIALES (2)'!$C$178)+(1*'MATERIALES (2)'!$C$184)+(((A17*2)+(B17*2))*'MATERIALES (2)'!$C$198)+(4*'MATERIALES (2)'!$C$137)+(((A17*5)*2)*'MATERIALES (2)'!$C$136)+(((A17*2)+(B17*2))*'MATERIALES (2)'!$C$199)+((((A17*2)+(B17*2))/0.1)*'MATERIALES (2)'!$C$181)+(((A17*2)+(B17*2))*'MATERIALES (2)'!$C$154)+(2*'MATERIALES (2)'!$C$176)</f>
        <v>70098</v>
      </c>
      <c r="E17" s="170"/>
      <c r="F17" s="171">
        <f>(A17*B17)*'MATERIALES (2)'!$D$85</f>
        <v>4440.0000000000009</v>
      </c>
      <c r="G17" s="171">
        <f>(((A17*B17)*2)*'MATERIALES (2)'!$D$86)+(4*'MATERIALES (2)'!$C$218)+(((A17*2)+(B17*2))*'MATERIALES (2)'!$C$219)+(((A17*2)+(B17*2))*'MATERIALES (2)'!$C$220)+((((A17*2)+(B17*2))/15)*'MATERIALES (2)'!$C$221)+((((A17*2)+(B17*2))/15)*('MATERIALES (2)'!$C$222*0.15))</f>
        <v>17171.858333333337</v>
      </c>
      <c r="H17" s="171">
        <f>(A17*B17)*'MATERIALES (2)'!$D$92</f>
        <v>21690.000000000004</v>
      </c>
      <c r="I17" s="771">
        <f t="shared" si="0"/>
        <v>274526.96202421875</v>
      </c>
      <c r="J17" s="771">
        <f t="shared" si="1"/>
        <v>308496.1966504688</v>
      </c>
      <c r="K17" s="772">
        <f t="shared" si="2"/>
        <v>320550.8245242188</v>
      </c>
      <c r="L17" s="981"/>
    </row>
    <row r="18" spans="1:12" ht="15.75" hidden="1" thickBot="1">
      <c r="A18" s="161">
        <v>0.5</v>
      </c>
      <c r="B18" s="162">
        <v>0.8</v>
      </c>
      <c r="C18" s="75">
        <f>((((A18*2)+(B18*2))*'MATERIALES (2)'!$C$60)+(((A18*2)+(B18*2))*'MATERIALES (2)'!$C$59)+(((A18*2)+(B18*2))*'MATERIALES (2)'!$C$76))*'MATERIALES (2)'!$F$2</f>
        <v>51835.875000000007</v>
      </c>
      <c r="D18" s="75">
        <f>(8*'MATERIALES (2)'!$C$178)+(1*'MATERIALES (2)'!$C$184)+(((A18*2)+(B18*2))*'MATERIALES (2)'!$C$198)+(4*'MATERIALES (2)'!$C$137)+(((A18*5)*2)*'MATERIALES (2)'!$C$136)+(((A18*2)+(B18*2))*'MATERIALES (2)'!$C$199)+((((A18*2)+(B18*2))/0.1)*'MATERIALES (2)'!$C$181)+(((A18*2)+(B18*2))*'MATERIALES (2)'!$C$154)+(2*'MATERIALES (2)'!$C$176)</f>
        <v>68706</v>
      </c>
      <c r="E18" s="75"/>
      <c r="F18" s="112">
        <f>(A18*B18)*'MATERIALES (2)'!$D$85</f>
        <v>2960</v>
      </c>
      <c r="G18" s="112">
        <f>(((A18*B18)*2)*'MATERIALES (2)'!$D$86)+(4*'MATERIALES (2)'!$C$218)+(((A18*2)+(B18*2))*'MATERIALES (2)'!$C$219)+(((A18*2)+(B18*2))*'MATERIALES (2)'!$C$220)+((((A18*2)+(B18*2))/15)*'MATERIALES (2)'!$C$221)+((((A18*2)+(B18*2))/15)*('MATERIALES (2)'!$C$222*0.15))</f>
        <v>11614.008333333333</v>
      </c>
      <c r="H18" s="112">
        <f>(A18*B18)*'MATERIALES (2)'!$D$92</f>
        <v>14460</v>
      </c>
      <c r="I18" s="175">
        <f t="shared" si="0"/>
        <v>224985.35897578127</v>
      </c>
      <c r="J18" s="175">
        <f t="shared" si="1"/>
        <v>248074.68590953125</v>
      </c>
      <c r="K18" s="160">
        <f t="shared" si="2"/>
        <v>255667.93397578126</v>
      </c>
      <c r="L18" s="741" t="s">
        <v>404</v>
      </c>
    </row>
    <row r="19" spans="1:12" ht="15.75" hidden="1" thickBot="1">
      <c r="A19" s="168">
        <v>0.5</v>
      </c>
      <c r="B19" s="169">
        <v>1</v>
      </c>
      <c r="C19" s="170">
        <f>((((A19*2)+(B19*2))*'MATERIALES (2)'!$C$60)+(((A19*2)+(B19*2))*'MATERIALES (2)'!$C$59)+(((A19*2)+(B19*2))*'MATERIALES (2)'!$C$76))*'MATERIALES (2)'!$F$2</f>
        <v>59810.625</v>
      </c>
      <c r="D19" s="170">
        <f>(8*'MATERIALES (2)'!$C$178)+(1*'MATERIALES (2)'!$C$184)+(((A19*2)+(B19*2))*'MATERIALES (2)'!$C$198)+(4*'MATERIALES (2)'!$C$137)+(((A19*5)*2)*'MATERIALES (2)'!$C$136)+(((A19*2)+(B19*2))*'MATERIALES (2)'!$C$199)+((((A19*2)+(B19*2))/0.1)*'MATERIALES (2)'!$C$181)+(((A19*2)+(B19*2))*'MATERIALES (2)'!$C$154)+(2*'MATERIALES (2)'!$C$176)</f>
        <v>69170</v>
      </c>
      <c r="E19" s="170"/>
      <c r="F19" s="171">
        <f>(A19*B19)*'MATERIALES (2)'!$D$85</f>
        <v>3700</v>
      </c>
      <c r="G19" s="171">
        <f>(((A19*B19)*2)*'MATERIALES (2)'!$D$86)+(4*'MATERIALES (2)'!$C$218)+(((A19*2)+(B19*2))*'MATERIALES (2)'!$C$219)+(((A19*2)+(B19*2))*'MATERIALES (2)'!$C$220)+((((A19*2)+(B19*2))/15)*'MATERIALES (2)'!$C$221)+((((A19*2)+(B19*2))/15)*('MATERIALES (2)'!$C$222*0.15))</f>
        <v>14054.625</v>
      </c>
      <c r="H19" s="171">
        <f>(A19*B19)*'MATERIALES (2)'!$D$92</f>
        <v>18075</v>
      </c>
      <c r="I19" s="771">
        <f t="shared" si="0"/>
        <v>242157.34565859375</v>
      </c>
      <c r="J19" s="771">
        <f t="shared" si="1"/>
        <v>269784.00288984377</v>
      </c>
      <c r="K19" s="772">
        <f t="shared" si="2"/>
        <v>280510.56440859375</v>
      </c>
      <c r="L19" s="982" t="s">
        <v>405</v>
      </c>
    </row>
    <row r="20" spans="1:12" ht="15.75" hidden="1" thickBot="1">
      <c r="A20" s="168">
        <v>0.5</v>
      </c>
      <c r="B20" s="169">
        <v>1.1000000000000001</v>
      </c>
      <c r="C20" s="170">
        <f>((((A20*2)+(B20*2))*'MATERIALES (2)'!$C$60)+(((A20*2)+(B20*2))*'MATERIALES (2)'!$C$59)+(((A20*2)+(B20*2))*'MATERIALES (2)'!$C$76))*'MATERIALES (2)'!$F$2</f>
        <v>63797.999999999993</v>
      </c>
      <c r="D20" s="170">
        <f>(8*'MATERIALES (2)'!$C$178)+(1*'MATERIALES (2)'!$C$184)+(((A20*2)+(B20*2))*'MATERIALES (2)'!$C$198)+(4*'MATERIALES (2)'!$C$137)+(((A20*5)*2)*'MATERIALES (2)'!$C$136)+(((A20*2)+(B20*2))*'MATERIALES (2)'!$C$199)+((((A20*2)+(B20*2))/0.1)*'MATERIALES (2)'!$C$181)+(((A20*2)+(B20*2))*'MATERIALES (2)'!$C$154)+(2*'MATERIALES (2)'!$C$176)</f>
        <v>69402</v>
      </c>
      <c r="E20" s="170"/>
      <c r="F20" s="171">
        <f>(A20*B20)*'MATERIALES (2)'!$D$85</f>
        <v>4070.0000000000005</v>
      </c>
      <c r="G20" s="171">
        <f>(((A20*B20)*2)*'MATERIALES (2)'!$D$86)+(4*'MATERIALES (2)'!$C$218)+(((A20*2)+(B20*2))*'MATERIALES (2)'!$C$219)+(((A20*2)+(B20*2))*'MATERIALES (2)'!$C$220)+((((A20*2)+(B20*2))/15)*'MATERIALES (2)'!$C$221)+((((A20*2)+(B20*2))/15)*('MATERIALES (2)'!$C$222*0.15))</f>
        <v>15274.933333333334</v>
      </c>
      <c r="H20" s="171">
        <f>(A20*B20)*'MATERIALES (2)'!$D$92</f>
        <v>19882.5</v>
      </c>
      <c r="I20" s="771">
        <f t="shared" si="0"/>
        <v>250743.33900000004</v>
      </c>
      <c r="J20" s="771">
        <f t="shared" si="1"/>
        <v>280638.66138000001</v>
      </c>
      <c r="K20" s="772">
        <f t="shared" si="2"/>
        <v>292931.879625</v>
      </c>
      <c r="L20" s="983"/>
    </row>
    <row r="21" spans="1:12" ht="15.75" hidden="1" thickBot="1">
      <c r="A21" s="168">
        <v>0.5</v>
      </c>
      <c r="B21" s="169">
        <v>1.2</v>
      </c>
      <c r="C21" s="170">
        <f>((((A21*2)+(B21*2))*'MATERIALES (2)'!$C$60)+(((A21*2)+(B21*2))*'MATERIALES (2)'!$C$59)+(((A21*2)+(B21*2))*'MATERIALES (2)'!$C$76))*'MATERIALES (2)'!$F$2</f>
        <v>67785.375000000015</v>
      </c>
      <c r="D21" s="170">
        <f>(8*'MATERIALES (2)'!$C$178)+(1*'MATERIALES (2)'!$C$184)+(((A21*2)+(B21*2))*'MATERIALES (2)'!$C$198)+(4*'MATERIALES (2)'!$C$137)+(((A21*5)*2)*'MATERIALES (2)'!$C$136)+(((A21*2)+(B21*2))*'MATERIALES (2)'!$C$199)+((((A21*2)+(B21*2))/0.1)*'MATERIALES (2)'!$C$181)+(((A21*2)+(B21*2))*'MATERIALES (2)'!$C$154)+(2*'MATERIALES (2)'!$C$176)</f>
        <v>69634</v>
      </c>
      <c r="E21" s="170"/>
      <c r="F21" s="171">
        <f>(A21*B21)*'MATERIALES (2)'!$D$85</f>
        <v>4440</v>
      </c>
      <c r="G21" s="171">
        <f>(((A21*B21)*2)*'MATERIALES (2)'!$D$86)+(4*'MATERIALES (2)'!$C$218)+(((A21*2)+(B21*2))*'MATERIALES (2)'!$C$219)+(((A21*2)+(B21*2))*'MATERIALES (2)'!$C$220)+((((A21*2)+(B21*2))/15)*'MATERIALES (2)'!$C$221)+((((A21*2)+(B21*2))/15)*('MATERIALES (2)'!$C$222*0.15))</f>
        <v>16495.241666666665</v>
      </c>
      <c r="H21" s="171">
        <f>(A21*B21)*'MATERIALES (2)'!$D$92</f>
        <v>21690</v>
      </c>
      <c r="I21" s="771">
        <f t="shared" si="0"/>
        <v>259329.33234140629</v>
      </c>
      <c r="J21" s="771">
        <f t="shared" si="1"/>
        <v>291493.31987015624</v>
      </c>
      <c r="K21" s="772">
        <f t="shared" si="2"/>
        <v>305353.19484140625</v>
      </c>
      <c r="L21" s="983"/>
    </row>
    <row r="22" spans="1:12" ht="15.75" hidden="1" thickBot="1">
      <c r="A22" s="168">
        <v>0.5</v>
      </c>
      <c r="B22" s="169">
        <v>1.5</v>
      </c>
      <c r="C22" s="170">
        <f>((((A22*2)+(B22*2))*'MATERIALES (2)'!$C$60)+(((A22*2)+(B22*2))*'MATERIALES (2)'!$C$59)+(((A22*2)+(B22*2))*'MATERIALES (2)'!$C$76))*'MATERIALES (2)'!$F$2</f>
        <v>79747.499999999985</v>
      </c>
      <c r="D22" s="170">
        <f>(8*'MATERIALES (2)'!$C$178)+(1*'MATERIALES (2)'!$C$184)+(((A22*2)+(B22*2))*'MATERIALES (2)'!$C$198)+(4*'MATERIALES (2)'!$C$137)+(((A22*5)*2)*'MATERIALES (2)'!$C$136)+(((A22*2)+(B22*2))*'MATERIALES (2)'!$C$199)+((((A22*2)+(B22*2))/0.1)*'MATERIALES (2)'!$C$181)+(((A22*2)+(B22*2))*'MATERIALES (2)'!$C$154)+(2*'MATERIALES (2)'!$C$176)</f>
        <v>70330</v>
      </c>
      <c r="E22" s="170"/>
      <c r="F22" s="171">
        <f>(A22*B22)*'MATERIALES (2)'!$D$85</f>
        <v>5550</v>
      </c>
      <c r="G22" s="171">
        <f>(((A22*B22)*2)*'MATERIALES (2)'!$D$86)+(4*'MATERIALES (2)'!$C$218)+(((A22*2)+(B22*2))*'MATERIALES (2)'!$C$219)+(((A22*2)+(B22*2))*'MATERIALES (2)'!$C$220)+((((A22*2)+(B22*2))/15)*'MATERIALES (2)'!$C$221)+((((A22*2)+(B22*2))/15)*('MATERIALES (2)'!$C$222*0.15))</f>
        <v>20156.166666666668</v>
      </c>
      <c r="H22" s="171">
        <f>(A22*B22)*'MATERIALES (2)'!$D$92</f>
        <v>27112.5</v>
      </c>
      <c r="I22" s="771">
        <f t="shared" si="0"/>
        <v>285087.31236562505</v>
      </c>
      <c r="J22" s="771">
        <f t="shared" si="1"/>
        <v>324057.29534062505</v>
      </c>
      <c r="K22" s="772">
        <f t="shared" si="2"/>
        <v>342617.14049062505</v>
      </c>
      <c r="L22" s="984"/>
    </row>
    <row r="23" spans="1:12" ht="15.75" hidden="1" thickBot="1">
      <c r="A23" s="161">
        <v>0.6</v>
      </c>
      <c r="B23" s="162">
        <v>0.6</v>
      </c>
      <c r="C23" s="75">
        <f>((((A23*2)+(B23*2))*'MATERIALES (2)'!$C$60)+(((A23*2)+(B23*2))*'MATERIALES (2)'!$C$59)+(((A23*2)+(B23*2))*'MATERIALES (2)'!$C$76))*'MATERIALES (2)'!$F$2</f>
        <v>47848.5</v>
      </c>
      <c r="D23" s="75">
        <f>(8*'MATERIALES (2)'!$C$178)+(1*'MATERIALES (2)'!$C$184)+(((A23*2)+(B23*2))*'MATERIALES (2)'!$C$198)+(4*'MATERIALES (2)'!$C$137)+(((A23*5)*2)*'MATERIALES (2)'!$C$136)+(((A23*2)+(B23*2))*'MATERIALES (2)'!$C$199)+((((A23*2)+(B23*2))/0.1)*'MATERIALES (2)'!$C$181)+(((A23*2)+(B23*2))*'MATERIALES (2)'!$C$154)+(2*'MATERIALES (2)'!$C$176)</f>
        <v>68474</v>
      </c>
      <c r="E23" s="75"/>
      <c r="F23" s="112">
        <f>(A23*B23)*'MATERIALES (2)'!$D$85</f>
        <v>2664</v>
      </c>
      <c r="G23" s="112">
        <f>(((A23*B23)*2)*'MATERIALES (2)'!$D$86)+(4*'MATERIALES (2)'!$C$218)+(((A23*2)+(B23*2))*'MATERIALES (2)'!$C$219)+(((A23*2)+(B23*2))*'MATERIALES (2)'!$C$220)+((((A23*2)+(B23*2))/15)*'MATERIALES (2)'!$C$221)+((((A23*2)+(B23*2))/15)*('MATERIALES (2)'!$C$222*0.15))</f>
        <v>10570.1</v>
      </c>
      <c r="H23" s="112">
        <f>(A23*B23)*'MATERIALES (2)'!$D$92</f>
        <v>13014</v>
      </c>
      <c r="I23" s="175">
        <f t="shared" si="0"/>
        <v>216596.80133437499</v>
      </c>
      <c r="J23" s="175">
        <f t="shared" si="1"/>
        <v>237690.67143937503</v>
      </c>
      <c r="K23" s="160">
        <f t="shared" si="2"/>
        <v>244211.11883437503</v>
      </c>
      <c r="L23" s="985" t="s">
        <v>404</v>
      </c>
    </row>
    <row r="24" spans="1:12" ht="15.75" hidden="1" thickBot="1">
      <c r="A24" s="161">
        <v>0.6</v>
      </c>
      <c r="B24" s="162">
        <v>0.8</v>
      </c>
      <c r="C24" s="75">
        <f>((((A24*2)+(B24*2))*'MATERIALES (2)'!$C$60)+(((A24*2)+(B24*2))*'MATERIALES (2)'!$C$59)+(((A24*2)+(B24*2))*'MATERIALES (2)'!$C$76))*'MATERIALES (2)'!$F$2</f>
        <v>55823.250000000007</v>
      </c>
      <c r="D24" s="75">
        <f>(8*'MATERIALES (2)'!$C$178)+(1*'MATERIALES (2)'!$C$184)+(((A24*2)+(B24*2))*'MATERIALES (2)'!$C$198)+(4*'MATERIALES (2)'!$C$137)+(((A24*5)*2)*'MATERIALES (2)'!$C$136)+(((A24*2)+(B24*2))*'MATERIALES (2)'!$C$199)+((((A24*2)+(B24*2))/0.1)*'MATERIALES (2)'!$C$181)+(((A24*2)+(B24*2))*'MATERIALES (2)'!$C$154)+(2*'MATERIALES (2)'!$C$176)</f>
        <v>68938</v>
      </c>
      <c r="E24" s="75"/>
      <c r="F24" s="112">
        <f>(A24*B24)*'MATERIALES (2)'!$D$85</f>
        <v>3552</v>
      </c>
      <c r="G24" s="112">
        <f>(((A24*B24)*2)*'MATERIALES (2)'!$D$86)+(4*'MATERIALES (2)'!$C$218)+(((A24*2)+(B24*2))*'MATERIALES (2)'!$C$219)+(((A24*2)+(B24*2))*'MATERIALES (2)'!$C$220)+((((A24*2)+(B24*2))/15)*'MATERIALES (2)'!$C$221)+((((A24*2)+(B24*2))/15)*('MATERIALES (2)'!$C$222*0.15))</f>
        <v>13363.516666666665</v>
      </c>
      <c r="H24" s="112">
        <f>(A24*B24)*'MATERIALES (2)'!$D$92</f>
        <v>17352</v>
      </c>
      <c r="I24" s="175">
        <f t="shared" si="0"/>
        <v>234163.6594171875</v>
      </c>
      <c r="J24" s="175">
        <f t="shared" si="1"/>
        <v>260341.27645968751</v>
      </c>
      <c r="K24" s="160">
        <f t="shared" si="2"/>
        <v>270982.74941718753</v>
      </c>
      <c r="L24" s="986"/>
    </row>
    <row r="25" spans="1:12" ht="15.75" hidden="1" thickBot="1">
      <c r="A25" s="168">
        <v>0.6</v>
      </c>
      <c r="B25" s="169">
        <v>1</v>
      </c>
      <c r="C25" s="170">
        <f>((((A25*2)+(B25*2))*'MATERIALES (2)'!$C$60)+(((A25*2)+(B25*2))*'MATERIALES (2)'!$C$59)+(((A25*2)+(B25*2))*'MATERIALES (2)'!$C$76))*'MATERIALES (2)'!$F$2</f>
        <v>63797.999999999993</v>
      </c>
      <c r="D25" s="170">
        <f>(8*'MATERIALES (2)'!$C$178)+(1*'MATERIALES (2)'!$C$184)+(((A25*2)+(B25*2))*'MATERIALES (2)'!$C$198)+(4*'MATERIALES (2)'!$C$137)+(((A25*5)*2)*'MATERIALES (2)'!$C$136)+(((A25*2)+(B25*2))*'MATERIALES (2)'!$C$199)+((((A25*2)+(B25*2))/0.1)*'MATERIALES (2)'!$C$181)+(((A25*2)+(B25*2))*'MATERIALES (2)'!$C$154)+(2*'MATERIALES (2)'!$C$176)</f>
        <v>69402</v>
      </c>
      <c r="E25" s="170"/>
      <c r="F25" s="171">
        <f>(A25*B25)*'MATERIALES (2)'!$D$85</f>
        <v>4440</v>
      </c>
      <c r="G25" s="171">
        <f>(((A25*B25)*2)*'MATERIALES (2)'!$D$86)+(4*'MATERIALES (2)'!$C$218)+(((A25*2)+(B25*2))*'MATERIALES (2)'!$C$219)+(((A25*2)+(B25*2))*'MATERIALES (2)'!$C$220)+((((A25*2)+(B25*2))/15)*'MATERIALES (2)'!$C$221)+((((A25*2)+(B25*2))/15)*('MATERIALES (2)'!$C$222*0.15))</f>
        <v>16156.933333333334</v>
      </c>
      <c r="H25" s="171">
        <f>(A25*B25)*'MATERIALES (2)'!$D$92</f>
        <v>21690</v>
      </c>
      <c r="I25" s="771">
        <f t="shared" si="0"/>
        <v>251730.51750000002</v>
      </c>
      <c r="J25" s="771">
        <f t="shared" si="1"/>
        <v>282991.88148000004</v>
      </c>
      <c r="K25" s="772">
        <f t="shared" si="2"/>
        <v>297754.38000000006</v>
      </c>
      <c r="L25" s="982" t="s">
        <v>405</v>
      </c>
    </row>
    <row r="26" spans="1:12" ht="15.75" hidden="1" thickBot="1">
      <c r="A26" s="168">
        <v>0.6</v>
      </c>
      <c r="B26" s="169">
        <v>1.1000000000000001</v>
      </c>
      <c r="C26" s="170">
        <f>((((A26*2)+(B26*2))*'MATERIALES (2)'!$C$60)+(((A26*2)+(B26*2))*'MATERIALES (2)'!$C$59)+(((A26*2)+(B26*2))*'MATERIALES (2)'!$C$76))*'MATERIALES (2)'!$F$2</f>
        <v>67785.375000000015</v>
      </c>
      <c r="D26" s="170">
        <f>(8*'MATERIALES (2)'!$C$178)+(1*'MATERIALES (2)'!$C$184)+(((A26*2)+(B26*2))*'MATERIALES (2)'!$C$198)+(4*'MATERIALES (2)'!$C$137)+(((A26*5)*2)*'MATERIALES (2)'!$C$136)+(((A26*2)+(B26*2))*'MATERIALES (2)'!$C$199)+((((A26*2)+(B26*2))/0.1)*'MATERIALES (2)'!$C$181)+(((A26*2)+(B26*2))*'MATERIALES (2)'!$C$154)+(2*'MATERIALES (2)'!$C$176)</f>
        <v>69634</v>
      </c>
      <c r="E26" s="170"/>
      <c r="F26" s="171">
        <f>(A26*B26)*'MATERIALES (2)'!$D$85</f>
        <v>4884</v>
      </c>
      <c r="G26" s="171">
        <f>(((A26*B26)*2)*'MATERIALES (2)'!$D$86)+(4*'MATERIALES (2)'!$C$218)+(((A26*2)+(B26*2))*'MATERIALES (2)'!$C$219)+(((A26*2)+(B26*2))*'MATERIALES (2)'!$C$220)+((((A26*2)+(B26*2))/15)*'MATERIALES (2)'!$C$221)+((((A26*2)+(B26*2))/15)*('MATERIALES (2)'!$C$222*0.15))</f>
        <v>17553.64166666667</v>
      </c>
      <c r="H26" s="171">
        <f>(A26*B26)*'MATERIALES (2)'!$D$92</f>
        <v>23859</v>
      </c>
      <c r="I26" s="771">
        <f t="shared" si="0"/>
        <v>260513.94654140624</v>
      </c>
      <c r="J26" s="771">
        <f t="shared" si="1"/>
        <v>294317.18399015628</v>
      </c>
      <c r="K26" s="772">
        <f t="shared" si="2"/>
        <v>311140.19529140624</v>
      </c>
      <c r="L26" s="983"/>
    </row>
    <row r="27" spans="1:12" ht="15.75" hidden="1" thickBot="1">
      <c r="A27" s="168">
        <v>0.6</v>
      </c>
      <c r="B27" s="169">
        <v>1.2</v>
      </c>
      <c r="C27" s="170">
        <f>((((A27*2)+(B27*2))*'MATERIALES (2)'!$C$60)+(((A27*2)+(B27*2))*'MATERIALES (2)'!$C$59)+(((A27*2)+(B27*2))*'MATERIALES (2)'!$C$76))*'MATERIALES (2)'!$F$2</f>
        <v>71772.749999999985</v>
      </c>
      <c r="D27" s="170">
        <f>(8*'MATERIALES (2)'!$C$178)+(1*'MATERIALES (2)'!$C$184)+(((A27*2)+(B27*2))*'MATERIALES (2)'!$C$198)+(4*'MATERIALES (2)'!$C$137)+(((A27*5)*2)*'MATERIALES (2)'!$C$136)+(((A27*2)+(B27*2))*'MATERIALES (2)'!$C$199)+((((A27*2)+(B27*2))/0.1)*'MATERIALES (2)'!$C$181)+(((A27*2)+(B27*2))*'MATERIALES (2)'!$C$154)+(2*'MATERIALES (2)'!$C$176)</f>
        <v>69866</v>
      </c>
      <c r="E27" s="170"/>
      <c r="F27" s="171">
        <f>(A27*B27)*'MATERIALES (2)'!$D$85</f>
        <v>5328</v>
      </c>
      <c r="G27" s="171">
        <f>(((A27*B27)*2)*'MATERIALES (2)'!$D$86)+(4*'MATERIALES (2)'!$C$218)+(((A27*2)+(B27*2))*'MATERIALES (2)'!$C$219)+(((A27*2)+(B27*2))*'MATERIALES (2)'!$C$220)+((((A27*2)+(B27*2))/15)*'MATERIALES (2)'!$C$221)+((((A27*2)+(B27*2))/15)*('MATERIALES (2)'!$C$222*0.15))</f>
        <v>18950.349999999999</v>
      </c>
      <c r="H27" s="171">
        <f>(A27*B27)*'MATERIALES (2)'!$D$92</f>
        <v>26028</v>
      </c>
      <c r="I27" s="771">
        <f t="shared" si="0"/>
        <v>269297.37558281253</v>
      </c>
      <c r="J27" s="771">
        <f t="shared" si="1"/>
        <v>305642.48650031257</v>
      </c>
      <c r="K27" s="772">
        <f t="shared" si="2"/>
        <v>324526.01058281254</v>
      </c>
      <c r="L27" s="983"/>
    </row>
    <row r="28" spans="1:12" ht="15.75" hidden="1" thickBot="1">
      <c r="A28" s="406">
        <v>0.6</v>
      </c>
      <c r="B28" s="407">
        <v>1.5</v>
      </c>
      <c r="C28" s="408">
        <f>((((A28*2)+(B28*2))*'MATERIALES (2)'!$C$60)+(((A28*2)+(B28*2))*'MATERIALES (2)'!$C$59)+(((A28*2)+(B28*2))*'MATERIALES (2)'!$C$76))*'MATERIALES (2)'!$F$2</f>
        <v>83734.875</v>
      </c>
      <c r="D28" s="408">
        <f>(8*'MATERIALES (2)'!$C$178)+(1*'MATERIALES (2)'!$C$184)+(((A28*2)+(B28*2))*'MATERIALES (2)'!$C$198)+(4*'MATERIALES (2)'!$C$137)+(((A28*5)*2)*'MATERIALES (2)'!$C$136)+(((A28*2)+(B28*2))*'MATERIALES (2)'!$C$199)+((((A28*2)+(B28*2))/0.1)*'MATERIALES (2)'!$C$181)+(((A28*2)+(B28*2))*'MATERIALES (2)'!$C$154)+(2*'MATERIALES (2)'!$C$176)</f>
        <v>70562</v>
      </c>
      <c r="E28" s="408"/>
      <c r="F28" s="409">
        <f>(A28*B28)*'MATERIALES (2)'!$D$85</f>
        <v>6659.9999999999991</v>
      </c>
      <c r="G28" s="409">
        <f>(((A28*B28)*2)*'MATERIALES (2)'!$D$86)+(4*'MATERIALES (2)'!$C$218)+(((A28*2)+(B28*2))*'MATERIALES (2)'!$C$219)+(((A28*2)+(B28*2))*'MATERIALES (2)'!$C$220)+((((A28*2)+(B28*2))/15)*'MATERIALES (2)'!$C$221)+((((A28*2)+(B28*2))/15)*('MATERIALES (2)'!$C$222*0.15))</f>
        <v>23140.474999999999</v>
      </c>
      <c r="H28" s="409">
        <f>(A28*B28)*'MATERIALES (2)'!$D$92</f>
        <v>32534.999999999996</v>
      </c>
      <c r="I28" s="771">
        <f t="shared" si="0"/>
        <v>295647.66270703124</v>
      </c>
      <c r="J28" s="771">
        <f t="shared" si="1"/>
        <v>339618.39403078129</v>
      </c>
      <c r="K28" s="772">
        <f t="shared" si="2"/>
        <v>364683.45645703131</v>
      </c>
      <c r="L28" s="984"/>
    </row>
    <row r="29" spans="1:12" hidden="1"/>
    <row r="30" spans="1:12" hidden="1"/>
    <row r="31" spans="1:12" ht="15.75" hidden="1" thickBot="1"/>
    <row r="32" spans="1:12" ht="15.75" hidden="1" thickBot="1">
      <c r="C32" s="965">
        <v>1.35</v>
      </c>
      <c r="D32" s="966"/>
      <c r="E32" s="967"/>
      <c r="F32" s="965">
        <v>2</v>
      </c>
      <c r="G32" s="966"/>
      <c r="H32" s="548">
        <v>1.5</v>
      </c>
      <c r="K32" s="62" t="s">
        <v>163</v>
      </c>
    </row>
    <row r="33" spans="1:20" ht="15.75" hidden="1" thickBot="1">
      <c r="A33" s="792" t="s">
        <v>379</v>
      </c>
      <c r="B33" s="793"/>
      <c r="C33" s="793"/>
      <c r="D33" s="793"/>
      <c r="E33" s="793"/>
      <c r="F33" s="793"/>
      <c r="G33" s="793"/>
      <c r="H33" s="793"/>
      <c r="I33" s="793"/>
      <c r="J33" s="793"/>
      <c r="K33" s="794"/>
    </row>
    <row r="34" spans="1:20" ht="15.75" hidden="1" thickBot="1">
      <c r="A34" s="116" t="s">
        <v>116</v>
      </c>
      <c r="B34" s="116" t="s">
        <v>117</v>
      </c>
      <c r="C34" s="116" t="s">
        <v>162</v>
      </c>
      <c r="D34" s="116" t="s">
        <v>376</v>
      </c>
      <c r="E34" s="116" t="s">
        <v>120</v>
      </c>
      <c r="F34" s="225" t="s">
        <v>520</v>
      </c>
      <c r="G34" s="189" t="s">
        <v>260</v>
      </c>
      <c r="H34" s="188" t="s">
        <v>259</v>
      </c>
      <c r="I34" s="225" t="s">
        <v>521</v>
      </c>
      <c r="J34" s="188" t="s">
        <v>262</v>
      </c>
      <c r="K34" s="116" t="s">
        <v>263</v>
      </c>
      <c r="L34" s="32"/>
    </row>
    <row r="35" spans="1:20" ht="15.75" customHeight="1" thickBot="1">
      <c r="A35" s="795"/>
      <c r="B35" s="796"/>
      <c r="C35" s="796"/>
      <c r="D35" s="796"/>
      <c r="E35" s="796"/>
      <c r="F35" s="796"/>
      <c r="G35" s="796"/>
      <c r="H35" s="796"/>
      <c r="I35" s="796"/>
      <c r="J35" s="796"/>
      <c r="K35" s="797"/>
      <c r="L35" s="197"/>
      <c r="N35" s="32"/>
      <c r="O35" s="32"/>
      <c r="P35" s="32"/>
      <c r="Q35" s="32"/>
      <c r="R35" s="267"/>
      <c r="S35" s="575"/>
      <c r="T35" s="962" t="s">
        <v>672</v>
      </c>
    </row>
    <row r="36" spans="1:20" ht="15.75" customHeight="1" thickBot="1">
      <c r="A36" s="65">
        <v>0.4</v>
      </c>
      <c r="B36" s="66">
        <v>0.8</v>
      </c>
      <c r="C36" s="58">
        <f>((((A36*2)+(B36*2))*'MATERIALES (2)'!$C$60)+(((A36*2)+(B36*2))*'MATERIALES (2)'!$C$79)+(((A36*2)+(B36*2))*'MATERIALES (2)'!$C$76))*'MATERIALES (2)'!$F$2</f>
        <v>54328.554000000004</v>
      </c>
      <c r="D36" s="58">
        <f>(8*'MATERIALES (2)'!$C$178)+(1*'MATERIALES (2)'!$C$188)+(1*'MATERIALES (2)'!$C$192)+(((A36*2)+(B36*2))*'MATERIALES (2)'!$C$198)+(4*'MATERIALES (2)'!$C$137)+(((A36*5)*2)*'MATERIALES (2)'!$C$136)+(((A36*2)+(B36*2))*'MATERIALES (2)'!$C$199)+((((A36*2)+(B36*2))/0.1)*'MATERIALES (2)'!$C$181)+(((A36*2)+(B36*2))*'MATERIALES (2)'!$C$154)+(2*'MATERIALES (2)'!$C$176)+(0.5*'MATERIALES (2)'!$C$156)</f>
        <v>74474</v>
      </c>
      <c r="E36" s="58">
        <f>(0.5*'MATERIALES (2)'!$D$244)</f>
        <v>0</v>
      </c>
      <c r="F36" s="54">
        <f>(A36*B36)*'MATERIALES (2)'!$D$85</f>
        <v>2368.0000000000005</v>
      </c>
      <c r="G36" s="54">
        <f>(((A36*B36)*2)*'MATERIALES (2)'!$D$86)+(4*'MATERIALES (2)'!$C$218)+(((A36*2)+(B36*2))*'MATERIALES (2)'!$C$219)+(((A36*2)+(B36*2))*'MATERIALES (2)'!$C$220)+((((A36*2)+(B36*2))/15)*'MATERIALES (2)'!$C$221)+((((A36*2)+(B36*2))/15)*('MATERIALES (2)'!$C$222*0.15))</f>
        <v>9864.5000000000018</v>
      </c>
      <c r="H36" s="54">
        <f>(A36*B36)*'MATERIALES (2)'!$D$92</f>
        <v>11568.000000000002</v>
      </c>
      <c r="I36" s="125">
        <f>(((((C36+D36+E36)*$C$32)+(F36*$F$32))*1.21)*1.05)*1.05</f>
        <v>238282.80898479754</v>
      </c>
      <c r="J36" s="125">
        <f>(((((C36+D36+E36)*$C$32)+(G36*$F$32))*1.21)*1.05)*1.05</f>
        <v>258283.84580979752</v>
      </c>
      <c r="K36" s="67">
        <f>(((((C36+D36+E36)*$C$32)+(H36*$F$32))*1.21)*1.05)*1.05</f>
        <v>262828.86898479756</v>
      </c>
      <c r="L36" s="742"/>
      <c r="M36" s="4"/>
      <c r="N36" s="32"/>
      <c r="O36" s="32"/>
      <c r="P36" s="32"/>
      <c r="Q36" s="32"/>
      <c r="R36" s="267"/>
      <c r="S36" s="118"/>
      <c r="T36" s="963"/>
    </row>
    <row r="37" spans="1:20" ht="15.75" customHeight="1" thickBot="1">
      <c r="A37" s="68">
        <v>0.4</v>
      </c>
      <c r="B37" s="69">
        <v>1</v>
      </c>
      <c r="C37" s="59">
        <f>((((A37*2)+(B37*2))*'MATERIALES (2)'!$C$60)+(((A37*2)+(B37*2))*'MATERIALES (2)'!$C$79)+(((A37*2)+(B37*2))*'MATERIALES (2)'!$C$76))*'MATERIALES (2)'!$F$2</f>
        <v>63383.312999999995</v>
      </c>
      <c r="D37" s="59">
        <f>(8*'MATERIALES (2)'!$C$178)+(1*'MATERIALES (2)'!$C$188)+(1*'MATERIALES (2)'!$C$192)+(((A37*2)+(B37*2))*'MATERIALES (2)'!$C$198)+(4*'MATERIALES (2)'!$C$137)+(((A37*5)*2)*'MATERIALES (2)'!$C$136)+(((A37*2)+(B37*2))*'MATERIALES (2)'!$C$199)+((((A37*2)+(B37*2))/0.1)*'MATERIALES (2)'!$C$181)+(((A37*2)+(B37*2))*'MATERIALES (2)'!$C$154)+(2*'MATERIALES (2)'!$C$176)+(0.5*'MATERIALES (2)'!$C$156)</f>
        <v>74938</v>
      </c>
      <c r="E37" s="59">
        <f>(0.5*'MATERIALES (2)'!$D$244)</f>
        <v>0</v>
      </c>
      <c r="F37" s="55">
        <f>(A37*B37)*'MATERIALES (2)'!$D$85</f>
        <v>2960</v>
      </c>
      <c r="G37" s="55">
        <f>(((A37*B37)*2)*'MATERIALES (2)'!$D$86)+(4*'MATERIALES (2)'!$C$218)+(((A37*2)+(B37*2))*'MATERIALES (2)'!$C$219)+(((A37*2)+(B37*2))*'MATERIALES (2)'!$C$220)+((((A37*2)+(B37*2))/15)*'MATERIALES (2)'!$C$221)+((((A37*2)+(B37*2))/15)*('MATERIALES (2)'!$C$222*0.15))</f>
        <v>11952.316666666666</v>
      </c>
      <c r="H37" s="55">
        <f>(A37*B37)*'MATERIALES (2)'!$D$92</f>
        <v>14460</v>
      </c>
      <c r="I37" s="125">
        <f t="shared" ref="I37:I51" si="3">(((((C37+D37+E37)*$C$32)+(F37*$F$32))*1.21)*1.05)*1.05</f>
        <v>257004.94892601375</v>
      </c>
      <c r="J37" s="125">
        <f t="shared" ref="J37:J51" si="4">(((((C37+D37+E37)*$C$32)+(G37*$F$32))*1.21)*1.05)*1.05</f>
        <v>280996.89940851374</v>
      </c>
      <c r="K37" s="67">
        <f t="shared" ref="K37:K51" si="5">(((((C37+D37+E37)*$C$32)+(H37*$F$32))*1.21)*1.05)*1.05</f>
        <v>287687.52392601379</v>
      </c>
      <c r="M37" s="4"/>
      <c r="N37" s="841" t="s">
        <v>673</v>
      </c>
      <c r="O37" s="842"/>
      <c r="P37" s="842"/>
      <c r="Q37" s="843"/>
      <c r="R37" s="259"/>
      <c r="S37" s="118"/>
      <c r="T37" s="963"/>
    </row>
    <row r="38" spans="1:20" ht="15.75" customHeight="1" thickBot="1">
      <c r="A38" s="68">
        <v>0.4</v>
      </c>
      <c r="B38" s="69">
        <v>1.1000000000000001</v>
      </c>
      <c r="C38" s="59">
        <f>((((A38*2)+(B38*2))*'MATERIALES (2)'!$C$60)+(((A38*2)+(B38*2))*'MATERIALES (2)'!$C$79)+(((A38*2)+(B38*2))*'MATERIALES (2)'!$C$76))*'MATERIALES (2)'!$F$2</f>
        <v>67910.692500000005</v>
      </c>
      <c r="D38" s="59">
        <f>(8*'MATERIALES (2)'!$C$178)+(1*'MATERIALES (2)'!$C$188)+(1*'MATERIALES (2)'!$C$192)+(((A38*2)+(B38*2))*'MATERIALES (2)'!$C$198)+(4*'MATERIALES (2)'!$C$137)+(((A38*5)*2)*'MATERIALES (2)'!$C$136)+(((A38*2)+(B38*2))*'MATERIALES (2)'!$C$199)+((((A38*2)+(B38*2))/0.1)*'MATERIALES (2)'!$C$181)+(((A38*2)+(B38*2))*'MATERIALES (2)'!$C$154)+(2*'MATERIALES (2)'!$C$176)+(0.5*'MATERIALES (2)'!$C$156)</f>
        <v>75170</v>
      </c>
      <c r="E38" s="59">
        <f>(0.5*'MATERIALES (2)'!$D$244)</f>
        <v>0</v>
      </c>
      <c r="F38" s="55">
        <f>(A38*B38)*'MATERIALES (2)'!$D$85</f>
        <v>3256.0000000000005</v>
      </c>
      <c r="G38" s="55">
        <f>(((A38*B38)*2)*'MATERIALES (2)'!$D$86)+(4*'MATERIALES (2)'!$C$218)+(((A38*2)+(B38*2))*'MATERIALES (2)'!$C$219)+(((A38*2)+(B38*2))*'MATERIALES (2)'!$C$220)+((((A38*2)+(B38*2))/15)*'MATERIALES (2)'!$C$221)+((((A38*2)+(B38*2))/15)*('MATERIALES (2)'!$C$222*0.15))</f>
        <v>12996.225000000002</v>
      </c>
      <c r="H38" s="55">
        <f>(A38*B38)*'MATERIALES (2)'!$D$92</f>
        <v>15906.000000000002</v>
      </c>
      <c r="I38" s="125">
        <f t="shared" si="3"/>
        <v>266366.01889662188</v>
      </c>
      <c r="J38" s="125">
        <f t="shared" si="4"/>
        <v>292353.42620787193</v>
      </c>
      <c r="K38" s="67">
        <f t="shared" si="5"/>
        <v>300116.85139662196</v>
      </c>
      <c r="N38" s="844"/>
      <c r="O38" s="845"/>
      <c r="P38" s="845"/>
      <c r="Q38" s="846"/>
      <c r="R38" s="259"/>
      <c r="S38" s="118"/>
      <c r="T38" s="963"/>
    </row>
    <row r="39" spans="1:20" ht="38.25" thickBot="1">
      <c r="A39" s="68">
        <v>0.4</v>
      </c>
      <c r="B39" s="69">
        <v>1.2</v>
      </c>
      <c r="C39" s="59">
        <f>((((A39*2)+(B39*2))*'MATERIALES (2)'!$C$60)+(((A39*2)+(B39*2))*'MATERIALES (2)'!$C$79)+(((A39*2)+(B39*2))*'MATERIALES (2)'!$C$76))*'MATERIALES (2)'!$F$2</f>
        <v>72438.072</v>
      </c>
      <c r="D39" s="59">
        <f>(8*'MATERIALES (2)'!$C$178)+(1*'MATERIALES (2)'!$C$188)+(1*'MATERIALES (2)'!$C$192)+(((A39*2)+(B39*2))*'MATERIALES (2)'!$C$198)+(4*'MATERIALES (2)'!$C$137)+(((A39*5)*2)*'MATERIALES (2)'!$C$136)+(((A39*2)+(B39*2))*'MATERIALES (2)'!$C$199)+((((A39*2)+(B39*2))/0.1)*'MATERIALES (2)'!$C$181)+(((A39*2)+(B39*2))*'MATERIALES (2)'!$C$154)+(2*'MATERIALES (2)'!$C$176)+(0.5*'MATERIALES (2)'!$C$156)</f>
        <v>75402</v>
      </c>
      <c r="E39" s="59">
        <f>(0.5*'MATERIALES (2)'!$D$244)</f>
        <v>0</v>
      </c>
      <c r="F39" s="55">
        <f>(A39*B39)*'MATERIALES (2)'!$D$85</f>
        <v>3552</v>
      </c>
      <c r="G39" s="55">
        <f>(((A39*B39)*2)*'MATERIALES (2)'!$D$86)+(4*'MATERIALES (2)'!$C$218)+(((A39*2)+(B39*2))*'MATERIALES (2)'!$C$219)+(((A39*2)+(B39*2))*'MATERIALES (2)'!$C$220)+((((A39*2)+(B39*2))/15)*'MATERIALES (2)'!$C$221)+((((A39*2)+(B39*2))/15)*('MATERIALES (2)'!$C$222*0.15))</f>
        <v>14040.133333333333</v>
      </c>
      <c r="H39" s="55">
        <f>(A39*B39)*'MATERIALES (2)'!$D$92</f>
        <v>17352</v>
      </c>
      <c r="I39" s="125">
        <f t="shared" si="3"/>
        <v>275727.08886722999</v>
      </c>
      <c r="J39" s="125">
        <f t="shared" si="4"/>
        <v>303709.95300723001</v>
      </c>
      <c r="K39" s="67">
        <f t="shared" si="5"/>
        <v>312546.17886722996</v>
      </c>
      <c r="N39" s="239" t="s">
        <v>534</v>
      </c>
      <c r="O39" s="240" t="s">
        <v>648</v>
      </c>
      <c r="P39" s="240" t="s">
        <v>912</v>
      </c>
      <c r="Q39" s="240" t="s">
        <v>913</v>
      </c>
      <c r="R39" s="267"/>
      <c r="S39" s="118"/>
      <c r="T39" s="963"/>
    </row>
    <row r="40" spans="1:20" ht="16.5" thickBot="1">
      <c r="A40" s="68">
        <v>0.4</v>
      </c>
      <c r="B40" s="69">
        <v>1.5</v>
      </c>
      <c r="C40" s="59">
        <f>((((A40*2)+(B40*2))*'MATERIALES (2)'!$C$60)+(((A40*2)+(B40*2))*'MATERIALES (2)'!$C$79)+(((A40*2)+(B40*2))*'MATERIALES (2)'!$C$76))*'MATERIALES (2)'!$F$2</f>
        <v>86020.210499999986</v>
      </c>
      <c r="D40" s="59">
        <f>(8*'MATERIALES (2)'!$C$178)+(1*'MATERIALES (2)'!$C$188)+(1*'MATERIALES (2)'!$C$192)+(((A40*2)+(B40*2))*'MATERIALES (2)'!$C$198)+(4*'MATERIALES (2)'!$C$137)+(((A40*5)*2)*'MATERIALES (2)'!$C$136)+(((A40*2)+(B40*2))*'MATERIALES (2)'!$C$199)+((((A40*2)+(B40*2))/0.1)*'MATERIALES (2)'!$C$181)+(((A40*2)+(B40*2))*'MATERIALES (2)'!$C$154)+(2*'MATERIALES (2)'!$C$176)+(0.5*'MATERIALES (2)'!$C$156)</f>
        <v>76098</v>
      </c>
      <c r="E40" s="59">
        <f>(0.5*'MATERIALES (2)'!$D$244)</f>
        <v>0</v>
      </c>
      <c r="F40" s="55">
        <f>(A40*B40)*'MATERIALES (2)'!$D$85</f>
        <v>4440.0000000000009</v>
      </c>
      <c r="G40" s="55">
        <f>(((A40*B40)*2)*'MATERIALES (2)'!$D$86)+(4*'MATERIALES (2)'!$C$218)+(((A40*2)+(B40*2))*'MATERIALES (2)'!$C$219)+(((A40*2)+(B40*2))*'MATERIALES (2)'!$C$220)+((((A40*2)+(B40*2))/15)*'MATERIALES (2)'!$C$221)+((((A40*2)+(B40*2))/15)*('MATERIALES (2)'!$C$222*0.15))</f>
        <v>17171.858333333337</v>
      </c>
      <c r="H40" s="55">
        <f>(A40*B40)*'MATERIALES (2)'!$D$92</f>
        <v>21690.000000000004</v>
      </c>
      <c r="I40" s="125">
        <f t="shared" si="3"/>
        <v>303810.29877905437</v>
      </c>
      <c r="J40" s="125">
        <f t="shared" si="4"/>
        <v>337779.53340530436</v>
      </c>
      <c r="K40" s="67">
        <f t="shared" si="5"/>
        <v>349834.16127905442</v>
      </c>
      <c r="N40" s="245" t="s">
        <v>594</v>
      </c>
      <c r="O40" s="246">
        <f>+I58</f>
        <v>159041.72398479751</v>
      </c>
      <c r="P40" s="246">
        <f>+J58</f>
        <v>179042.76080979756</v>
      </c>
      <c r="Q40" s="251">
        <f>+K58</f>
        <v>183587.78398479757</v>
      </c>
      <c r="R40" s="267"/>
      <c r="S40" s="118"/>
      <c r="T40" s="963"/>
    </row>
    <row r="41" spans="1:20" ht="16.5" thickBot="1">
      <c r="A41" s="68">
        <v>0.5</v>
      </c>
      <c r="B41" s="69">
        <v>0.8</v>
      </c>
      <c r="C41" s="59">
        <f>((((A41*2)+(B41*2))*'MATERIALES (2)'!$C$60)+(((A41*2)+(B41*2))*'MATERIALES (2)'!$C$79)+(((A41*2)+(B41*2))*'MATERIALES (2)'!$C$76))*'MATERIALES (2)'!$F$2</f>
        <v>58855.933500000006</v>
      </c>
      <c r="D41" s="59">
        <f>(8*'MATERIALES (2)'!$C$178)+(1*'MATERIALES (2)'!$C$188)+(1*'MATERIALES (2)'!$C$192)+(((A41*2)+(B41*2))*'MATERIALES (2)'!$C$198)+(4*'MATERIALES (2)'!$C$137)+(((A41*5)*2)*'MATERIALES (2)'!$C$136)+(((A41*2)+(B41*2))*'MATERIALES (2)'!$C$199)+((((A41*2)+(B41*2))/0.1)*'MATERIALES (2)'!$C$181)+(((A41*2)+(B41*2))*'MATERIALES (2)'!$C$154)+(2*'MATERIALES (2)'!$C$176)+(0.5*'MATERIALES (2)'!$C$156)</f>
        <v>74706</v>
      </c>
      <c r="E41" s="59">
        <f>(0.5*'MATERIALES (2)'!$D$244)</f>
        <v>0</v>
      </c>
      <c r="F41" s="55">
        <f>(A41*B41)*'MATERIALES (2)'!$D$85</f>
        <v>2960</v>
      </c>
      <c r="G41" s="55">
        <f>(((A41*B41)*2)*'MATERIALES (2)'!$D$86)+(4*'MATERIALES (2)'!$C$218)+(((A41*2)+(B41*2))*'MATERIALES (2)'!$C$219)+(((A41*2)+(B41*2))*'MATERIALES (2)'!$C$220)+((((A41*2)+(B41*2))/15)*'MATERIALES (2)'!$C$221)+((((A41*2)+(B41*2))/15)*('MATERIALES (2)'!$C$222*0.15))</f>
        <v>11614.008333333333</v>
      </c>
      <c r="H41" s="55">
        <f>(A41*B41)*'MATERIALES (2)'!$D$92</f>
        <v>14460</v>
      </c>
      <c r="I41" s="125">
        <f t="shared" si="3"/>
        <v>248433.62175540568</v>
      </c>
      <c r="J41" s="125">
        <f t="shared" si="4"/>
        <v>271522.94868915569</v>
      </c>
      <c r="K41" s="67">
        <f t="shared" si="5"/>
        <v>279116.19675540569</v>
      </c>
      <c r="N41" s="245" t="s">
        <v>595</v>
      </c>
      <c r="O41" s="246">
        <f t="shared" ref="O41:O55" si="6">+I59</f>
        <v>179744.89105101375</v>
      </c>
      <c r="P41" s="246">
        <f t="shared" ref="P41:P55" si="7">+J59</f>
        <v>203736.84153351374</v>
      </c>
      <c r="Q41" s="251">
        <f t="shared" ref="Q41:Q55" si="8">+K59</f>
        <v>210427.46605101376</v>
      </c>
      <c r="R41" s="267"/>
      <c r="S41" s="118"/>
      <c r="T41" s="963"/>
    </row>
    <row r="42" spans="1:20" ht="16.5" thickBot="1">
      <c r="A42" s="68">
        <v>0.5</v>
      </c>
      <c r="B42" s="69">
        <v>1</v>
      </c>
      <c r="C42" s="59">
        <f>((((A42*2)+(B42*2))*'MATERIALES (2)'!$C$60)+(((A42*2)+(B42*2))*'MATERIALES (2)'!$C$79)+(((A42*2)+(B42*2))*'MATERIALES (2)'!$C$76))*'MATERIALES (2)'!$F$2</f>
        <v>67910.692500000005</v>
      </c>
      <c r="D42" s="59">
        <f>(8*'MATERIALES (2)'!$C$178)+(1*'MATERIALES (2)'!$C$188)+(1*'MATERIALES (2)'!$C$192)+(((A42*2)+(B42*2))*'MATERIALES (2)'!$C$198)+(4*'MATERIALES (2)'!$C$137)+(((A42*5)*2)*'MATERIALES (2)'!$C$136)+(((A42*2)+(B42*2))*'MATERIALES (2)'!$C$199)+((((A42*2)+(B42*2))/0.1)*'MATERIALES (2)'!$C$181)+(((A42*2)+(B42*2))*'MATERIALES (2)'!$C$154)+(2*'MATERIALES (2)'!$C$176)+(0.5*'MATERIALES (2)'!$C$156)</f>
        <v>75170</v>
      </c>
      <c r="E42" s="59">
        <f>(0.5*'MATERIALES (2)'!$D$244)</f>
        <v>0</v>
      </c>
      <c r="F42" s="55">
        <f>(A42*B42)*'MATERIALES (2)'!$D$85</f>
        <v>3700</v>
      </c>
      <c r="G42" s="55">
        <f>(((A42*B42)*2)*'MATERIALES (2)'!$D$86)+(4*'MATERIALES (2)'!$C$218)+(((A42*2)+(B42*2))*'MATERIALES (2)'!$C$219)+(((A42*2)+(B42*2))*'MATERIALES (2)'!$C$220)+((((A42*2)+(B42*2))/15)*'MATERIALES (2)'!$C$221)+((((A42*2)+(B42*2))/15)*('MATERIALES (2)'!$C$222*0.15))</f>
        <v>14054.625</v>
      </c>
      <c r="H42" s="55">
        <f>(A42*B42)*'MATERIALES (2)'!$D$92</f>
        <v>18075</v>
      </c>
      <c r="I42" s="125">
        <f t="shared" si="3"/>
        <v>267550.6330966219</v>
      </c>
      <c r="J42" s="125">
        <f t="shared" si="4"/>
        <v>295177.29032787192</v>
      </c>
      <c r="K42" s="67">
        <f t="shared" si="5"/>
        <v>305903.8518466219</v>
      </c>
      <c r="N42" s="245" t="s">
        <v>651</v>
      </c>
      <c r="O42" s="246">
        <f t="shared" si="6"/>
        <v>189105.96102162189</v>
      </c>
      <c r="P42" s="246">
        <f t="shared" si="7"/>
        <v>215093.36833287191</v>
      </c>
      <c r="Q42" s="251">
        <f t="shared" si="8"/>
        <v>222856.7935216219</v>
      </c>
      <c r="R42" s="267"/>
      <c r="S42" s="118"/>
      <c r="T42" s="963"/>
    </row>
    <row r="43" spans="1:20" ht="16.5" thickBot="1">
      <c r="A43" s="68">
        <v>0.5</v>
      </c>
      <c r="B43" s="69">
        <v>1.1000000000000001</v>
      </c>
      <c r="C43" s="59">
        <f>((((A43*2)+(B43*2))*'MATERIALES (2)'!$C$60)+(((A43*2)+(B43*2))*'MATERIALES (2)'!$C$79)+(((A43*2)+(B43*2))*'MATERIALES (2)'!$C$76))*'MATERIALES (2)'!$F$2</f>
        <v>72438.072</v>
      </c>
      <c r="D43" s="59">
        <f>(8*'MATERIALES (2)'!$C$178)+(1*'MATERIALES (2)'!$C$188)+(1*'MATERIALES (2)'!$C$192)+(((A43*2)+(B43*2))*'MATERIALES (2)'!$C$198)+(4*'MATERIALES (2)'!$C$137)+(((A43*5)*2)*'MATERIALES (2)'!$C$136)+(((A43*2)+(B43*2))*'MATERIALES (2)'!$C$199)+((((A43*2)+(B43*2))/0.1)*'MATERIALES (2)'!$C$181)+(((A43*2)+(B43*2))*'MATERIALES (2)'!$C$154)+(2*'MATERIALES (2)'!$C$176)+(0.5*'MATERIALES (2)'!$C$156)</f>
        <v>75402</v>
      </c>
      <c r="E43" s="59">
        <f>(0.5*'MATERIALES (2)'!$D$244)</f>
        <v>0</v>
      </c>
      <c r="F43" s="55">
        <f>(A43*B43)*'MATERIALES (2)'!$D$85</f>
        <v>4070.0000000000005</v>
      </c>
      <c r="G43" s="55">
        <f>(((A43*B43)*2)*'MATERIALES (2)'!$D$86)+(4*'MATERIALES (2)'!$C$218)+(((A43*2)+(B43*2))*'MATERIALES (2)'!$C$219)+(((A43*2)+(B43*2))*'MATERIALES (2)'!$C$220)+((((A43*2)+(B43*2))/15)*'MATERIALES (2)'!$C$221)+((((A43*2)+(B43*2))/15)*('MATERIALES (2)'!$C$222*0.15))</f>
        <v>15274.933333333334</v>
      </c>
      <c r="H43" s="55">
        <f>(A43*B43)*'MATERIALES (2)'!$D$92</f>
        <v>19882.5</v>
      </c>
      <c r="I43" s="125">
        <f t="shared" si="3"/>
        <v>277109.13876723003</v>
      </c>
      <c r="J43" s="125">
        <f t="shared" si="4"/>
        <v>307004.46114723</v>
      </c>
      <c r="K43" s="67">
        <f t="shared" si="5"/>
        <v>319297.67939222994</v>
      </c>
      <c r="N43" s="245" t="s">
        <v>596</v>
      </c>
      <c r="O43" s="246">
        <f t="shared" si="6"/>
        <v>198467.03099223005</v>
      </c>
      <c r="P43" s="246">
        <f t="shared" si="7"/>
        <v>226449.89513223004</v>
      </c>
      <c r="Q43" s="251">
        <f t="shared" si="8"/>
        <v>235286.12099223002</v>
      </c>
      <c r="R43" s="267"/>
      <c r="S43" s="118"/>
      <c r="T43" s="963"/>
    </row>
    <row r="44" spans="1:20" ht="16.5" thickBot="1">
      <c r="A44" s="68">
        <v>0.5</v>
      </c>
      <c r="B44" s="69">
        <v>1.2</v>
      </c>
      <c r="C44" s="59">
        <f>((((A44*2)+(B44*2))*'MATERIALES (2)'!$C$60)+(((A44*2)+(B44*2))*'MATERIALES (2)'!$C$79)+(((A44*2)+(B44*2))*'MATERIALES (2)'!$C$76))*'MATERIALES (2)'!$F$2</f>
        <v>76965.45150000001</v>
      </c>
      <c r="D44" s="59">
        <f>(8*'MATERIALES (2)'!$C$178)+(1*'MATERIALES (2)'!$C$188)+(1*'MATERIALES (2)'!$C$192)+(((A44*2)+(B44*2))*'MATERIALES (2)'!$C$198)+(4*'MATERIALES (2)'!$C$137)+(((A44*5)*2)*'MATERIALES (2)'!$C$136)+(((A44*2)+(B44*2))*'MATERIALES (2)'!$C$199)+((((A44*2)+(B44*2))/0.1)*'MATERIALES (2)'!$C$181)+(((A44*2)+(B44*2))*'MATERIALES (2)'!$C$154)+(2*'MATERIALES (2)'!$C$176)+(0.5*'MATERIALES (2)'!$C$156)</f>
        <v>75634</v>
      </c>
      <c r="E44" s="59">
        <f>(0.5*'MATERIALES (2)'!$D$244)</f>
        <v>0</v>
      </c>
      <c r="F44" s="55">
        <f>(A44*B44)*'MATERIALES (2)'!$D$85</f>
        <v>4440</v>
      </c>
      <c r="G44" s="55">
        <f>(((A44*B44)*2)*'MATERIALES (2)'!$D$86)+(4*'MATERIALES (2)'!$C$218)+(((A44*2)+(B44*2))*'MATERIALES (2)'!$C$219)+(((A44*2)+(B44*2))*'MATERIALES (2)'!$C$220)+((((A44*2)+(B44*2))/15)*'MATERIALES (2)'!$C$221)+((((A44*2)+(B44*2))/15)*('MATERIALES (2)'!$C$222*0.15))</f>
        <v>16495.241666666665</v>
      </c>
      <c r="H44" s="55">
        <f>(A44*B44)*'MATERIALES (2)'!$D$92</f>
        <v>21690</v>
      </c>
      <c r="I44" s="125">
        <f t="shared" si="3"/>
        <v>286667.64443783817</v>
      </c>
      <c r="J44" s="125">
        <f t="shared" si="4"/>
        <v>318831.6319665882</v>
      </c>
      <c r="K44" s="67">
        <f t="shared" si="5"/>
        <v>332691.50693783828</v>
      </c>
      <c r="N44" s="245" t="s">
        <v>597</v>
      </c>
      <c r="O44" s="246">
        <f t="shared" si="6"/>
        <v>226550.24090405437</v>
      </c>
      <c r="P44" s="246">
        <f t="shared" si="7"/>
        <v>260519.47553030436</v>
      </c>
      <c r="Q44" s="251">
        <f t="shared" si="8"/>
        <v>272574.10340405436</v>
      </c>
      <c r="R44" s="267"/>
      <c r="S44" s="118"/>
      <c r="T44" s="963"/>
    </row>
    <row r="45" spans="1:20" ht="16.5" thickBot="1">
      <c r="A45" s="68">
        <v>0.5</v>
      </c>
      <c r="B45" s="69">
        <v>1.5</v>
      </c>
      <c r="C45" s="59">
        <f>((((A45*2)+(B45*2))*'MATERIALES (2)'!$C$60)+(((A45*2)+(B45*2))*'MATERIALES (2)'!$C$79)+(((A45*2)+(B45*2))*'MATERIALES (2)'!$C$76))*'MATERIALES (2)'!$F$2</f>
        <v>90547.59</v>
      </c>
      <c r="D45" s="59">
        <f>(8*'MATERIALES (2)'!$C$178)+(1*'MATERIALES (2)'!$C$188)+(1*'MATERIALES (2)'!$C$192)+(((A45*2)+(B45*2))*'MATERIALES (2)'!$C$198)+(4*'MATERIALES (2)'!$C$137)+(((A45*5)*2)*'MATERIALES (2)'!$C$136)+(((A45*2)+(B45*2))*'MATERIALES (2)'!$C$199)+((((A45*2)+(B45*2))/0.1)*'MATERIALES (2)'!$C$181)+(((A45*2)+(B45*2))*'MATERIALES (2)'!$C$154)+(2*'MATERIALES (2)'!$C$176)+(0.5*'MATERIALES (2)'!$C$156)</f>
        <v>76330</v>
      </c>
      <c r="E45" s="59">
        <f>(0.5*'MATERIALES (2)'!$D$244)</f>
        <v>0</v>
      </c>
      <c r="F45" s="55">
        <f>(A45*B45)*'MATERIALES (2)'!$D$85</f>
        <v>5550</v>
      </c>
      <c r="G45" s="55">
        <f>(((A45*B45)*2)*'MATERIALES (2)'!$D$86)+(4*'MATERIALES (2)'!$C$218)+(((A45*2)+(B45*2))*'MATERIALES (2)'!$C$219)+(((A45*2)+(B45*2))*'MATERIALES (2)'!$C$220)+((((A45*2)+(B45*2))/15)*'MATERIALES (2)'!$C$221)+((((A45*2)+(B45*2))/15)*('MATERIALES (2)'!$C$222*0.15))</f>
        <v>20156.166666666668</v>
      </c>
      <c r="H45" s="55">
        <f>(A45*B45)*'MATERIALES (2)'!$D$92</f>
        <v>27112.5</v>
      </c>
      <c r="I45" s="125">
        <f t="shared" si="3"/>
        <v>315343.16144966253</v>
      </c>
      <c r="J45" s="125">
        <f t="shared" si="4"/>
        <v>354313.14442466252</v>
      </c>
      <c r="K45" s="67">
        <f t="shared" si="5"/>
        <v>372872.98957466253</v>
      </c>
      <c r="N45" s="245" t="s">
        <v>599</v>
      </c>
      <c r="O45" s="246">
        <f t="shared" si="6"/>
        <v>169192.53675540566</v>
      </c>
      <c r="P45" s="246">
        <f t="shared" si="7"/>
        <v>192281.86368915567</v>
      </c>
      <c r="Q45" s="251">
        <f t="shared" si="8"/>
        <v>199875.11175540564</v>
      </c>
      <c r="R45" s="267"/>
      <c r="S45" s="118"/>
      <c r="T45" s="963"/>
    </row>
    <row r="46" spans="1:20" ht="16.5" thickBot="1">
      <c r="A46" s="68">
        <v>0.6</v>
      </c>
      <c r="B46" s="69">
        <v>0.6</v>
      </c>
      <c r="C46" s="59">
        <f>((((A46*2)+(B46*2))*'MATERIALES (2)'!$C$60)+(((A46*2)+(B46*2))*'MATERIALES (2)'!$C$79)+(((A46*2)+(B46*2))*'MATERIALES (2)'!$C$76))*'MATERIALES (2)'!$F$2</f>
        <v>54328.554000000004</v>
      </c>
      <c r="D46" s="59">
        <f>(8*'MATERIALES (2)'!$C$178)+(1*'MATERIALES (2)'!$C$188)+(1*'MATERIALES (2)'!$C$192)+(((A46*2)+(B46*2))*'MATERIALES (2)'!$C$198)+(4*'MATERIALES (2)'!$C$137)+(((A46*5)*2)*'MATERIALES (2)'!$C$136)+(((A46*2)+(B46*2))*'MATERIALES (2)'!$C$199)+((((A46*2)+(B46*2))/0.1)*'MATERIALES (2)'!$C$181)+(((A46*2)+(B46*2))*'MATERIALES (2)'!$C$154)+(2*'MATERIALES (2)'!$C$176)+(0.5*'MATERIALES (2)'!$C$156)</f>
        <v>74474</v>
      </c>
      <c r="E46" s="59">
        <f>(0.5*'MATERIALES (2)'!$D$244)</f>
        <v>0</v>
      </c>
      <c r="F46" s="55">
        <f>(A46*B46)*'MATERIALES (2)'!$D$85</f>
        <v>2664</v>
      </c>
      <c r="G46" s="55">
        <f>(((A46*B46)*2)*'MATERIALES (2)'!$D$86)+(4*'MATERIALES (2)'!$C$218)+(((A46*2)+(B46*2))*'MATERIALES (2)'!$C$219)+(((A46*2)+(B46*2))*'MATERIALES (2)'!$C$220)+((((A46*2)+(B46*2))/15)*'MATERIALES (2)'!$C$221)+((((A46*2)+(B46*2))/15)*('MATERIALES (2)'!$C$222*0.15))</f>
        <v>10570.1</v>
      </c>
      <c r="H46" s="55">
        <f>(A46*B46)*'MATERIALES (2)'!$D$92</f>
        <v>13014</v>
      </c>
      <c r="I46" s="125">
        <f t="shared" si="3"/>
        <v>239072.55178479754</v>
      </c>
      <c r="J46" s="125">
        <f t="shared" si="4"/>
        <v>260166.42188979755</v>
      </c>
      <c r="K46" s="67">
        <f t="shared" si="5"/>
        <v>266686.86928479752</v>
      </c>
      <c r="N46" s="245" t="s">
        <v>600</v>
      </c>
      <c r="O46" s="246">
        <f t="shared" si="6"/>
        <v>190290.5752216219</v>
      </c>
      <c r="P46" s="246">
        <f t="shared" si="7"/>
        <v>217917.23245287189</v>
      </c>
      <c r="Q46" s="251">
        <f t="shared" si="8"/>
        <v>228643.7939716219</v>
      </c>
      <c r="R46" s="248"/>
      <c r="S46" s="404"/>
      <c r="T46" s="963"/>
    </row>
    <row r="47" spans="1:20" ht="16.5" thickBot="1">
      <c r="A47" s="68">
        <v>0.6</v>
      </c>
      <c r="B47" s="69">
        <v>0.8</v>
      </c>
      <c r="C47" s="59">
        <f>((((A47*2)+(B47*2))*'MATERIALES (2)'!$C$60)+(((A47*2)+(B47*2))*'MATERIALES (2)'!$C$79)+(((A47*2)+(B47*2))*'MATERIALES (2)'!$C$76))*'MATERIALES (2)'!$F$2</f>
        <v>63383.312999999995</v>
      </c>
      <c r="D47" s="59">
        <f>(8*'MATERIALES (2)'!$C$178)+(1*'MATERIALES (2)'!$C$188)+(1*'MATERIALES (2)'!$C$192)+(((A47*2)+(B47*2))*'MATERIALES (2)'!$C$198)+(4*'MATERIALES (2)'!$C$137)+(((A47*5)*2)*'MATERIALES (2)'!$C$136)+(((A47*2)+(B47*2))*'MATERIALES (2)'!$C$199)+((((A47*2)+(B47*2))/0.1)*'MATERIALES (2)'!$C$181)+(((A47*2)+(B47*2))*'MATERIALES (2)'!$C$154)+(2*'MATERIALES (2)'!$C$176)+(0.5*'MATERIALES (2)'!$C$156)</f>
        <v>74938</v>
      </c>
      <c r="E47" s="59">
        <f>(0.5*'MATERIALES (2)'!$D$244)</f>
        <v>0</v>
      </c>
      <c r="F47" s="55">
        <f>(A47*B47)*'MATERIALES (2)'!$D$85</f>
        <v>3552</v>
      </c>
      <c r="G47" s="55">
        <f>(((A47*B47)*2)*'MATERIALES (2)'!$D$86)+(4*'MATERIALES (2)'!$C$218)+(((A47*2)+(B47*2))*'MATERIALES (2)'!$C$219)+(((A47*2)+(B47*2))*'MATERIALES (2)'!$C$220)+((((A47*2)+(B47*2))/15)*'MATERIALES (2)'!$C$221)+((((A47*2)+(B47*2))/15)*('MATERIALES (2)'!$C$222*0.15))</f>
        <v>13363.516666666665</v>
      </c>
      <c r="H47" s="55">
        <f>(A47*B47)*'MATERIALES (2)'!$D$92</f>
        <v>17352</v>
      </c>
      <c r="I47" s="125">
        <f t="shared" si="3"/>
        <v>258584.43452601376</v>
      </c>
      <c r="J47" s="125">
        <f t="shared" si="4"/>
        <v>284762.05156851374</v>
      </c>
      <c r="K47" s="67">
        <f t="shared" si="5"/>
        <v>295403.52452601382</v>
      </c>
      <c r="N47" s="245" t="s">
        <v>652</v>
      </c>
      <c r="O47" s="246">
        <f t="shared" si="6"/>
        <v>199849.08089223003</v>
      </c>
      <c r="P47" s="246">
        <f t="shared" si="7"/>
        <v>229744.40327223003</v>
      </c>
      <c r="Q47" s="251">
        <f t="shared" si="8"/>
        <v>242037.62151723003</v>
      </c>
      <c r="R47" s="248"/>
      <c r="S47" s="4"/>
      <c r="T47" s="963"/>
    </row>
    <row r="48" spans="1:20" ht="16.5" thickBot="1">
      <c r="A48" s="68">
        <v>0.6</v>
      </c>
      <c r="B48" s="69">
        <v>1</v>
      </c>
      <c r="C48" s="59">
        <f>((((A48*2)+(B48*2))*'MATERIALES (2)'!$C$60)+(((A48*2)+(B48*2))*'MATERIALES (2)'!$C$79)+(((A48*2)+(B48*2))*'MATERIALES (2)'!$C$76))*'MATERIALES (2)'!$F$2</f>
        <v>72438.072</v>
      </c>
      <c r="D48" s="59">
        <f>(8*'MATERIALES (2)'!$C$178)+(1*'MATERIALES (2)'!$C$188)+(1*'MATERIALES (2)'!$C$192)+(((A48*2)+(B48*2))*'MATERIALES (2)'!$C$198)+(4*'MATERIALES (2)'!$C$137)+(((A48*5)*2)*'MATERIALES (2)'!$C$136)+(((A48*2)+(B48*2))*'MATERIALES (2)'!$C$199)+((((A48*2)+(B48*2))/0.1)*'MATERIALES (2)'!$C$181)+(((A48*2)+(B48*2))*'MATERIALES (2)'!$C$154)+(2*'MATERIALES (2)'!$C$176)+(0.5*'MATERIALES (2)'!$C$156)</f>
        <v>75402</v>
      </c>
      <c r="E48" s="59">
        <f>(0.5*'MATERIALES (2)'!$D$244)</f>
        <v>0</v>
      </c>
      <c r="F48" s="55">
        <f>(A48*B48)*'MATERIALES (2)'!$D$85</f>
        <v>4440</v>
      </c>
      <c r="G48" s="55">
        <f>(((A48*B48)*2)*'MATERIALES (2)'!$D$86)+(4*'MATERIALES (2)'!$C$218)+(((A48*2)+(B48*2))*'MATERIALES (2)'!$C$219)+(((A48*2)+(B48*2))*'MATERIALES (2)'!$C$220)+((((A48*2)+(B48*2))/15)*'MATERIALES (2)'!$C$221)+((((A48*2)+(B48*2))/15)*('MATERIALES (2)'!$C$222*0.15))</f>
        <v>16156.933333333334</v>
      </c>
      <c r="H48" s="55">
        <f>(A48*B48)*'MATERIALES (2)'!$D$92</f>
        <v>21690</v>
      </c>
      <c r="I48" s="125">
        <f t="shared" si="3"/>
        <v>278096.31726723001</v>
      </c>
      <c r="J48" s="125">
        <f t="shared" si="4"/>
        <v>309357.68124722998</v>
      </c>
      <c r="K48" s="67">
        <f t="shared" si="5"/>
        <v>324120.17976723</v>
      </c>
      <c r="N48" s="249" t="s">
        <v>601</v>
      </c>
      <c r="O48" s="246">
        <f t="shared" si="6"/>
        <v>209407.58656283817</v>
      </c>
      <c r="P48" s="246">
        <f t="shared" si="7"/>
        <v>241571.57409158818</v>
      </c>
      <c r="Q48" s="251">
        <f t="shared" si="8"/>
        <v>255431.44906283819</v>
      </c>
      <c r="R48" s="252"/>
      <c r="S48" s="4"/>
      <c r="T48" s="963"/>
    </row>
    <row r="49" spans="1:20" ht="16.5" thickBot="1">
      <c r="A49" s="68">
        <v>0.6</v>
      </c>
      <c r="B49" s="69">
        <v>1.1000000000000001</v>
      </c>
      <c r="C49" s="59">
        <f>((((A49*2)+(B49*2))*'MATERIALES (2)'!$C$60)+(((A49*2)+(B49*2))*'MATERIALES (2)'!$C$79)+(((A49*2)+(B49*2))*'MATERIALES (2)'!$C$76))*'MATERIALES (2)'!$F$2</f>
        <v>76965.45150000001</v>
      </c>
      <c r="D49" s="59">
        <f>(8*'MATERIALES (2)'!$C$178)+(1*'MATERIALES (2)'!$C$188)+(1*'MATERIALES (2)'!$C$192)+(((A49*2)+(B49*2))*'MATERIALES (2)'!$C$198)+(4*'MATERIALES (2)'!$C$137)+(((A49*5)*2)*'MATERIALES (2)'!$C$136)+(((A49*2)+(B49*2))*'MATERIALES (2)'!$C$199)+((((A49*2)+(B49*2))/0.1)*'MATERIALES (2)'!$C$181)+(((A49*2)+(B49*2))*'MATERIALES (2)'!$C$154)+(2*'MATERIALES (2)'!$C$176)+(0.5*'MATERIALES (2)'!$C$156)</f>
        <v>75634</v>
      </c>
      <c r="E49" s="59">
        <f>(0.5*'MATERIALES (2)'!$D$244)</f>
        <v>0</v>
      </c>
      <c r="F49" s="55">
        <f>(A49*B49)*'MATERIALES (2)'!$D$85</f>
        <v>4884</v>
      </c>
      <c r="G49" s="55">
        <f>(((A49*B49)*2)*'MATERIALES (2)'!$D$86)+(4*'MATERIALES (2)'!$C$218)+(((A49*2)+(B49*2))*'MATERIALES (2)'!$C$219)+(((A49*2)+(B49*2))*'MATERIALES (2)'!$C$220)+((((A49*2)+(B49*2))/15)*'MATERIALES (2)'!$C$221)+((((A49*2)+(B49*2))/15)*('MATERIALES (2)'!$C$222*0.15))</f>
        <v>17553.64166666667</v>
      </c>
      <c r="H49" s="55">
        <f>(A49*B49)*'MATERIALES (2)'!$D$92</f>
        <v>23859</v>
      </c>
      <c r="I49" s="125">
        <f t="shared" si="3"/>
        <v>287852.25863783824</v>
      </c>
      <c r="J49" s="125">
        <f t="shared" si="4"/>
        <v>321655.49608658819</v>
      </c>
      <c r="K49" s="67">
        <f t="shared" si="5"/>
        <v>338478.50738783827</v>
      </c>
      <c r="N49" s="249" t="s">
        <v>602</v>
      </c>
      <c r="O49" s="246">
        <f t="shared" si="6"/>
        <v>238083.1035746625</v>
      </c>
      <c r="P49" s="246">
        <f t="shared" si="7"/>
        <v>277053.08654966258</v>
      </c>
      <c r="Q49" s="251">
        <f t="shared" si="8"/>
        <v>295612.93169966259</v>
      </c>
      <c r="R49" s="252"/>
      <c r="S49" s="4"/>
      <c r="T49" s="963"/>
    </row>
    <row r="50" spans="1:20" ht="16.5" thickBot="1">
      <c r="A50" s="68">
        <v>0.6</v>
      </c>
      <c r="B50" s="69">
        <v>1.2</v>
      </c>
      <c r="C50" s="59">
        <f>((((A50*2)+(B50*2))*'MATERIALES (2)'!$C$60)+(((A50*2)+(B50*2))*'MATERIALES (2)'!$C$79)+(((A50*2)+(B50*2))*'MATERIALES (2)'!$C$76))*'MATERIALES (2)'!$F$2</f>
        <v>81492.830999999991</v>
      </c>
      <c r="D50" s="59">
        <f>(8*'MATERIALES (2)'!$C$178)+(1*'MATERIALES (2)'!$C$188)+(1*'MATERIALES (2)'!$C$192)+(((A50*2)+(B50*2))*'MATERIALES (2)'!$C$198)+(4*'MATERIALES (2)'!$C$137)+(((A50*5)*2)*'MATERIALES (2)'!$C$136)+(((A50*2)+(B50*2))*'MATERIALES (2)'!$C$199)+((((A50*2)+(B50*2))/0.1)*'MATERIALES (2)'!$C$181)+(((A50*2)+(B50*2))*'MATERIALES (2)'!$C$154)+(2*'MATERIALES (2)'!$C$176)+(0.5*'MATERIALES (2)'!$C$156)</f>
        <v>75866</v>
      </c>
      <c r="E50" s="59">
        <f>(0.5*'MATERIALES (2)'!$D$244)</f>
        <v>0</v>
      </c>
      <c r="F50" s="55">
        <f>(A50*B50)*'MATERIALES (2)'!$D$85</f>
        <v>5328</v>
      </c>
      <c r="G50" s="55">
        <f>(((A50*B50)*2)*'MATERIALES (2)'!$D$86)+(4*'MATERIALES (2)'!$C$218)+(((A50*2)+(B50*2))*'MATERIALES (2)'!$C$219)+(((A50*2)+(B50*2))*'MATERIALES (2)'!$C$220)+((((A50*2)+(B50*2))/15)*'MATERIALES (2)'!$C$221)+((((A50*2)+(B50*2))/15)*('MATERIALES (2)'!$C$222*0.15))</f>
        <v>18950.349999999999</v>
      </c>
      <c r="H50" s="55">
        <f>(A50*B50)*'MATERIALES (2)'!$D$92</f>
        <v>26028</v>
      </c>
      <c r="I50" s="125">
        <f t="shared" si="3"/>
        <v>297608.20000844629</v>
      </c>
      <c r="J50" s="125">
        <f t="shared" si="4"/>
        <v>333953.31092594628</v>
      </c>
      <c r="K50" s="67">
        <f t="shared" si="5"/>
        <v>352836.83500844636</v>
      </c>
      <c r="N50" s="249" t="s">
        <v>540</v>
      </c>
      <c r="O50" s="246">
        <f t="shared" si="6"/>
        <v>140319.58404358127</v>
      </c>
      <c r="P50" s="246">
        <f t="shared" si="7"/>
        <v>156329.70721108129</v>
      </c>
      <c r="Q50" s="251">
        <f t="shared" si="8"/>
        <v>158729.12904358126</v>
      </c>
      <c r="R50" s="252"/>
      <c r="S50" s="4"/>
      <c r="T50" s="963"/>
    </row>
    <row r="51" spans="1:20" ht="16.5" thickBot="1">
      <c r="A51" s="71">
        <v>0.6</v>
      </c>
      <c r="B51" s="72">
        <v>1.5</v>
      </c>
      <c r="C51" s="60">
        <f>((((A51*2)+(B51*2))*'MATERIALES (2)'!$C$60)+(((A51*2)+(B51*2))*'MATERIALES (2)'!$C$79)+(((A51*2)+(B51*2))*'MATERIALES (2)'!$C$76))*'MATERIALES (2)'!$F$2</f>
        <v>95074.969499999992</v>
      </c>
      <c r="D51" s="60">
        <f>(8*'MATERIALES (2)'!$C$178)+(1*'MATERIALES (2)'!$C$188)+(1*'MATERIALES (2)'!$C$192)+(((A51*2)+(B51*2))*'MATERIALES (2)'!$C$198)+(4*'MATERIALES (2)'!$C$137)+(((A51*5)*2)*'MATERIALES (2)'!$C$136)+(((A51*2)+(B51*2))*'MATERIALES (2)'!$C$199)+((((A51*2)+(B51*2))/0.1)*'MATERIALES (2)'!$C$181)+(((A51*2)+(B51*2))*'MATERIALES (2)'!$C$154)+(2*'MATERIALES (2)'!$C$176)+(0.5*'MATERIALES (2)'!$C$156)</f>
        <v>76562</v>
      </c>
      <c r="E51" s="60">
        <f>(0.5*'MATERIALES (2)'!$D$244)</f>
        <v>0</v>
      </c>
      <c r="F51" s="56">
        <f>(A51*B51)*'MATERIALES (2)'!$D$85</f>
        <v>6659.9999999999991</v>
      </c>
      <c r="G51" s="56">
        <f>(((A51*B51)*2)*'MATERIALES (2)'!$D$86)+(4*'MATERIALES (2)'!$C$218)+(((A51*2)+(B51*2))*'MATERIALES (2)'!$C$219)+(((A51*2)+(B51*2))*'MATERIALES (2)'!$C$220)+((((A51*2)+(B51*2))/15)*'MATERIALES (2)'!$C$221)+((((A51*2)+(B51*2))/15)*('MATERIALES (2)'!$C$222*0.15))</f>
        <v>23140.474999999999</v>
      </c>
      <c r="H51" s="56">
        <f>(A51*B51)*'MATERIALES (2)'!$D$92</f>
        <v>32534.999999999996</v>
      </c>
      <c r="I51" s="125">
        <f t="shared" si="3"/>
        <v>326876.02412027068</v>
      </c>
      <c r="J51" s="125">
        <f t="shared" si="4"/>
        <v>370846.75544402067</v>
      </c>
      <c r="K51" s="67">
        <f t="shared" si="5"/>
        <v>395911.81787027069</v>
      </c>
      <c r="N51" s="249" t="s">
        <v>603</v>
      </c>
      <c r="O51" s="246">
        <f t="shared" si="6"/>
        <v>179343.34952601374</v>
      </c>
      <c r="P51" s="246">
        <f t="shared" si="7"/>
        <v>205520.96656851374</v>
      </c>
      <c r="Q51" s="251">
        <f t="shared" si="8"/>
        <v>216162.43952601377</v>
      </c>
      <c r="R51" s="252"/>
      <c r="S51" s="4"/>
      <c r="T51" s="964"/>
    </row>
    <row r="52" spans="1:20" ht="15.75">
      <c r="N52" s="249" t="s">
        <v>604</v>
      </c>
      <c r="O52" s="246">
        <f t="shared" si="6"/>
        <v>200836.25939223004</v>
      </c>
      <c r="P52" s="246">
        <f t="shared" si="7"/>
        <v>232097.62337223001</v>
      </c>
      <c r="Q52" s="251">
        <f t="shared" si="8"/>
        <v>246860.12189223003</v>
      </c>
      <c r="R52" s="252"/>
    </row>
    <row r="53" spans="1:20" ht="16.5" thickBot="1">
      <c r="N53" s="249" t="s">
        <v>653</v>
      </c>
      <c r="O53" s="246">
        <f t="shared" si="6"/>
        <v>210592.20076283815</v>
      </c>
      <c r="P53" s="246">
        <f t="shared" si="7"/>
        <v>244395.43821158819</v>
      </c>
      <c r="Q53" s="251">
        <f t="shared" si="8"/>
        <v>261218.44951283815</v>
      </c>
      <c r="R53" s="252"/>
    </row>
    <row r="54" spans="1:20" ht="16.5" thickBot="1">
      <c r="C54" s="965">
        <v>1.35</v>
      </c>
      <c r="D54" s="966"/>
      <c r="E54" s="967"/>
      <c r="F54" s="965">
        <v>2</v>
      </c>
      <c r="G54" s="966"/>
      <c r="H54" s="548">
        <v>1.5</v>
      </c>
      <c r="K54" s="62" t="s">
        <v>163</v>
      </c>
      <c r="N54" s="249" t="s">
        <v>605</v>
      </c>
      <c r="O54" s="246">
        <f t="shared" si="6"/>
        <v>220348.14213344624</v>
      </c>
      <c r="P54" s="246">
        <f t="shared" si="7"/>
        <v>256693.25305094628</v>
      </c>
      <c r="Q54" s="251">
        <f t="shared" si="8"/>
        <v>275576.77713344624</v>
      </c>
      <c r="R54" s="252"/>
    </row>
    <row r="55" spans="1:20" ht="16.5" thickBot="1">
      <c r="A55" s="792" t="s">
        <v>380</v>
      </c>
      <c r="B55" s="793"/>
      <c r="C55" s="793"/>
      <c r="D55" s="793"/>
      <c r="E55" s="793"/>
      <c r="F55" s="793"/>
      <c r="G55" s="793"/>
      <c r="H55" s="793"/>
      <c r="I55" s="793"/>
      <c r="J55" s="793"/>
      <c r="K55" s="794"/>
      <c r="N55" s="249" t="s">
        <v>606</v>
      </c>
      <c r="O55" s="246">
        <f t="shared" si="6"/>
        <v>249615.9662452706</v>
      </c>
      <c r="P55" s="246">
        <f t="shared" si="7"/>
        <v>293586.69756902062</v>
      </c>
      <c r="Q55" s="251">
        <f t="shared" si="8"/>
        <v>318651.75999527064</v>
      </c>
      <c r="R55" s="252"/>
    </row>
    <row r="56" spans="1:20" ht="16.5" thickBot="1">
      <c r="A56" s="116" t="s">
        <v>116</v>
      </c>
      <c r="B56" s="116" t="s">
        <v>117</v>
      </c>
      <c r="C56" s="116" t="s">
        <v>162</v>
      </c>
      <c r="D56" s="116" t="s">
        <v>376</v>
      </c>
      <c r="E56" s="116" t="s">
        <v>120</v>
      </c>
      <c r="F56" s="225" t="s">
        <v>520</v>
      </c>
      <c r="G56" s="189" t="s">
        <v>260</v>
      </c>
      <c r="H56" s="188" t="s">
        <v>259</v>
      </c>
      <c r="I56" s="225" t="s">
        <v>521</v>
      </c>
      <c r="J56" s="188" t="s">
        <v>262</v>
      </c>
      <c r="K56" s="116" t="s">
        <v>263</v>
      </c>
      <c r="N56" s="405"/>
      <c r="O56" s="248"/>
      <c r="P56" s="248"/>
      <c r="Q56" s="252"/>
      <c r="R56" s="252"/>
    </row>
    <row r="57" spans="1:20" ht="16.5" thickBot="1">
      <c r="A57" s="795"/>
      <c r="B57" s="796"/>
      <c r="C57" s="796"/>
      <c r="D57" s="796"/>
      <c r="E57" s="796"/>
      <c r="F57" s="796"/>
      <c r="G57" s="796"/>
      <c r="H57" s="796"/>
      <c r="I57" s="796"/>
      <c r="J57" s="796"/>
      <c r="K57" s="797"/>
      <c r="N57" s="405"/>
      <c r="O57" s="248"/>
      <c r="P57" s="248"/>
      <c r="Q57" s="252"/>
      <c r="R57" s="252"/>
    </row>
    <row r="58" spans="1:20" ht="16.5" thickBot="1">
      <c r="A58" s="158">
        <v>0.4</v>
      </c>
      <c r="B58" s="159">
        <v>0.8</v>
      </c>
      <c r="C58" s="74">
        <f>((((A58*2)+(B58*2))*'MATERIALES (2)'!$C$60)+(((A58*2)+(B58*2))*'MATERIALES (2)'!$C$79)+(((A58*2)+(B58*2))*'MATERIALES (2)'!$C$76))*'MATERIALES (2)'!$F$2</f>
        <v>54328.554000000004</v>
      </c>
      <c r="D58" s="74">
        <f>(8*'MATERIALES (2)'!$C$178)+(1*'MATERIALES (2)'!$C$186)+(2*'MATERIALES (2)'!$C$195)+(((A58*2)+(B58*2))*'MATERIALES (2)'!$C$198)+(4*'MATERIALES (2)'!$C$137)+(((A58*5)*2)*'MATERIALES (2)'!$C$136)+(((A58*2)+(B58*2))*'MATERIALES (2)'!$C$199)+((((A58*2)+(B58*2))/0.1)*'MATERIALES (2)'!$C$181)+(((A58*2)+(B58*2))*'MATERIALES (2)'!$C$154)+(2*'MATERIALES (2)'!$C$176)+(0.5*'MATERIALES (2)'!$C$156)</f>
        <v>30474</v>
      </c>
      <c r="E58" s="74">
        <f>(0.5*'MATERIALES (2)'!$D$244)</f>
        <v>0</v>
      </c>
      <c r="F58" s="111">
        <f>(A58*B58)*'MATERIALES (2)'!$D$85</f>
        <v>2368.0000000000005</v>
      </c>
      <c r="G58" s="111">
        <f>(((A58*B58)*2)*'MATERIALES (2)'!$D$86)+(4*'MATERIALES (2)'!$C$218)+(((A58*2)+(B58*2))*'MATERIALES (2)'!$C$219)+(((A58*2)+(B58*2))*'MATERIALES (2)'!$C$220)+((((A58*2)+(B58*2))/15)*'MATERIALES (2)'!$C$221)+((((A58*2)+(B58*2))/15)*('MATERIALES (2)'!$C$222*0.15))</f>
        <v>9864.5000000000018</v>
      </c>
      <c r="H58" s="111">
        <f>(A58*B58)*'MATERIALES (2)'!$D$92</f>
        <v>11568.000000000002</v>
      </c>
      <c r="I58" s="175">
        <f>(((((C58+D58+E58)*$C$54)+(F58*$F$54))*1.21)*1.05)*1.05</f>
        <v>159041.72398479751</v>
      </c>
      <c r="J58" s="175">
        <f>(((((C58+D58+E58)*$C$54)+(G58*$F$54))*1.21)*1.05)*1.05</f>
        <v>179042.76080979756</v>
      </c>
      <c r="K58" s="160">
        <f>(((((C58+D58+E58)*$C$54)+(H58*$F$54))*1.21)*1.05)*1.05</f>
        <v>183587.78398479757</v>
      </c>
      <c r="N58" s="841" t="s">
        <v>675</v>
      </c>
      <c r="O58" s="842"/>
      <c r="P58" s="842"/>
      <c r="Q58" s="843"/>
      <c r="R58" s="252"/>
    </row>
    <row r="59" spans="1:20" ht="15" customHeight="1" thickBot="1">
      <c r="A59" s="176">
        <v>0.4</v>
      </c>
      <c r="B59" s="177">
        <v>1</v>
      </c>
      <c r="C59" s="178">
        <f>((((A59*2)+(B59*2))*'MATERIALES (2)'!$C$60)+(((A59*2)+(B59*2))*'MATERIALES (2)'!$C$79)+(((A59*2)+(B59*2))*'MATERIALES (2)'!$C$76))*'MATERIALES (2)'!$F$2</f>
        <v>63383.312999999995</v>
      </c>
      <c r="D59" s="178">
        <f>(8*'MATERIALES (2)'!$C$178)+(1*'MATERIALES (2)'!$C$187)+(2*'MATERIALES (2)'!$C$195)+(((A59*2)+(B59*2))*'MATERIALES (2)'!$C$198)+(4*'MATERIALES (2)'!$C$137)+(((A59*5)*2)*'MATERIALES (2)'!$C$136)+(((A59*2)+(B59*2))*'MATERIALES (2)'!$C$199)+((((A59*2)+(B59*2))/0.1)*'MATERIALES (2)'!$C$181)+(((A59*2)+(B59*2))*'MATERIALES (2)'!$C$154)+(2*'MATERIALES (2)'!$C$176)+(0.5*'MATERIALES (2)'!$C$156)</f>
        <v>32038</v>
      </c>
      <c r="E59" s="178">
        <f>(0.5*'MATERIALES (2)'!$D$244)</f>
        <v>0</v>
      </c>
      <c r="F59" s="179">
        <f>(A59*B59)*'MATERIALES (2)'!$D$85</f>
        <v>2960</v>
      </c>
      <c r="G59" s="179">
        <f>(((A59*B59)*2)*'MATERIALES (2)'!$D$86)+(4*'MATERIALES (2)'!$C$218)+(((A59*2)+(B59*2))*'MATERIALES (2)'!$C$219)+(((A59*2)+(B59*2))*'MATERIALES (2)'!$C$220)+((((A59*2)+(B59*2))/15)*'MATERIALES (2)'!$C$221)+((((A59*2)+(B59*2))/15)*('MATERIALES (2)'!$C$222*0.15))</f>
        <v>11952.316666666666</v>
      </c>
      <c r="H59" s="179">
        <f>(A59*B59)*'MATERIALES (2)'!$D$92</f>
        <v>14460</v>
      </c>
      <c r="I59" s="175">
        <f t="shared" ref="I59:I73" si="9">(((((C59+D59+E59)*$C$54)+(F59*$F$54))*1.21)*1.05)*1.05</f>
        <v>179744.89105101375</v>
      </c>
      <c r="J59" s="175">
        <f t="shared" ref="J59:J73" si="10">(((((C59+D59+E59)*$C$54)+(G59*$F$54))*1.21)*1.05)*1.05</f>
        <v>203736.84153351374</v>
      </c>
      <c r="K59" s="160">
        <f t="shared" ref="K59:K73" si="11">(((((C59+D59+E59)*$C$54)+(H59*$F$54))*1.21)*1.05)*1.05</f>
        <v>210427.46605101376</v>
      </c>
      <c r="N59" s="844"/>
      <c r="O59" s="845"/>
      <c r="P59" s="845"/>
      <c r="Q59" s="846"/>
      <c r="R59" s="252"/>
    </row>
    <row r="60" spans="1:20" ht="38.25" thickBot="1">
      <c r="A60" s="176">
        <v>0.4</v>
      </c>
      <c r="B60" s="177">
        <v>1.1000000000000001</v>
      </c>
      <c r="C60" s="178">
        <f>((((A60*2)+(B60*2))*'MATERIALES (2)'!$C$60)+(((A60*2)+(B60*2))*'MATERIALES (2)'!$C$79)+(((A60*2)+(B60*2))*'MATERIALES (2)'!$C$76))*'MATERIALES (2)'!$F$2</f>
        <v>67910.692500000005</v>
      </c>
      <c r="D60" s="178">
        <f>(8*'MATERIALES (2)'!$C$178)+(1*'MATERIALES (2)'!$C$187)+(2*'MATERIALES (2)'!$C$195)+(((A60*2)+(B60*2))*'MATERIALES (2)'!$C$198)+(4*'MATERIALES (2)'!$C$137)+(((A60*5)*2)*'MATERIALES (2)'!$C$136)+(((A60*2)+(B60*2))*'MATERIALES (2)'!$C$199)+((((A60*2)+(B60*2))/0.1)*'MATERIALES (2)'!$C$181)+(((A60*2)+(B60*2))*'MATERIALES (2)'!$C$154)+(2*'MATERIALES (2)'!$C$176)+(0.5*'MATERIALES (2)'!$C$156)</f>
        <v>32270</v>
      </c>
      <c r="E60" s="178">
        <f>(0.5*'MATERIALES (2)'!$D$244)</f>
        <v>0</v>
      </c>
      <c r="F60" s="179">
        <f>(A60*B60)*'MATERIALES (2)'!$D$85</f>
        <v>3256.0000000000005</v>
      </c>
      <c r="G60" s="179">
        <f>(((A60*B60)*2)*'MATERIALES (2)'!$D$86)+(4*'MATERIALES (2)'!$C$218)+(((A60*2)+(B60*2))*'MATERIALES (2)'!$C$219)+(((A60*2)+(B60*2))*'MATERIALES (2)'!$C$220)+((((A60*2)+(B60*2))/15)*'MATERIALES (2)'!$C$221)+((((A60*2)+(B60*2))/15)*('MATERIALES (2)'!$C$222*0.15))</f>
        <v>12996.225000000002</v>
      </c>
      <c r="H60" s="179">
        <f>(A60*B60)*'MATERIALES (2)'!$D$92</f>
        <v>15906.000000000002</v>
      </c>
      <c r="I60" s="175">
        <f t="shared" si="9"/>
        <v>189105.96102162189</v>
      </c>
      <c r="J60" s="175">
        <f t="shared" si="10"/>
        <v>215093.36833287191</v>
      </c>
      <c r="K60" s="160">
        <f t="shared" si="11"/>
        <v>222856.7935216219</v>
      </c>
      <c r="N60" s="239" t="s">
        <v>534</v>
      </c>
      <c r="O60" s="240" t="s">
        <v>916</v>
      </c>
      <c r="P60" s="240" t="s">
        <v>912</v>
      </c>
      <c r="Q60" s="240" t="s">
        <v>913</v>
      </c>
      <c r="R60" s="252"/>
    </row>
    <row r="61" spans="1:20" ht="16.5" thickBot="1">
      <c r="A61" s="176">
        <v>0.4</v>
      </c>
      <c r="B61" s="177">
        <v>1.2</v>
      </c>
      <c r="C61" s="178">
        <f>((((A61*2)+(B61*2))*'MATERIALES (2)'!$C$60)+(((A61*2)+(B61*2))*'MATERIALES (2)'!$C$79)+(((A61*2)+(B61*2))*'MATERIALES (2)'!$C$76))*'MATERIALES (2)'!$F$2</f>
        <v>72438.072</v>
      </c>
      <c r="D61" s="178">
        <f>(8*'MATERIALES (2)'!$C$178)+(1*'MATERIALES (2)'!$C$187)+(2*'MATERIALES (2)'!$C$195)+(((A61*2)+(B61*2))*'MATERIALES (2)'!$C$198)+(4*'MATERIALES (2)'!$C$137)+(((A61*5)*2)*'MATERIALES (2)'!$C$136)+(((A61*2)+(B61*2))*'MATERIALES (2)'!$C$199)+((((A61*2)+(B61*2))/0.1)*'MATERIALES (2)'!$C$181)+(((A61*2)+(B61*2))*'MATERIALES (2)'!$C$154)+(2*'MATERIALES (2)'!$C$176)+(0.5*'MATERIALES (2)'!$C$156)</f>
        <v>32502</v>
      </c>
      <c r="E61" s="178">
        <f>(0.5*'MATERIALES (2)'!$D$244)</f>
        <v>0</v>
      </c>
      <c r="F61" s="179">
        <f>(A61*B61)*'MATERIALES (2)'!$D$85</f>
        <v>3552</v>
      </c>
      <c r="G61" s="179">
        <f>(((A61*B61)*2)*'MATERIALES (2)'!$D$86)+(4*'MATERIALES (2)'!$C$218)+(((A61*2)+(B61*2))*'MATERIALES (2)'!$C$219)+(((A61*2)+(B61*2))*'MATERIALES (2)'!$C$220)+((((A61*2)+(B61*2))/15)*'MATERIALES (2)'!$C$221)+((((A61*2)+(B61*2))/15)*('MATERIALES (2)'!$C$222*0.15))</f>
        <v>14040.133333333333</v>
      </c>
      <c r="H61" s="179">
        <f>(A61*B61)*'MATERIALES (2)'!$D$92</f>
        <v>17352</v>
      </c>
      <c r="I61" s="175">
        <f t="shared" si="9"/>
        <v>198467.03099223005</v>
      </c>
      <c r="J61" s="175">
        <f t="shared" si="10"/>
        <v>226449.89513223004</v>
      </c>
      <c r="K61" s="160">
        <f t="shared" si="11"/>
        <v>235286.12099223002</v>
      </c>
      <c r="N61" s="245" t="s">
        <v>594</v>
      </c>
      <c r="O61" s="246">
        <f t="shared" ref="O61:O76" si="12">+I36</f>
        <v>238282.80898479754</v>
      </c>
      <c r="P61" s="246">
        <f t="shared" ref="P61:P76" si="13">+J36</f>
        <v>258283.84580979752</v>
      </c>
      <c r="Q61" s="251">
        <f t="shared" ref="Q61:Q76" si="14">K36</f>
        <v>262828.86898479756</v>
      </c>
      <c r="R61" s="252"/>
    </row>
    <row r="62" spans="1:20" ht="16.5" thickBot="1">
      <c r="A62" s="176">
        <v>0.4</v>
      </c>
      <c r="B62" s="177">
        <v>1.5</v>
      </c>
      <c r="C62" s="178">
        <f>((((A62*2)+(B62*2))*'MATERIALES (2)'!$C$60)+(((A62*2)+(B62*2))*'MATERIALES (2)'!$C$79)+(((A62*2)+(B62*2))*'MATERIALES (2)'!$C$76))*'MATERIALES (2)'!$F$2</f>
        <v>86020.210499999986</v>
      </c>
      <c r="D62" s="178">
        <f>(8*'MATERIALES (2)'!$C$178)+(1*'MATERIALES (2)'!$C$187)+(2*'MATERIALES (2)'!$C$195)+(((A62*2)+(B62*2))*'MATERIALES (2)'!$C$198)+(4*'MATERIALES (2)'!$C$137)+(((A62*5)*2)*'MATERIALES (2)'!$C$136)+(((A62*2)+(B62*2))*'MATERIALES (2)'!$C$199)+((((A62*2)+(B62*2))/0.1)*'MATERIALES (2)'!$C$181)+(((A62*2)+(B62*2))*'MATERIALES (2)'!$C$154)+(2*'MATERIALES (2)'!$C$176)+(0.5*'MATERIALES (2)'!$C$156)</f>
        <v>33198</v>
      </c>
      <c r="E62" s="178">
        <f>(0.5*'MATERIALES (2)'!$D$244)</f>
        <v>0</v>
      </c>
      <c r="F62" s="179">
        <f>(A62*B62)*'MATERIALES (2)'!$D$85</f>
        <v>4440.0000000000009</v>
      </c>
      <c r="G62" s="179">
        <f>(((A62*B62)*2)*'MATERIALES (2)'!$D$86)+(4*'MATERIALES (2)'!$C$218)+(((A62*2)+(B62*2))*'MATERIALES (2)'!$C$219)+(((A62*2)+(B62*2))*'MATERIALES (2)'!$C$220)+((((A62*2)+(B62*2))/15)*'MATERIALES (2)'!$C$221)+((((A62*2)+(B62*2))/15)*('MATERIALES (2)'!$C$222*0.15))</f>
        <v>17171.858333333337</v>
      </c>
      <c r="H62" s="179">
        <f>(A62*B62)*'MATERIALES (2)'!$D$92</f>
        <v>21690.000000000004</v>
      </c>
      <c r="I62" s="175">
        <f t="shared" si="9"/>
        <v>226550.24090405437</v>
      </c>
      <c r="J62" s="175">
        <f t="shared" si="10"/>
        <v>260519.47553030436</v>
      </c>
      <c r="K62" s="160">
        <f t="shared" si="11"/>
        <v>272574.10340405436</v>
      </c>
      <c r="N62" s="245" t="s">
        <v>595</v>
      </c>
      <c r="O62" s="246">
        <f t="shared" si="12"/>
        <v>257004.94892601375</v>
      </c>
      <c r="P62" s="246">
        <f t="shared" si="13"/>
        <v>280996.89940851374</v>
      </c>
      <c r="Q62" s="251">
        <f t="shared" si="14"/>
        <v>287687.52392601379</v>
      </c>
      <c r="R62" s="252"/>
    </row>
    <row r="63" spans="1:20" ht="16.5" thickBot="1">
      <c r="A63" s="161">
        <v>0.5</v>
      </c>
      <c r="B63" s="162">
        <v>0.8</v>
      </c>
      <c r="C63" s="75">
        <f>((((A63*2)+(B63*2))*'MATERIALES (2)'!$C$60)+(((A63*2)+(B63*2))*'MATERIALES (2)'!$C$79)+(((A63*2)+(B63*2))*'MATERIALES (2)'!$C$76))*'MATERIALES (2)'!$F$2</f>
        <v>58855.933500000006</v>
      </c>
      <c r="D63" s="75">
        <f>(8*'MATERIALES (2)'!$C$178)+(1*'MATERIALES (2)'!$C$186)+(2*'MATERIALES (2)'!$C$195)+(((A63*2)+(B63*2))*'MATERIALES (2)'!$C$198)+(4*'MATERIALES (2)'!$C$137)+(((A63*5)*2)*'MATERIALES (2)'!$C$136)+(((A63*2)+(B63*2))*'MATERIALES (2)'!$C$199)+((((A63*2)+(B63*2))/0.1)*'MATERIALES (2)'!$C$181)+(((A63*2)+(B63*2))*'MATERIALES (2)'!$C$154)+(2*'MATERIALES (2)'!$C$176)+(0.5*'MATERIALES (2)'!$C$156)</f>
        <v>30706</v>
      </c>
      <c r="E63" s="75">
        <f>(0.5*'MATERIALES (2)'!$D$244)</f>
        <v>0</v>
      </c>
      <c r="F63" s="112">
        <f>(A63*B63)*'MATERIALES (2)'!$D$85</f>
        <v>2960</v>
      </c>
      <c r="G63" s="112">
        <f>(((A63*B63)*2)*'MATERIALES (2)'!$D$86)+(4*'MATERIALES (2)'!$C$218)+(((A63*2)+(B63*2))*'MATERIALES (2)'!$C$219)+(((A63*2)+(B63*2))*'MATERIALES (2)'!$C$220)+((((A63*2)+(B63*2))/15)*'MATERIALES (2)'!$C$221)+((((A63*2)+(B63*2))/15)*('MATERIALES (2)'!$C$222*0.15))</f>
        <v>11614.008333333333</v>
      </c>
      <c r="H63" s="112">
        <f>(A63*B63)*'MATERIALES (2)'!$D$92</f>
        <v>14460</v>
      </c>
      <c r="I63" s="175">
        <f t="shared" si="9"/>
        <v>169192.53675540566</v>
      </c>
      <c r="J63" s="175">
        <f t="shared" si="10"/>
        <v>192281.86368915567</v>
      </c>
      <c r="K63" s="160">
        <f t="shared" si="11"/>
        <v>199875.11175540564</v>
      </c>
      <c r="N63" s="245" t="s">
        <v>651</v>
      </c>
      <c r="O63" s="246">
        <f t="shared" si="12"/>
        <v>266366.01889662188</v>
      </c>
      <c r="P63" s="246">
        <f t="shared" si="13"/>
        <v>292353.42620787193</v>
      </c>
      <c r="Q63" s="251">
        <f t="shared" si="14"/>
        <v>300116.85139662196</v>
      </c>
      <c r="R63" s="252"/>
    </row>
    <row r="64" spans="1:20" ht="16.5" thickBot="1">
      <c r="A64" s="176">
        <v>0.5</v>
      </c>
      <c r="B64" s="177">
        <v>1</v>
      </c>
      <c r="C64" s="178">
        <f>((((A64*2)+(B64*2))*'MATERIALES (2)'!$C$60)+(((A64*2)+(B64*2))*'MATERIALES (2)'!$C$79)+(((A64*2)+(B64*2))*'MATERIALES (2)'!$C$76))*'MATERIALES (2)'!$F$2</f>
        <v>67910.692500000005</v>
      </c>
      <c r="D64" s="178">
        <f>(8*'MATERIALES (2)'!$C$178)+(1*'MATERIALES (2)'!$C$187)+(2*'MATERIALES (2)'!$C$195)+(((A64*2)+(B64*2))*'MATERIALES (2)'!$C$198)+(4*'MATERIALES (2)'!$C$137)+(((A64*5)*2)*'MATERIALES (2)'!$C$136)+(((A64*2)+(B64*2))*'MATERIALES (2)'!$C$199)+((((A64*2)+(B64*2))/0.1)*'MATERIALES (2)'!$C$181)+(((A64*2)+(B64*2))*'MATERIALES (2)'!$C$154)+(2*'MATERIALES (2)'!$C$176)+(0.5*'MATERIALES (2)'!$C$156)</f>
        <v>32270</v>
      </c>
      <c r="E64" s="178">
        <f>(0.5*'MATERIALES (2)'!$D$244)</f>
        <v>0</v>
      </c>
      <c r="F64" s="179">
        <f>(A64*B64)*'MATERIALES (2)'!$D$85</f>
        <v>3700</v>
      </c>
      <c r="G64" s="179">
        <f>(((A64*B64)*2)*'MATERIALES (2)'!$D$86)+(4*'MATERIALES (2)'!$C$218)+(((A64*2)+(B64*2))*'MATERIALES (2)'!$C$219)+(((A64*2)+(B64*2))*'MATERIALES (2)'!$C$220)+((((A64*2)+(B64*2))/15)*'MATERIALES (2)'!$C$221)+((((A64*2)+(B64*2))/15)*('MATERIALES (2)'!$C$222*0.15))</f>
        <v>14054.625</v>
      </c>
      <c r="H64" s="179">
        <f>(A64*B64)*'MATERIALES (2)'!$D$92</f>
        <v>18075</v>
      </c>
      <c r="I64" s="175">
        <f t="shared" si="9"/>
        <v>190290.5752216219</v>
      </c>
      <c r="J64" s="175">
        <f t="shared" si="10"/>
        <v>217917.23245287189</v>
      </c>
      <c r="K64" s="160">
        <f t="shared" si="11"/>
        <v>228643.7939716219</v>
      </c>
      <c r="N64" s="245" t="s">
        <v>596</v>
      </c>
      <c r="O64" s="246">
        <f t="shared" si="12"/>
        <v>275727.08886722999</v>
      </c>
      <c r="P64" s="246">
        <f t="shared" si="13"/>
        <v>303709.95300723001</v>
      </c>
      <c r="Q64" s="251">
        <f t="shared" si="14"/>
        <v>312546.17886722996</v>
      </c>
      <c r="R64" s="252"/>
    </row>
    <row r="65" spans="1:18" ht="16.5" thickBot="1">
      <c r="A65" s="176">
        <v>0.5</v>
      </c>
      <c r="B65" s="177">
        <v>1.1000000000000001</v>
      </c>
      <c r="C65" s="178">
        <f>((((A65*2)+(B65*2))*'MATERIALES (2)'!$C$60)+(((A65*2)+(B65*2))*'MATERIALES (2)'!$C$79)+(((A65*2)+(B65*2))*'MATERIALES (2)'!$C$76))*'MATERIALES (2)'!$F$2</f>
        <v>72438.072</v>
      </c>
      <c r="D65" s="178">
        <f>(8*'MATERIALES (2)'!$C$178)+(1*'MATERIALES (2)'!$C$187)+(2*'MATERIALES (2)'!$C$195)+(((A65*2)+(B65*2))*'MATERIALES (2)'!$C$198)+(4*'MATERIALES (2)'!$C$137)+(((A65*5)*2)*'MATERIALES (2)'!$C$136)+(((A65*2)+(B65*2))*'MATERIALES (2)'!$C$199)+((((A65*2)+(B65*2))/0.1)*'MATERIALES (2)'!$C$181)+(((A65*2)+(B65*2))*'MATERIALES (2)'!$C$154)+(2*'MATERIALES (2)'!$C$176)+(0.5*'MATERIALES (2)'!$C$156)</f>
        <v>32502</v>
      </c>
      <c r="E65" s="178">
        <f>(0.5*'MATERIALES (2)'!$D$244)</f>
        <v>0</v>
      </c>
      <c r="F65" s="179">
        <f>(A65*B65)*'MATERIALES (2)'!$D$85</f>
        <v>4070.0000000000005</v>
      </c>
      <c r="G65" s="179">
        <f>(((A65*B65)*2)*'MATERIALES (2)'!$D$86)+(4*'MATERIALES (2)'!$C$218)+(((A65*2)+(B65*2))*'MATERIALES (2)'!$C$219)+(((A65*2)+(B65*2))*'MATERIALES (2)'!$C$220)+((((A65*2)+(B65*2))/15)*'MATERIALES (2)'!$C$221)+((((A65*2)+(B65*2))/15)*('MATERIALES (2)'!$C$222*0.15))</f>
        <v>15274.933333333334</v>
      </c>
      <c r="H65" s="179">
        <f>(A65*B65)*'MATERIALES (2)'!$D$92</f>
        <v>19882.5</v>
      </c>
      <c r="I65" s="175">
        <f t="shared" si="9"/>
        <v>199849.08089223003</v>
      </c>
      <c r="J65" s="175">
        <f t="shared" si="10"/>
        <v>229744.40327223003</v>
      </c>
      <c r="K65" s="160">
        <f t="shared" si="11"/>
        <v>242037.62151723003</v>
      </c>
      <c r="N65" s="245" t="s">
        <v>597</v>
      </c>
      <c r="O65" s="246">
        <f t="shared" si="12"/>
        <v>303810.29877905437</v>
      </c>
      <c r="P65" s="246">
        <f t="shared" si="13"/>
        <v>337779.53340530436</v>
      </c>
      <c r="Q65" s="251">
        <f t="shared" si="14"/>
        <v>349834.16127905442</v>
      </c>
      <c r="R65" s="252"/>
    </row>
    <row r="66" spans="1:18" ht="16.5" thickBot="1">
      <c r="A66" s="176">
        <v>0.5</v>
      </c>
      <c r="B66" s="177">
        <v>1.2</v>
      </c>
      <c r="C66" s="178">
        <f>((((A66*2)+(B66*2))*'MATERIALES (2)'!$C$60)+(((A66*2)+(B66*2))*'MATERIALES (2)'!$C$79)+(((A66*2)+(B66*2))*'MATERIALES (2)'!$C$76))*'MATERIALES (2)'!$F$2</f>
        <v>76965.45150000001</v>
      </c>
      <c r="D66" s="178">
        <f>(8*'MATERIALES (2)'!$C$178)+(1*'MATERIALES (2)'!$C$187)+(2*'MATERIALES (2)'!$C$195)+(((A66*2)+(B66*2))*'MATERIALES (2)'!$C$198)+(4*'MATERIALES (2)'!$C$137)+(((A66*5)*2)*'MATERIALES (2)'!$C$136)+(((A66*2)+(B66*2))*'MATERIALES (2)'!$C$199)+((((A66*2)+(B66*2))/0.1)*'MATERIALES (2)'!$C$181)+(((A66*2)+(B66*2))*'MATERIALES (2)'!$C$154)+(2*'MATERIALES (2)'!$C$176)+(0.5*'MATERIALES (2)'!$C$156)</f>
        <v>32734</v>
      </c>
      <c r="E66" s="178">
        <f>(0.5*'MATERIALES (2)'!$D$244)</f>
        <v>0</v>
      </c>
      <c r="F66" s="179">
        <f>(A66*B66)*'MATERIALES (2)'!$D$85</f>
        <v>4440</v>
      </c>
      <c r="G66" s="179">
        <f>(((A66*B66)*2)*'MATERIALES (2)'!$D$86)+(4*'MATERIALES (2)'!$C$218)+(((A66*2)+(B66*2))*'MATERIALES (2)'!$C$219)+(((A66*2)+(B66*2))*'MATERIALES (2)'!$C$220)+((((A66*2)+(B66*2))/15)*'MATERIALES (2)'!$C$221)+((((A66*2)+(B66*2))/15)*('MATERIALES (2)'!$C$222*0.15))</f>
        <v>16495.241666666665</v>
      </c>
      <c r="H66" s="179">
        <f>(A66*B66)*'MATERIALES (2)'!$D$92</f>
        <v>21690</v>
      </c>
      <c r="I66" s="175">
        <f t="shared" si="9"/>
        <v>209407.58656283817</v>
      </c>
      <c r="J66" s="175">
        <f t="shared" si="10"/>
        <v>241571.57409158818</v>
      </c>
      <c r="K66" s="160">
        <f t="shared" si="11"/>
        <v>255431.44906283819</v>
      </c>
      <c r="N66" s="245" t="s">
        <v>599</v>
      </c>
      <c r="O66" s="246">
        <f t="shared" si="12"/>
        <v>248433.62175540568</v>
      </c>
      <c r="P66" s="246">
        <f t="shared" si="13"/>
        <v>271522.94868915569</v>
      </c>
      <c r="Q66" s="251">
        <f t="shared" si="14"/>
        <v>279116.19675540569</v>
      </c>
      <c r="R66" s="252"/>
    </row>
    <row r="67" spans="1:18" ht="16.5" thickBot="1">
      <c r="A67" s="176">
        <v>0.5</v>
      </c>
      <c r="B67" s="177">
        <v>1.5</v>
      </c>
      <c r="C67" s="178">
        <f>((((A67*2)+(B67*2))*'MATERIALES (2)'!$C$60)+(((A67*2)+(B67*2))*'MATERIALES (2)'!$C$79)+(((A67*2)+(B67*2))*'MATERIALES (2)'!$C$76))*'MATERIALES (2)'!$F$2</f>
        <v>90547.59</v>
      </c>
      <c r="D67" s="178">
        <f>(8*'MATERIALES (2)'!$C$178)+(1*'MATERIALES (2)'!$C$187)+(2*'MATERIALES (2)'!$C$195)+(((A67*2)+(B67*2))*'MATERIALES (2)'!$C$198)+(4*'MATERIALES (2)'!$C$137)+(((A67*5)*2)*'MATERIALES (2)'!$C$136)+(((A67*2)+(B67*2))*'MATERIALES (2)'!$C$199)+((((A67*2)+(B67*2))/0.1)*'MATERIALES (2)'!$C$181)+(((A67*2)+(B67*2))*'MATERIALES (2)'!$C$154)+(2*'MATERIALES (2)'!$C$176)+(0.5*'MATERIALES (2)'!$C$156)</f>
        <v>33430</v>
      </c>
      <c r="E67" s="178">
        <f>(0.5*'MATERIALES (2)'!$D$244)</f>
        <v>0</v>
      </c>
      <c r="F67" s="179">
        <f>(A67*B67)*'MATERIALES (2)'!$D$85</f>
        <v>5550</v>
      </c>
      <c r="G67" s="179">
        <f>(((A67*B67)*2)*'MATERIALES (2)'!$D$86)+(4*'MATERIALES (2)'!$C$218)+(((A67*2)+(B67*2))*'MATERIALES (2)'!$C$219)+(((A67*2)+(B67*2))*'MATERIALES (2)'!$C$220)+((((A67*2)+(B67*2))/15)*'MATERIALES (2)'!$C$221)+((((A67*2)+(B67*2))/15)*('MATERIALES (2)'!$C$222*0.15))</f>
        <v>20156.166666666668</v>
      </c>
      <c r="H67" s="179">
        <f>(A67*B67)*'MATERIALES (2)'!$D$92</f>
        <v>27112.5</v>
      </c>
      <c r="I67" s="175">
        <f t="shared" si="9"/>
        <v>238083.1035746625</v>
      </c>
      <c r="J67" s="175">
        <f t="shared" si="10"/>
        <v>277053.08654966258</v>
      </c>
      <c r="K67" s="160">
        <f t="shared" si="11"/>
        <v>295612.93169966259</v>
      </c>
      <c r="N67" s="245" t="s">
        <v>600</v>
      </c>
      <c r="O67" s="246">
        <f t="shared" si="12"/>
        <v>267550.6330966219</v>
      </c>
      <c r="P67" s="246">
        <f t="shared" si="13"/>
        <v>295177.29032787192</v>
      </c>
      <c r="Q67" s="251">
        <f t="shared" si="14"/>
        <v>305903.8518466219</v>
      </c>
      <c r="R67" s="252"/>
    </row>
    <row r="68" spans="1:18" ht="16.5" thickBot="1">
      <c r="A68" s="161">
        <v>0.6</v>
      </c>
      <c r="B68" s="162">
        <v>0.4</v>
      </c>
      <c r="C68" s="75">
        <f>((((A68*2)+(B68*2))*'MATERIALES (2)'!$C$60)+(((A68*2)+(B68*2))*'MATERIALES (2)'!$C$79)+(((A68*2)+(B68*2))*'MATERIALES (2)'!$C$76))*'MATERIALES (2)'!$F$2</f>
        <v>45273.794999999998</v>
      </c>
      <c r="D68" s="75">
        <f>(8*'MATERIALES (2)'!$C$178)+(1*'MATERIALES (2)'!$C$186)+(2*'MATERIALES (2)'!$C$195)+(((A68*2)+(B68*2))*'MATERIALES (2)'!$C$198)+(4*'MATERIALES (2)'!$C$137)+(((A68*5)*2)*'MATERIALES (2)'!$C$136)+(((A68*2)+(B68*2))*'MATERIALES (2)'!$C$199)+((((A68*2)+(B68*2))/0.1)*'MATERIALES (2)'!$C$181)+(((A68*2)+(B68*2))*'MATERIALES (2)'!$C$154)+(2*'MATERIALES (2)'!$C$176)+(0.5*'MATERIALES (2)'!$C$156)</f>
        <v>30010</v>
      </c>
      <c r="E68" s="75">
        <f>(0.5*'MATERIALES (2)'!$D$244)</f>
        <v>0</v>
      </c>
      <c r="F68" s="112">
        <f>(A68*B68)*'MATERIALES (2)'!$D$85</f>
        <v>1776</v>
      </c>
      <c r="G68" s="112">
        <f>(((A68*B68)*2)*'MATERIALES (2)'!$D$86)+(4*'MATERIALES (2)'!$C$218)+(((A68*2)+(B68*2))*'MATERIALES (2)'!$C$219)+(((A68*2)+(B68*2))*'MATERIALES (2)'!$C$220)+((((A68*2)+(B68*2))/15)*'MATERIALES (2)'!$C$221)+((((A68*2)+(B68*2))/15)*('MATERIALES (2)'!$C$222*0.15))</f>
        <v>7776.6833333333325</v>
      </c>
      <c r="H68" s="112">
        <f>(A68*B68)*'MATERIALES (2)'!$D$92</f>
        <v>8676</v>
      </c>
      <c r="I68" s="175">
        <f t="shared" si="9"/>
        <v>140319.58404358127</v>
      </c>
      <c r="J68" s="175">
        <f t="shared" si="10"/>
        <v>156329.70721108129</v>
      </c>
      <c r="K68" s="160">
        <f t="shared" si="11"/>
        <v>158729.12904358126</v>
      </c>
      <c r="N68" s="245" t="s">
        <v>652</v>
      </c>
      <c r="O68" s="246">
        <f t="shared" si="12"/>
        <v>277109.13876723003</v>
      </c>
      <c r="P68" s="246">
        <f t="shared" si="13"/>
        <v>307004.46114723</v>
      </c>
      <c r="Q68" s="251">
        <f t="shared" si="14"/>
        <v>319297.67939222994</v>
      </c>
      <c r="R68" s="252"/>
    </row>
    <row r="69" spans="1:18" ht="16.5" thickBot="1">
      <c r="A69" s="161">
        <v>0.6</v>
      </c>
      <c r="B69" s="162">
        <v>0.8</v>
      </c>
      <c r="C69" s="75">
        <f>((((A69*2)+(B69*2))*'MATERIALES (2)'!$C$60)+(((A69*2)+(B69*2))*'MATERIALES (2)'!$C$79)+(((A69*2)+(B69*2))*'MATERIALES (2)'!$C$76))*'MATERIALES (2)'!$F$2</f>
        <v>63383.312999999995</v>
      </c>
      <c r="D69" s="75">
        <f>(8*'MATERIALES (2)'!$C$178)+(1*'MATERIALES (2)'!$C$186)+(2*'MATERIALES (2)'!$C$195)+(((A69*2)+(B69*2))*'MATERIALES (2)'!$C$198)+(4*'MATERIALES (2)'!$C$137)+(((A69*5)*2)*'MATERIALES (2)'!$C$136)+(((A69*2)+(B69*2))*'MATERIALES (2)'!$C$199)+((((A69*2)+(B69*2))/0.1)*'MATERIALES (2)'!$C$181)+(((A69*2)+(B69*2))*'MATERIALES (2)'!$C$154)+(2*'MATERIALES (2)'!$C$176)+(0.5*'MATERIALES (2)'!$C$156)</f>
        <v>30938</v>
      </c>
      <c r="E69" s="75">
        <f>(0.5*'MATERIALES (2)'!$D$244)</f>
        <v>0</v>
      </c>
      <c r="F69" s="112">
        <f>(A69*B69)*'MATERIALES (2)'!$D$85</f>
        <v>3552</v>
      </c>
      <c r="G69" s="112">
        <f>(((A69*B69)*2)*'MATERIALES (2)'!$D$86)+(4*'MATERIALES (2)'!$C$218)+(((A69*2)+(B69*2))*'MATERIALES (2)'!$C$219)+(((A69*2)+(B69*2))*'MATERIALES (2)'!$C$220)+((((A69*2)+(B69*2))/15)*'MATERIALES (2)'!$C$221)+((((A69*2)+(B69*2))/15)*('MATERIALES (2)'!$C$222*0.15))</f>
        <v>13363.516666666665</v>
      </c>
      <c r="H69" s="112">
        <f>(A69*B69)*'MATERIALES (2)'!$D$92</f>
        <v>17352</v>
      </c>
      <c r="I69" s="175">
        <f t="shared" si="9"/>
        <v>179343.34952601374</v>
      </c>
      <c r="J69" s="175">
        <f t="shared" si="10"/>
        <v>205520.96656851374</v>
      </c>
      <c r="K69" s="160">
        <f t="shared" si="11"/>
        <v>216162.43952601377</v>
      </c>
      <c r="N69" s="249" t="s">
        <v>601</v>
      </c>
      <c r="O69" s="246">
        <f t="shared" si="12"/>
        <v>286667.64443783817</v>
      </c>
      <c r="P69" s="246">
        <f t="shared" si="13"/>
        <v>318831.6319665882</v>
      </c>
      <c r="Q69" s="251">
        <f t="shared" si="14"/>
        <v>332691.50693783828</v>
      </c>
      <c r="R69" s="252"/>
    </row>
    <row r="70" spans="1:18" ht="16.5" thickBot="1">
      <c r="A70" s="176">
        <v>0.6</v>
      </c>
      <c r="B70" s="177">
        <v>1</v>
      </c>
      <c r="C70" s="178">
        <f>((((A70*2)+(B70*2))*'MATERIALES (2)'!$C$60)+(((A70*2)+(B70*2))*'MATERIALES (2)'!$C$79)+(((A70*2)+(B70*2))*'MATERIALES (2)'!$C$76))*'MATERIALES (2)'!$F$2</f>
        <v>72438.072</v>
      </c>
      <c r="D70" s="178">
        <f>(8*'MATERIALES (2)'!$C$178)+(1*'MATERIALES (2)'!$C$187)+(2*'MATERIALES (2)'!$C$195)+(((A70*2)+(B70*2))*'MATERIALES (2)'!$C$198)+(4*'MATERIALES (2)'!$C$137)+(((A70*5)*2)*'MATERIALES (2)'!$C$136)+(((A70*2)+(B70*2))*'MATERIALES (2)'!$C$199)+((((A70*2)+(B70*2))/0.1)*'MATERIALES (2)'!$C$181)+(((A70*2)+(B70*2))*'MATERIALES (2)'!$C$154)+(2*'MATERIALES (2)'!$C$176)+(0.5*'MATERIALES (2)'!$C$156)</f>
        <v>32502</v>
      </c>
      <c r="E70" s="178">
        <f>(0.5*'MATERIALES (2)'!$D$244)</f>
        <v>0</v>
      </c>
      <c r="F70" s="179">
        <f>(A70*B70)*'MATERIALES (2)'!$D$85</f>
        <v>4440</v>
      </c>
      <c r="G70" s="179">
        <f>(((A70*B70)*2)*'MATERIALES (2)'!$D$86)+(4*'MATERIALES (2)'!$C$218)+(((A70*2)+(B70*2))*'MATERIALES (2)'!$C$219)+(((A70*2)+(B70*2))*'MATERIALES (2)'!$C$220)+((((A70*2)+(B70*2))/15)*'MATERIALES (2)'!$C$221)+((((A70*2)+(B70*2))/15)*('MATERIALES (2)'!$C$222*0.15))</f>
        <v>16156.933333333334</v>
      </c>
      <c r="H70" s="179">
        <f>(A70*B70)*'MATERIALES (2)'!$D$92</f>
        <v>21690</v>
      </c>
      <c r="I70" s="175">
        <f t="shared" si="9"/>
        <v>200836.25939223004</v>
      </c>
      <c r="J70" s="175">
        <f t="shared" si="10"/>
        <v>232097.62337223001</v>
      </c>
      <c r="K70" s="160">
        <f t="shared" si="11"/>
        <v>246860.12189223003</v>
      </c>
      <c r="N70" s="249" t="s">
        <v>602</v>
      </c>
      <c r="O70" s="246">
        <f t="shared" si="12"/>
        <v>315343.16144966253</v>
      </c>
      <c r="P70" s="246">
        <f t="shared" si="13"/>
        <v>354313.14442466252</v>
      </c>
      <c r="Q70" s="251">
        <f t="shared" si="14"/>
        <v>372872.98957466253</v>
      </c>
      <c r="R70" s="252"/>
    </row>
    <row r="71" spans="1:18" ht="16.5" thickBot="1">
      <c r="A71" s="176">
        <v>0.6</v>
      </c>
      <c r="B71" s="177">
        <v>1.1000000000000001</v>
      </c>
      <c r="C71" s="178">
        <f>((((A71*2)+(B71*2))*'MATERIALES (2)'!$C$60)+(((A71*2)+(B71*2))*'MATERIALES (2)'!$C$79)+(((A71*2)+(B71*2))*'MATERIALES (2)'!$C$76))*'MATERIALES (2)'!$F$2</f>
        <v>76965.45150000001</v>
      </c>
      <c r="D71" s="178">
        <f>(8*'MATERIALES (2)'!$C$178)+(1*'MATERIALES (2)'!$C$187)+(2*'MATERIALES (2)'!$C$195)+(((A71*2)+(B71*2))*'MATERIALES (2)'!$C$198)+(4*'MATERIALES (2)'!$C$137)+(((A71*5)*2)*'MATERIALES (2)'!$C$136)+(((A71*2)+(B71*2))*'MATERIALES (2)'!$C$199)+((((A71*2)+(B71*2))/0.1)*'MATERIALES (2)'!$C$181)+(((A71*2)+(B71*2))*'MATERIALES (2)'!$C$154)+(2*'MATERIALES (2)'!$C$176)+(0.5*'MATERIALES (2)'!$C$156)</f>
        <v>32734</v>
      </c>
      <c r="E71" s="178">
        <f>(0.5*'MATERIALES (2)'!$D$244)</f>
        <v>0</v>
      </c>
      <c r="F71" s="179">
        <f>(A71*B71)*'MATERIALES (2)'!$D$85</f>
        <v>4884</v>
      </c>
      <c r="G71" s="179">
        <f>(((A71*B71)*2)*'MATERIALES (2)'!$D$86)+(4*'MATERIALES (2)'!$C$218)+(((A71*2)+(B71*2))*'MATERIALES (2)'!$C$219)+(((A71*2)+(B71*2))*'MATERIALES (2)'!$C$220)+((((A71*2)+(B71*2))/15)*'MATERIALES (2)'!$C$221)+((((A71*2)+(B71*2))/15)*('MATERIALES (2)'!$C$222*0.15))</f>
        <v>17553.64166666667</v>
      </c>
      <c r="H71" s="179">
        <f>(A71*B71)*'MATERIALES (2)'!$D$92</f>
        <v>23859</v>
      </c>
      <c r="I71" s="175">
        <f t="shared" si="9"/>
        <v>210592.20076283815</v>
      </c>
      <c r="J71" s="175">
        <f t="shared" si="10"/>
        <v>244395.43821158819</v>
      </c>
      <c r="K71" s="160">
        <f t="shared" si="11"/>
        <v>261218.44951283815</v>
      </c>
      <c r="N71" s="249" t="s">
        <v>540</v>
      </c>
      <c r="O71" s="246">
        <f t="shared" si="12"/>
        <v>239072.55178479754</v>
      </c>
      <c r="P71" s="246">
        <f t="shared" si="13"/>
        <v>260166.42188979755</v>
      </c>
      <c r="Q71" s="251">
        <f t="shared" si="14"/>
        <v>266686.86928479752</v>
      </c>
      <c r="R71" s="252"/>
    </row>
    <row r="72" spans="1:18" ht="16.5" thickBot="1">
      <c r="A72" s="176">
        <v>0.6</v>
      </c>
      <c r="B72" s="177">
        <v>1.2</v>
      </c>
      <c r="C72" s="178">
        <f>((((A72*2)+(B72*2))*'MATERIALES (2)'!$C$60)+(((A72*2)+(B72*2))*'MATERIALES (2)'!$C$79)+(((A72*2)+(B72*2))*'MATERIALES (2)'!$C$76))*'MATERIALES (2)'!$F$2</f>
        <v>81492.830999999991</v>
      </c>
      <c r="D72" s="178">
        <f>(8*'MATERIALES (2)'!$C$178)+(1*'MATERIALES (2)'!$C$187)+(2*'MATERIALES (2)'!$C$195)+(((A72*2)+(B72*2))*'MATERIALES (2)'!$C$198)+(4*'MATERIALES (2)'!$C$137)+(((A72*5)*2)*'MATERIALES (2)'!$C$136)+(((A72*2)+(B72*2))*'MATERIALES (2)'!$C$199)+((((A72*2)+(B72*2))/0.1)*'MATERIALES (2)'!$C$181)+(((A72*2)+(B72*2))*'MATERIALES (2)'!$C$154)+(2*'MATERIALES (2)'!$C$176)+(0.5*'MATERIALES (2)'!$C$156)</f>
        <v>32966</v>
      </c>
      <c r="E72" s="178">
        <f>(0.5*'MATERIALES (2)'!$D$244)</f>
        <v>0</v>
      </c>
      <c r="F72" s="179">
        <f>(A72*B72)*'MATERIALES (2)'!$D$85</f>
        <v>5328</v>
      </c>
      <c r="G72" s="179">
        <f>(((A72*B72)*2)*'MATERIALES (2)'!$D$86)+(4*'MATERIALES (2)'!$C$218)+(((A72*2)+(B72*2))*'MATERIALES (2)'!$C$219)+(((A72*2)+(B72*2))*'MATERIALES (2)'!$C$220)+((((A72*2)+(B72*2))/15)*'MATERIALES (2)'!$C$221)+((((A72*2)+(B72*2))/15)*('MATERIALES (2)'!$C$222*0.15))</f>
        <v>18950.349999999999</v>
      </c>
      <c r="H72" s="179">
        <f>(A72*B72)*'MATERIALES (2)'!$D$92</f>
        <v>26028</v>
      </c>
      <c r="I72" s="175">
        <f t="shared" si="9"/>
        <v>220348.14213344624</v>
      </c>
      <c r="J72" s="175">
        <f t="shared" si="10"/>
        <v>256693.25305094628</v>
      </c>
      <c r="K72" s="160">
        <f t="shared" si="11"/>
        <v>275576.77713344624</v>
      </c>
      <c r="N72" s="249" t="s">
        <v>603</v>
      </c>
      <c r="O72" s="246">
        <f t="shared" si="12"/>
        <v>258584.43452601376</v>
      </c>
      <c r="P72" s="246">
        <f t="shared" si="13"/>
        <v>284762.05156851374</v>
      </c>
      <c r="Q72" s="251">
        <f t="shared" si="14"/>
        <v>295403.52452601382</v>
      </c>
      <c r="R72" s="252"/>
    </row>
    <row r="73" spans="1:18" ht="16.5" thickBot="1">
      <c r="A73" s="182">
        <v>0.6</v>
      </c>
      <c r="B73" s="183">
        <v>1.5</v>
      </c>
      <c r="C73" s="184">
        <f>((((A73*2)+(B73*2))*'MATERIALES (2)'!$C$60)+(((A73*2)+(B73*2))*'MATERIALES (2)'!$C$79)+(((A73*2)+(B73*2))*'MATERIALES (2)'!$C$76))*'MATERIALES (2)'!$F$2</f>
        <v>95074.969499999992</v>
      </c>
      <c r="D73" s="184">
        <f>(8*'MATERIALES (2)'!$C$178)+(1*'MATERIALES (2)'!$C$187)+(2*'MATERIALES (2)'!$C$195)+(((A73*2)+(B73*2))*'MATERIALES (2)'!$C$198)+(4*'MATERIALES (2)'!$C$137)+(((A73*5)*2)*'MATERIALES (2)'!$C$136)+(((A73*2)+(B73*2))*'MATERIALES (2)'!$C$199)+((((A73*2)+(B73*2))/0.1)*'MATERIALES (2)'!$C$181)+(((A73*2)+(B73*2))*'MATERIALES (2)'!$C$154)+(2*'MATERIALES (2)'!$C$176)+(0.5*'MATERIALES (2)'!$C$156)</f>
        <v>33662</v>
      </c>
      <c r="E73" s="184">
        <f>(0.5*'MATERIALES (2)'!$D$244)</f>
        <v>0</v>
      </c>
      <c r="F73" s="185">
        <f>(A73*B73)*'MATERIALES (2)'!$D$85</f>
        <v>6659.9999999999991</v>
      </c>
      <c r="G73" s="185">
        <f>(((A73*B73)*2)*'MATERIALES (2)'!$D$86)+(4*'MATERIALES (2)'!$C$218)+(((A73*2)+(B73*2))*'MATERIALES (2)'!$C$219)+(((A73*2)+(B73*2))*'MATERIALES (2)'!$C$220)+((((A73*2)+(B73*2))/15)*'MATERIALES (2)'!$C$221)+((((A73*2)+(B73*2))/15)*('MATERIALES (2)'!$C$222*0.15))</f>
        <v>23140.474999999999</v>
      </c>
      <c r="H73" s="185">
        <f>(A73*B73)*'MATERIALES (2)'!$D$92</f>
        <v>32534.999999999996</v>
      </c>
      <c r="I73" s="175">
        <f t="shared" si="9"/>
        <v>249615.9662452706</v>
      </c>
      <c r="J73" s="175">
        <f t="shared" si="10"/>
        <v>293586.69756902062</v>
      </c>
      <c r="K73" s="160">
        <f t="shared" si="11"/>
        <v>318651.75999527064</v>
      </c>
      <c r="N73" s="249" t="s">
        <v>604</v>
      </c>
      <c r="O73" s="246">
        <f t="shared" si="12"/>
        <v>278096.31726723001</v>
      </c>
      <c r="P73" s="246">
        <f t="shared" si="13"/>
        <v>309357.68124722998</v>
      </c>
      <c r="Q73" s="251">
        <f t="shared" si="14"/>
        <v>324120.17976723</v>
      </c>
      <c r="R73" s="252"/>
    </row>
    <row r="74" spans="1:18" ht="15.75">
      <c r="N74" s="249" t="s">
        <v>653</v>
      </c>
      <c r="O74" s="246">
        <f t="shared" si="12"/>
        <v>287852.25863783824</v>
      </c>
      <c r="P74" s="246">
        <f t="shared" si="13"/>
        <v>321655.49608658819</v>
      </c>
      <c r="Q74" s="251">
        <f t="shared" si="14"/>
        <v>338478.50738783827</v>
      </c>
      <c r="R74" s="252"/>
    </row>
    <row r="75" spans="1:18" ht="15.75">
      <c r="N75" s="249" t="s">
        <v>605</v>
      </c>
      <c r="O75" s="246">
        <f t="shared" si="12"/>
        <v>297608.20000844629</v>
      </c>
      <c r="P75" s="246">
        <f t="shared" si="13"/>
        <v>333953.31092594628</v>
      </c>
      <c r="Q75" s="251">
        <f t="shared" si="14"/>
        <v>352836.83500844636</v>
      </c>
      <c r="R75" s="252"/>
    </row>
    <row r="76" spans="1:18" ht="15.75">
      <c r="N76" s="249" t="s">
        <v>606</v>
      </c>
      <c r="O76" s="246">
        <f t="shared" si="12"/>
        <v>326876.02412027068</v>
      </c>
      <c r="P76" s="246">
        <f t="shared" si="13"/>
        <v>370846.75544402067</v>
      </c>
      <c r="Q76" s="251">
        <f t="shared" si="14"/>
        <v>395911.81787027069</v>
      </c>
      <c r="R76" s="252"/>
    </row>
    <row r="77" spans="1:18" ht="15.75">
      <c r="N77" s="405"/>
      <c r="O77" s="248"/>
      <c r="P77" s="248"/>
      <c r="Q77" s="252"/>
      <c r="R77" s="252"/>
    </row>
    <row r="79" spans="1:18">
      <c r="N79" s="904" t="s">
        <v>674</v>
      </c>
      <c r="O79" s="905"/>
      <c r="P79" s="905"/>
      <c r="Q79" s="905"/>
      <c r="R79" s="906"/>
    </row>
    <row r="80" spans="1:18" ht="15.75" customHeight="1">
      <c r="N80" s="907"/>
      <c r="O80" s="908"/>
      <c r="P80" s="908"/>
      <c r="Q80" s="908"/>
      <c r="R80" s="909"/>
    </row>
    <row r="81" spans="13:18" ht="38.25" thickBot="1">
      <c r="N81" s="239" t="s">
        <v>534</v>
      </c>
      <c r="O81" s="240" t="s">
        <v>916</v>
      </c>
      <c r="P81" s="240" t="s">
        <v>912</v>
      </c>
      <c r="Q81" s="240" t="s">
        <v>913</v>
      </c>
      <c r="R81" s="240" t="s">
        <v>645</v>
      </c>
    </row>
    <row r="82" spans="13:18" ht="15.75">
      <c r="N82" s="245" t="s">
        <v>599</v>
      </c>
      <c r="O82" s="246">
        <f t="shared" ref="O82:O92" si="15">+I18</f>
        <v>224985.35897578127</v>
      </c>
      <c r="P82" s="246">
        <f t="shared" ref="P82:P92" si="16">+J18</f>
        <v>248074.68590953125</v>
      </c>
      <c r="Q82" s="251">
        <f t="shared" ref="Q82:Q92" si="17">+K18</f>
        <v>255667.93397578126</v>
      </c>
      <c r="R82" s="250">
        <f>+'MODENA CORREDIZA'!M20</f>
        <v>35961.981605549925</v>
      </c>
    </row>
    <row r="83" spans="13:18" ht="15.75">
      <c r="N83" s="245" t="s">
        <v>600</v>
      </c>
      <c r="O83" s="246">
        <f t="shared" si="15"/>
        <v>242157.34565859375</v>
      </c>
      <c r="P83" s="246">
        <f t="shared" si="16"/>
        <v>269784.00288984377</v>
      </c>
      <c r="Q83" s="251">
        <f t="shared" si="17"/>
        <v>280510.56440859375</v>
      </c>
      <c r="R83" s="250">
        <f>+'MODENA CORREDIZA'!M21</f>
        <v>44907.453663187596</v>
      </c>
    </row>
    <row r="84" spans="13:18" ht="15.75">
      <c r="N84" s="245" t="s">
        <v>652</v>
      </c>
      <c r="O84" s="246">
        <f t="shared" si="15"/>
        <v>250743.33900000004</v>
      </c>
      <c r="P84" s="246">
        <f t="shared" si="16"/>
        <v>280638.66138000001</v>
      </c>
      <c r="Q84" s="251">
        <f t="shared" si="17"/>
        <v>292931.879625</v>
      </c>
      <c r="R84" s="250">
        <f>+'MODENA CORREDIZA'!M22</f>
        <v>49380.189692006272</v>
      </c>
    </row>
    <row r="85" spans="13:18" ht="15.75">
      <c r="N85" s="249" t="s">
        <v>601</v>
      </c>
      <c r="O85" s="246">
        <f t="shared" si="15"/>
        <v>259329.33234140629</v>
      </c>
      <c r="P85" s="246">
        <f t="shared" si="16"/>
        <v>291493.31987015624</v>
      </c>
      <c r="Q85" s="251">
        <f t="shared" si="17"/>
        <v>305353.19484140625</v>
      </c>
      <c r="R85" s="250">
        <f>+'MODENA CORREDIZA'!M23</f>
        <v>53852.925720824976</v>
      </c>
    </row>
    <row r="86" spans="13:18" ht="15.75">
      <c r="N86" s="249" t="s">
        <v>602</v>
      </c>
      <c r="O86" s="246">
        <f t="shared" si="15"/>
        <v>285087.31236562505</v>
      </c>
      <c r="P86" s="246">
        <f t="shared" si="16"/>
        <v>324057.29534062505</v>
      </c>
      <c r="Q86" s="251">
        <f t="shared" si="17"/>
        <v>342617.14049062505</v>
      </c>
      <c r="R86" s="250">
        <f>+'MODENA CORREDIZA'!M24</f>
        <v>67271.133807281265</v>
      </c>
    </row>
    <row r="87" spans="13:18" ht="15.75">
      <c r="N87" s="249" t="s">
        <v>540</v>
      </c>
      <c r="O87" s="246">
        <f t="shared" si="15"/>
        <v>216596.80133437499</v>
      </c>
      <c r="P87" s="246">
        <f t="shared" si="16"/>
        <v>237690.67143937503</v>
      </c>
      <c r="Q87" s="251">
        <f t="shared" si="17"/>
        <v>244211.11883437503</v>
      </c>
      <c r="R87" s="250">
        <f>+'MODENA CORREDIZA'!M12</f>
        <v>27016.509547912516</v>
      </c>
    </row>
    <row r="88" spans="13:18" ht="15.75">
      <c r="N88" s="249" t="s">
        <v>603</v>
      </c>
      <c r="O88" s="246">
        <f t="shared" si="15"/>
        <v>234163.6594171875</v>
      </c>
      <c r="P88" s="246">
        <f t="shared" si="16"/>
        <v>260341.27645968751</v>
      </c>
      <c r="Q88" s="251">
        <f t="shared" si="17"/>
        <v>270982.74941718753</v>
      </c>
      <c r="R88" s="250">
        <f>+'MODENA CORREDIZA'!M13</f>
        <v>35961.981605549983</v>
      </c>
    </row>
    <row r="89" spans="13:18" ht="15.75">
      <c r="N89" s="249" t="s">
        <v>604</v>
      </c>
      <c r="O89" s="246">
        <f t="shared" si="15"/>
        <v>251730.51750000002</v>
      </c>
      <c r="P89" s="246">
        <f t="shared" si="16"/>
        <v>282991.88148000004</v>
      </c>
      <c r="Q89" s="251">
        <f t="shared" si="17"/>
        <v>297754.38000000006</v>
      </c>
      <c r="R89" s="250">
        <f>+'MODENA CORREDIZA'!M14</f>
        <v>44907.453663187509</v>
      </c>
    </row>
    <row r="90" spans="13:18" ht="15.75">
      <c r="M90" s="4"/>
      <c r="N90" s="249" t="s">
        <v>653</v>
      </c>
      <c r="O90" s="246">
        <f t="shared" si="15"/>
        <v>260513.94654140624</v>
      </c>
      <c r="P90" s="246">
        <f t="shared" si="16"/>
        <v>294317.18399015628</v>
      </c>
      <c r="Q90" s="251">
        <f t="shared" si="17"/>
        <v>311140.19529140624</v>
      </c>
      <c r="R90" s="250">
        <f>+'MODENA CORREDIZA'!M15</f>
        <v>49380.189692006184</v>
      </c>
    </row>
    <row r="91" spans="13:18" ht="15.75">
      <c r="N91" s="249" t="s">
        <v>605</v>
      </c>
      <c r="O91" s="246">
        <f t="shared" si="15"/>
        <v>269297.37558281253</v>
      </c>
      <c r="P91" s="246">
        <f t="shared" si="16"/>
        <v>305642.48650031257</v>
      </c>
      <c r="Q91" s="251">
        <f t="shared" si="17"/>
        <v>324526.01058281254</v>
      </c>
      <c r="R91" s="250">
        <f>+'MODENA CORREDIZA'!M16</f>
        <v>53852.92572082486</v>
      </c>
    </row>
    <row r="92" spans="13:18" ht="15.75">
      <c r="N92" s="249" t="s">
        <v>606</v>
      </c>
      <c r="O92" s="246">
        <f t="shared" si="15"/>
        <v>295647.66270703124</v>
      </c>
      <c r="P92" s="246">
        <f t="shared" si="16"/>
        <v>339618.39403078129</v>
      </c>
      <c r="Q92" s="251">
        <f t="shared" si="17"/>
        <v>364683.45645703131</v>
      </c>
      <c r="R92" s="250">
        <f>+'MODENA CORREDIZA'!M17</f>
        <v>67271.133807281265</v>
      </c>
    </row>
  </sheetData>
  <mergeCells count="21">
    <mergeCell ref="A57:K57"/>
    <mergeCell ref="N37:Q38"/>
    <mergeCell ref="N79:R80"/>
    <mergeCell ref="N58:Q59"/>
    <mergeCell ref="T35:T51"/>
    <mergeCell ref="L14:L17"/>
    <mergeCell ref="L19:L22"/>
    <mergeCell ref="L23:L24"/>
    <mergeCell ref="L25:L28"/>
    <mergeCell ref="A55:K55"/>
    <mergeCell ref="C32:E32"/>
    <mergeCell ref="F32:G32"/>
    <mergeCell ref="A33:K33"/>
    <mergeCell ref="A35:K35"/>
    <mergeCell ref="C54:E54"/>
    <mergeCell ref="F54:G54"/>
    <mergeCell ref="C2:E2"/>
    <mergeCell ref="F2:G2"/>
    <mergeCell ref="A3:K3"/>
    <mergeCell ref="A5:K5"/>
    <mergeCell ref="L6:L13"/>
  </mergeCells>
  <pageMargins left="1.79" right="0.70866141732283472" top="0.51181102362204722" bottom="0.51181102362204722" header="0.31496062992125984" footer="0.31496062992125984"/>
  <pageSetup scale="60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9"/>
  <sheetViews>
    <sheetView workbookViewId="0">
      <selection activeCell="B3" sqref="B3"/>
    </sheetView>
  </sheetViews>
  <sheetFormatPr baseColWidth="10" defaultRowHeight="15"/>
  <sheetData>
    <row r="3" spans="2:2" ht="21">
      <c r="B3" s="767"/>
    </row>
    <row r="4" spans="2:2" ht="21">
      <c r="B4" s="767"/>
    </row>
    <row r="5" spans="2:2" ht="21">
      <c r="B5" s="767"/>
    </row>
    <row r="6" spans="2:2" ht="21">
      <c r="B6" s="767"/>
    </row>
    <row r="7" spans="2:2" ht="21">
      <c r="B7" s="767"/>
    </row>
    <row r="8" spans="2:2" ht="21">
      <c r="B8" s="767"/>
    </row>
    <row r="9" spans="2:2" ht="21">
      <c r="B9" s="767"/>
    </row>
    <row r="10" spans="2:2" ht="21">
      <c r="B10" s="767"/>
    </row>
    <row r="11" spans="2:2" ht="21">
      <c r="B11" s="767"/>
    </row>
    <row r="12" spans="2:2" ht="21">
      <c r="B12" s="767"/>
    </row>
    <row r="13" spans="2:2" ht="21">
      <c r="B13" s="767" t="s">
        <v>1053</v>
      </c>
    </row>
    <row r="19" spans="2:2" ht="21">
      <c r="B19" s="767" t="s">
        <v>1054</v>
      </c>
    </row>
  </sheetData>
  <pageMargins left="0.7" right="0.7" top="0.75" bottom="0.75" header="0.3" footer="0.3"/>
  <pageSetup orientation="portrait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1"/>
  <sheetViews>
    <sheetView topLeftCell="L1" zoomScale="90" zoomScaleNormal="90" workbookViewId="0">
      <selection activeCell="U5" sqref="U5"/>
    </sheetView>
  </sheetViews>
  <sheetFormatPr baseColWidth="10" defaultRowHeight="15"/>
  <cols>
    <col min="1" max="1" width="7" hidden="1" customWidth="1"/>
    <col min="2" max="2" width="4.7109375" hidden="1" customWidth="1"/>
    <col min="3" max="3" width="13.28515625" hidden="1" customWidth="1"/>
    <col min="4" max="4" width="12.140625" hidden="1" customWidth="1"/>
    <col min="5" max="5" width="8.140625" hidden="1" customWidth="1"/>
    <col min="6" max="6" width="12.140625" hidden="1" customWidth="1"/>
    <col min="7" max="11" width="13.28515625" hidden="1" customWidth="1"/>
    <col min="12" max="12" width="4.42578125" customWidth="1"/>
    <col min="13" max="13" width="16.140625" bestFit="1" customWidth="1"/>
    <col min="14" max="14" width="17.7109375" customWidth="1"/>
    <col min="15" max="15" width="17.42578125" customWidth="1"/>
    <col min="16" max="16" width="17.7109375" customWidth="1"/>
    <col min="17" max="17" width="17.85546875" customWidth="1"/>
    <col min="18" max="18" width="10.85546875" customWidth="1"/>
    <col min="19" max="19" width="16.5703125" customWidth="1"/>
  </cols>
  <sheetData>
    <row r="1" spans="1:19" ht="15.75" customHeight="1" thickBot="1">
      <c r="N1" s="32"/>
      <c r="O1" s="32"/>
      <c r="P1" s="32"/>
      <c r="Q1" s="32"/>
      <c r="R1" s="32"/>
    </row>
    <row r="2" spans="1:19" ht="15.75" thickBot="1">
      <c r="A2" s="32"/>
      <c r="B2" s="32"/>
      <c r="C2" s="807">
        <v>1.35</v>
      </c>
      <c r="D2" s="808"/>
      <c r="E2" s="809"/>
      <c r="F2" s="807">
        <v>2</v>
      </c>
      <c r="G2" s="809"/>
      <c r="H2" s="545">
        <v>1.5</v>
      </c>
      <c r="I2" s="121"/>
      <c r="J2" s="32"/>
      <c r="K2" s="46" t="s">
        <v>163</v>
      </c>
      <c r="N2" s="32"/>
      <c r="O2" s="32"/>
      <c r="P2" s="32"/>
      <c r="Q2" s="32"/>
      <c r="R2" s="32"/>
    </row>
    <row r="3" spans="1:19" ht="15.75" customHeight="1" thickBot="1">
      <c r="A3" s="792" t="s">
        <v>374</v>
      </c>
      <c r="B3" s="793"/>
      <c r="C3" s="793"/>
      <c r="D3" s="793"/>
      <c r="E3" s="793"/>
      <c r="F3" s="793"/>
      <c r="G3" s="793"/>
      <c r="H3" s="793"/>
      <c r="I3" s="793"/>
      <c r="J3" s="793"/>
      <c r="K3" s="794"/>
      <c r="M3" s="861" t="s">
        <v>917</v>
      </c>
      <c r="N3" s="876"/>
      <c r="O3" s="876"/>
      <c r="P3" s="876"/>
      <c r="Q3" s="862"/>
      <c r="R3" s="32"/>
      <c r="S3" s="962" t="s">
        <v>671</v>
      </c>
    </row>
    <row r="4" spans="1:19" s="32" customFormat="1" ht="15.75" thickBot="1">
      <c r="A4" s="36" t="s">
        <v>116</v>
      </c>
      <c r="B4" s="36" t="s">
        <v>117</v>
      </c>
      <c r="C4" s="36" t="s">
        <v>162</v>
      </c>
      <c r="D4" s="36" t="s">
        <v>119</v>
      </c>
      <c r="E4" s="36" t="s">
        <v>120</v>
      </c>
      <c r="F4" s="36" t="s">
        <v>520</v>
      </c>
      <c r="G4" s="135" t="s">
        <v>260</v>
      </c>
      <c r="H4" s="135" t="s">
        <v>259</v>
      </c>
      <c r="I4" s="116" t="s">
        <v>521</v>
      </c>
      <c r="J4" s="36" t="s">
        <v>262</v>
      </c>
      <c r="K4" s="36" t="s">
        <v>263</v>
      </c>
      <c r="L4" s="137"/>
      <c r="M4" s="865"/>
      <c r="N4" s="877"/>
      <c r="O4" s="877"/>
      <c r="P4" s="877"/>
      <c r="Q4" s="866"/>
      <c r="S4" s="963"/>
    </row>
    <row r="5" spans="1:19" ht="41.25" customHeight="1" thickBot="1">
      <c r="A5" s="795"/>
      <c r="B5" s="796"/>
      <c r="C5" s="796"/>
      <c r="D5" s="796"/>
      <c r="E5" s="796"/>
      <c r="F5" s="796"/>
      <c r="G5" s="796"/>
      <c r="H5" s="796"/>
      <c r="I5" s="796"/>
      <c r="J5" s="796"/>
      <c r="K5" s="797"/>
      <c r="M5" s="271" t="s">
        <v>534</v>
      </c>
      <c r="N5" s="271" t="s">
        <v>663</v>
      </c>
      <c r="O5" s="271" t="s">
        <v>623</v>
      </c>
      <c r="P5" s="271" t="s">
        <v>624</v>
      </c>
      <c r="Q5" s="271" t="s">
        <v>645</v>
      </c>
      <c r="R5" s="242"/>
      <c r="S5" s="963"/>
    </row>
    <row r="6" spans="1:19" ht="19.5" thickBot="1">
      <c r="A6" s="65">
        <v>0.6</v>
      </c>
      <c r="B6" s="66">
        <v>0.4</v>
      </c>
      <c r="C6" s="58">
        <f>((((A6*2)+(B6*2))*'MATERIALES (2)'!$C$60)+(((A6*2)+(B6*2))*'MATERIALES (2)'!$C$76))*'MATERIALES (2)'!$F$2</f>
        <v>20233.080000000002</v>
      </c>
      <c r="D6" s="58">
        <f>(4*'MATERIALES (2)'!$C$178)+((((A6*2)+(B6*2))/0.1)*'MATERIALES (2)'!$C$181)+(((A6*2)+(B6*2))*'MATERIALES (2)'!$C$154)+(0.5*'MATERIALES (2)'!$C$156)+(4*'MATERIALES (2)'!$C$137)+(((A6*5)*2)*'MATERIALES (2)'!$C$136)+(2*'MATERIALES (2)'!$C$176)</f>
        <v>9970</v>
      </c>
      <c r="E6" s="74"/>
      <c r="F6" s="54">
        <f>(A6*B6)*'MATERIALES (2)'!$D$85</f>
        <v>1776</v>
      </c>
      <c r="G6" s="54">
        <f>(((A6*B6)*2)*'MATERIALES (2)'!$D$86)+(4*'MATERIALES (2)'!$C$218)+(((A6*2)+(B6*2))*'MATERIALES (2)'!$C$219)+(((A6*2)+(B6*2))*'MATERIALES (2)'!$C$220)+((((A6*2)+(B6*2))/15)*'MATERIALES (2)'!$C$221)+((((A6*2)+(B6*2))/15)*('MATERIALES (2)'!$C$222*0.15))</f>
        <v>7776.6833333333325</v>
      </c>
      <c r="H6" s="54">
        <f>(A6*B6)*'MATERIALES (2)'!$D$92</f>
        <v>8676</v>
      </c>
      <c r="I6" s="125">
        <f>(((((SUM(C6:E6)*$C$2)+(F6*$F$2)))*1.21)*1.05)*1.05</f>
        <v>59132.202925950005</v>
      </c>
      <c r="J6" s="144">
        <f>(((((SUM(C6:E6)*$C$2)+(G6*$F$2)))*1.21)*1.05)*1.05</f>
        <v>75142.326093450014</v>
      </c>
      <c r="K6" s="67">
        <f>(((((SUM(C6:E6)*$C$2)+(H6*$F$2)))*1.21)*1.05)*1.05</f>
        <v>77541.747925950011</v>
      </c>
      <c r="M6" s="260" t="s">
        <v>539</v>
      </c>
      <c r="N6" s="278">
        <f t="shared" ref="N6:P7" si="0">+I6</f>
        <v>59132.202925950005</v>
      </c>
      <c r="O6" s="278">
        <f t="shared" si="0"/>
        <v>75142.326093450014</v>
      </c>
      <c r="P6" s="278">
        <f t="shared" si="0"/>
        <v>77541.747925950011</v>
      </c>
      <c r="Q6" s="278">
        <f>+'MODENA CORREDIZA'!M6</f>
        <v>18071.037490274975</v>
      </c>
      <c r="R6" s="242"/>
      <c r="S6" s="963"/>
    </row>
    <row r="7" spans="1:19" ht="16.5" thickBot="1">
      <c r="A7" s="68">
        <v>0.6</v>
      </c>
      <c r="B7" s="69">
        <v>0.6</v>
      </c>
      <c r="C7" s="59">
        <f>((((A7*2)+(B7*2))*'MATERIALES (2)'!$C$60)+(((A7*2)+(B7*2))*'MATERIALES (2)'!$C$76))*'MATERIALES (2)'!$F$2</f>
        <v>24279.695999999996</v>
      </c>
      <c r="D7" s="59">
        <f>(4*'MATERIALES (2)'!$C$178)+((((A7*2)+(B7*2))/0.1)*'MATERIALES (2)'!$C$181)+(((A7*2)+(B7*2))*'MATERIALES (2)'!$C$154)+(0.5*'MATERIALES (2)'!$C$156)+(4*'MATERIALES (2)'!$C$137)+(((A7*5)*2)*'MATERIALES (2)'!$C$136)+(2*'MATERIALES (2)'!$C$176)</f>
        <v>10186</v>
      </c>
      <c r="E7" s="75"/>
      <c r="F7" s="55">
        <f>(A7*B7)*'MATERIALES (2)'!$D$85</f>
        <v>2664</v>
      </c>
      <c r="G7" s="55">
        <f>(((A7*B7)*2)*'MATERIALES (2)'!$D$86)+(4*'MATERIALES (2)'!$C$218)+(((A7*2)+(B7*2))*'MATERIALES (2)'!$C$219)+(((A7*2)+(B7*2))*'MATERIALES (2)'!$C$220)+((((A7*2)+(B7*2))/15)*'MATERIALES (2)'!$C$221)+((((A7*2)+(B7*2))/15)*('MATERIALES (2)'!$C$222*0.15))</f>
        <v>10570.1</v>
      </c>
      <c r="H7" s="55">
        <f>(A7*B7)*'MATERIALES (2)'!$D$92</f>
        <v>13014</v>
      </c>
      <c r="I7" s="125">
        <f t="shared" ref="I7:I59" si="1">(((((SUM(C7:E7)*$C$2)+(F7*$F$2)))*1.21)*1.05)*1.05</f>
        <v>69178.120343639996</v>
      </c>
      <c r="J7" s="144">
        <f t="shared" ref="J7:J59" si="2">(((((SUM(C7:E7)*$C$2)+(G7*$F$2)))*1.21)*1.05)*1.05</f>
        <v>90271.99044863999</v>
      </c>
      <c r="K7" s="67">
        <f t="shared" ref="K7:K59" si="3">(((((SUM(C7:E7)*$C$2)+(H7*$F$2)))*1.21)*1.05)*1.05</f>
        <v>96792.43784364</v>
      </c>
      <c r="M7" s="262" t="s">
        <v>540</v>
      </c>
      <c r="N7" s="246">
        <f t="shared" si="0"/>
        <v>69178.120343639996</v>
      </c>
      <c r="O7" s="246">
        <f t="shared" si="0"/>
        <v>90271.99044863999</v>
      </c>
      <c r="P7" s="246">
        <f t="shared" si="0"/>
        <v>96792.43784364</v>
      </c>
      <c r="Q7" s="246">
        <f>+'MODENA CORREDIZA'!M7</f>
        <v>27016.509547912487</v>
      </c>
      <c r="R7" s="248"/>
      <c r="S7" s="963"/>
    </row>
    <row r="8" spans="1:19" ht="16.5" thickBot="1">
      <c r="A8" s="68">
        <v>0.8</v>
      </c>
      <c r="B8" s="69">
        <v>0.4</v>
      </c>
      <c r="C8" s="59">
        <f>((((A8*2)+(B8*2))*'MATERIALES (2)'!$C$60)+(((A8*2)+(B8*2))*'MATERIALES (2)'!$C$76))*'MATERIALES (2)'!$F$2</f>
        <v>24279.696000000004</v>
      </c>
      <c r="D8" s="59">
        <f>(4*'MATERIALES (2)'!$C$178)+((((A8*2)+(B8*2))/0.1)*'MATERIALES (2)'!$C$181)+(((A8*2)+(B8*2))*'MATERIALES (2)'!$C$154)+(0.5*'MATERIALES (2)'!$C$156)+(4*'MATERIALES (2)'!$C$137)+(((A8*5)*2)*'MATERIALES (2)'!$C$136)+(2*'MATERIALES (2)'!$C$176)</f>
        <v>10186</v>
      </c>
      <c r="E8" s="75"/>
      <c r="F8" s="55">
        <f>(A8*B8)*'MATERIALES (2)'!$D$85</f>
        <v>2368.0000000000005</v>
      </c>
      <c r="G8" s="55">
        <f>(((A8*B8)*2)*'MATERIALES (2)'!$D$86)+(4*'MATERIALES (2)'!$C$218)+(((A8*2)+(B8*2))*'MATERIALES (2)'!$C$219)+(((A8*2)+(B8*2))*'MATERIALES (2)'!$C$220)+((((A8*2)+(B8*2))/15)*'MATERIALES (2)'!$C$221)+((((A8*2)+(B8*2))/15)*('MATERIALES (2)'!$C$222*0.15))</f>
        <v>9864.5000000000018</v>
      </c>
      <c r="H8" s="55">
        <f>(A8*B8)*'MATERIALES (2)'!$D$92</f>
        <v>11568.000000000002</v>
      </c>
      <c r="I8" s="125">
        <f t="shared" si="1"/>
        <v>68388.377543640017</v>
      </c>
      <c r="J8" s="144">
        <f t="shared" si="2"/>
        <v>88389.41436864002</v>
      </c>
      <c r="K8" s="67">
        <f t="shared" si="3"/>
        <v>92934.43754364003</v>
      </c>
      <c r="M8" s="262" t="s">
        <v>541</v>
      </c>
      <c r="N8" s="246">
        <f>+I8</f>
        <v>68388.377543640017</v>
      </c>
      <c r="O8" s="246">
        <f t="shared" ref="N8:P44" si="4">+J8</f>
        <v>88389.41436864002</v>
      </c>
      <c r="P8" s="246">
        <f>+K8</f>
        <v>92934.43754364003</v>
      </c>
      <c r="Q8" s="246">
        <f>+'MODENA CORREDIZA'!M8</f>
        <v>18071.037490274961</v>
      </c>
      <c r="R8" s="248"/>
      <c r="S8" s="963"/>
    </row>
    <row r="9" spans="1:19" ht="16.5" thickBot="1">
      <c r="A9" s="68">
        <v>0.8</v>
      </c>
      <c r="B9" s="69">
        <v>0.6</v>
      </c>
      <c r="C9" s="59">
        <f>((((A9*2)+(B9*2))*'MATERIALES (2)'!$C$60)+(((A9*2)+(B9*2))*'MATERIALES (2)'!$C$76))*'MATERIALES (2)'!$F$2</f>
        <v>28326.311999999998</v>
      </c>
      <c r="D9" s="59">
        <f>(4*'MATERIALES (2)'!$C$178)+((((A9*2)+(B9*2))/0.1)*'MATERIALES (2)'!$C$181)+(((A9*2)+(B9*2))*'MATERIALES (2)'!$C$154)+(0.5*'MATERIALES (2)'!$C$156)+(4*'MATERIALES (2)'!$C$137)+(((A9*5)*2)*'MATERIALES (2)'!$C$136)+(2*'MATERIALES (2)'!$C$176)</f>
        <v>10402</v>
      </c>
      <c r="E9" s="75"/>
      <c r="F9" s="55">
        <f>(A9*B9)*'MATERIALES (2)'!$D$85</f>
        <v>3552</v>
      </c>
      <c r="G9" s="55">
        <f>(((A9*B9)*2)*'MATERIALES (2)'!$D$86)+(4*'MATERIALES (2)'!$C$218)+(((A9*2)+(B9*2))*'MATERIALES (2)'!$C$219)+(((A9*2)+(B9*2))*'MATERIALES (2)'!$C$220)+((((A9*2)+(B9*2))/15)*'MATERIALES (2)'!$C$221)+((((A9*2)+(B9*2))/15)*('MATERIALES (2)'!$C$222*0.15))</f>
        <v>13363.516666666665</v>
      </c>
      <c r="H9" s="55">
        <f>(A9*B9)*'MATERIALES (2)'!$D$92</f>
        <v>17352</v>
      </c>
      <c r="I9" s="125">
        <f t="shared" si="1"/>
        <v>79224.037761330008</v>
      </c>
      <c r="J9" s="144">
        <f t="shared" si="2"/>
        <v>105401.65480383</v>
      </c>
      <c r="K9" s="67">
        <f t="shared" si="3"/>
        <v>116043.12776133</v>
      </c>
      <c r="M9" s="262" t="s">
        <v>542</v>
      </c>
      <c r="N9" s="246">
        <f t="shared" si="4"/>
        <v>79224.037761330008</v>
      </c>
      <c r="O9" s="246">
        <f t="shared" si="4"/>
        <v>105401.65480383</v>
      </c>
      <c r="P9" s="246">
        <f>+K9</f>
        <v>116043.12776133</v>
      </c>
      <c r="Q9" s="246">
        <f>+'MODENA CORREDIZA'!M9</f>
        <v>27016.509547912545</v>
      </c>
      <c r="R9" s="248"/>
      <c r="S9" s="963"/>
    </row>
    <row r="10" spans="1:19" ht="16.5" thickBot="1">
      <c r="A10" s="68">
        <v>0.8</v>
      </c>
      <c r="B10" s="69">
        <v>0.8</v>
      </c>
      <c r="C10" s="59">
        <f>((((A10*2)+(B10*2))*'MATERIALES (2)'!$C$60)+(((A10*2)+(B10*2))*'MATERIALES (2)'!$C$76))*'MATERIALES (2)'!$F$2</f>
        <v>32372.928</v>
      </c>
      <c r="D10" s="59">
        <f>(4*'MATERIALES (2)'!$C$178)+((((A10*2)+(B10*2))/0.1)*'MATERIALES (2)'!$C$181)+(((A10*2)+(B10*2))*'MATERIALES (2)'!$C$154)+(0.5*'MATERIALES (2)'!$C$156)+(4*'MATERIALES (2)'!$C$137)+(((A10*5)*2)*'MATERIALES (2)'!$C$136)+(2*'MATERIALES (2)'!$C$176)</f>
        <v>10618</v>
      </c>
      <c r="E10" s="75"/>
      <c r="F10" s="55">
        <f>(A10*B10)*'MATERIALES (2)'!$D$85</f>
        <v>4736.0000000000009</v>
      </c>
      <c r="G10" s="55">
        <f>(((A10*B10)*2)*'MATERIALES (2)'!$D$86)+(4*'MATERIALES (2)'!$C$218)+(((A10*2)+(B10*2))*'MATERIALES (2)'!$C$219)+(((A10*2)+(B10*2))*'MATERIALES (2)'!$C$220)+((((A10*2)+(B10*2))/15)*'MATERIALES (2)'!$C$221)+((((A10*2)+(B10*2))/15)*('MATERIALES (2)'!$C$222*0.15))</f>
        <v>16862.533333333333</v>
      </c>
      <c r="H10" s="55">
        <f>(A10*B10)*'MATERIALES (2)'!$D$92</f>
        <v>23136.000000000004</v>
      </c>
      <c r="I10" s="125">
        <f t="shared" si="1"/>
        <v>90059.697979019998</v>
      </c>
      <c r="J10" s="144">
        <f t="shared" si="2"/>
        <v>122413.89523902</v>
      </c>
      <c r="K10" s="67">
        <f t="shared" si="3"/>
        <v>139151.81797902001</v>
      </c>
      <c r="M10" s="262" t="s">
        <v>543</v>
      </c>
      <c r="N10" s="246">
        <f t="shared" si="4"/>
        <v>90059.697979019998</v>
      </c>
      <c r="O10" s="246">
        <f t="shared" si="4"/>
        <v>122413.89523902</v>
      </c>
      <c r="P10" s="246">
        <f>+K10</f>
        <v>139151.81797902001</v>
      </c>
      <c r="Q10" s="246">
        <f>+'MODENA CORREDIZA'!M10</f>
        <v>35961.981605549983</v>
      </c>
      <c r="R10" s="248"/>
      <c r="S10" s="963"/>
    </row>
    <row r="11" spans="1:19" ht="16.5" thickBot="1">
      <c r="A11" s="68">
        <v>1</v>
      </c>
      <c r="B11" s="69">
        <v>0.4</v>
      </c>
      <c r="C11" s="59">
        <f>((((A11*2)+(B11*2))*'MATERIALES (2)'!$C$60)+(((A11*2)+(B11*2))*'MATERIALES (2)'!$C$76))*'MATERIALES (2)'!$F$2</f>
        <v>28326.311999999998</v>
      </c>
      <c r="D11" s="59">
        <f>(4*'MATERIALES (2)'!$C$178)+((((A11*2)+(B11*2))/0.1)*'MATERIALES (2)'!$C$181)+(((A11*2)+(B11*2))*'MATERIALES (2)'!$C$154)+(0.5*'MATERIALES (2)'!$C$156)+(4*'MATERIALES (2)'!$C$137)+(((A11*5)*2)*'MATERIALES (2)'!$C$136)+(2*'MATERIALES (2)'!$C$176)</f>
        <v>10402</v>
      </c>
      <c r="E11" s="75"/>
      <c r="F11" s="55">
        <f>(A11*B11)*'MATERIALES (2)'!$D$85</f>
        <v>2960</v>
      </c>
      <c r="G11" s="55">
        <f>(((A11*B11)*2)*'MATERIALES (2)'!$D$86)+(4*'MATERIALES (2)'!$C$218)+(((A11*2)+(B11*2))*'MATERIALES (2)'!$C$219)+(((A11*2)+(B11*2))*'MATERIALES (2)'!$C$220)+((((A11*2)+(B11*2))/15)*'MATERIALES (2)'!$C$221)+((((A11*2)+(B11*2))/15)*('MATERIALES (2)'!$C$222*0.15))</f>
        <v>11952.316666666666</v>
      </c>
      <c r="H11" s="55">
        <f>(A11*B11)*'MATERIALES (2)'!$D$92</f>
        <v>14460</v>
      </c>
      <c r="I11" s="125">
        <f t="shared" si="1"/>
        <v>77644.552161330008</v>
      </c>
      <c r="J11" s="144">
        <f t="shared" si="2"/>
        <v>101636.50264383001</v>
      </c>
      <c r="K11" s="67">
        <f t="shared" si="3"/>
        <v>108327.12716133001</v>
      </c>
      <c r="M11" s="262" t="s">
        <v>544</v>
      </c>
      <c r="N11" s="246">
        <f t="shared" si="4"/>
        <v>77644.552161330008</v>
      </c>
      <c r="O11" s="246">
        <f t="shared" si="4"/>
        <v>101636.50264383001</v>
      </c>
      <c r="P11" s="246">
        <f t="shared" si="4"/>
        <v>108327.12716133001</v>
      </c>
      <c r="Q11" s="246">
        <f>+'MODENA CORREDIZA'!M11</f>
        <v>18071.03749027499</v>
      </c>
      <c r="R11" s="248"/>
      <c r="S11" s="963"/>
    </row>
    <row r="12" spans="1:19" ht="16.5" thickBot="1">
      <c r="A12" s="68">
        <v>1</v>
      </c>
      <c r="B12" s="69">
        <v>0.6</v>
      </c>
      <c r="C12" s="59">
        <f>((((A12*2)+(B12*2))*'MATERIALES (2)'!$C$60)+(((A12*2)+(B12*2))*'MATERIALES (2)'!$C$76))*'MATERIALES (2)'!$F$2</f>
        <v>32372.928</v>
      </c>
      <c r="D12" s="59">
        <f>(4*'MATERIALES (2)'!$C$178)+((((A12*2)+(B12*2))/0.1)*'MATERIALES (2)'!$C$181)+(((A12*2)+(B12*2))*'MATERIALES (2)'!$C$154)+(0.5*'MATERIALES (2)'!$C$156)+(4*'MATERIALES (2)'!$C$137)+(((A12*5)*2)*'MATERIALES (2)'!$C$136)+(2*'MATERIALES (2)'!$C$176)</f>
        <v>10618</v>
      </c>
      <c r="E12" s="75"/>
      <c r="F12" s="55">
        <f>(A12*B12)*'MATERIALES (2)'!$D$85</f>
        <v>4440</v>
      </c>
      <c r="G12" s="55">
        <f>(((A12*B12)*2)*'MATERIALES (2)'!$D$86)+(4*'MATERIALES (2)'!$C$218)+(((A12*2)+(B12*2))*'MATERIALES (2)'!$C$219)+(((A12*2)+(B12*2))*'MATERIALES (2)'!$C$220)+((((A12*2)+(B12*2))/15)*'MATERIALES (2)'!$C$221)+((((A12*2)+(B12*2))/15)*('MATERIALES (2)'!$C$222*0.15))</f>
        <v>16156.933333333334</v>
      </c>
      <c r="H12" s="55">
        <f>(A12*B12)*'MATERIALES (2)'!$D$92</f>
        <v>21690</v>
      </c>
      <c r="I12" s="125">
        <f t="shared" si="1"/>
        <v>89269.95517902002</v>
      </c>
      <c r="J12" s="144">
        <f t="shared" si="2"/>
        <v>120531.31915902001</v>
      </c>
      <c r="K12" s="67">
        <f t="shared" si="3"/>
        <v>135293.81767902002</v>
      </c>
      <c r="M12" s="262" t="s">
        <v>545</v>
      </c>
      <c r="N12" s="246">
        <f t="shared" si="4"/>
        <v>89269.95517902002</v>
      </c>
      <c r="O12" s="246">
        <f t="shared" si="4"/>
        <v>120531.31915902001</v>
      </c>
      <c r="P12" s="246">
        <f t="shared" si="4"/>
        <v>135293.81767902002</v>
      </c>
      <c r="Q12" s="246">
        <f>+'MODENA CORREDIZA'!M12</f>
        <v>27016.509547912516</v>
      </c>
      <c r="R12" s="248"/>
      <c r="S12" s="963"/>
    </row>
    <row r="13" spans="1:19" ht="16.5" thickBot="1">
      <c r="A13" s="68">
        <v>1</v>
      </c>
      <c r="B13" s="69">
        <v>0.8</v>
      </c>
      <c r="C13" s="59">
        <f>((((A13*2)+(B13*2))*'MATERIALES (2)'!$C$60)+(((A13*2)+(B13*2))*'MATERIALES (2)'!$C$76))*'MATERIALES (2)'!$F$2</f>
        <v>36419.544000000002</v>
      </c>
      <c r="D13" s="59">
        <f>(4*'MATERIALES (2)'!$C$178)+((((A13*2)+(B13*2))/0.1)*'MATERIALES (2)'!$C$181)+(((A13*2)+(B13*2))*'MATERIALES (2)'!$C$154)+(0.5*'MATERIALES (2)'!$C$156)+(4*'MATERIALES (2)'!$C$137)+(((A13*5)*2)*'MATERIALES (2)'!$C$136)+(2*'MATERIALES (2)'!$C$176)</f>
        <v>10834</v>
      </c>
      <c r="E13" s="75"/>
      <c r="F13" s="55">
        <f>(A13*B13)*'MATERIALES (2)'!$D$85</f>
        <v>5920</v>
      </c>
      <c r="G13" s="55">
        <f>(((A13*B13)*2)*'MATERIALES (2)'!$D$86)+(4*'MATERIALES (2)'!$C$218)+(((A13*2)+(B13*2))*'MATERIALES (2)'!$C$219)+(((A13*2)+(B13*2))*'MATERIALES (2)'!$C$220)+((((A13*2)+(B13*2))/15)*'MATERIALES (2)'!$C$221)+((((A13*2)+(B13*2))/15)*('MATERIALES (2)'!$C$222*0.15))</f>
        <v>20361.55</v>
      </c>
      <c r="H13" s="55">
        <f>(A13*B13)*'MATERIALES (2)'!$D$92</f>
        <v>28920</v>
      </c>
      <c r="I13" s="125">
        <f t="shared" si="1"/>
        <v>100895.35819671002</v>
      </c>
      <c r="J13" s="144">
        <f t="shared" si="2"/>
        <v>139426.13567421003</v>
      </c>
      <c r="K13" s="67">
        <f t="shared" si="3"/>
        <v>162260.50819671</v>
      </c>
      <c r="M13" s="263" t="s">
        <v>546</v>
      </c>
      <c r="N13" s="246">
        <f t="shared" si="4"/>
        <v>100895.35819671002</v>
      </c>
      <c r="O13" s="246">
        <f t="shared" si="4"/>
        <v>139426.13567421003</v>
      </c>
      <c r="P13" s="246">
        <f t="shared" si="4"/>
        <v>162260.50819671</v>
      </c>
      <c r="Q13" s="246">
        <f>+'MODENA CORREDIZA'!M13</f>
        <v>35961.981605549983</v>
      </c>
      <c r="R13" s="248"/>
      <c r="S13" s="963"/>
    </row>
    <row r="14" spans="1:19" ht="16.5" thickBot="1">
      <c r="A14" s="68">
        <v>1</v>
      </c>
      <c r="B14" s="69">
        <v>1</v>
      </c>
      <c r="C14" s="59">
        <f>((((A14*2)+(B14*2))*'MATERIALES (2)'!$C$60)+(((A14*2)+(B14*2))*'MATERIALES (2)'!$C$76))*'MATERIALES (2)'!$F$2</f>
        <v>40466.160000000003</v>
      </c>
      <c r="D14" s="59">
        <f>(4*'MATERIALES (2)'!$C$178)+((((A14*2)+(B14*2))/0.1)*'MATERIALES (2)'!$C$181)+(((A14*2)+(B14*2))*'MATERIALES (2)'!$C$154)+(0.5*'MATERIALES (2)'!$C$156)+(4*'MATERIALES (2)'!$C$137)+(((A14*5)*2)*'MATERIALES (2)'!$C$136)+(2*'MATERIALES (2)'!$C$176)</f>
        <v>11050</v>
      </c>
      <c r="E14" s="75"/>
      <c r="F14" s="55">
        <f>(A14*B14)*'MATERIALES (2)'!$D$85</f>
        <v>7400</v>
      </c>
      <c r="G14" s="55">
        <f>(((A14*B14)*2)*'MATERIALES (2)'!$D$86)+(4*'MATERIALES (2)'!$C$218)+(((A14*2)+(B14*2))*'MATERIALES (2)'!$C$219)+(((A14*2)+(B14*2))*'MATERIALES (2)'!$C$220)+((((A14*2)+(B14*2))/15)*'MATERIALES (2)'!$C$221)+((((A14*2)+(B14*2))/15)*('MATERIALES (2)'!$C$222*0.15))</f>
        <v>24566.166666666668</v>
      </c>
      <c r="H14" s="55">
        <f>(A14*B14)*'MATERIALES (2)'!$D$92</f>
        <v>36150</v>
      </c>
      <c r="I14" s="125">
        <f t="shared" si="1"/>
        <v>112520.76121440002</v>
      </c>
      <c r="J14" s="144">
        <f t="shared" si="2"/>
        <v>158320.95218940001</v>
      </c>
      <c r="K14" s="67">
        <f t="shared" si="3"/>
        <v>189227.19871439997</v>
      </c>
      <c r="M14" s="263" t="s">
        <v>547</v>
      </c>
      <c r="N14" s="246">
        <f t="shared" si="4"/>
        <v>112520.76121440002</v>
      </c>
      <c r="O14" s="246">
        <f t="shared" si="4"/>
        <v>158320.95218940001</v>
      </c>
      <c r="P14" s="246">
        <f t="shared" si="4"/>
        <v>189227.19871439997</v>
      </c>
      <c r="Q14" s="246">
        <f>+'MODENA CORREDIZA'!M14</f>
        <v>44907.453663187509</v>
      </c>
      <c r="R14" s="252"/>
      <c r="S14" s="963"/>
    </row>
    <row r="15" spans="1:19" ht="16.5" thickBot="1">
      <c r="A15" s="68">
        <v>1</v>
      </c>
      <c r="B15" s="69">
        <v>1.1000000000000001</v>
      </c>
      <c r="C15" s="59">
        <f>((((A15*2)+(B15*2))*'MATERIALES (2)'!$C$60)+(((A15*2)+(B15*2))*'MATERIALES (2)'!$C$76))*'MATERIALES (2)'!$F$2</f>
        <v>42489.468000000001</v>
      </c>
      <c r="D15" s="59">
        <f>(4*'MATERIALES (2)'!$C$178)+((((A15*2)+(B15*2))/0.1)*'MATERIALES (2)'!$C$181)+(((A15*2)+(B15*2))*'MATERIALES (2)'!$C$154)+(0.5*'MATERIALES (2)'!$C$156)+(4*'MATERIALES (2)'!$C$137)+(((A15*5)*2)*'MATERIALES (2)'!$C$136)+(2*'MATERIALES (2)'!$C$176)</f>
        <v>11158</v>
      </c>
      <c r="E15" s="75"/>
      <c r="F15" s="55">
        <f>(A15*B15)*'MATERIALES (2)'!$D$85</f>
        <v>8140.0000000000009</v>
      </c>
      <c r="G15" s="55">
        <f>(((A15*B15)*2)*'MATERIALES (2)'!$D$86)+(4*'MATERIALES (2)'!$C$218)+(((A15*2)+(B15*2))*'MATERIALES (2)'!$C$219)+(((A15*2)+(B15*2))*'MATERIALES (2)'!$C$220)+((((A15*2)+(B15*2))/15)*'MATERIALES (2)'!$C$221)+((((A15*2)+(B15*2))/15)*('MATERIALES (2)'!$C$222*0.15))</f>
        <v>26668.474999999999</v>
      </c>
      <c r="H15" s="55">
        <f>(A15*B15)*'MATERIALES (2)'!$D$92</f>
        <v>39765</v>
      </c>
      <c r="I15" s="125">
        <f t="shared" si="1"/>
        <v>118333.462723245</v>
      </c>
      <c r="J15" s="144">
        <f t="shared" si="2"/>
        <v>167768.36044699501</v>
      </c>
      <c r="K15" s="67">
        <f t="shared" si="3"/>
        <v>202710.54397324499</v>
      </c>
      <c r="M15" s="263" t="s">
        <v>548</v>
      </c>
      <c r="N15" s="246">
        <f t="shared" si="4"/>
        <v>118333.462723245</v>
      </c>
      <c r="O15" s="246">
        <f t="shared" si="4"/>
        <v>167768.36044699501</v>
      </c>
      <c r="P15" s="246">
        <f t="shared" si="4"/>
        <v>202710.54397324499</v>
      </c>
      <c r="Q15" s="246">
        <f>+'MODENA CORREDIZA'!M15</f>
        <v>49380.189692006184</v>
      </c>
      <c r="R15" s="252"/>
      <c r="S15" s="963"/>
    </row>
    <row r="16" spans="1:19" ht="16.5" thickBot="1">
      <c r="A16" s="68">
        <v>1</v>
      </c>
      <c r="B16" s="69">
        <v>1.2</v>
      </c>
      <c r="C16" s="59">
        <f>((((A16*2)+(B16*2))*'MATERIALES (2)'!$C$60)+(((A16*2)+(B16*2))*'MATERIALES (2)'!$C$76))*'MATERIALES (2)'!$F$2</f>
        <v>44512.776000000005</v>
      </c>
      <c r="D16" s="59">
        <f>(4*'MATERIALES (2)'!$C$178)+((((A16*2)+(B16*2))/0.1)*'MATERIALES (2)'!$C$181)+(((A16*2)+(B16*2))*'MATERIALES (2)'!$C$154)+(0.5*'MATERIALES (2)'!$C$156)+(4*'MATERIALES (2)'!$C$137)+(((A16*5)*2)*'MATERIALES (2)'!$C$136)+(2*'MATERIALES (2)'!$C$176)</f>
        <v>11266</v>
      </c>
      <c r="E16" s="75"/>
      <c r="F16" s="55">
        <f>(A16*B16)*'MATERIALES (2)'!$D$85</f>
        <v>8880</v>
      </c>
      <c r="G16" s="55">
        <f>(((A16*B16)*2)*'MATERIALES (2)'!$D$86)+(4*'MATERIALES (2)'!$C$218)+(((A16*2)+(B16*2))*'MATERIALES (2)'!$C$219)+(((A16*2)+(B16*2))*'MATERIALES (2)'!$C$220)+((((A16*2)+(B16*2))/15)*'MATERIALES (2)'!$C$221)+((((A16*2)+(B16*2))/15)*('MATERIALES (2)'!$C$222*0.15))</f>
        <v>28770.783333333333</v>
      </c>
      <c r="H16" s="55">
        <f>(A16*B16)*'MATERIALES (2)'!$D$92</f>
        <v>43380</v>
      </c>
      <c r="I16" s="125">
        <f t="shared" si="1"/>
        <v>124146.16423209001</v>
      </c>
      <c r="J16" s="144">
        <f t="shared" si="2"/>
        <v>177215.76870459001</v>
      </c>
      <c r="K16" s="67">
        <f t="shared" si="3"/>
        <v>216193.88923209</v>
      </c>
      <c r="M16" s="263" t="s">
        <v>549</v>
      </c>
      <c r="N16" s="246">
        <f t="shared" si="4"/>
        <v>124146.16423209001</v>
      </c>
      <c r="O16" s="246">
        <f t="shared" si="4"/>
        <v>177215.76870459001</v>
      </c>
      <c r="P16" s="246">
        <f t="shared" si="4"/>
        <v>216193.88923209</v>
      </c>
      <c r="Q16" s="246">
        <f>+'MODENA CORREDIZA'!M16</f>
        <v>53852.92572082486</v>
      </c>
      <c r="R16" s="252"/>
      <c r="S16" s="963"/>
    </row>
    <row r="17" spans="1:19" ht="16.5" thickBot="1">
      <c r="A17" s="68">
        <v>1</v>
      </c>
      <c r="B17" s="69">
        <v>1.5</v>
      </c>
      <c r="C17" s="59">
        <f>((((A17*2)+(B17*2))*'MATERIALES (2)'!$C$60)+(((A17*2)+(B17*2))*'MATERIALES (2)'!$C$76))*'MATERIALES (2)'!$F$2</f>
        <v>50582.7</v>
      </c>
      <c r="D17" s="59">
        <f>(4*'MATERIALES (2)'!$C$178)+((((A17*2)+(B17*2))/0.1)*'MATERIALES (2)'!$C$181)+(((A17*2)+(B17*2))*'MATERIALES (2)'!$C$154)+(0.5*'MATERIALES (2)'!$C$156)+(4*'MATERIALES (2)'!$C$137)+(((A17*5)*2)*'MATERIALES (2)'!$C$136)+(2*'MATERIALES (2)'!$C$176)</f>
        <v>11590</v>
      </c>
      <c r="E17" s="75"/>
      <c r="F17" s="55">
        <f>(A17*B17)*'MATERIALES (2)'!$D$85</f>
        <v>11100</v>
      </c>
      <c r="G17" s="55">
        <f>(((A17*B17)*2)*'MATERIALES (2)'!$D$86)+(4*'MATERIALES (2)'!$C$218)+(((A17*2)+(B17*2))*'MATERIALES (2)'!$C$219)+(((A17*2)+(B17*2))*'MATERIALES (2)'!$C$220)+((((A17*2)+(B17*2))/15)*'MATERIALES (2)'!$C$221)+((((A17*2)+(B17*2))/15)*('MATERIALES (2)'!$C$222*0.15))</f>
        <v>35077.708333333336</v>
      </c>
      <c r="H17" s="55">
        <f>(A17*B17)*'MATERIALES (2)'!$D$92</f>
        <v>54225</v>
      </c>
      <c r="I17" s="125">
        <f t="shared" si="1"/>
        <v>141584.26875862502</v>
      </c>
      <c r="J17" s="144">
        <f t="shared" si="2"/>
        <v>205557.99347737501</v>
      </c>
      <c r="K17" s="67">
        <f t="shared" si="3"/>
        <v>256643.92500862502</v>
      </c>
      <c r="M17" s="263" t="s">
        <v>550</v>
      </c>
      <c r="N17" s="246">
        <f t="shared" si="4"/>
        <v>141584.26875862502</v>
      </c>
      <c r="O17" s="246">
        <f t="shared" si="4"/>
        <v>205557.99347737501</v>
      </c>
      <c r="P17" s="246">
        <f t="shared" si="4"/>
        <v>256643.92500862502</v>
      </c>
      <c r="Q17" s="246">
        <f>+'MODENA CORREDIZA'!M17</f>
        <v>67271.133807281265</v>
      </c>
      <c r="R17" s="252"/>
      <c r="S17" s="963"/>
    </row>
    <row r="18" spans="1:19" ht="16.5" thickBot="1">
      <c r="A18" s="68">
        <v>1.2</v>
      </c>
      <c r="B18" s="69">
        <v>0.4</v>
      </c>
      <c r="C18" s="59">
        <f>((((A18*2)+(B18*2))*'MATERIALES (2)'!$C$60)+(((A18*2)+(B18*2))*'MATERIALES (2)'!$C$76))*'MATERIALES (2)'!$F$2</f>
        <v>32372.928</v>
      </c>
      <c r="D18" s="59">
        <f>(4*'MATERIALES (2)'!$C$178)+((((A18*2)+(B18*2))/0.1)*'MATERIALES (2)'!$C$181)+(((A18*2)+(B18*2))*'MATERIALES (2)'!$C$154)+(0.5*'MATERIALES (2)'!$C$156)+(4*'MATERIALES (2)'!$C$137)+(((A18*5)*2)*'MATERIALES (2)'!$C$136)+(2*'MATERIALES (2)'!$C$176)</f>
        <v>10618</v>
      </c>
      <c r="E18" s="75"/>
      <c r="F18" s="55">
        <f>(A18*B18)*'MATERIALES (2)'!$D$85</f>
        <v>3552</v>
      </c>
      <c r="G18" s="55">
        <f>(((A18*B18)*2)*'MATERIALES (2)'!$D$86)+(4*'MATERIALES (2)'!$C$218)+(((A18*2)+(B18*2))*'MATERIALES (2)'!$C$219)+(((A18*2)+(B18*2))*'MATERIALES (2)'!$C$220)+((((A18*2)+(B18*2))/15)*'MATERIALES (2)'!$C$221)+((((A18*2)+(B18*2))/15)*('MATERIALES (2)'!$C$222*0.15))</f>
        <v>14040.133333333333</v>
      </c>
      <c r="H18" s="55">
        <f>(A18*B18)*'MATERIALES (2)'!$D$92</f>
        <v>17352</v>
      </c>
      <c r="I18" s="125">
        <f t="shared" si="1"/>
        <v>86900.726779020013</v>
      </c>
      <c r="J18" s="144">
        <f t="shared" si="2"/>
        <v>114883.59091902</v>
      </c>
      <c r="K18" s="67">
        <f t="shared" si="3"/>
        <v>123719.81677902001</v>
      </c>
      <c r="M18" s="263" t="s">
        <v>551</v>
      </c>
      <c r="N18" s="246">
        <f t="shared" si="4"/>
        <v>86900.726779020013</v>
      </c>
      <c r="O18" s="246">
        <f t="shared" si="4"/>
        <v>114883.59091902</v>
      </c>
      <c r="P18" s="246">
        <f t="shared" si="4"/>
        <v>123719.81677902001</v>
      </c>
      <c r="Q18" s="246">
        <f>+'MODENA CORREDIZA'!M18</f>
        <v>18071.037490274961</v>
      </c>
      <c r="R18" s="252"/>
      <c r="S18" s="963"/>
    </row>
    <row r="19" spans="1:19" ht="16.5" thickBot="1">
      <c r="A19" s="68">
        <v>1.2</v>
      </c>
      <c r="B19" s="69">
        <v>0.6</v>
      </c>
      <c r="C19" s="59">
        <f>((((A19*2)+(B19*2))*'MATERIALES (2)'!$C$60)+(((A19*2)+(B19*2))*'MATERIALES (2)'!$C$76))*'MATERIALES (2)'!$F$2</f>
        <v>36419.543999999994</v>
      </c>
      <c r="D19" s="59">
        <f>(4*'MATERIALES (2)'!$C$178)+((((A19*2)+(B19*2))/0.1)*'MATERIALES (2)'!$C$181)+(((A19*2)+(B19*2))*'MATERIALES (2)'!$C$154)+(0.5*'MATERIALES (2)'!$C$156)+(4*'MATERIALES (2)'!$C$137)+(((A19*5)*2)*'MATERIALES (2)'!$C$136)+(2*'MATERIALES (2)'!$C$176)</f>
        <v>10834</v>
      </c>
      <c r="E19" s="75"/>
      <c r="F19" s="55">
        <f>(A19*B19)*'MATERIALES (2)'!$D$85</f>
        <v>5328</v>
      </c>
      <c r="G19" s="55">
        <f>(((A19*B19)*2)*'MATERIALES (2)'!$D$86)+(4*'MATERIALES (2)'!$C$218)+(((A19*2)+(B19*2))*'MATERIALES (2)'!$C$219)+(((A19*2)+(B19*2))*'MATERIALES (2)'!$C$220)+((((A19*2)+(B19*2))/15)*'MATERIALES (2)'!$C$221)+((((A19*2)+(B19*2))/15)*('MATERIALES (2)'!$C$222*0.15))</f>
        <v>18950.349999999999</v>
      </c>
      <c r="H19" s="55">
        <f>(A19*B19)*'MATERIALES (2)'!$D$92</f>
        <v>26028</v>
      </c>
      <c r="I19" s="125">
        <f t="shared" si="1"/>
        <v>99315.872596710004</v>
      </c>
      <c r="J19" s="144">
        <f t="shared" si="2"/>
        <v>135660.98351420998</v>
      </c>
      <c r="K19" s="67">
        <f t="shared" si="3"/>
        <v>154544.50759671003</v>
      </c>
      <c r="M19" s="263" t="s">
        <v>552</v>
      </c>
      <c r="N19" s="246">
        <f t="shared" si="4"/>
        <v>99315.872596710004</v>
      </c>
      <c r="O19" s="246">
        <f t="shared" si="4"/>
        <v>135660.98351420998</v>
      </c>
      <c r="P19" s="246">
        <f t="shared" si="4"/>
        <v>154544.50759671003</v>
      </c>
      <c r="Q19" s="246">
        <f>+'MODENA CORREDIZA'!M19</f>
        <v>27016.509547912487</v>
      </c>
      <c r="R19" s="252"/>
      <c r="S19" s="964"/>
    </row>
    <row r="20" spans="1:19" ht="16.5" thickBot="1">
      <c r="A20" s="68">
        <v>1.2</v>
      </c>
      <c r="B20" s="69">
        <v>0.8</v>
      </c>
      <c r="C20" s="59">
        <f>((((A20*2)+(B20*2))*'MATERIALES (2)'!$C$60)+(((A20*2)+(B20*2))*'MATERIALES (2)'!$C$76))*'MATERIALES (2)'!$F$2</f>
        <v>40466.160000000003</v>
      </c>
      <c r="D20" s="59">
        <f>(4*'MATERIALES (2)'!$C$178)+((((A20*2)+(B20*2))/0.1)*'MATERIALES (2)'!$C$181)+(((A20*2)+(B20*2))*'MATERIALES (2)'!$C$154)+(0.5*'MATERIALES (2)'!$C$156)+(4*'MATERIALES (2)'!$C$137)+(((A20*5)*2)*'MATERIALES (2)'!$C$136)+(2*'MATERIALES (2)'!$C$176)</f>
        <v>11050</v>
      </c>
      <c r="E20" s="75"/>
      <c r="F20" s="55">
        <f>(A20*B20)*'MATERIALES (2)'!$D$85</f>
        <v>7104</v>
      </c>
      <c r="G20" s="55">
        <f>(((A20*B20)*2)*'MATERIALES (2)'!$D$86)+(4*'MATERIALES (2)'!$C$218)+(((A20*2)+(B20*2))*'MATERIALES (2)'!$C$219)+(((A20*2)+(B20*2))*'MATERIALES (2)'!$C$220)+((((A20*2)+(B20*2))/15)*'MATERIALES (2)'!$C$221)+((((A20*2)+(B20*2))/15)*('MATERIALES (2)'!$C$222*0.15))</f>
        <v>23860.566666666666</v>
      </c>
      <c r="H20" s="55">
        <f>(A20*B20)*'MATERIALES (2)'!$D$92</f>
        <v>34704</v>
      </c>
      <c r="I20" s="125">
        <f t="shared" si="1"/>
        <v>111731.01841440002</v>
      </c>
      <c r="J20" s="144">
        <f t="shared" si="2"/>
        <v>156438.37610940001</v>
      </c>
      <c r="K20" s="67">
        <f t="shared" si="3"/>
        <v>185369.19841440002</v>
      </c>
      <c r="M20" s="263" t="s">
        <v>553</v>
      </c>
      <c r="N20" s="246">
        <f t="shared" si="4"/>
        <v>111731.01841440002</v>
      </c>
      <c r="O20" s="246">
        <f t="shared" si="4"/>
        <v>156438.37610940001</v>
      </c>
      <c r="P20" s="246">
        <f t="shared" si="4"/>
        <v>185369.19841440002</v>
      </c>
      <c r="Q20" s="246">
        <f>+'MODENA CORREDIZA'!M20</f>
        <v>35961.981605549925</v>
      </c>
      <c r="R20" s="252"/>
    </row>
    <row r="21" spans="1:19" ht="16.5" thickBot="1">
      <c r="A21" s="68">
        <v>1.2</v>
      </c>
      <c r="B21" s="69">
        <v>1</v>
      </c>
      <c r="C21" s="59">
        <f>((((A21*2)+(B21*2))*'MATERIALES (2)'!$C$60)+(((A21*2)+(B21*2))*'MATERIALES (2)'!$C$76))*'MATERIALES (2)'!$F$2</f>
        <v>44512.776000000005</v>
      </c>
      <c r="D21" s="59">
        <f>(4*'MATERIALES (2)'!$C$178)+((((A21*2)+(B21*2))/0.1)*'MATERIALES (2)'!$C$181)+(((A21*2)+(B21*2))*'MATERIALES (2)'!$C$154)+(0.5*'MATERIALES (2)'!$C$156)+(4*'MATERIALES (2)'!$C$137)+(((A21*5)*2)*'MATERIALES (2)'!$C$136)+(2*'MATERIALES (2)'!$C$176)</f>
        <v>11266</v>
      </c>
      <c r="E21" s="75"/>
      <c r="F21" s="55">
        <f>(A21*B21)*'MATERIALES (2)'!$D$85</f>
        <v>8880</v>
      </c>
      <c r="G21" s="55">
        <f>(((A21*B21)*2)*'MATERIALES (2)'!$D$86)+(4*'MATERIALES (2)'!$C$218)+(((A21*2)+(B21*2))*'MATERIALES (2)'!$C$219)+(((A21*2)+(B21*2))*'MATERIALES (2)'!$C$220)+((((A21*2)+(B21*2))/15)*'MATERIALES (2)'!$C$221)+((((A21*2)+(B21*2))/15)*('MATERIALES (2)'!$C$222*0.15))</f>
        <v>28770.783333333333</v>
      </c>
      <c r="H21" s="55">
        <f>(A21*B21)*'MATERIALES (2)'!$D$92</f>
        <v>43380</v>
      </c>
      <c r="I21" s="125">
        <f t="shared" si="1"/>
        <v>124146.16423209001</v>
      </c>
      <c r="J21" s="144">
        <f t="shared" si="2"/>
        <v>177215.76870459001</v>
      </c>
      <c r="K21" s="67">
        <f t="shared" si="3"/>
        <v>216193.88923209</v>
      </c>
      <c r="M21" s="263" t="s">
        <v>554</v>
      </c>
      <c r="N21" s="246">
        <f t="shared" si="4"/>
        <v>124146.16423209001</v>
      </c>
      <c r="O21" s="246">
        <f t="shared" si="4"/>
        <v>177215.76870459001</v>
      </c>
      <c r="P21" s="246">
        <f t="shared" si="4"/>
        <v>216193.88923209</v>
      </c>
      <c r="Q21" s="246">
        <f>+'MODENA CORREDIZA'!M21</f>
        <v>44907.453663187596</v>
      </c>
      <c r="R21" s="252"/>
    </row>
    <row r="22" spans="1:19" ht="16.5" thickBot="1">
      <c r="A22" s="68">
        <v>1.2</v>
      </c>
      <c r="B22" s="69">
        <v>1.1000000000000001</v>
      </c>
      <c r="C22" s="59">
        <f>((((A22*2)+(B22*2))*'MATERIALES (2)'!$C$60)+(((A22*2)+(B22*2))*'MATERIALES (2)'!$C$76))*'MATERIALES (2)'!$F$2</f>
        <v>46536.083999999995</v>
      </c>
      <c r="D22" s="59">
        <f>(4*'MATERIALES (2)'!$C$178)+((((A22*2)+(B22*2))/0.1)*'MATERIALES (2)'!$C$181)+(((A22*2)+(B22*2))*'MATERIALES (2)'!$C$154)+(0.5*'MATERIALES (2)'!$C$156)+(4*'MATERIALES (2)'!$C$137)+(((A22*5)*2)*'MATERIALES (2)'!$C$136)+(2*'MATERIALES (2)'!$C$176)</f>
        <v>11374</v>
      </c>
      <c r="E22" s="75"/>
      <c r="F22" s="55">
        <f>(A22*B22)*'MATERIALES (2)'!$D$85</f>
        <v>9768</v>
      </c>
      <c r="G22" s="55">
        <f>(((A22*B22)*2)*'MATERIALES (2)'!$D$86)+(4*'MATERIALES (2)'!$C$218)+(((A22*2)+(B22*2))*'MATERIALES (2)'!$C$219)+(((A22*2)+(B22*2))*'MATERIALES (2)'!$C$220)+((((A22*2)+(B22*2))/15)*'MATERIALES (2)'!$C$221)+((((A22*2)+(B22*2))/15)*('MATERIALES (2)'!$C$222*0.15))</f>
        <v>31225.89166666667</v>
      </c>
      <c r="H22" s="55">
        <f>(A22*B22)*'MATERIALES (2)'!$D$92</f>
        <v>47718</v>
      </c>
      <c r="I22" s="125">
        <f t="shared" si="1"/>
        <v>130353.73714093502</v>
      </c>
      <c r="J22" s="144">
        <f t="shared" si="2"/>
        <v>187604.46500218505</v>
      </c>
      <c r="K22" s="67">
        <f t="shared" si="3"/>
        <v>231606.23464093503</v>
      </c>
      <c r="M22" s="263" t="s">
        <v>555</v>
      </c>
      <c r="N22" s="246">
        <f t="shared" si="4"/>
        <v>130353.73714093502</v>
      </c>
      <c r="O22" s="246">
        <f t="shared" si="4"/>
        <v>187604.46500218505</v>
      </c>
      <c r="P22" s="246">
        <f t="shared" si="4"/>
        <v>231606.23464093503</v>
      </c>
      <c r="Q22" s="246">
        <f>+'MODENA CORREDIZA'!M22</f>
        <v>49380.189692006272</v>
      </c>
      <c r="R22" s="252"/>
    </row>
    <row r="23" spans="1:19" ht="16.5" thickBot="1">
      <c r="A23" s="68">
        <v>1.2</v>
      </c>
      <c r="B23" s="69">
        <v>1.2</v>
      </c>
      <c r="C23" s="59">
        <f>((((A23*2)+(B23*2))*'MATERIALES (2)'!$C$60)+(((A23*2)+(B23*2))*'MATERIALES (2)'!$C$76))*'MATERIALES (2)'!$F$2</f>
        <v>48559.391999999993</v>
      </c>
      <c r="D23" s="59">
        <f>(4*'MATERIALES (2)'!$C$178)+((((A23*2)+(B23*2))/0.1)*'MATERIALES (2)'!$C$181)+(((A23*2)+(B23*2))*'MATERIALES (2)'!$C$154)+(0.5*'MATERIALES (2)'!$C$156)+(4*'MATERIALES (2)'!$C$137)+(((A23*5)*2)*'MATERIALES (2)'!$C$136)+(2*'MATERIALES (2)'!$C$176)</f>
        <v>11482</v>
      </c>
      <c r="E23" s="75"/>
      <c r="F23" s="55">
        <f>(A23*B23)*'MATERIALES (2)'!$D$85</f>
        <v>10656</v>
      </c>
      <c r="G23" s="55">
        <f>(((A23*B23)*2)*'MATERIALES (2)'!$D$86)+(4*'MATERIALES (2)'!$C$218)+(((A23*2)+(B23*2))*'MATERIALES (2)'!$C$219)+(((A23*2)+(B23*2))*'MATERIALES (2)'!$C$220)+((((A23*2)+(B23*2))/15)*'MATERIALES (2)'!$C$221)+((((A23*2)+(B23*2))/15)*('MATERIALES (2)'!$C$222*0.15))</f>
        <v>33681</v>
      </c>
      <c r="H23" s="55">
        <f>(A23*B23)*'MATERIALES (2)'!$D$92</f>
        <v>52056</v>
      </c>
      <c r="I23" s="125">
        <f t="shared" si="1"/>
        <v>136561.31004978</v>
      </c>
      <c r="J23" s="144">
        <f t="shared" si="2"/>
        <v>197993.16129978001</v>
      </c>
      <c r="K23" s="67">
        <f t="shared" si="3"/>
        <v>247018.58004978002</v>
      </c>
      <c r="M23" s="263" t="s">
        <v>556</v>
      </c>
      <c r="N23" s="246">
        <f t="shared" si="4"/>
        <v>136561.31004978</v>
      </c>
      <c r="O23" s="246">
        <f t="shared" si="4"/>
        <v>197993.16129978001</v>
      </c>
      <c r="P23" s="246">
        <f t="shared" si="4"/>
        <v>247018.58004978002</v>
      </c>
      <c r="Q23" s="246">
        <f>+'MODENA CORREDIZA'!M23</f>
        <v>53852.925720824976</v>
      </c>
      <c r="R23" s="252"/>
    </row>
    <row r="24" spans="1:19" ht="16.5" thickBot="1">
      <c r="A24" s="68">
        <v>1.2</v>
      </c>
      <c r="B24" s="69">
        <v>1.5</v>
      </c>
      <c r="C24" s="59">
        <f>((((A24*2)+(B24*2))*'MATERIALES (2)'!$C$60)+(((A24*2)+(B24*2))*'MATERIALES (2)'!$C$76))*'MATERIALES (2)'!$F$2</f>
        <v>54629.316000000006</v>
      </c>
      <c r="D24" s="59">
        <f>(4*'MATERIALES (2)'!$C$178)+((((A24*2)+(B24*2))/0.1)*'MATERIALES (2)'!$C$181)+(((A24*2)+(B24*2))*'MATERIALES (2)'!$C$154)+(0.5*'MATERIALES (2)'!$C$156)+(4*'MATERIALES (2)'!$C$137)+(((A24*5)*2)*'MATERIALES (2)'!$C$136)+(2*'MATERIALES (2)'!$C$176)</f>
        <v>11806</v>
      </c>
      <c r="E24" s="75"/>
      <c r="F24" s="55">
        <f>(A24*B24)*'MATERIALES (2)'!$D$85</f>
        <v>13319.999999999998</v>
      </c>
      <c r="G24" s="55">
        <f>(((A24*B24)*2)*'MATERIALES (2)'!$D$86)+(4*'MATERIALES (2)'!$C$218)+(((A24*2)+(B24*2))*'MATERIALES (2)'!$C$219)+(((A24*2)+(B24*2))*'MATERIALES (2)'!$C$220)+((((A24*2)+(B24*2))/15)*'MATERIALES (2)'!$C$221)+((((A24*2)+(B24*2))/15)*('MATERIALES (2)'!$C$222*0.15))</f>
        <v>41046.324999999997</v>
      </c>
      <c r="H24" s="55">
        <f>(A24*B24)*'MATERIALES (2)'!$D$92</f>
        <v>65069.999999999993</v>
      </c>
      <c r="I24" s="125">
        <f t="shared" si="1"/>
        <v>155184.02877631504</v>
      </c>
      <c r="J24" s="144">
        <f t="shared" si="2"/>
        <v>229159.25019256506</v>
      </c>
      <c r="K24" s="67">
        <f t="shared" si="3"/>
        <v>293255.61627631501</v>
      </c>
      <c r="M24" s="263" t="s">
        <v>557</v>
      </c>
      <c r="N24" s="246">
        <f t="shared" si="4"/>
        <v>155184.02877631504</v>
      </c>
      <c r="O24" s="246">
        <f t="shared" si="4"/>
        <v>229159.25019256506</v>
      </c>
      <c r="P24" s="246">
        <f t="shared" si="4"/>
        <v>293255.61627631501</v>
      </c>
      <c r="Q24" s="246">
        <f>+'MODENA CORREDIZA'!M24</f>
        <v>67271.133807281265</v>
      </c>
      <c r="R24" s="252"/>
    </row>
    <row r="25" spans="1:19" ht="16.5" thickBot="1">
      <c r="A25" s="68">
        <v>1.2</v>
      </c>
      <c r="B25" s="69">
        <v>1.8</v>
      </c>
      <c r="C25" s="59">
        <f>((((A25*2)+(B25*2))*'MATERIALES (2)'!$C$60)+(((A25*2)+(B25*2))*'MATERIALES (2)'!$C$76))*'MATERIALES (2)'!$F$2</f>
        <v>60699.240000000005</v>
      </c>
      <c r="D25" s="59">
        <f>(4*'MATERIALES (2)'!$C$178)+((((A25*2)+(B25*2))/0.1)*'MATERIALES (2)'!$C$181)+(((A25*2)+(B25*2))*'MATERIALES (2)'!$C$154)+(0.5*'MATERIALES (2)'!$C$156)+(4*'MATERIALES (2)'!$C$137)+(((A25*5)*2)*'MATERIALES (2)'!$C$136)+(2*'MATERIALES (2)'!$C$176)</f>
        <v>12130</v>
      </c>
      <c r="E25" s="75"/>
      <c r="F25" s="55">
        <f>(A25*B25)*'MATERIALES (2)'!$D$85</f>
        <v>15984.000000000002</v>
      </c>
      <c r="G25" s="55">
        <f>(((A25*B25)*2)*'MATERIALES (2)'!$D$86)+(4*'MATERIALES (2)'!$C$218)+(((A25*2)+(B25*2))*'MATERIALES (2)'!$C$219)+(((A25*2)+(B25*2))*'MATERIALES (2)'!$C$220)+((((A25*2)+(B25*2))/15)*'MATERIALES (2)'!$C$221)+((((A25*2)+(B25*2))/15)*('MATERIALES (2)'!$C$222*0.15))</f>
        <v>48411.65</v>
      </c>
      <c r="H25" s="55">
        <f>(A25*B25)*'MATERIALES (2)'!$D$92</f>
        <v>78084</v>
      </c>
      <c r="I25" s="125">
        <f t="shared" si="1"/>
        <v>173806.74750285002</v>
      </c>
      <c r="J25" s="144">
        <f t="shared" si="2"/>
        <v>260325.33908535005</v>
      </c>
      <c r="K25" s="67">
        <f t="shared" si="3"/>
        <v>339492.65250285011</v>
      </c>
      <c r="M25" s="263" t="s">
        <v>558</v>
      </c>
      <c r="N25" s="246">
        <f t="shared" si="4"/>
        <v>173806.74750285002</v>
      </c>
      <c r="O25" s="246">
        <f t="shared" si="4"/>
        <v>260325.33908535005</v>
      </c>
      <c r="P25" s="246">
        <f t="shared" si="4"/>
        <v>339492.65250285011</v>
      </c>
      <c r="Q25" s="246">
        <f>+'MODENA CORREDIZA'!M25</f>
        <v>80689.341893737495</v>
      </c>
      <c r="R25" s="252"/>
    </row>
    <row r="26" spans="1:19" ht="16.5" thickBot="1">
      <c r="A26" s="68">
        <v>1.5</v>
      </c>
      <c r="B26" s="69">
        <v>0.4</v>
      </c>
      <c r="C26" s="59">
        <f>((((A26*2)+(B26*2))*'MATERIALES (2)'!$C$60)+(((A26*2)+(B26*2))*'MATERIALES (2)'!$C$76))*'MATERIALES (2)'!$F$2</f>
        <v>38442.851999999999</v>
      </c>
      <c r="D26" s="59">
        <f>(4*'MATERIALES (2)'!$C$178)+((((A26*2)+(B26*2))/0.1)*'MATERIALES (2)'!$C$181)+(((A26*2)+(B26*2))*'MATERIALES (2)'!$C$154)+(0.5*'MATERIALES (2)'!$C$156)+(4*'MATERIALES (2)'!$C$137)+(((A26*5)*2)*'MATERIALES (2)'!$C$136)+(2*'MATERIALES (2)'!$C$176)</f>
        <v>10942</v>
      </c>
      <c r="E26" s="75"/>
      <c r="F26" s="55">
        <f>(A26*B26)*'MATERIALES (2)'!$D$85</f>
        <v>4440.0000000000009</v>
      </c>
      <c r="G26" s="55">
        <f>(((A26*B26)*2)*'MATERIALES (2)'!$D$86)+(4*'MATERIALES (2)'!$C$218)+(((A26*2)+(B26*2))*'MATERIALES (2)'!$C$219)+(((A26*2)+(B26*2))*'MATERIALES (2)'!$C$220)+((((A26*2)+(B26*2))/15)*'MATERIALES (2)'!$C$221)+((((A26*2)+(B26*2))/15)*('MATERIALES (2)'!$C$222*0.15))</f>
        <v>17171.858333333337</v>
      </c>
      <c r="H26" s="55">
        <f>(A26*B26)*'MATERIALES (2)'!$D$92</f>
        <v>21690.000000000004</v>
      </c>
      <c r="I26" s="125">
        <f t="shared" si="1"/>
        <v>100784.98870555499</v>
      </c>
      <c r="J26" s="144">
        <f t="shared" si="2"/>
        <v>134754.22333180503</v>
      </c>
      <c r="K26" s="67">
        <f t="shared" si="3"/>
        <v>146808.85120555499</v>
      </c>
      <c r="M26" s="269" t="s">
        <v>559</v>
      </c>
      <c r="N26" s="246">
        <f t="shared" si="4"/>
        <v>100784.98870555499</v>
      </c>
      <c r="O26" s="246">
        <f t="shared" si="4"/>
        <v>134754.22333180503</v>
      </c>
      <c r="P26" s="246">
        <f t="shared" si="4"/>
        <v>146808.85120555499</v>
      </c>
      <c r="Q26" s="246">
        <f>+'MODENA CORREDIZA'!M26</f>
        <v>18071.03749027499</v>
      </c>
      <c r="R26" s="32"/>
      <c r="S26" s="32"/>
    </row>
    <row r="27" spans="1:19" ht="16.5" thickBot="1">
      <c r="A27" s="68">
        <v>1.5</v>
      </c>
      <c r="B27" s="69">
        <v>0.6</v>
      </c>
      <c r="C27" s="59">
        <f>((((A27*2)+(B27*2))*'MATERIALES (2)'!$C$60)+(((A27*2)+(B27*2))*'MATERIALES (2)'!$C$76))*'MATERIALES (2)'!$F$2</f>
        <v>42489.468000000001</v>
      </c>
      <c r="D27" s="59">
        <f>(4*'MATERIALES (2)'!$C$178)+((((A27*2)+(B27*2))/0.1)*'MATERIALES (2)'!$C$181)+(((A27*2)+(B27*2))*'MATERIALES (2)'!$C$154)+(0.5*'MATERIALES (2)'!$C$156)+(4*'MATERIALES (2)'!$C$137)+(((A27*5)*2)*'MATERIALES (2)'!$C$136)+(2*'MATERIALES (2)'!$C$176)</f>
        <v>11158</v>
      </c>
      <c r="E27" s="75"/>
      <c r="F27" s="55">
        <f>(A27*B27)*'MATERIALES (2)'!$D$85</f>
        <v>6659.9999999999991</v>
      </c>
      <c r="G27" s="55">
        <f>(((A27*B27)*2)*'MATERIALES (2)'!$D$86)+(4*'MATERIALES (2)'!$C$218)+(((A27*2)+(B27*2))*'MATERIALES (2)'!$C$219)+(((A27*2)+(B27*2))*'MATERIALES (2)'!$C$220)+((((A27*2)+(B27*2))/15)*'MATERIALES (2)'!$C$221)+((((A27*2)+(B27*2))/15)*('MATERIALES (2)'!$C$222*0.15))</f>
        <v>23140.474999999999</v>
      </c>
      <c r="H27" s="55">
        <f>(A27*B27)*'MATERIALES (2)'!$D$92</f>
        <v>32534.999999999996</v>
      </c>
      <c r="I27" s="125">
        <f t="shared" si="1"/>
        <v>114384.74872324502</v>
      </c>
      <c r="J27" s="144">
        <f t="shared" si="2"/>
        <v>158355.48004699501</v>
      </c>
      <c r="K27" s="67">
        <f t="shared" si="3"/>
        <v>183420.542473245</v>
      </c>
      <c r="M27" s="269" t="s">
        <v>560</v>
      </c>
      <c r="N27" s="246">
        <f t="shared" si="4"/>
        <v>114384.74872324502</v>
      </c>
      <c r="O27" s="246">
        <f t="shared" si="4"/>
        <v>158355.48004699501</v>
      </c>
      <c r="P27" s="246">
        <f t="shared" si="4"/>
        <v>183420.542473245</v>
      </c>
      <c r="Q27" s="246">
        <f>+'MODENA CORREDIZA'!M27</f>
        <v>27016.509547912487</v>
      </c>
      <c r="R27" s="32"/>
      <c r="S27" s="32"/>
    </row>
    <row r="28" spans="1:19" ht="16.5" thickBot="1">
      <c r="A28" s="68">
        <v>1.5</v>
      </c>
      <c r="B28" s="69">
        <v>0.8</v>
      </c>
      <c r="C28" s="59">
        <f>((((A28*2)+(B28*2))*'MATERIALES (2)'!$C$60)+(((A28*2)+(B28*2))*'MATERIALES (2)'!$C$76))*'MATERIALES (2)'!$F$2</f>
        <v>46536.083999999995</v>
      </c>
      <c r="D28" s="59">
        <f>(4*'MATERIALES (2)'!$C$178)+((((A28*2)+(B28*2))/0.1)*'MATERIALES (2)'!$C$181)+(((A28*2)+(B28*2))*'MATERIALES (2)'!$C$154)+(0.5*'MATERIALES (2)'!$C$156)+(4*'MATERIALES (2)'!$C$137)+(((A28*5)*2)*'MATERIALES (2)'!$C$136)+(2*'MATERIALES (2)'!$C$176)</f>
        <v>11374</v>
      </c>
      <c r="E28" s="75"/>
      <c r="F28" s="55">
        <f>(A28*B28)*'MATERIALES (2)'!$D$85</f>
        <v>8880.0000000000018</v>
      </c>
      <c r="G28" s="55">
        <f>(((A28*B28)*2)*'MATERIALES (2)'!$D$86)+(4*'MATERIALES (2)'!$C$218)+(((A28*2)+(B28*2))*'MATERIALES (2)'!$C$219)+(((A28*2)+(B28*2))*'MATERIALES (2)'!$C$220)+((((A28*2)+(B28*2))/15)*'MATERIALES (2)'!$C$221)+((((A28*2)+(B28*2))/15)*('MATERIALES (2)'!$C$222*0.15))</f>
        <v>29109.091666666671</v>
      </c>
      <c r="H28" s="55">
        <f>(A28*B28)*'MATERIALES (2)'!$D$92</f>
        <v>43380.000000000007</v>
      </c>
      <c r="I28" s="125">
        <f t="shared" si="1"/>
        <v>127984.50874093501</v>
      </c>
      <c r="J28" s="144">
        <f t="shared" si="2"/>
        <v>181956.73676218503</v>
      </c>
      <c r="K28" s="67">
        <f t="shared" si="3"/>
        <v>220032.23374093507</v>
      </c>
      <c r="M28" s="269" t="s">
        <v>561</v>
      </c>
      <c r="N28" s="246">
        <f t="shared" si="4"/>
        <v>127984.50874093501</v>
      </c>
      <c r="O28" s="246">
        <f t="shared" si="4"/>
        <v>181956.73676218503</v>
      </c>
      <c r="P28" s="246">
        <f t="shared" si="4"/>
        <v>220032.23374093507</v>
      </c>
      <c r="Q28" s="246">
        <f>+'MODENA CORREDIZA'!M28</f>
        <v>35961.981605549925</v>
      </c>
      <c r="R28" s="32"/>
      <c r="S28" s="32"/>
    </row>
    <row r="29" spans="1:19" ht="16.5" thickBot="1">
      <c r="A29" s="68">
        <v>1.5</v>
      </c>
      <c r="B29" s="69">
        <v>1</v>
      </c>
      <c r="C29" s="59">
        <f>((((A29*2)+(B29*2))*'MATERIALES (2)'!$C$60)+(((A29*2)+(B29*2))*'MATERIALES (2)'!$C$76))*'MATERIALES (2)'!$F$2</f>
        <v>50582.7</v>
      </c>
      <c r="D29" s="59">
        <f>(4*'MATERIALES (2)'!$C$178)+((((A29*2)+(B29*2))/0.1)*'MATERIALES (2)'!$C$181)+(((A29*2)+(B29*2))*'MATERIALES (2)'!$C$154)+(0.5*'MATERIALES (2)'!$C$156)+(4*'MATERIALES (2)'!$C$137)+(((A29*5)*2)*'MATERIALES (2)'!$C$136)+(2*'MATERIALES (2)'!$C$176)</f>
        <v>11590</v>
      </c>
      <c r="E29" s="75"/>
      <c r="F29" s="55">
        <f>(A29*B29)*'MATERIALES (2)'!$D$85</f>
        <v>11100</v>
      </c>
      <c r="G29" s="55">
        <f>(((A29*B29)*2)*'MATERIALES (2)'!$D$86)+(4*'MATERIALES (2)'!$C$218)+(((A29*2)+(B29*2))*'MATERIALES (2)'!$C$219)+(((A29*2)+(B29*2))*'MATERIALES (2)'!$C$220)+((((A29*2)+(B29*2))/15)*'MATERIALES (2)'!$C$221)+((((A29*2)+(B29*2))/15)*('MATERIALES (2)'!$C$222*0.15))</f>
        <v>35077.708333333336</v>
      </c>
      <c r="H29" s="55">
        <f>(A29*B29)*'MATERIALES (2)'!$D$92</f>
        <v>54225</v>
      </c>
      <c r="I29" s="125">
        <f t="shared" si="1"/>
        <v>141584.26875862502</v>
      </c>
      <c r="J29" s="144">
        <f t="shared" si="2"/>
        <v>205557.99347737501</v>
      </c>
      <c r="K29" s="67">
        <f t="shared" si="3"/>
        <v>256643.92500862502</v>
      </c>
      <c r="M29" s="269" t="s">
        <v>562</v>
      </c>
      <c r="N29" s="246">
        <f t="shared" si="4"/>
        <v>141584.26875862502</v>
      </c>
      <c r="O29" s="246">
        <f t="shared" si="4"/>
        <v>205557.99347737501</v>
      </c>
      <c r="P29" s="246">
        <f t="shared" si="4"/>
        <v>256643.92500862502</v>
      </c>
      <c r="Q29" s="246">
        <f>+'MODENA CORREDIZA'!M29</f>
        <v>44907.453663187451</v>
      </c>
    </row>
    <row r="30" spans="1:19" ht="16.5" thickBot="1">
      <c r="A30" s="68">
        <v>1.5</v>
      </c>
      <c r="B30" s="69">
        <v>1.1000000000000001</v>
      </c>
      <c r="C30" s="59">
        <f>((((A30*2)+(B30*2))*'MATERIALES (2)'!$C$60)+(((A30*2)+(B30*2))*'MATERIALES (2)'!$C$76))*'MATERIALES (2)'!$F$2</f>
        <v>52606.008000000002</v>
      </c>
      <c r="D30" s="59">
        <f>(4*'MATERIALES (2)'!$C$178)+((((A30*2)+(B30*2))/0.1)*'MATERIALES (2)'!$C$181)+(((A30*2)+(B30*2))*'MATERIALES (2)'!$C$154)+(0.5*'MATERIALES (2)'!$C$156)+(4*'MATERIALES (2)'!$C$137)+(((A30*5)*2)*'MATERIALES (2)'!$C$136)+(2*'MATERIALES (2)'!$C$176)</f>
        <v>11698</v>
      </c>
      <c r="E30" s="75"/>
      <c r="F30" s="55">
        <f>(A30*B30)*'MATERIALES (2)'!$D$85</f>
        <v>12210.000000000002</v>
      </c>
      <c r="G30" s="55">
        <f>(((A30*B30)*2)*'MATERIALES (2)'!$D$86)+(4*'MATERIALES (2)'!$C$218)+(((A30*2)+(B30*2))*'MATERIALES (2)'!$C$219)+(((A30*2)+(B30*2))*'MATERIALES (2)'!$C$220)+((((A30*2)+(B30*2))/15)*'MATERIALES (2)'!$C$221)+((((A30*2)+(B30*2))/15)*('MATERIALES (2)'!$C$222*0.15))</f>
        <v>38062.016666666663</v>
      </c>
      <c r="H30" s="55">
        <f>(A30*B30)*'MATERIALES (2)'!$D$92</f>
        <v>59647.500000000007</v>
      </c>
      <c r="I30" s="125">
        <f t="shared" si="1"/>
        <v>148384.14876747003</v>
      </c>
      <c r="J30" s="144">
        <f t="shared" si="2"/>
        <v>217358.62183496999</v>
      </c>
      <c r="K30" s="67">
        <f t="shared" si="3"/>
        <v>274949.77064247004</v>
      </c>
      <c r="M30" s="269" t="s">
        <v>563</v>
      </c>
      <c r="N30" s="246">
        <f t="shared" si="4"/>
        <v>148384.14876747003</v>
      </c>
      <c r="O30" s="246">
        <f t="shared" si="4"/>
        <v>217358.62183496999</v>
      </c>
      <c r="P30" s="246">
        <f t="shared" si="4"/>
        <v>274949.77064247004</v>
      </c>
      <c r="Q30" s="246">
        <f>+'MODENA CORREDIZA'!M30</f>
        <v>49380.189692006272</v>
      </c>
    </row>
    <row r="31" spans="1:19" ht="16.5" thickBot="1">
      <c r="A31" s="68">
        <v>1.5</v>
      </c>
      <c r="B31" s="69">
        <v>1.2</v>
      </c>
      <c r="C31" s="59">
        <f>((((A31*2)+(B31*2))*'MATERIALES (2)'!$C$60)+(((A31*2)+(B31*2))*'MATERIALES (2)'!$C$76))*'MATERIALES (2)'!$F$2</f>
        <v>54629.316000000006</v>
      </c>
      <c r="D31" s="59">
        <f>(4*'MATERIALES (2)'!$C$178)+((((A31*2)+(B31*2))/0.1)*'MATERIALES (2)'!$C$181)+(((A31*2)+(B31*2))*'MATERIALES (2)'!$C$154)+(0.5*'MATERIALES (2)'!$C$156)+(4*'MATERIALES (2)'!$C$137)+(((A31*5)*2)*'MATERIALES (2)'!$C$136)+(2*'MATERIALES (2)'!$C$176)</f>
        <v>11806</v>
      </c>
      <c r="E31" s="75"/>
      <c r="F31" s="55">
        <f>(A31*B31)*'MATERIALES (2)'!$D$85</f>
        <v>13319.999999999998</v>
      </c>
      <c r="G31" s="55">
        <f>(((A31*B31)*2)*'MATERIALES (2)'!$D$86)+(4*'MATERIALES (2)'!$C$218)+(((A31*2)+(B31*2))*'MATERIALES (2)'!$C$219)+(((A31*2)+(B31*2))*'MATERIALES (2)'!$C$220)+((((A31*2)+(B31*2))/15)*'MATERIALES (2)'!$C$221)+((((A31*2)+(B31*2))/15)*('MATERIALES (2)'!$C$222*0.15))</f>
        <v>41046.324999999997</v>
      </c>
      <c r="H31" s="55">
        <f>(A31*B31)*'MATERIALES (2)'!$D$92</f>
        <v>65069.999999999993</v>
      </c>
      <c r="I31" s="125">
        <f t="shared" si="1"/>
        <v>155184.02877631504</v>
      </c>
      <c r="J31" s="144">
        <f t="shared" si="2"/>
        <v>229159.25019256506</v>
      </c>
      <c r="K31" s="67">
        <f t="shared" si="3"/>
        <v>293255.61627631501</v>
      </c>
      <c r="M31" s="269" t="s">
        <v>564</v>
      </c>
      <c r="N31" s="246">
        <f t="shared" si="4"/>
        <v>155184.02877631504</v>
      </c>
      <c r="O31" s="246">
        <f t="shared" si="4"/>
        <v>229159.25019256506</v>
      </c>
      <c r="P31" s="246">
        <f t="shared" si="4"/>
        <v>293255.61627631501</v>
      </c>
      <c r="Q31" s="246">
        <f>+'MODENA CORREDIZA'!M31</f>
        <v>53852.925720824918</v>
      </c>
    </row>
    <row r="32" spans="1:19" ht="16.5" thickBot="1">
      <c r="A32" s="68">
        <v>1.5</v>
      </c>
      <c r="B32" s="69">
        <v>1.5</v>
      </c>
      <c r="C32" s="59">
        <f>((((A32*2)+(B32*2))*'MATERIALES (2)'!$C$60)+(((A32*2)+(B32*2))*'MATERIALES (2)'!$C$76))*'MATERIALES (2)'!$F$2</f>
        <v>60699.240000000005</v>
      </c>
      <c r="D32" s="59">
        <f>(4*'MATERIALES (2)'!$C$178)+((((A32*2)+(B32*2))/0.1)*'MATERIALES (2)'!$C$181)+(((A32*2)+(B32*2))*'MATERIALES (2)'!$C$154)+(0.5*'MATERIALES (2)'!$C$156)+(4*'MATERIALES (2)'!$C$137)+(((A32*5)*2)*'MATERIALES (2)'!$C$136)+(2*'MATERIALES (2)'!$C$176)</f>
        <v>12130</v>
      </c>
      <c r="E32" s="75"/>
      <c r="F32" s="55">
        <f>(A32*B32)*'MATERIALES (2)'!$D$85</f>
        <v>16650</v>
      </c>
      <c r="G32" s="55">
        <f>(((A32*B32)*2)*'MATERIALES (2)'!$D$86)+(4*'MATERIALES (2)'!$C$218)+(((A32*2)+(B32*2))*'MATERIALES (2)'!$C$219)+(((A32*2)+(B32*2))*'MATERIALES (2)'!$C$220)+((((A32*2)+(B32*2))/15)*'MATERIALES (2)'!$C$221)+((((A32*2)+(B32*2))/15)*('MATERIALES (2)'!$C$222*0.15))</f>
        <v>49999.25</v>
      </c>
      <c r="H32" s="55">
        <f>(A32*B32)*'MATERIALES (2)'!$D$92</f>
        <v>81337.5</v>
      </c>
      <c r="I32" s="125">
        <f t="shared" si="1"/>
        <v>175583.66880285004</v>
      </c>
      <c r="J32" s="144">
        <f t="shared" si="2"/>
        <v>264561.13526535005</v>
      </c>
      <c r="K32" s="67">
        <f t="shared" si="3"/>
        <v>348173.15317785001</v>
      </c>
      <c r="M32" s="269" t="s">
        <v>565</v>
      </c>
      <c r="N32" s="246">
        <f t="shared" si="4"/>
        <v>175583.66880285004</v>
      </c>
      <c r="O32" s="246">
        <f t="shared" si="4"/>
        <v>264561.13526535005</v>
      </c>
      <c r="P32" s="246">
        <f t="shared" si="4"/>
        <v>348173.15317785001</v>
      </c>
      <c r="Q32" s="246">
        <f>+'MODENA CORREDIZA'!M32</f>
        <v>67271.133807281207</v>
      </c>
    </row>
    <row r="33" spans="1:17" ht="16.5" thickBot="1">
      <c r="A33" s="68">
        <v>1.5</v>
      </c>
      <c r="B33" s="69">
        <v>1.8</v>
      </c>
      <c r="C33" s="59">
        <f>((((A33*2)+(B33*2))*'MATERIALES (2)'!$C$60)+(((A33*2)+(B33*2))*'MATERIALES (2)'!$C$76))*'MATERIALES (2)'!$F$2</f>
        <v>66769.16399999999</v>
      </c>
      <c r="D33" s="59">
        <f>(4*'MATERIALES (2)'!$C$178)+((((A33*2)+(B33*2))/0.1)*'MATERIALES (2)'!$C$181)+(((A33*2)+(B33*2))*'MATERIALES (2)'!$C$154)+(0.5*'MATERIALES (2)'!$C$156)+(4*'MATERIALES (2)'!$C$137)+(((A33*5)*2)*'MATERIALES (2)'!$C$136)+(2*'MATERIALES (2)'!$C$176)</f>
        <v>12454</v>
      </c>
      <c r="E33" s="75"/>
      <c r="F33" s="55">
        <f>(A33*B33)*'MATERIALES (2)'!$D$85</f>
        <v>19980</v>
      </c>
      <c r="G33" s="55">
        <f>(((A33*B33)*2)*'MATERIALES (2)'!$D$86)+(4*'MATERIALES (2)'!$C$218)+(((A33*2)+(B33*2))*'MATERIALES (2)'!$C$219)+(((A33*2)+(B33*2))*'MATERIALES (2)'!$C$220)+((((A33*2)+(B33*2))/15)*'MATERIALES (2)'!$C$221)+((((A33*2)+(B33*2))/15)*('MATERIALES (2)'!$C$222*0.15))</f>
        <v>58952.175000000003</v>
      </c>
      <c r="H33" s="55">
        <f>(A33*B33)*'MATERIALES (2)'!$D$92</f>
        <v>97605</v>
      </c>
      <c r="I33" s="125">
        <f t="shared" si="1"/>
        <v>195983.308829385</v>
      </c>
      <c r="J33" s="144">
        <f t="shared" si="2"/>
        <v>299963.02033813501</v>
      </c>
      <c r="K33" s="67">
        <f t="shared" si="3"/>
        <v>403090.69007938495</v>
      </c>
      <c r="M33" s="269" t="s">
        <v>566</v>
      </c>
      <c r="N33" s="246">
        <f t="shared" si="4"/>
        <v>195983.308829385</v>
      </c>
      <c r="O33" s="246">
        <f t="shared" si="4"/>
        <v>299963.02033813501</v>
      </c>
      <c r="P33" s="246">
        <f t="shared" si="4"/>
        <v>403090.69007938495</v>
      </c>
      <c r="Q33" s="246">
        <f>+'MODENA CORREDIZA'!M33</f>
        <v>80689.341893737554</v>
      </c>
    </row>
    <row r="34" spans="1:17" ht="16.5" thickBot="1">
      <c r="A34" s="68">
        <v>1.8</v>
      </c>
      <c r="B34" s="69">
        <v>0.8</v>
      </c>
      <c r="C34" s="59">
        <f>((((A34*2)+(B34*2))*'MATERIALES (2)'!$C$60)+(((A34*2)+(B34*2))*'MATERIALES (2)'!$C$76))*'MATERIALES (2)'!$F$2</f>
        <v>52606.008000000002</v>
      </c>
      <c r="D34" s="59">
        <f>(4*'MATERIALES (2)'!$C$178)+((((A34*2)+(B34*2))/0.1)*'MATERIALES (2)'!$C$181)+(((A34*2)+(B34*2))*'MATERIALES (2)'!$C$154)+(0.5*'MATERIALES (2)'!$C$156)+(4*'MATERIALES (2)'!$C$137)+(((A34*5)*2)*'MATERIALES (2)'!$C$136)+(2*'MATERIALES (2)'!$C$176)</f>
        <v>11698</v>
      </c>
      <c r="E34" s="75"/>
      <c r="F34" s="55">
        <f>(A34*B34)*'MATERIALES (2)'!$D$85</f>
        <v>10656.000000000002</v>
      </c>
      <c r="G34" s="55">
        <f>(((A34*B34)*2)*'MATERIALES (2)'!$D$86)+(4*'MATERIALES (2)'!$C$218)+(((A34*2)+(B34*2))*'MATERIALES (2)'!$C$219)+(((A34*2)+(B34*2))*'MATERIALES (2)'!$C$220)+((((A34*2)+(B34*2))/15)*'MATERIALES (2)'!$C$221)+((((A34*2)+(B34*2))/15)*('MATERIALES (2)'!$C$222*0.15))</f>
        <v>34357.616666666669</v>
      </c>
      <c r="H34" s="55">
        <f>(A34*B34)*'MATERIALES (2)'!$D$92</f>
        <v>52056.000000000007</v>
      </c>
      <c r="I34" s="125">
        <f t="shared" si="1"/>
        <v>144237.99906746999</v>
      </c>
      <c r="J34" s="144">
        <f t="shared" si="2"/>
        <v>207475.09741497002</v>
      </c>
      <c r="K34" s="67">
        <f t="shared" si="3"/>
        <v>254695.26906747004</v>
      </c>
      <c r="M34" s="269" t="s">
        <v>567</v>
      </c>
      <c r="N34" s="246">
        <f t="shared" si="4"/>
        <v>144237.99906746999</v>
      </c>
      <c r="O34" s="246">
        <f t="shared" si="4"/>
        <v>207475.09741497002</v>
      </c>
      <c r="P34" s="246">
        <f t="shared" si="4"/>
        <v>254695.26906747004</v>
      </c>
      <c r="Q34" s="246">
        <f>+'MODENA CORREDIZA'!M34</f>
        <v>35961.981605549983</v>
      </c>
    </row>
    <row r="35" spans="1:17" ht="16.5" thickBot="1">
      <c r="A35" s="68">
        <v>1.8</v>
      </c>
      <c r="B35" s="69">
        <v>1</v>
      </c>
      <c r="C35" s="59">
        <f>((((A35*2)+(B35*2))*'MATERIALES (2)'!$C$60)+(((A35*2)+(B35*2))*'MATERIALES (2)'!$C$76))*'MATERIALES (2)'!$F$2</f>
        <v>56652.623999999996</v>
      </c>
      <c r="D35" s="59">
        <f>(4*'MATERIALES (2)'!$C$178)+((((A35*2)+(B35*2))/0.1)*'MATERIALES (2)'!$C$181)+(((A35*2)+(B35*2))*'MATERIALES (2)'!$C$154)+(0.5*'MATERIALES (2)'!$C$156)+(4*'MATERIALES (2)'!$C$137)+(((A35*5)*2)*'MATERIALES (2)'!$C$136)+(2*'MATERIALES (2)'!$C$176)</f>
        <v>11914</v>
      </c>
      <c r="E35" s="75"/>
      <c r="F35" s="55">
        <f>(A35*B35)*'MATERIALES (2)'!$D$85</f>
        <v>13320</v>
      </c>
      <c r="G35" s="55">
        <f>(((A35*B35)*2)*'MATERIALES (2)'!$D$86)+(4*'MATERIALES (2)'!$C$218)+(((A35*2)+(B35*2))*'MATERIALES (2)'!$C$219)+(((A35*2)+(B35*2))*'MATERIALES (2)'!$C$220)+((((A35*2)+(B35*2))/15)*'MATERIALES (2)'!$C$221)+((((A35*2)+(B35*2))/15)*('MATERIALES (2)'!$C$222*0.15))</f>
        <v>41384.633333333339</v>
      </c>
      <c r="H35" s="55">
        <f>(A35*B35)*'MATERIALES (2)'!$D$92</f>
        <v>65070</v>
      </c>
      <c r="I35" s="125">
        <f t="shared" si="1"/>
        <v>159022.37328516002</v>
      </c>
      <c r="J35" s="144">
        <f t="shared" si="2"/>
        <v>233900.21825016005</v>
      </c>
      <c r="K35" s="67">
        <f t="shared" si="3"/>
        <v>297093.96078516002</v>
      </c>
      <c r="M35" s="269" t="s">
        <v>568</v>
      </c>
      <c r="N35" s="246">
        <f t="shared" si="4"/>
        <v>159022.37328516002</v>
      </c>
      <c r="O35" s="246">
        <f t="shared" si="4"/>
        <v>233900.21825016005</v>
      </c>
      <c r="P35" s="246">
        <f t="shared" si="4"/>
        <v>297093.96078516002</v>
      </c>
      <c r="Q35" s="246">
        <f>+'MODENA CORREDIZA'!M35</f>
        <v>44907.453663187509</v>
      </c>
    </row>
    <row r="36" spans="1:17" ht="16.5" thickBot="1">
      <c r="A36" s="68">
        <v>1.8</v>
      </c>
      <c r="B36" s="69">
        <v>1.1000000000000001</v>
      </c>
      <c r="C36" s="59">
        <f>((((A36*2)+(B36*2))*'MATERIALES (2)'!$C$60)+(((A36*2)+(B36*2))*'MATERIALES (2)'!$C$76))*'MATERIALES (2)'!$F$2</f>
        <v>58675.932000000001</v>
      </c>
      <c r="D36" s="59">
        <f>(4*'MATERIALES (2)'!$C$178)+((((A36*2)+(B36*2))/0.1)*'MATERIALES (2)'!$C$181)+(((A36*2)+(B36*2))*'MATERIALES (2)'!$C$154)+(0.5*'MATERIALES (2)'!$C$156)+(4*'MATERIALES (2)'!$C$137)+(((A36*5)*2)*'MATERIALES (2)'!$C$136)+(2*'MATERIALES (2)'!$C$176)</f>
        <v>12022</v>
      </c>
      <c r="E36" s="75"/>
      <c r="F36" s="55">
        <f>(A36*B36)*'MATERIALES (2)'!$D$85</f>
        <v>14652.000000000002</v>
      </c>
      <c r="G36" s="55">
        <f>(((A36*B36)*2)*'MATERIALES (2)'!$D$86)+(4*'MATERIALES (2)'!$C$218)+(((A36*2)+(B36*2))*'MATERIALES (2)'!$C$219)+(((A36*2)+(B36*2))*'MATERIALES (2)'!$C$220)+((((A36*2)+(B36*2))/15)*'MATERIALES (2)'!$C$221)+((((A36*2)+(B36*2))/15)*('MATERIALES (2)'!$C$222*0.15))</f>
        <v>44898.14166666667</v>
      </c>
      <c r="H36" s="55">
        <f>(A36*B36)*'MATERIALES (2)'!$D$92</f>
        <v>71577.000000000015</v>
      </c>
      <c r="I36" s="125">
        <f t="shared" si="1"/>
        <v>166414.56039400504</v>
      </c>
      <c r="J36" s="144">
        <f t="shared" si="2"/>
        <v>247112.77866775502</v>
      </c>
      <c r="K36" s="67">
        <f t="shared" si="3"/>
        <v>318293.30664400506</v>
      </c>
      <c r="M36" s="269" t="s">
        <v>569</v>
      </c>
      <c r="N36" s="246">
        <f t="shared" si="4"/>
        <v>166414.56039400504</v>
      </c>
      <c r="O36" s="246">
        <f t="shared" si="4"/>
        <v>247112.77866775502</v>
      </c>
      <c r="P36" s="246">
        <f t="shared" si="4"/>
        <v>318293.30664400506</v>
      </c>
      <c r="Q36" s="246">
        <f>+'MODENA CORREDIZA'!M36</f>
        <v>49380.189692006214</v>
      </c>
    </row>
    <row r="37" spans="1:17" ht="16.5" thickBot="1">
      <c r="A37" s="68">
        <v>1.8</v>
      </c>
      <c r="B37" s="69">
        <v>1.2</v>
      </c>
      <c r="C37" s="59">
        <f>((((A37*2)+(B37*2))*'MATERIALES (2)'!$C$60)+(((A37*2)+(B37*2))*'MATERIALES (2)'!$C$76))*'MATERIALES (2)'!$F$2</f>
        <v>60699.240000000005</v>
      </c>
      <c r="D37" s="59">
        <f>(4*'MATERIALES (2)'!$C$178)+((((A37*2)+(B37*2))/0.1)*'MATERIALES (2)'!$C$181)+(((A37*2)+(B37*2))*'MATERIALES (2)'!$C$154)+(0.5*'MATERIALES (2)'!$C$156)+(4*'MATERIALES (2)'!$C$137)+(((A37*5)*2)*'MATERIALES (2)'!$C$136)+(2*'MATERIALES (2)'!$C$176)</f>
        <v>12130</v>
      </c>
      <c r="E37" s="75"/>
      <c r="F37" s="55">
        <f>(A37*B37)*'MATERIALES (2)'!$D$85</f>
        <v>15984.000000000002</v>
      </c>
      <c r="G37" s="55">
        <f>(((A37*B37)*2)*'MATERIALES (2)'!$D$86)+(4*'MATERIALES (2)'!$C$218)+(((A37*2)+(B37*2))*'MATERIALES (2)'!$C$219)+(((A37*2)+(B37*2))*'MATERIALES (2)'!$C$220)+((((A37*2)+(B37*2))/15)*'MATERIALES (2)'!$C$221)+((((A37*2)+(B37*2))/15)*('MATERIALES (2)'!$C$222*0.15))</f>
        <v>48411.65</v>
      </c>
      <c r="H37" s="55">
        <f>(A37*B37)*'MATERIALES (2)'!$D$92</f>
        <v>78084</v>
      </c>
      <c r="I37" s="125">
        <f t="shared" si="1"/>
        <v>173806.74750285002</v>
      </c>
      <c r="J37" s="144">
        <f t="shared" si="2"/>
        <v>260325.33908535005</v>
      </c>
      <c r="K37" s="67">
        <f t="shared" si="3"/>
        <v>339492.65250285011</v>
      </c>
      <c r="M37" s="269" t="s">
        <v>570</v>
      </c>
      <c r="N37" s="246">
        <f t="shared" si="4"/>
        <v>173806.74750285002</v>
      </c>
      <c r="O37" s="246">
        <f t="shared" si="4"/>
        <v>260325.33908535005</v>
      </c>
      <c r="P37" s="246">
        <f t="shared" si="4"/>
        <v>339492.65250285011</v>
      </c>
      <c r="Q37" s="246">
        <f>+'MODENA CORREDIZA'!M37</f>
        <v>53852.925720824976</v>
      </c>
    </row>
    <row r="38" spans="1:17" ht="16.5" thickBot="1">
      <c r="A38" s="68">
        <v>1.8</v>
      </c>
      <c r="B38" s="69">
        <v>1.5</v>
      </c>
      <c r="C38" s="59">
        <f>((((A38*2)+(B38*2))*'MATERIALES (2)'!$C$60)+(((A38*2)+(B38*2))*'MATERIALES (2)'!$C$76))*'MATERIALES (2)'!$F$2</f>
        <v>66769.16399999999</v>
      </c>
      <c r="D38" s="59">
        <f>(4*'MATERIALES (2)'!$C$178)+((((A38*2)+(B38*2))/0.1)*'MATERIALES (2)'!$C$181)+(((A38*2)+(B38*2))*'MATERIALES (2)'!$C$154)+(0.5*'MATERIALES (2)'!$C$156)+(4*'MATERIALES (2)'!$C$137)+(((A38*5)*2)*'MATERIALES (2)'!$C$136)+(2*'MATERIALES (2)'!$C$176)</f>
        <v>12454</v>
      </c>
      <c r="E38" s="75"/>
      <c r="F38" s="55">
        <f>(A38*B38)*'MATERIALES (2)'!$D$85</f>
        <v>19980</v>
      </c>
      <c r="G38" s="55">
        <f>(((A38*B38)*2)*'MATERIALES (2)'!$D$86)+(4*'MATERIALES (2)'!$C$218)+(((A38*2)+(B38*2))*'MATERIALES (2)'!$C$219)+(((A38*2)+(B38*2))*'MATERIALES (2)'!$C$220)+((((A38*2)+(B38*2))/15)*'MATERIALES (2)'!$C$221)+((((A38*2)+(B38*2))/15)*('MATERIALES (2)'!$C$222*0.15))</f>
        <v>58952.175000000003</v>
      </c>
      <c r="H38" s="55">
        <f>(A38*B38)*'MATERIALES (2)'!$D$92</f>
        <v>97605</v>
      </c>
      <c r="I38" s="125">
        <f t="shared" si="1"/>
        <v>195983.308829385</v>
      </c>
      <c r="J38" s="144">
        <f t="shared" si="2"/>
        <v>299963.02033813501</v>
      </c>
      <c r="K38" s="67">
        <f t="shared" si="3"/>
        <v>403090.69007938495</v>
      </c>
      <c r="M38" s="269" t="s">
        <v>571</v>
      </c>
      <c r="N38" s="246">
        <f t="shared" si="4"/>
        <v>195983.308829385</v>
      </c>
      <c r="O38" s="246">
        <f t="shared" si="4"/>
        <v>299963.02033813501</v>
      </c>
      <c r="P38" s="246">
        <f t="shared" si="4"/>
        <v>403090.69007938495</v>
      </c>
      <c r="Q38" s="246">
        <f>+'MODENA CORREDIZA'!M38</f>
        <v>67271.133807281323</v>
      </c>
    </row>
    <row r="39" spans="1:17" ht="16.5" thickBot="1">
      <c r="A39" s="68">
        <v>1.8</v>
      </c>
      <c r="B39" s="69">
        <v>1.8</v>
      </c>
      <c r="C39" s="59">
        <f>((((A39*2)+(B39*2))*'MATERIALES (2)'!$C$60)+(((A39*2)+(B39*2))*'MATERIALES (2)'!$C$76))*'MATERIALES (2)'!$F$2</f>
        <v>72839.088000000003</v>
      </c>
      <c r="D39" s="59">
        <f>(4*'MATERIALES (2)'!$C$178)+((((A39*2)+(B39*2))/0.1)*'MATERIALES (2)'!$C$181)+(((A39*2)+(B39*2))*'MATERIALES (2)'!$C$154)+(0.5*'MATERIALES (2)'!$C$156)+(4*'MATERIALES (2)'!$C$137)+(((A39*5)*2)*'MATERIALES (2)'!$C$136)+(2*'MATERIALES (2)'!$C$176)</f>
        <v>12778</v>
      </c>
      <c r="E39" s="75"/>
      <c r="F39" s="55">
        <f>(A39*B39)*'MATERIALES (2)'!$D$85</f>
        <v>23976</v>
      </c>
      <c r="G39" s="55">
        <f>(((A39*B39)*2)*'MATERIALES (2)'!$D$86)+(4*'MATERIALES (2)'!$C$218)+(((A39*2)+(B39*2))*'MATERIALES (2)'!$C$219)+(((A39*2)+(B39*2))*'MATERIALES (2)'!$C$220)+((((A39*2)+(B39*2))/15)*'MATERIALES (2)'!$C$221)+((((A39*2)+(B39*2))/15)*('MATERIALES (2)'!$C$222*0.15))</f>
        <v>69492.700000000012</v>
      </c>
      <c r="H39" s="55">
        <f>(A39*B39)*'MATERIALES (2)'!$D$92</f>
        <v>117126.00000000001</v>
      </c>
      <c r="I39" s="125">
        <f t="shared" si="1"/>
        <v>218159.87015592004</v>
      </c>
      <c r="J39" s="144">
        <f t="shared" si="2"/>
        <v>339600.70159092004</v>
      </c>
      <c r="K39" s="67">
        <f t="shared" si="3"/>
        <v>466688.72765592003</v>
      </c>
      <c r="M39" s="269" t="s">
        <v>572</v>
      </c>
      <c r="N39" s="246">
        <f t="shared" si="4"/>
        <v>218159.87015592004</v>
      </c>
      <c r="O39" s="246">
        <f t="shared" si="4"/>
        <v>339600.70159092004</v>
      </c>
      <c r="P39" s="246">
        <f t="shared" si="4"/>
        <v>466688.72765592003</v>
      </c>
      <c r="Q39" s="246">
        <f>+'MODENA CORREDIZA'!M39</f>
        <v>80689.341893737612</v>
      </c>
    </row>
    <row r="40" spans="1:17" ht="16.5" thickBot="1">
      <c r="A40" s="68">
        <v>2</v>
      </c>
      <c r="B40" s="69">
        <v>0.8</v>
      </c>
      <c r="C40" s="59">
        <f>((((A40*2)+(B40*2))*'MATERIALES (2)'!$C$60)+(((A40*2)+(B40*2))*'MATERIALES (2)'!$C$76))*'MATERIALES (2)'!$F$2</f>
        <v>56652.623999999996</v>
      </c>
      <c r="D40" s="59">
        <f>(4*'MATERIALES (2)'!$C$178)+((((A40*2)+(B40*2))/0.1)*'MATERIALES (2)'!$C$181)+(((A40*2)+(B40*2))*'MATERIALES (2)'!$C$154)+(0.5*'MATERIALES (2)'!$C$156)+(4*'MATERIALES (2)'!$C$137)+(((A40*5)*2)*'MATERIALES (2)'!$C$136)+(2*'MATERIALES (2)'!$C$176)</f>
        <v>11914</v>
      </c>
      <c r="E40" s="75"/>
      <c r="F40" s="55">
        <f>(A40*B40)*'MATERIALES (2)'!$D$85</f>
        <v>11840</v>
      </c>
      <c r="G40" s="55">
        <f>(((A40*B40)*2)*'MATERIALES (2)'!$D$86)+(4*'MATERIALES (2)'!$C$218)+(((A40*2)+(B40*2))*'MATERIALES (2)'!$C$219)+(((A40*2)+(B40*2))*'MATERIALES (2)'!$C$220)+((((A40*2)+(B40*2))/15)*'MATERIALES (2)'!$C$221)+((((A40*2)+(B40*2))/15)*('MATERIALES (2)'!$C$222*0.15))</f>
        <v>37856.633333333339</v>
      </c>
      <c r="H40" s="55">
        <f>(A40*B40)*'MATERIALES (2)'!$D$92</f>
        <v>57840</v>
      </c>
      <c r="I40" s="125">
        <f t="shared" si="1"/>
        <v>155073.65928516001</v>
      </c>
      <c r="J40" s="144">
        <f t="shared" si="2"/>
        <v>224487.33785016002</v>
      </c>
      <c r="K40" s="67">
        <f t="shared" si="3"/>
        <v>277803.95928516</v>
      </c>
      <c r="M40" s="269" t="s">
        <v>573</v>
      </c>
      <c r="N40" s="246">
        <f t="shared" si="4"/>
        <v>155073.65928516001</v>
      </c>
      <c r="O40" s="246">
        <f t="shared" si="4"/>
        <v>224487.33785016002</v>
      </c>
      <c r="P40" s="246">
        <f t="shared" si="4"/>
        <v>277803.95928516</v>
      </c>
      <c r="Q40" s="246">
        <f>+'MODENA CORREDIZA'!M40</f>
        <v>35961.981605549983</v>
      </c>
    </row>
    <row r="41" spans="1:17" ht="16.5" thickBot="1">
      <c r="A41" s="68">
        <v>2</v>
      </c>
      <c r="B41" s="69">
        <v>1</v>
      </c>
      <c r="C41" s="59">
        <f>((((A41*2)+(B41*2))*'MATERIALES (2)'!$C$60)+(((A41*2)+(B41*2))*'MATERIALES (2)'!$C$76))*'MATERIALES (2)'!$F$2</f>
        <v>60699.240000000005</v>
      </c>
      <c r="D41" s="59">
        <f>(4*'MATERIALES (2)'!$C$178)+((((A41*2)+(B41*2))/0.1)*'MATERIALES (2)'!$C$181)+(((A41*2)+(B41*2))*'MATERIALES (2)'!$C$154)+(0.5*'MATERIALES (2)'!$C$156)+(4*'MATERIALES (2)'!$C$137)+(((A41*5)*2)*'MATERIALES (2)'!$C$136)+(2*'MATERIALES (2)'!$C$176)</f>
        <v>12130</v>
      </c>
      <c r="E41" s="75"/>
      <c r="F41" s="55">
        <f>(A41*B41)*'MATERIALES (2)'!$D$85</f>
        <v>14800</v>
      </c>
      <c r="G41" s="55">
        <f>(((A41*B41)*2)*'MATERIALES (2)'!$D$86)+(4*'MATERIALES (2)'!$C$218)+(((A41*2)+(B41*2))*'MATERIALES (2)'!$C$219)+(((A41*2)+(B41*2))*'MATERIALES (2)'!$C$220)+((((A41*2)+(B41*2))/15)*'MATERIALES (2)'!$C$221)+((((A41*2)+(B41*2))/15)*('MATERIALES (2)'!$C$222*0.15))</f>
        <v>45589.25</v>
      </c>
      <c r="H41" s="55">
        <f>(A41*B41)*'MATERIALES (2)'!$D$92</f>
        <v>72300</v>
      </c>
      <c r="I41" s="125">
        <f t="shared" si="1"/>
        <v>170647.77630285002</v>
      </c>
      <c r="J41" s="144">
        <f t="shared" si="2"/>
        <v>252795.03476535002</v>
      </c>
      <c r="K41" s="67">
        <f t="shared" si="3"/>
        <v>324060.65130285005</v>
      </c>
      <c r="M41" s="269" t="s">
        <v>574</v>
      </c>
      <c r="N41" s="246">
        <f t="shared" si="4"/>
        <v>170647.77630285002</v>
      </c>
      <c r="O41" s="246">
        <f t="shared" si="4"/>
        <v>252795.03476535002</v>
      </c>
      <c r="P41" s="246">
        <f t="shared" si="4"/>
        <v>324060.65130285005</v>
      </c>
      <c r="Q41" s="246">
        <f>+'MODENA CORREDIZA'!M41</f>
        <v>44907.453663187509</v>
      </c>
    </row>
    <row r="42" spans="1:17" ht="16.5" thickBot="1">
      <c r="A42" s="68">
        <v>3.2</v>
      </c>
      <c r="B42" s="69">
        <v>1.1000000000000001</v>
      </c>
      <c r="C42" s="59">
        <f>((((A42*2)+(B42*2))*'MATERIALES (2)'!$C$60)+(((A42*2)+(B42*2))*'MATERIALES (2)'!$C$76))*'MATERIALES (2)'!$F$2</f>
        <v>87002.244000000006</v>
      </c>
      <c r="D42" s="59">
        <f>(4*'MATERIALES (2)'!$C$178)+((((A42*2)+(B42*2))/0.1)*'MATERIALES (2)'!$C$181)+(((A42*2)+(B42*2))*'MATERIALES (2)'!$C$154)+(0.5*'MATERIALES (2)'!$C$156)+(4*'MATERIALES (2)'!$C$137)+(((A42*5)*2)*'MATERIALES (2)'!$C$136)+(2*'MATERIALES (2)'!$C$176)</f>
        <v>13534</v>
      </c>
      <c r="E42" s="75"/>
      <c r="F42" s="55">
        <f>(A42*B42)*'MATERIALES (2)'!$D$85</f>
        <v>26048.000000000004</v>
      </c>
      <c r="G42" s="55">
        <f>(((A42*B42)*2)*'MATERIALES (2)'!$D$86)+(4*'MATERIALES (2)'!$C$218)+(((A42*2)+(B42*2))*'MATERIALES (2)'!$C$219)+(((A42*2)+(B42*2))*'MATERIALES (2)'!$C$220)+((((A42*2)+(B42*2))/15)*'MATERIALES (2)'!$C$221)+((((A42*2)+(B42*2))/15)*('MATERIALES (2)'!$C$222*0.15))</f>
        <v>76800.058333333349</v>
      </c>
      <c r="H42" s="55">
        <f>(A42*B42)*'MATERIALES (2)'!$D$92</f>
        <v>127248.00000000001</v>
      </c>
      <c r="I42" s="125">
        <f t="shared" si="1"/>
        <v>250556.48131783502</v>
      </c>
      <c r="J42" s="144">
        <f t="shared" si="2"/>
        <v>385965.51055408508</v>
      </c>
      <c r="K42" s="67">
        <f t="shared" si="3"/>
        <v>520563.14131783502</v>
      </c>
      <c r="M42" s="269" t="s">
        <v>575</v>
      </c>
      <c r="N42" s="246">
        <f t="shared" si="4"/>
        <v>250556.48131783502</v>
      </c>
      <c r="O42" s="246">
        <f t="shared" si="4"/>
        <v>385965.51055408508</v>
      </c>
      <c r="P42" s="246">
        <f t="shared" si="4"/>
        <v>520563.14131783502</v>
      </c>
      <c r="Q42" s="246">
        <f>+'MODENA CORREDIZA'!M42</f>
        <v>49380.189692006214</v>
      </c>
    </row>
    <row r="43" spans="1:17" ht="16.5" thickBot="1">
      <c r="A43" s="68">
        <v>2</v>
      </c>
      <c r="B43" s="69">
        <v>1.2</v>
      </c>
      <c r="C43" s="59">
        <f>((((A43*2)+(B43*2))*'MATERIALES (2)'!$C$60)+(((A43*2)+(B43*2))*'MATERIALES (2)'!$C$76))*'MATERIALES (2)'!$F$2</f>
        <v>64745.856</v>
      </c>
      <c r="D43" s="59">
        <f>(4*'MATERIALES (2)'!$C$178)+((((A43*2)+(B43*2))/0.1)*'MATERIALES (2)'!$C$181)+(((A43*2)+(B43*2))*'MATERIALES (2)'!$C$154)+(0.5*'MATERIALES (2)'!$C$156)+(4*'MATERIALES (2)'!$C$137)+(((A43*5)*2)*'MATERIALES (2)'!$C$136)+(2*'MATERIALES (2)'!$C$176)</f>
        <v>12346</v>
      </c>
      <c r="E43" s="75"/>
      <c r="F43" s="55">
        <f>(A43*B43)*'MATERIALES (2)'!$D$85</f>
        <v>17760</v>
      </c>
      <c r="G43" s="55">
        <f>(((A43*B43)*2)*'MATERIALES (2)'!$D$86)+(4*'MATERIALES (2)'!$C$218)+(((A43*2)+(B43*2))*'MATERIALES (2)'!$C$219)+(((A43*2)+(B43*2))*'MATERIALES (2)'!$C$220)+((((A43*2)+(B43*2))/15)*'MATERIALES (2)'!$C$221)+((((A43*2)+(B43*2))/15)*('MATERIALES (2)'!$C$222*0.15))</f>
        <v>53321.866666666661</v>
      </c>
      <c r="H43" s="55">
        <f>(A43*B43)*'MATERIALES (2)'!$D$92</f>
        <v>86760</v>
      </c>
      <c r="I43" s="125">
        <f t="shared" si="1"/>
        <v>186221.89332054</v>
      </c>
      <c r="J43" s="144">
        <f t="shared" si="2"/>
        <v>281102.73168053996</v>
      </c>
      <c r="K43" s="67">
        <f t="shared" si="3"/>
        <v>370317.34332054004</v>
      </c>
      <c r="M43" s="269" t="s">
        <v>576</v>
      </c>
      <c r="N43" s="246">
        <f t="shared" si="4"/>
        <v>186221.89332054</v>
      </c>
      <c r="O43" s="246">
        <f t="shared" si="4"/>
        <v>281102.73168053996</v>
      </c>
      <c r="P43" s="246">
        <f t="shared" si="4"/>
        <v>370317.34332054004</v>
      </c>
      <c r="Q43" s="246">
        <f>+'MODENA CORREDIZA'!M43</f>
        <v>53852.925720825035</v>
      </c>
    </row>
    <row r="44" spans="1:17" ht="16.5" thickBot="1">
      <c r="A44" s="68">
        <v>2</v>
      </c>
      <c r="B44" s="69">
        <v>1.5</v>
      </c>
      <c r="C44" s="59">
        <f>((((A44*2)+(B44*2))*'MATERIALES (2)'!$C$60)+(((A44*2)+(B44*2))*'MATERIALES (2)'!$C$76))*'MATERIALES (2)'!$F$2</f>
        <v>70815.78</v>
      </c>
      <c r="D44" s="59">
        <f>(4*'MATERIALES (2)'!$C$178)+((((A44*2)+(B44*2))/0.1)*'MATERIALES (2)'!$C$181)+(((A44*2)+(B44*2))*'MATERIALES (2)'!$C$154)+(0.5*'MATERIALES (2)'!$C$156)+(4*'MATERIALES (2)'!$C$137)+(((A44*5)*2)*'MATERIALES (2)'!$C$136)+(2*'MATERIALES (2)'!$C$176)</f>
        <v>12670</v>
      </c>
      <c r="E44" s="75"/>
      <c r="F44" s="55">
        <f>(A44*B44)*'MATERIALES (2)'!$D$85</f>
        <v>22200</v>
      </c>
      <c r="G44" s="55">
        <f>(((A44*B44)*2)*'MATERIALES (2)'!$D$86)+(4*'MATERIALES (2)'!$C$218)+(((A44*2)+(B44*2))*'MATERIALES (2)'!$C$219)+(((A44*2)+(B44*2))*'MATERIALES (2)'!$C$220)+((((A44*2)+(B44*2))/15)*'MATERIALES (2)'!$C$221)+((((A44*2)+(B44*2))/15)*('MATERIALES (2)'!$C$222*0.15))</f>
        <v>64920.791666666664</v>
      </c>
      <c r="H44" s="55">
        <f>(A44*B44)*'MATERIALES (2)'!$D$92</f>
        <v>108450</v>
      </c>
      <c r="I44" s="125">
        <f t="shared" si="1"/>
        <v>209583.06884707505</v>
      </c>
      <c r="J44" s="144">
        <f t="shared" si="2"/>
        <v>323564.27705332503</v>
      </c>
      <c r="K44" s="67">
        <f t="shared" si="3"/>
        <v>439702.38134707505</v>
      </c>
      <c r="M44" s="269" t="s">
        <v>577</v>
      </c>
      <c r="N44" s="246">
        <f t="shared" si="4"/>
        <v>209583.06884707505</v>
      </c>
      <c r="O44" s="246">
        <f t="shared" si="4"/>
        <v>323564.27705332503</v>
      </c>
      <c r="P44" s="246">
        <f t="shared" si="4"/>
        <v>439702.38134707505</v>
      </c>
      <c r="Q44" s="246">
        <f>+'MODENA CORREDIZA'!M44</f>
        <v>67271.133807281207</v>
      </c>
    </row>
    <row r="45" spans="1:17" ht="16.5" thickBot="1">
      <c r="A45" s="68">
        <v>2</v>
      </c>
      <c r="B45" s="69">
        <v>1.8</v>
      </c>
      <c r="C45" s="59">
        <f>((((A45*2)+(B45*2))*'MATERIALES (2)'!$C$60)+(((A45*2)+(B45*2))*'MATERIALES (2)'!$C$76))*'MATERIALES (2)'!$F$2</f>
        <v>76885.703999999998</v>
      </c>
      <c r="D45" s="59">
        <f>(4*'MATERIALES (2)'!$C$178)+((((A45*2)+(B45*2))/0.1)*'MATERIALES (2)'!$C$181)+(((A45*2)+(B45*2))*'MATERIALES (2)'!$C$154)+(0.5*'MATERIALES (2)'!$C$156)+(4*'MATERIALES (2)'!$C$137)+(((A45*5)*2)*'MATERIALES (2)'!$C$136)+(2*'MATERIALES (2)'!$C$176)</f>
        <v>12994</v>
      </c>
      <c r="E45" s="75"/>
      <c r="F45" s="55">
        <f>(A45*B45)*'MATERIALES (2)'!$D$85</f>
        <v>26640</v>
      </c>
      <c r="G45" s="55">
        <f>(((A45*B45)*2)*'MATERIALES (2)'!$D$86)+(4*'MATERIALES (2)'!$C$218)+(((A45*2)+(B45*2))*'MATERIALES (2)'!$C$219)+(((A45*2)+(B45*2))*'MATERIALES (2)'!$C$220)+((((A45*2)+(B45*2))/15)*'MATERIALES (2)'!$C$221)+((((A45*2)+(B45*2))/15)*('MATERIALES (2)'!$C$222*0.15))</f>
        <v>76519.716666666674</v>
      </c>
      <c r="H45" s="55">
        <f>(A45*B45)*'MATERIALES (2)'!$D$92</f>
        <v>130140</v>
      </c>
      <c r="I45" s="125">
        <f t="shared" si="1"/>
        <v>232944.24437361001</v>
      </c>
      <c r="J45" s="144">
        <f t="shared" si="2"/>
        <v>366025.82242611004</v>
      </c>
      <c r="K45" s="67">
        <f t="shared" si="3"/>
        <v>509087.41937361006</v>
      </c>
      <c r="M45" s="270" t="s">
        <v>578</v>
      </c>
      <c r="N45" s="285">
        <f>+I45</f>
        <v>232944.24437361001</v>
      </c>
      <c r="O45" s="285">
        <f t="shared" ref="O45:P45" si="5">+J45</f>
        <v>366025.82242611004</v>
      </c>
      <c r="P45" s="285">
        <f t="shared" si="5"/>
        <v>509087.41937361006</v>
      </c>
      <c r="Q45" s="285">
        <f>+'MODENA CORREDIZA'!M45</f>
        <v>80689.341893737437</v>
      </c>
    </row>
    <row r="46" spans="1:17" ht="15.75" thickBot="1">
      <c r="A46" s="68"/>
      <c r="B46" s="69"/>
      <c r="C46" s="59">
        <f>((((A46*2)+(B46*2))*'MATERIALES (2)'!$C$60)+(((A46*2)+(B46*2))*'MATERIALES (2)'!$C$76))*'MATERIALES (2)'!$F$2</f>
        <v>0</v>
      </c>
      <c r="D46" s="59">
        <f>(4*'MATERIALES (2)'!$C$178)+((((A46*2)+(B46*2))/0.1)*'MATERIALES (2)'!$C$181)+(((A46*2)+(B46*2))*'MATERIALES (2)'!$C$154)+(0.5*'MATERIALES (2)'!$C$156)+(4*'MATERIALES (2)'!$C$137)+(((A46*5)*2)*'MATERIALES (2)'!$C$136)+(2*'MATERIALES (2)'!$C$176)</f>
        <v>8890</v>
      </c>
      <c r="E46" s="75"/>
      <c r="F46" s="55">
        <f>(A46*B46)*'MATERIALES (2)'!$D$85</f>
        <v>0</v>
      </c>
      <c r="G46" s="55">
        <f>(((A46*B46)*2)*'MATERIALES (2)'!$D$86)+(4*'MATERIALES (2)'!$C$218)+(((A46*2)+(B46*2))*'MATERIALES (2)'!$C$219)+(((A46*2)+(B46*2))*'MATERIALES (2)'!$C$220)+((((A46*2)+(B46*2))/15)*'MATERIALES (2)'!$C$221)+((((A46*2)+(B46*2))/15)*('MATERIALES (2)'!$C$222*0.15))</f>
        <v>160</v>
      </c>
      <c r="H46" s="55">
        <f>(A46*B46)*'MATERIALES (2)'!$D$92</f>
        <v>0</v>
      </c>
      <c r="I46" s="125">
        <f t="shared" si="1"/>
        <v>16010.301037500001</v>
      </c>
      <c r="J46" s="144">
        <f t="shared" si="2"/>
        <v>16437.1890375</v>
      </c>
      <c r="K46" s="67">
        <f t="shared" si="3"/>
        <v>16010.301037500001</v>
      </c>
    </row>
    <row r="47" spans="1:17" ht="15.75" thickBot="1">
      <c r="A47" s="68"/>
      <c r="B47" s="69"/>
      <c r="C47" s="59">
        <f>((((A47*2)+(B47*2))*'MATERIALES (2)'!$C$60)+(((A47*2)+(B47*2))*'MATERIALES (2)'!$C$76))*'MATERIALES (2)'!$F$2</f>
        <v>0</v>
      </c>
      <c r="D47" s="59">
        <f>(4*'MATERIALES (2)'!$C$178)+((((A47*2)+(B47*2))/0.1)*'MATERIALES (2)'!$C$181)+(((A47*2)+(B47*2))*'MATERIALES (2)'!$C$154)+(0.5*'MATERIALES (2)'!$C$156)+(4*'MATERIALES (2)'!$C$137)+(((A47*5)*2)*'MATERIALES (2)'!$C$136)+(2*'MATERIALES (2)'!$C$176)</f>
        <v>8890</v>
      </c>
      <c r="E47" s="75"/>
      <c r="F47" s="55">
        <f>(A47*B47)*'MATERIALES (2)'!$D$85</f>
        <v>0</v>
      </c>
      <c r="G47" s="55">
        <f>(((A47*B47)*2)*'MATERIALES (2)'!$D$86)+(4*'MATERIALES (2)'!$C$218)+(((A47*2)+(B47*2))*'MATERIALES (2)'!$C$219)+(((A47*2)+(B47*2))*'MATERIALES (2)'!$C$220)+((((A47*2)+(B47*2))/15)*'MATERIALES (2)'!$C$221)+((((A47*2)+(B47*2))/15)*('MATERIALES (2)'!$C$222*0.15))</f>
        <v>160</v>
      </c>
      <c r="H47" s="55">
        <f>(A47*B47)*'MATERIALES (2)'!$D$92</f>
        <v>0</v>
      </c>
      <c r="I47" s="125">
        <f t="shared" si="1"/>
        <v>16010.301037500001</v>
      </c>
      <c r="J47" s="144">
        <f t="shared" si="2"/>
        <v>16437.1890375</v>
      </c>
      <c r="K47" s="67">
        <f t="shared" si="3"/>
        <v>16010.301037500001</v>
      </c>
    </row>
    <row r="48" spans="1:17" ht="15.75" thickBot="1">
      <c r="A48" s="68">
        <v>2.2000000000000002</v>
      </c>
      <c r="B48" s="69">
        <v>0.8</v>
      </c>
      <c r="C48" s="59">
        <f>((((A48*2)+(B48*2))*'MATERIALES (2)'!$C$60)+(((A48*2)+(B48*2))*'MATERIALES (2)'!$C$76))*'MATERIALES (2)'!$F$2</f>
        <v>60699.240000000005</v>
      </c>
      <c r="D48" s="59">
        <f>(4*'MATERIALES (2)'!$C$178)+((((A48*2)+(B48*2))/0.1)*'MATERIALES (2)'!$C$181)+(((A48*2)+(B48*2))*'MATERIALES (2)'!$C$154)+(0.5*'MATERIALES (2)'!$C$156)+(4*'MATERIALES (2)'!$C$137)+(((A48*5)*2)*'MATERIALES (2)'!$C$136)+(2*'MATERIALES (2)'!$C$176)</f>
        <v>12130</v>
      </c>
      <c r="E48" s="75"/>
      <c r="F48" s="55">
        <f>(A48*B48)*'MATERIALES (2)'!$D$85</f>
        <v>13024.000000000002</v>
      </c>
      <c r="G48" s="55">
        <f>(((A48*B48)*2)*'MATERIALES (2)'!$D$86)+(4*'MATERIALES (2)'!$C$218)+(((A48*2)+(B48*2))*'MATERIALES (2)'!$C$219)+(((A48*2)+(B48*2))*'MATERIALES (2)'!$C$220)+((((A48*2)+(B48*2))/15)*'MATERIALES (2)'!$C$221)+((((A48*2)+(B48*2))/15)*('MATERIALES (2)'!$C$222*0.15))</f>
        <v>41355.650000000009</v>
      </c>
      <c r="H48" s="55">
        <f>(A48*B48)*'MATERIALES (2)'!$D$92</f>
        <v>63624.000000000007</v>
      </c>
      <c r="I48" s="125">
        <f t="shared" si="1"/>
        <v>165909.31950285003</v>
      </c>
      <c r="J48" s="144">
        <f t="shared" si="2"/>
        <v>241499.57828535006</v>
      </c>
      <c r="K48" s="67">
        <f t="shared" si="3"/>
        <v>300912.64950285002</v>
      </c>
      <c r="L48" s="4"/>
    </row>
    <row r="49" spans="1:12" ht="15.75" thickBot="1">
      <c r="A49" s="68">
        <v>2.2000000000000002</v>
      </c>
      <c r="B49" s="69">
        <v>1</v>
      </c>
      <c r="C49" s="59">
        <f>((((A49*2)+(B49*2))*'MATERIALES (2)'!$C$60)+(((A49*2)+(B49*2))*'MATERIALES (2)'!$C$76))*'MATERIALES (2)'!$F$2</f>
        <v>64745.856</v>
      </c>
      <c r="D49" s="59">
        <f>(4*'MATERIALES (2)'!$C$178)+((((A49*2)+(B49*2))/0.1)*'MATERIALES (2)'!$C$181)+(((A49*2)+(B49*2))*'MATERIALES (2)'!$C$154)+(0.5*'MATERIALES (2)'!$C$156)+(4*'MATERIALES (2)'!$C$137)+(((A49*5)*2)*'MATERIALES (2)'!$C$136)+(2*'MATERIALES (2)'!$C$176)</f>
        <v>12346</v>
      </c>
      <c r="E49" s="75"/>
      <c r="F49" s="55">
        <f>(A49*B49)*'MATERIALES (2)'!$D$85</f>
        <v>16280.000000000002</v>
      </c>
      <c r="G49" s="55">
        <f>(((A49*B49)*2)*'MATERIALES (2)'!$D$86)+(4*'MATERIALES (2)'!$C$218)+(((A49*2)+(B49*2))*'MATERIALES (2)'!$C$219)+(((A49*2)+(B49*2))*'MATERIALES (2)'!$C$220)+((((A49*2)+(B49*2))/15)*'MATERIALES (2)'!$C$221)+((((A49*2)+(B49*2))/15)*('MATERIALES (2)'!$C$222*0.15))</f>
        <v>49793.866666666661</v>
      </c>
      <c r="H49" s="55">
        <f>(A49*B49)*'MATERIALES (2)'!$D$92</f>
        <v>79530</v>
      </c>
      <c r="I49" s="125">
        <f t="shared" si="1"/>
        <v>182273.17932054002</v>
      </c>
      <c r="J49" s="144">
        <f t="shared" si="2"/>
        <v>271689.85128054</v>
      </c>
      <c r="K49" s="67">
        <f t="shared" si="3"/>
        <v>351027.34182054008</v>
      </c>
      <c r="L49" s="4"/>
    </row>
    <row r="50" spans="1:12" ht="15.75" thickBot="1">
      <c r="A50" s="68">
        <v>2.2000000000000002</v>
      </c>
      <c r="B50" s="69">
        <v>1.2</v>
      </c>
      <c r="C50" s="59">
        <f>((((A50*2)+(B50*2))*'MATERIALES (2)'!$C$60)+(((A50*2)+(B50*2))*'MATERIALES (2)'!$C$76))*'MATERIALES (2)'!$F$2</f>
        <v>68792.472000000009</v>
      </c>
      <c r="D50" s="59">
        <f>(4*'MATERIALES (2)'!$C$178)+((((A50*2)+(B50*2))/0.1)*'MATERIALES (2)'!$C$181)+(((A50*2)+(B50*2))*'MATERIALES (2)'!$C$154)+(0.5*'MATERIALES (2)'!$C$156)+(4*'MATERIALES (2)'!$C$137)+(((A50*5)*2)*'MATERIALES (2)'!$C$136)+(2*'MATERIALES (2)'!$C$176)</f>
        <v>12562</v>
      </c>
      <c r="E50" s="75"/>
      <c r="F50" s="55">
        <f>(A50*B50)*'MATERIALES (2)'!$D$85</f>
        <v>19536</v>
      </c>
      <c r="G50" s="55">
        <f>(((A50*B50)*2)*'MATERIALES (2)'!$D$86)+(4*'MATERIALES (2)'!$C$218)+(((A50*2)+(B50*2))*'MATERIALES (2)'!$C$219)+(((A50*2)+(B50*2))*'MATERIALES (2)'!$C$220)+((((A50*2)+(B50*2))/15)*'MATERIALES (2)'!$C$221)+((((A50*2)+(B50*2))/15)*('MATERIALES (2)'!$C$222*0.15))</f>
        <v>58232.083333333343</v>
      </c>
      <c r="H50" s="55">
        <f>(A50*B50)*'MATERIALES (2)'!$D$92</f>
        <v>95436</v>
      </c>
      <c r="I50" s="125">
        <f t="shared" si="1"/>
        <v>198637.03913823006</v>
      </c>
      <c r="J50" s="144">
        <f t="shared" si="2"/>
        <v>301880.12427573011</v>
      </c>
      <c r="K50" s="67">
        <f t="shared" si="3"/>
        <v>401142.03413823002</v>
      </c>
      <c r="L50" s="4"/>
    </row>
    <row r="51" spans="1:12" ht="15.75" thickBot="1">
      <c r="A51" s="68">
        <v>2.2000000000000002</v>
      </c>
      <c r="B51" s="69">
        <v>1.5</v>
      </c>
      <c r="C51" s="59">
        <f>((((A51*2)+(B51*2))*'MATERIALES (2)'!$C$60)+(((A51*2)+(B51*2))*'MATERIALES (2)'!$C$76))*'MATERIALES (2)'!$F$2</f>
        <v>74862.396000000008</v>
      </c>
      <c r="D51" s="59">
        <f>(4*'MATERIALES (2)'!$C$178)+((((A51*2)+(B51*2))/0.1)*'MATERIALES (2)'!$C$181)+(((A51*2)+(B51*2))*'MATERIALES (2)'!$C$154)+(0.5*'MATERIALES (2)'!$C$156)+(4*'MATERIALES (2)'!$C$137)+(((A51*5)*2)*'MATERIALES (2)'!$C$136)+(2*'MATERIALES (2)'!$C$176)</f>
        <v>12886</v>
      </c>
      <c r="E51" s="75"/>
      <c r="F51" s="55">
        <f>(A51*B51)*'MATERIALES (2)'!$D$85</f>
        <v>24420.000000000004</v>
      </c>
      <c r="G51" s="55">
        <f>(((A51*B51)*2)*'MATERIALES (2)'!$D$86)+(4*'MATERIALES (2)'!$C$218)+(((A51*2)+(B51*2))*'MATERIALES (2)'!$C$219)+(((A51*2)+(B51*2))*'MATERIALES (2)'!$C$220)+((((A51*2)+(B51*2))/15)*'MATERIALES (2)'!$C$221)+((((A51*2)+(B51*2))/15)*('MATERIALES (2)'!$C$222*0.15))</f>
        <v>70889.40833333334</v>
      </c>
      <c r="H51" s="55">
        <f>(A51*B51)*'MATERIALES (2)'!$D$92</f>
        <v>119295.00000000001</v>
      </c>
      <c r="I51" s="125">
        <f t="shared" si="1"/>
        <v>223182.82886476503</v>
      </c>
      <c r="J51" s="144">
        <f t="shared" si="2"/>
        <v>347165.53376851504</v>
      </c>
      <c r="K51" s="67">
        <f t="shared" si="3"/>
        <v>476314.07261476509</v>
      </c>
      <c r="L51" s="4"/>
    </row>
    <row r="52" spans="1:12" ht="15.75" thickBot="1">
      <c r="A52" s="68">
        <v>2.2000000000000002</v>
      </c>
      <c r="B52" s="69">
        <v>1.8</v>
      </c>
      <c r="C52" s="59">
        <f>((((A52*2)+(B52*2))*'MATERIALES (2)'!$C$60)+(((A52*2)+(B52*2))*'MATERIALES (2)'!$C$76))*'MATERIALES (2)'!$F$2</f>
        <v>80932.320000000007</v>
      </c>
      <c r="D52" s="59">
        <f>(4*'MATERIALES (2)'!$C$178)+((((A52*2)+(B52*2))/0.1)*'MATERIALES (2)'!$C$181)+(((A52*2)+(B52*2))*'MATERIALES (2)'!$C$154)+(0.5*'MATERIALES (2)'!$C$156)+(4*'MATERIALES (2)'!$C$137)+(((A52*5)*2)*'MATERIALES (2)'!$C$136)+(2*'MATERIALES (2)'!$C$176)</f>
        <v>13210</v>
      </c>
      <c r="E52" s="75"/>
      <c r="F52" s="55">
        <f>(A52*B52)*'MATERIALES (2)'!$D$85</f>
        <v>29304.000000000004</v>
      </c>
      <c r="G52" s="55">
        <f>(((A52*B52)*2)*'MATERIALES (2)'!$D$86)+(4*'MATERIALES (2)'!$C$218)+(((A52*2)+(B52*2))*'MATERIALES (2)'!$C$219)+(((A52*2)+(B52*2))*'MATERIALES (2)'!$C$220)+((((A52*2)+(B52*2))/15)*'MATERIALES (2)'!$C$221)+((((A52*2)+(B52*2))/15)*('MATERIALES (2)'!$C$222*0.15))</f>
        <v>83546.733333333337</v>
      </c>
      <c r="H52" s="55">
        <f>(A52*B52)*'MATERIALES (2)'!$D$92</f>
        <v>143154.00000000003</v>
      </c>
      <c r="I52" s="125">
        <f t="shared" si="1"/>
        <v>247728.61859130004</v>
      </c>
      <c r="J52" s="144">
        <f t="shared" si="2"/>
        <v>392450.94326130004</v>
      </c>
      <c r="K52" s="67">
        <f t="shared" si="3"/>
        <v>551486.11109130015</v>
      </c>
      <c r="L52" s="4"/>
    </row>
    <row r="53" spans="1:12" ht="15.75" thickBot="1">
      <c r="A53" s="68">
        <v>2.4</v>
      </c>
      <c r="B53" s="69">
        <v>0.4</v>
      </c>
      <c r="C53" s="59">
        <f>((((A53*2)+(B53*2))*'MATERIALES (2)'!$C$60)+(((A53*2)+(B53*2))*'MATERIALES (2)'!$C$76))*'MATERIALES (2)'!$F$2</f>
        <v>56652.623999999996</v>
      </c>
      <c r="D53" s="59">
        <f>(4*'MATERIALES (2)'!$C$178)+((((A53*2)+(B53*2))/0.1)*'MATERIALES (2)'!$C$181)+(((A53*2)+(B53*2))*'MATERIALES (2)'!$C$154)+(0.5*'MATERIALES (2)'!$C$156)+(4*'MATERIALES (2)'!$C$137)+(((A53*5)*2)*'MATERIALES (2)'!$C$136)+(2*'MATERIALES (2)'!$C$176)</f>
        <v>11914</v>
      </c>
      <c r="E53" s="75"/>
      <c r="F53" s="55">
        <f>(A53*B53)*'MATERIALES (2)'!$D$85</f>
        <v>7104</v>
      </c>
      <c r="G53" s="55">
        <f>(((A53*B53)*2)*'MATERIALES (2)'!$D$86)+(4*'MATERIALES (2)'!$C$218)+(((A53*2)+(B53*2))*'MATERIALES (2)'!$C$219)+(((A53*2)+(B53*2))*'MATERIALES (2)'!$C$220)+((((A53*2)+(B53*2))/15)*'MATERIALES (2)'!$C$221)+((((A53*2)+(B53*2))/15)*('MATERIALES (2)'!$C$222*0.15))</f>
        <v>26567.033333333329</v>
      </c>
      <c r="H53" s="55">
        <f>(A53*B53)*'MATERIALES (2)'!$D$92</f>
        <v>34704</v>
      </c>
      <c r="I53" s="125">
        <f t="shared" si="1"/>
        <v>142437.77448516001</v>
      </c>
      <c r="J53" s="144">
        <f t="shared" si="2"/>
        <v>194366.12057015998</v>
      </c>
      <c r="K53" s="67">
        <f t="shared" si="3"/>
        <v>216075.95448516001</v>
      </c>
      <c r="L53" s="4"/>
    </row>
    <row r="54" spans="1:12" ht="15.75" thickBot="1">
      <c r="A54" s="68">
        <v>2.4</v>
      </c>
      <c r="B54" s="69">
        <v>0.6</v>
      </c>
      <c r="C54" s="59">
        <f>((((A54*2)+(B54*2))*'MATERIALES (2)'!$C$60)+(((A54*2)+(B54*2))*'MATERIALES (2)'!$C$76))*'MATERIALES (2)'!$F$2</f>
        <v>60699.240000000005</v>
      </c>
      <c r="D54" s="59">
        <f>(4*'MATERIALES (2)'!$C$178)+((((A54*2)+(B54*2))/0.1)*'MATERIALES (2)'!$C$181)+(((A54*2)+(B54*2))*'MATERIALES (2)'!$C$154)+(0.5*'MATERIALES (2)'!$C$156)+(4*'MATERIALES (2)'!$C$137)+(((A54*5)*2)*'MATERIALES (2)'!$C$136)+(2*'MATERIALES (2)'!$C$176)</f>
        <v>12130</v>
      </c>
      <c r="E54" s="75"/>
      <c r="F54" s="55">
        <f>(A54*B54)*'MATERIALES (2)'!$D$85</f>
        <v>10656</v>
      </c>
      <c r="G54" s="55">
        <f>(((A54*B54)*2)*'MATERIALES (2)'!$D$86)+(4*'MATERIALES (2)'!$C$218)+(((A54*2)+(B54*2))*'MATERIALES (2)'!$C$219)+(((A54*2)+(B54*2))*'MATERIALES (2)'!$C$220)+((((A54*2)+(B54*2))/15)*'MATERIALES (2)'!$C$221)+((((A54*2)+(B54*2))/15)*('MATERIALES (2)'!$C$222*0.15))</f>
        <v>35710.85</v>
      </c>
      <c r="H54" s="55">
        <f>(A54*B54)*'MATERIALES (2)'!$D$92</f>
        <v>52056</v>
      </c>
      <c r="I54" s="125">
        <f t="shared" si="1"/>
        <v>159591.37710285003</v>
      </c>
      <c r="J54" s="144">
        <f t="shared" si="2"/>
        <v>226438.96964535001</v>
      </c>
      <c r="K54" s="67">
        <f t="shared" si="3"/>
        <v>270048.64710285002</v>
      </c>
      <c r="L54" s="4"/>
    </row>
    <row r="55" spans="1:12" ht="15.75" thickBot="1">
      <c r="A55" s="68">
        <v>2.4</v>
      </c>
      <c r="B55" s="69">
        <v>0.8</v>
      </c>
      <c r="C55" s="59">
        <f>((((A55*2)+(B55*2))*'MATERIALES (2)'!$C$60)+(((A55*2)+(B55*2))*'MATERIALES (2)'!$C$76))*'MATERIALES (2)'!$F$2</f>
        <v>64745.856</v>
      </c>
      <c r="D55" s="59">
        <f>(4*'MATERIALES (2)'!$C$178)+((((A55*2)+(B55*2))/0.1)*'MATERIALES (2)'!$C$181)+(((A55*2)+(B55*2))*'MATERIALES (2)'!$C$154)+(0.5*'MATERIALES (2)'!$C$156)+(4*'MATERIALES (2)'!$C$137)+(((A55*5)*2)*'MATERIALES (2)'!$C$136)+(2*'MATERIALES (2)'!$C$176)</f>
        <v>12346</v>
      </c>
      <c r="E55" s="75"/>
      <c r="F55" s="55">
        <f>(A55*B55)*'MATERIALES (2)'!$D$85</f>
        <v>14208</v>
      </c>
      <c r="G55" s="55">
        <f>(((A55*B55)*2)*'MATERIALES (2)'!$D$86)+(4*'MATERIALES (2)'!$C$218)+(((A55*2)+(B55*2))*'MATERIALES (2)'!$C$219)+(((A55*2)+(B55*2))*'MATERIALES (2)'!$C$220)+((((A55*2)+(B55*2))/15)*'MATERIALES (2)'!$C$221)+((((A55*2)+(B55*2))/15)*('MATERIALES (2)'!$C$222*0.15))</f>
        <v>44854.666666666657</v>
      </c>
      <c r="H55" s="55">
        <f>(A55*B55)*'MATERIALES (2)'!$D$92</f>
        <v>69408</v>
      </c>
      <c r="I55" s="125">
        <f t="shared" si="1"/>
        <v>176744.97972054</v>
      </c>
      <c r="J55" s="144">
        <f t="shared" si="2"/>
        <v>258511.81872054</v>
      </c>
      <c r="K55" s="67">
        <f t="shared" si="3"/>
        <v>324021.33972053998</v>
      </c>
      <c r="L55" s="4"/>
    </row>
    <row r="56" spans="1:12" ht="15.75" thickBot="1">
      <c r="A56" s="68">
        <v>2.4</v>
      </c>
      <c r="B56" s="69">
        <v>1</v>
      </c>
      <c r="C56" s="59">
        <f>((((A56*2)+(B56*2))*'MATERIALES (2)'!$C$60)+(((A56*2)+(B56*2))*'MATERIALES (2)'!$C$76))*'MATERIALES (2)'!$F$2</f>
        <v>68792.472000000009</v>
      </c>
      <c r="D56" s="59">
        <f>(4*'MATERIALES (2)'!$C$178)+((((A56*2)+(B56*2))/0.1)*'MATERIALES (2)'!$C$181)+(((A56*2)+(B56*2))*'MATERIALES (2)'!$C$154)+(0.5*'MATERIALES (2)'!$C$156)+(4*'MATERIALES (2)'!$C$137)+(((A56*5)*2)*'MATERIALES (2)'!$C$136)+(2*'MATERIALES (2)'!$C$176)</f>
        <v>12562</v>
      </c>
      <c r="E56" s="75"/>
      <c r="F56" s="55">
        <f>(A56*B56)*'MATERIALES (2)'!$D$85</f>
        <v>17760</v>
      </c>
      <c r="G56" s="55">
        <f>(((A56*B56)*2)*'MATERIALES (2)'!$D$86)+(4*'MATERIALES (2)'!$C$218)+(((A56*2)+(B56*2))*'MATERIALES (2)'!$C$219)+(((A56*2)+(B56*2))*'MATERIALES (2)'!$C$220)+((((A56*2)+(B56*2))/15)*'MATERIALES (2)'!$C$221)+((((A56*2)+(B56*2))/15)*('MATERIALES (2)'!$C$222*0.15))</f>
        <v>53998.483333333337</v>
      </c>
      <c r="H56" s="55">
        <f>(A56*B56)*'MATERIALES (2)'!$D$92</f>
        <v>86760</v>
      </c>
      <c r="I56" s="125">
        <f t="shared" si="1"/>
        <v>193898.58233823004</v>
      </c>
      <c r="J56" s="144">
        <f t="shared" si="2"/>
        <v>290584.66779573006</v>
      </c>
      <c r="K56" s="67">
        <f t="shared" si="3"/>
        <v>377994.03233823006</v>
      </c>
      <c r="L56" s="4"/>
    </row>
    <row r="57" spans="1:12" ht="15.75" thickBot="1">
      <c r="A57" s="68">
        <v>2.4</v>
      </c>
      <c r="B57" s="69">
        <v>1.2</v>
      </c>
      <c r="C57" s="59">
        <f>((((A57*2)+(B57*2))*'MATERIALES (2)'!$C$60)+(((A57*2)+(B57*2))*'MATERIALES (2)'!$C$76))*'MATERIALES (2)'!$F$2</f>
        <v>72839.087999999989</v>
      </c>
      <c r="D57" s="59">
        <f>(4*'MATERIALES (2)'!$C$178)+((((A57*2)+(B57*2))/0.1)*'MATERIALES (2)'!$C$181)+(((A57*2)+(B57*2))*'MATERIALES (2)'!$C$154)+(0.5*'MATERIALES (2)'!$C$156)+(4*'MATERIALES (2)'!$C$137)+(((A57*5)*2)*'MATERIALES (2)'!$C$136)+(2*'MATERIALES (2)'!$C$176)</f>
        <v>12778</v>
      </c>
      <c r="E57" s="75"/>
      <c r="F57" s="55">
        <f>(A57*B57)*'MATERIALES (2)'!$D$85</f>
        <v>21312</v>
      </c>
      <c r="G57" s="55">
        <f>(((A57*B57)*2)*'MATERIALES (2)'!$D$86)+(4*'MATERIALES (2)'!$C$218)+(((A57*2)+(B57*2))*'MATERIALES (2)'!$C$219)+(((A57*2)+(B57*2))*'MATERIALES (2)'!$C$220)+((((A57*2)+(B57*2))/15)*'MATERIALES (2)'!$C$221)+((((A57*2)+(B57*2))/15)*('MATERIALES (2)'!$C$222*0.15))</f>
        <v>63142.299999999996</v>
      </c>
      <c r="H57" s="55">
        <f>(A57*B57)*'MATERIALES (2)'!$D$92</f>
        <v>104112</v>
      </c>
      <c r="I57" s="125">
        <f t="shared" si="1"/>
        <v>211052.18495592003</v>
      </c>
      <c r="J57" s="144">
        <f t="shared" si="2"/>
        <v>322657.51687092002</v>
      </c>
      <c r="K57" s="67">
        <f t="shared" si="3"/>
        <v>431966.72495592001</v>
      </c>
      <c r="L57" s="4"/>
    </row>
    <row r="58" spans="1:12" ht="15.75" thickBot="1">
      <c r="A58" s="68">
        <v>2.4</v>
      </c>
      <c r="B58" s="69">
        <v>1.5</v>
      </c>
      <c r="C58" s="59">
        <f>((((A58*2)+(B58*2))*'MATERIALES (2)'!$C$60)+(((A58*2)+(B58*2))*'MATERIALES (2)'!$C$76))*'MATERIALES (2)'!$F$2</f>
        <v>78909.012000000002</v>
      </c>
      <c r="D58" s="59">
        <f>(4*'MATERIALES (2)'!$C$178)+((((A58*2)+(B58*2))/0.1)*'MATERIALES (2)'!$C$181)+(((A58*2)+(B58*2))*'MATERIALES (2)'!$C$154)+(0.5*'MATERIALES (2)'!$C$156)+(4*'MATERIALES (2)'!$C$137)+(((A58*5)*2)*'MATERIALES (2)'!$C$136)+(2*'MATERIALES (2)'!$C$176)</f>
        <v>13102</v>
      </c>
      <c r="E58" s="75"/>
      <c r="F58" s="55">
        <f>(A58*B58)*'MATERIALES (2)'!$D$85</f>
        <v>26639.999999999996</v>
      </c>
      <c r="G58" s="55">
        <f>(((A58*B58)*2)*'MATERIALES (2)'!$D$86)+(4*'MATERIALES (2)'!$C$218)+(((A58*2)+(B58*2))*'MATERIALES (2)'!$C$219)+(((A58*2)+(B58*2))*'MATERIALES (2)'!$C$220)+((((A58*2)+(B58*2))/15)*'MATERIALES (2)'!$C$221)+((((A58*2)+(B58*2))/15)*('MATERIALES (2)'!$C$222*0.15))</f>
        <v>76858.024999999994</v>
      </c>
      <c r="H58" s="55">
        <f>(A58*B58)*'MATERIALES (2)'!$D$92</f>
        <v>130139.99999999999</v>
      </c>
      <c r="I58" s="125">
        <f t="shared" si="1"/>
        <v>236782.58888245505</v>
      </c>
      <c r="J58" s="144">
        <f t="shared" si="2"/>
        <v>370766.790483705</v>
      </c>
      <c r="K58" s="67">
        <f t="shared" si="3"/>
        <v>512925.76388245501</v>
      </c>
      <c r="L58" s="4"/>
    </row>
    <row r="59" spans="1:12" ht="15.75" thickBot="1">
      <c r="A59" s="71">
        <v>2.4</v>
      </c>
      <c r="B59" s="72">
        <v>1.8</v>
      </c>
      <c r="C59" s="60">
        <f>((((A59*2)+(B59*2))*'MATERIALES (2)'!$C$60)+(((A59*2)+(B59*2))*'MATERIALES (2)'!$C$76))*'MATERIALES (2)'!$F$2</f>
        <v>84978.936000000002</v>
      </c>
      <c r="D59" s="60">
        <f>(4*'MATERIALES (2)'!$C$178)+((((A59*2)+(B59*2))/0.1)*'MATERIALES (2)'!$C$181)+(((A59*2)+(B59*2))*'MATERIALES (2)'!$C$154)+(0.5*'MATERIALES (2)'!$C$156)+(4*'MATERIALES (2)'!$C$137)+(((A59*5)*2)*'MATERIALES (2)'!$C$136)+(2*'MATERIALES (2)'!$C$176)</f>
        <v>13426</v>
      </c>
      <c r="E59" s="76"/>
      <c r="F59" s="56">
        <f>(A59*B59)*'MATERIALES (2)'!$D$85</f>
        <v>31968.000000000004</v>
      </c>
      <c r="G59" s="56">
        <f>(((A59*B59)*2)*'MATERIALES (2)'!$D$86)+(4*'MATERIALES (2)'!$C$218)+(((A59*2)+(B59*2))*'MATERIALES (2)'!$C$219)+(((A59*2)+(B59*2))*'MATERIALES (2)'!$C$220)+((((A59*2)+(B59*2))/15)*'MATERIALES (2)'!$C$221)+((((A59*2)+(B59*2))/15)*('MATERIALES (2)'!$C$222*0.15))</f>
        <v>90573.75</v>
      </c>
      <c r="H59" s="56">
        <f>(A59*B59)*'MATERIALES (2)'!$D$92</f>
        <v>156168</v>
      </c>
      <c r="I59" s="125">
        <f t="shared" si="1"/>
        <v>262512.99280899001</v>
      </c>
      <c r="J59" s="144">
        <f t="shared" si="2"/>
        <v>418876.06409649004</v>
      </c>
      <c r="K59" s="67">
        <f t="shared" si="3"/>
        <v>593884.80280899</v>
      </c>
      <c r="L59" s="4"/>
    </row>
    <row r="60" spans="1:12">
      <c r="L60" s="4"/>
    </row>
    <row r="61" spans="1:12" ht="15.75" thickBot="1"/>
    <row r="62" spans="1:12" ht="15.75" thickBot="1">
      <c r="A62" s="32"/>
      <c r="B62" s="32"/>
      <c r="C62" s="801">
        <v>0.3</v>
      </c>
      <c r="D62" s="802"/>
      <c r="E62" s="803"/>
      <c r="F62" s="801">
        <v>1</v>
      </c>
      <c r="G62" s="803"/>
      <c r="H62" s="61">
        <v>0.5</v>
      </c>
      <c r="I62" s="121"/>
      <c r="J62" s="32"/>
      <c r="K62" s="46" t="s">
        <v>163</v>
      </c>
    </row>
    <row r="63" spans="1:12" ht="15.75" thickBot="1">
      <c r="A63" s="792" t="s">
        <v>375</v>
      </c>
      <c r="B63" s="793"/>
      <c r="C63" s="793"/>
      <c r="D63" s="793"/>
      <c r="E63" s="793"/>
      <c r="F63" s="793"/>
      <c r="G63" s="793"/>
      <c r="H63" s="793"/>
      <c r="I63" s="793"/>
      <c r="J63" s="793"/>
      <c r="K63" s="794"/>
    </row>
    <row r="64" spans="1:12" s="32" customFormat="1" ht="15.75" thickBot="1">
      <c r="A64" s="36" t="s">
        <v>116</v>
      </c>
      <c r="B64" s="36" t="s">
        <v>117</v>
      </c>
      <c r="C64" s="36" t="s">
        <v>162</v>
      </c>
      <c r="D64" s="36" t="s">
        <v>119</v>
      </c>
      <c r="E64" s="36" t="s">
        <v>120</v>
      </c>
      <c r="F64" s="36" t="s">
        <v>258</v>
      </c>
      <c r="G64" s="135" t="s">
        <v>260</v>
      </c>
      <c r="H64" s="135" t="s">
        <v>259</v>
      </c>
      <c r="I64" s="116" t="s">
        <v>261</v>
      </c>
      <c r="J64" s="36" t="s">
        <v>262</v>
      </c>
      <c r="K64" s="36" t="s">
        <v>263</v>
      </c>
      <c r="L64" s="137"/>
    </row>
    <row r="65" spans="1:11" ht="15.75" thickBot="1">
      <c r="A65" s="795"/>
      <c r="B65" s="796"/>
      <c r="C65" s="796"/>
      <c r="D65" s="796"/>
      <c r="E65" s="796"/>
      <c r="F65" s="796"/>
      <c r="G65" s="796"/>
      <c r="H65" s="796"/>
      <c r="I65" s="796"/>
      <c r="J65" s="796"/>
      <c r="K65" s="797"/>
    </row>
    <row r="66" spans="1:11" ht="15.75" thickBot="1">
      <c r="A66" s="65">
        <v>1.2</v>
      </c>
      <c r="B66" s="66">
        <v>2</v>
      </c>
      <c r="C66" s="58">
        <f>((((A66*2)+(B66*2))*'MATERIALES (2)'!$C$60)+(((A66*2)+(B66*2))*'MATERIALES (2)'!$C$76)+(A66*'MATERIALES (2)'!$C$63))*'MATERIALES (2)'!$F$2</f>
        <v>75313.539000000004</v>
      </c>
      <c r="D66" s="58">
        <f>(4*'MATERIALES (2)'!$C$178)+((((A66*4)+(B66*2))/0.1)*'MATERIALES (2)'!$C$181)+(((A66*4)+(B66*2))*'MATERIALES (2)'!$C$154)+(0.5*'MATERIALES (2)'!$C$156)+(4*'MATERIALES (2)'!$C$137)+(((A66*5)*2)*'MATERIALES (2)'!$C$136)+(4*'MATERIALES (2)'!$C$163)+(2*'MATERIALES (2)'!$C$176)</f>
        <v>13822</v>
      </c>
      <c r="E66" s="58">
        <f>(0.5*'MATERIALES (2)'!$D$244)</f>
        <v>0</v>
      </c>
      <c r="F66" s="54">
        <f>(A66*B66)*'MATERIALES (2)'!$D$86</f>
        <v>21168</v>
      </c>
      <c r="G66" s="54">
        <f>(((A66*B66)*2)*'MATERIALES (2)'!$D$86)+(8*'MATERIALES (2)'!$C$218)+(((A66*4)+(B66*2))*'MATERIALES (2)'!$C$219)+(((A66*4)+(B66*2))*'MATERIALES (2)'!$C$220)+((((A66*2)+(B66*2))/15)*'MATERIALES (2)'!$C$221)+((((A66*2)+(B66*2))/15)*('MATERIALES (2)'!$C$222*0.15))</f>
        <v>55233.866666666661</v>
      </c>
      <c r="H66" s="54">
        <f>(A66*B66)*'MATERIALES (2)'!$D$92</f>
        <v>86760</v>
      </c>
      <c r="I66" s="125">
        <f>(((((SUM(C66:E66)*1.3)+(F66*2)))*1.21)*1.05)*1.05</f>
        <v>211059.03103881751</v>
      </c>
      <c r="J66" s="144">
        <f>(((((SUM(C66:E66)*1.3)+(G66*2)))*1.21)*1.05)*1.05</f>
        <v>301948.4665988175</v>
      </c>
      <c r="K66" s="67">
        <f>(((((SUM(C66:E66)*1.3)+(H66*1.5)))*1.21)*1.05)*1.05</f>
        <v>328191.76213881752</v>
      </c>
    </row>
    <row r="67" spans="1:11" ht="15.75" thickBot="1">
      <c r="A67" s="68">
        <v>1.5</v>
      </c>
      <c r="B67" s="69">
        <v>2</v>
      </c>
      <c r="C67" s="59">
        <f>((((A67*2)+(B67*2))*'MATERIALES (2)'!$C$60)+(((A67*2)+(B67*2))*'MATERIALES (2)'!$C$76)+(A67*'MATERIALES (2)'!$C$63))*'MATERIALES (2)'!$F$2</f>
        <v>84025.383750000008</v>
      </c>
      <c r="D67" s="59">
        <f>(4*'MATERIALES (2)'!$C$178)+((((A67*4)+(B67*2))/0.1)*'MATERIALES (2)'!$C$181)+(((A67*4)+(B67*2))*'MATERIALES (2)'!$C$154)+(0.5*'MATERIALES (2)'!$C$156)+(4*'MATERIALES (2)'!$C$137)+(((A67*5)*2)*'MATERIALES (2)'!$C$136)+(4*'MATERIALES (2)'!$C$163)+(2*'MATERIALES (2)'!$C$176)</f>
        <v>14470</v>
      </c>
      <c r="E67" s="59">
        <f>(0.5*'MATERIALES (2)'!$D$244)</f>
        <v>0</v>
      </c>
      <c r="F67" s="55">
        <f>(A67*B67)*'MATERIALES (2)'!$D$86</f>
        <v>26460</v>
      </c>
      <c r="G67" s="55">
        <f>(((A67*B67)*2)*'MATERIALES (2)'!$D$86)+(8*'MATERIALES (2)'!$C$218)+(((A67*4)+(B67*2))*'MATERIALES (2)'!$C$219)+(((A67*4)+(B67*2))*'MATERIALES (2)'!$C$220)+((((A67*2)+(B67*2))/15)*'MATERIALES (2)'!$C$221)+((((A67*2)+(B67*2))/15)*('MATERIALES (2)'!$C$222*0.15))</f>
        <v>67270.791666666672</v>
      </c>
      <c r="H67" s="55">
        <f>(A67*B67)*'MATERIALES (2)'!$D$92</f>
        <v>108450</v>
      </c>
      <c r="I67" s="125">
        <f t="shared" ref="I67:I71" si="6">(((((SUM(C67:E67)*1.3)+(F67*2)))*1.21)*1.05)*1.05</f>
        <v>241410.49859922193</v>
      </c>
      <c r="J67" s="144">
        <f t="shared" ref="J67:J71" si="7">(((((SUM(C67:E67)*1.3)+(G67*2)))*1.21)*1.05)*1.05</f>
        <v>350295.73130547191</v>
      </c>
      <c r="K67" s="67">
        <f t="shared" ref="K67:K71" si="8">(((((SUM(C67:E67)*1.3)+(H67*1.5)))*1.21)*1.05)*1.05</f>
        <v>387826.41247422196</v>
      </c>
    </row>
    <row r="68" spans="1:11" ht="15.75" thickBot="1">
      <c r="A68" s="68">
        <v>1.8</v>
      </c>
      <c r="B68" s="69">
        <v>2</v>
      </c>
      <c r="C68" s="59">
        <f>((((A68*2)+(B68*2))*'MATERIALES (2)'!$C$60)+(((A68*2)+(B68*2))*'MATERIALES (2)'!$C$76)+(A68*'MATERIALES (2)'!$C$63))*'MATERIALES (2)'!$F$2</f>
        <v>92737.228499999997</v>
      </c>
      <c r="D68" s="59">
        <f>(4*'MATERIALES (2)'!$C$178)+((((A68*4)+(B68*2))/0.1)*'MATERIALES (2)'!$C$181)+(((A68*4)+(B68*2))*'MATERIALES (2)'!$C$154)+(0.5*'MATERIALES (2)'!$C$156)+(4*'MATERIALES (2)'!$C$137)+(((A68*5)*2)*'MATERIALES (2)'!$C$136)+(4*'MATERIALES (2)'!$C$163)+(2*'MATERIALES (2)'!$C$176)</f>
        <v>15118</v>
      </c>
      <c r="E68" s="59">
        <f>(0.5*'MATERIALES (2)'!$D$244)</f>
        <v>0</v>
      </c>
      <c r="F68" s="55">
        <f>(A68*B68)*'MATERIALES (2)'!$D$86</f>
        <v>31752</v>
      </c>
      <c r="G68" s="55">
        <f>(((A68*B68)*2)*'MATERIALES (2)'!$D$86)+(8*'MATERIALES (2)'!$C$218)+(((A68*4)+(B68*2))*'MATERIALES (2)'!$C$219)+(((A68*4)+(B68*2))*'MATERIALES (2)'!$C$220)+((((A68*2)+(B68*2))/15)*'MATERIALES (2)'!$C$221)+((((A68*2)+(B68*2))/15)*('MATERIALES (2)'!$C$222*0.15))</f>
        <v>79307.716666666674</v>
      </c>
      <c r="H68" s="55">
        <f>(A68*B68)*'MATERIALES (2)'!$D$92</f>
        <v>130140</v>
      </c>
      <c r="I68" s="125">
        <f t="shared" si="6"/>
        <v>271761.96615962626</v>
      </c>
      <c r="J68" s="144">
        <f t="shared" si="7"/>
        <v>398642.99601212627</v>
      </c>
      <c r="K68" s="67">
        <f t="shared" si="8"/>
        <v>447461.06280962628</v>
      </c>
    </row>
    <row r="69" spans="1:11" ht="15.75" thickBot="1">
      <c r="A69" s="68">
        <v>2</v>
      </c>
      <c r="B69" s="69">
        <v>2</v>
      </c>
      <c r="C69" s="59">
        <f>((((A69*2)+(B69*2))*'MATERIALES (2)'!$C$60)+(((A69*2)+(B69*2))*'MATERIALES (2)'!$C$76)+(A69*'MATERIALES (2)'!$C$63))*'MATERIALES (2)'!$F$2</f>
        <v>98545.125</v>
      </c>
      <c r="D69" s="59">
        <f>(4*'MATERIALES (2)'!$C$178)+((((A69*4)+(B69*2))/0.1)*'MATERIALES (2)'!$C$181)+(((A69*4)+(B69*2))*'MATERIALES (2)'!$C$154)+(0.5*'MATERIALES (2)'!$C$156)+(4*'MATERIALES (2)'!$C$137)+(((A69*5)*2)*'MATERIALES (2)'!$C$136)+(4*'MATERIALES (2)'!$C$163)+(2*'MATERIALES (2)'!$C$176)</f>
        <v>15550</v>
      </c>
      <c r="E69" s="59">
        <f>(0.5*'MATERIALES (2)'!$D$244)</f>
        <v>0</v>
      </c>
      <c r="F69" s="55">
        <f>(A69*B69)*'MATERIALES (2)'!$D$86</f>
        <v>35280</v>
      </c>
      <c r="G69" s="55">
        <f>(((A69*B69)*2)*'MATERIALES (2)'!$D$86)+(8*'MATERIALES (2)'!$C$218)+(((A69*4)+(B69*2))*'MATERIALES (2)'!$C$219)+(((A69*4)+(B69*2))*'MATERIALES (2)'!$C$220)+((((A69*2)+(B69*2))/15)*'MATERIALES (2)'!$C$221)+((((A69*2)+(B69*2))/15)*('MATERIALES (2)'!$C$222*0.15))</f>
        <v>87332.333333333328</v>
      </c>
      <c r="H69" s="55">
        <f>(A69*B69)*'MATERIALES (2)'!$D$92</f>
        <v>144600</v>
      </c>
      <c r="I69" s="125">
        <f t="shared" si="6"/>
        <v>291996.27786656254</v>
      </c>
      <c r="J69" s="144">
        <f t="shared" si="7"/>
        <v>430874.50581656245</v>
      </c>
      <c r="K69" s="67">
        <f t="shared" si="8"/>
        <v>487217.4963665625</v>
      </c>
    </row>
    <row r="70" spans="1:11" ht="15.75" thickBot="1">
      <c r="A70" s="68">
        <v>2.2000000000000002</v>
      </c>
      <c r="B70" s="69">
        <v>2</v>
      </c>
      <c r="C70" s="59">
        <f>((((A70*2)+(B70*2))*'MATERIALES (2)'!$C$60)+(((A70*2)+(B70*2))*'MATERIALES (2)'!$C$76)+(A70*'MATERIALES (2)'!$C$63))*'MATERIALES (2)'!$F$2</f>
        <v>104353.0215</v>
      </c>
      <c r="D70" s="59">
        <f>(4*'MATERIALES (2)'!$C$178)+((((A70*4)+(B70*2))/0.1)*'MATERIALES (2)'!$C$181)+(((A70*4)+(B70*2))*'MATERIALES (2)'!$C$154)+(0.5*'MATERIALES (2)'!$C$156)+(4*'MATERIALES (2)'!$C$137)+(((A70*5)*2)*'MATERIALES (2)'!$C$136)+(4*'MATERIALES (2)'!$C$163)+(2*'MATERIALES (2)'!$C$176)</f>
        <v>15982</v>
      </c>
      <c r="E70" s="59">
        <f>(0.5*'MATERIALES (2)'!$D$244)</f>
        <v>0</v>
      </c>
      <c r="F70" s="55">
        <f>(A70*B70)*'MATERIALES (2)'!$D$86</f>
        <v>38808</v>
      </c>
      <c r="G70" s="55">
        <f>(((A70*B70)*2)*'MATERIALES (2)'!$D$86)+(8*'MATERIALES (2)'!$C$218)+(((A70*4)+(B70*2))*'MATERIALES (2)'!$C$219)+(((A70*4)+(B70*2))*'MATERIALES (2)'!$C$220)+((((A70*2)+(B70*2))/15)*'MATERIALES (2)'!$C$221)+((((A70*2)+(B70*2))/15)*('MATERIALES (2)'!$C$222*0.15))</f>
        <v>95356.95</v>
      </c>
      <c r="H70" s="55">
        <f>(A70*B70)*'MATERIALES (2)'!$D$92</f>
        <v>159060</v>
      </c>
      <c r="I70" s="125">
        <f t="shared" si="6"/>
        <v>312230.58957349882</v>
      </c>
      <c r="J70" s="144">
        <f t="shared" si="7"/>
        <v>463106.01562099881</v>
      </c>
      <c r="K70" s="67">
        <f t="shared" si="8"/>
        <v>526973.92992349877</v>
      </c>
    </row>
    <row r="71" spans="1:11" ht="15.75" thickBot="1">
      <c r="A71" s="71">
        <v>2.4</v>
      </c>
      <c r="B71" s="72">
        <v>2</v>
      </c>
      <c r="C71" s="60">
        <f>((((A71*2)+(B71*2))*'MATERIALES (2)'!$C$60)+(((A71*2)+(B71*2))*'MATERIALES (2)'!$C$76)+(A71*'MATERIALES (2)'!$C$63))*'MATERIALES (2)'!$F$2</f>
        <v>110160.91800000001</v>
      </c>
      <c r="D71" s="60">
        <f>(4*'MATERIALES (2)'!$C$178)+((((A71*4)+(B71*2))/0.1)*'MATERIALES (2)'!$C$181)+(((A71*4)+(B71*2))*'MATERIALES (2)'!$C$154)+(0.5*'MATERIALES (2)'!$C$156)+(4*'MATERIALES (2)'!$C$137)+(((A71*5)*2)*'MATERIALES (2)'!$C$136)+(4*'MATERIALES (2)'!$C$163)+(2*'MATERIALES (2)'!$C$176)</f>
        <v>16414</v>
      </c>
      <c r="E71" s="60">
        <f>(0.5*'MATERIALES (2)'!$D$244)</f>
        <v>0</v>
      </c>
      <c r="F71" s="56">
        <f>(A71*B71)*'MATERIALES (2)'!$D$86</f>
        <v>42336</v>
      </c>
      <c r="G71" s="56">
        <f>(((A71*B71)*2)*'MATERIALES (2)'!$D$86)+(8*'MATERIALES (2)'!$C$218)+(((A71*4)+(B71*2))*'MATERIALES (2)'!$C$219)+(((A71*4)+(B71*2))*'MATERIALES (2)'!$C$220)+((((A71*2)+(B71*2))/15)*'MATERIALES (2)'!$C$221)+((((A71*2)+(B71*2))/15)*('MATERIALES (2)'!$C$222*0.15))</f>
        <v>103381.56666666667</v>
      </c>
      <c r="H71" s="56">
        <f>(A71*B71)*'MATERIALES (2)'!$D$92</f>
        <v>173520</v>
      </c>
      <c r="I71" s="125">
        <f t="shared" si="6"/>
        <v>332464.90128043504</v>
      </c>
      <c r="J71" s="144">
        <f t="shared" si="7"/>
        <v>495337.52542543504</v>
      </c>
      <c r="K71" s="67">
        <f t="shared" si="8"/>
        <v>566730.3634804351</v>
      </c>
    </row>
  </sheetData>
  <mergeCells count="10">
    <mergeCell ref="S3:S19"/>
    <mergeCell ref="M3:Q4"/>
    <mergeCell ref="A63:K63"/>
    <mergeCell ref="A65:K65"/>
    <mergeCell ref="C2:E2"/>
    <mergeCell ref="F2:G2"/>
    <mergeCell ref="A3:K3"/>
    <mergeCell ref="A5:K5"/>
    <mergeCell ref="C62:E62"/>
    <mergeCell ref="F62:G62"/>
  </mergeCells>
  <pageMargins left="0.70866141732283472" right="0.70866141732283472" top="0.51" bottom="0.74803149606299213" header="0.31496062992125984" footer="0.31496062992125984"/>
  <pageSetup scale="78" orientation="portrait"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50"/>
  <sheetViews>
    <sheetView topLeftCell="L1" zoomScale="90" zoomScaleNormal="90" workbookViewId="0">
      <selection activeCell="L4" sqref="L4"/>
    </sheetView>
  </sheetViews>
  <sheetFormatPr baseColWidth="10" defaultRowHeight="15"/>
  <cols>
    <col min="1" max="1" width="7" hidden="1" customWidth="1"/>
    <col min="2" max="2" width="4.7109375" hidden="1" customWidth="1"/>
    <col min="3" max="3" width="12.140625" hidden="1" customWidth="1"/>
    <col min="4" max="5" width="13.28515625" hidden="1" customWidth="1"/>
    <col min="6" max="8" width="12.140625" hidden="1" customWidth="1"/>
    <col min="9" max="11" width="13.28515625" hidden="1" customWidth="1"/>
    <col min="12" max="12" width="11.140625" bestFit="1" customWidth="1"/>
    <col min="13" max="13" width="16.140625" bestFit="1" customWidth="1"/>
    <col min="14" max="15" width="16.5703125" customWidth="1"/>
    <col min="16" max="17" width="17.7109375" customWidth="1"/>
    <col min="18" max="18" width="17.85546875" customWidth="1"/>
    <col min="19" max="19" width="13.28515625" bestFit="1" customWidth="1"/>
    <col min="20" max="20" width="17.5703125" customWidth="1"/>
    <col min="21" max="27" width="13.28515625" bestFit="1" customWidth="1"/>
  </cols>
  <sheetData>
    <row r="1" spans="1:20" ht="15.75" customHeight="1" thickBot="1">
      <c r="N1" s="32"/>
      <c r="O1" s="32"/>
      <c r="P1" s="32"/>
      <c r="Q1" s="32"/>
      <c r="R1" s="32"/>
    </row>
    <row r="2" spans="1:20" ht="15.75" thickBot="1">
      <c r="A2" s="32"/>
      <c r="B2" s="32"/>
      <c r="C2" s="807">
        <v>1.35</v>
      </c>
      <c r="D2" s="808"/>
      <c r="E2" s="809"/>
      <c r="F2" s="807">
        <v>2</v>
      </c>
      <c r="G2" s="809"/>
      <c r="H2" s="545">
        <v>1.5</v>
      </c>
      <c r="I2" s="121"/>
      <c r="J2" s="32"/>
      <c r="K2" s="46" t="s">
        <v>163</v>
      </c>
      <c r="N2" s="32"/>
      <c r="O2" s="32"/>
      <c r="P2" s="32"/>
      <c r="Q2" s="32"/>
      <c r="R2" s="32"/>
    </row>
    <row r="3" spans="1:20" ht="16.5" customHeight="1" thickBot="1">
      <c r="A3" s="792" t="s">
        <v>374</v>
      </c>
      <c r="B3" s="793"/>
      <c r="C3" s="793"/>
      <c r="D3" s="793"/>
      <c r="E3" s="793"/>
      <c r="F3" s="793"/>
      <c r="G3" s="793"/>
      <c r="H3" s="793"/>
      <c r="I3" s="793"/>
      <c r="J3" s="793"/>
      <c r="K3" s="794"/>
      <c r="M3" s="861" t="s">
        <v>864</v>
      </c>
      <c r="N3" s="876"/>
      <c r="O3" s="876"/>
      <c r="P3" s="876"/>
      <c r="Q3" s="876"/>
      <c r="R3" s="862"/>
      <c r="T3" s="962" t="s">
        <v>671</v>
      </c>
    </row>
    <row r="4" spans="1:20" s="32" customFormat="1" ht="15.75" customHeight="1" thickBot="1">
      <c r="A4" s="36" t="s">
        <v>116</v>
      </c>
      <c r="B4" s="36" t="s">
        <v>117</v>
      </c>
      <c r="C4" s="36" t="s">
        <v>162</v>
      </c>
      <c r="D4" s="36" t="s">
        <v>119</v>
      </c>
      <c r="E4" s="36" t="s">
        <v>120</v>
      </c>
      <c r="F4" s="36" t="s">
        <v>520</v>
      </c>
      <c r="G4" s="135" t="s">
        <v>260</v>
      </c>
      <c r="H4" s="135" t="s">
        <v>259</v>
      </c>
      <c r="I4" s="116" t="s">
        <v>521</v>
      </c>
      <c r="J4" s="36" t="s">
        <v>262</v>
      </c>
      <c r="K4" s="36" t="s">
        <v>263</v>
      </c>
      <c r="L4" s="137"/>
      <c r="M4" s="865"/>
      <c r="N4" s="877"/>
      <c r="O4" s="877"/>
      <c r="P4" s="877"/>
      <c r="Q4" s="877"/>
      <c r="R4" s="866"/>
      <c r="T4" s="963"/>
    </row>
    <row r="5" spans="1:20" ht="41.25" customHeight="1" thickBot="1">
      <c r="A5" s="795"/>
      <c r="B5" s="796"/>
      <c r="C5" s="796"/>
      <c r="D5" s="796"/>
      <c r="E5" s="796"/>
      <c r="F5" s="796"/>
      <c r="G5" s="796"/>
      <c r="H5" s="796"/>
      <c r="I5" s="796"/>
      <c r="J5" s="796"/>
      <c r="K5" s="797"/>
      <c r="M5" s="271" t="s">
        <v>534</v>
      </c>
      <c r="N5" s="271" t="s">
        <v>860</v>
      </c>
      <c r="O5" s="271" t="s">
        <v>861</v>
      </c>
      <c r="P5" s="375" t="s">
        <v>663</v>
      </c>
      <c r="Q5" s="375" t="s">
        <v>623</v>
      </c>
      <c r="R5" s="626" t="s">
        <v>624</v>
      </c>
      <c r="S5" s="242"/>
      <c r="T5" s="963"/>
    </row>
    <row r="6" spans="1:20" ht="19.5" thickBot="1">
      <c r="A6" s="65">
        <v>0.6</v>
      </c>
      <c r="B6" s="66">
        <v>0.8</v>
      </c>
      <c r="C6" s="58">
        <f>((((A6*2)+(B6*2))*'MATERIALES (2)'!$C$60)+(((A6*2)+(B6*2))*'MATERIALES (2)'!$C$76))*'MATERIALES (2)'!$F$2</f>
        <v>28326.311999999998</v>
      </c>
      <c r="D6" s="58">
        <f>(4*'MATERIALES (2)'!$C$178)+((((A6*2)+(B6*2))/0.1)*'MATERIALES (2)'!$C$181)+(((A6*2)+(B6*2))*'MATERIALES (2)'!$C$154)+(0.5*'MATERIALES (2)'!$C$156)+(4*'MATERIALES (2)'!$C$137)+(((A6*5)*2)*'MATERIALES (2)'!$C$136)+(2*'MATERIALES (2)'!$C$176)</f>
        <v>10402</v>
      </c>
      <c r="E6" s="74"/>
      <c r="F6" s="54">
        <f>(A6*B6)*'MATERIALES (2)'!$D$85</f>
        <v>3552</v>
      </c>
      <c r="G6" s="54">
        <f>(((A6*B6)*2)*'MATERIALES (2)'!$D$86)+(4*'MATERIALES (2)'!$C$218)+(((A6*2)+(B6*2))*'MATERIALES (2)'!$C$219)+(((A6*2)+(B6*2))*'MATERIALES (2)'!$C$220)+((((A6*2)+(B6*2))/15)*'MATERIALES (2)'!$C$221)+((((A6*2)+(B6*2))/15)*('MATERIALES (2)'!$C$222*0.15))</f>
        <v>13363.516666666665</v>
      </c>
      <c r="H6" s="54">
        <f>(A6*B6)*'MATERIALES (2)'!$D$92</f>
        <v>17352</v>
      </c>
      <c r="I6" s="125">
        <f>(((((SUM(C6:E6)*$C$2)+(F6*$F$2)))*1.21)*1.05)*1.05</f>
        <v>79224.037761330008</v>
      </c>
      <c r="J6" s="144">
        <f>(((((SUM(C6:E6)*$C$2)+(G6*$F$2)))*1.21)*1.05)*1.05</f>
        <v>105401.65480383</v>
      </c>
      <c r="K6" s="67">
        <f>(((((SUM(C6:E6)*$C$2)+(H6*$F$2)))*1.21)*1.05)*1.05</f>
        <v>116043.12776133</v>
      </c>
      <c r="M6" s="260" t="s">
        <v>546</v>
      </c>
      <c r="N6" s="278" t="s">
        <v>594</v>
      </c>
      <c r="O6" s="281" t="s">
        <v>603</v>
      </c>
      <c r="P6" s="281">
        <f>(I6+F31+S58)</f>
        <v>246888.40508986503</v>
      </c>
      <c r="Q6" s="278">
        <f>(J6+F31+V58)</f>
        <v>293067.05895736499</v>
      </c>
      <c r="R6" s="278">
        <f>(K6+F31+Y58)</f>
        <v>308253.55508986505</v>
      </c>
      <c r="S6" s="242"/>
      <c r="T6" s="963"/>
    </row>
    <row r="7" spans="1:20" ht="16.5" thickBot="1">
      <c r="A7" s="68">
        <v>0.8</v>
      </c>
      <c r="B7" s="69">
        <v>0.8</v>
      </c>
      <c r="C7" s="59">
        <f>((((A7*2)+(B7*2))*'MATERIALES (2)'!$C$60)+(((A7*2)+(B7*2))*'MATERIALES (2)'!$C$76))*'MATERIALES (2)'!$F$2</f>
        <v>32372.928</v>
      </c>
      <c r="D7" s="59">
        <f>(4*'MATERIALES (2)'!$C$178)+((((A7*2)+(B7*2))/0.1)*'MATERIALES (2)'!$C$181)+(((A7*2)+(B7*2))*'MATERIALES (2)'!$C$154)+(0.5*'MATERIALES (2)'!$C$156)+(4*'MATERIALES (2)'!$C$137)+(((A7*5)*2)*'MATERIALES (2)'!$C$136)+(2*'MATERIALES (2)'!$C$176)</f>
        <v>10618</v>
      </c>
      <c r="E7" s="75"/>
      <c r="F7" s="55">
        <f>(A7*B7)*'MATERIALES (2)'!$D$85</f>
        <v>4736.0000000000009</v>
      </c>
      <c r="G7" s="55">
        <f>(((A7*B7)*2)*'MATERIALES (2)'!$D$86)+(4*'MATERIALES (2)'!$C$218)+(((A7*2)+(B7*2))*'MATERIALES (2)'!$C$219)+(((A7*2)+(B7*2))*'MATERIALES (2)'!$C$220)+((((A7*2)+(B7*2))/15)*'MATERIALES (2)'!$C$221)+((((A7*2)+(B7*2))/15)*('MATERIALES (2)'!$C$222*0.15))</f>
        <v>16862.533333333333</v>
      </c>
      <c r="H7" s="55">
        <f>(A7*B7)*'MATERIALES (2)'!$D$92</f>
        <v>23136.000000000004</v>
      </c>
      <c r="I7" s="125">
        <f t="shared" ref="I7:I22" si="0">(((((SUM(C7:E7)*$C$2)+(F7*$F$2)))*1.21)*1.05)*1.05</f>
        <v>90059.697979019998</v>
      </c>
      <c r="J7" s="144">
        <f t="shared" ref="J7:J22" si="1">(((((SUM(C7:E7)*$C$2)+(G7*$F$2)))*1.21)*1.05)*1.05</f>
        <v>122413.89523902</v>
      </c>
      <c r="K7" s="67">
        <f t="shared" ref="K7:K22" si="2">(((((SUM(C7:E7)*$C$2)+(H7*$F$2)))*1.21)*1.05)*1.05</f>
        <v>139151.81797902001</v>
      </c>
      <c r="M7" s="262" t="s">
        <v>553</v>
      </c>
      <c r="N7" s="246" t="s">
        <v>594</v>
      </c>
      <c r="O7" s="247" t="s">
        <v>543</v>
      </c>
      <c r="P7" s="247">
        <f>(I7+F31+S59)</f>
        <v>257724.06530755502</v>
      </c>
      <c r="Q7" s="246">
        <f>(J7+F31+V59)</f>
        <v>310079.29939255503</v>
      </c>
      <c r="R7" s="246">
        <f>(K7+F31+Y59)</f>
        <v>331362.24530755507</v>
      </c>
      <c r="S7" s="248"/>
      <c r="T7" s="963"/>
    </row>
    <row r="8" spans="1:20" ht="16.5" thickBot="1">
      <c r="A8" s="68">
        <v>0.6</v>
      </c>
      <c r="B8" s="69">
        <v>0.8</v>
      </c>
      <c r="C8" s="59">
        <f>((((A8*2)+(B8*2))*'MATERIALES (2)'!$C$60)+(((A8*2)+(B8*2))*'MATERIALES (2)'!$C$76))*'MATERIALES (2)'!$F$2</f>
        <v>28326.311999999998</v>
      </c>
      <c r="D8" s="59">
        <f>(4*'MATERIALES (2)'!$C$178)+((((A8*2)+(B8*2))/0.1)*'MATERIALES (2)'!$C$181)+(((A8*2)+(B8*2))*'MATERIALES (2)'!$C$154)+(0.5*'MATERIALES (2)'!$C$156)+(4*'MATERIALES (2)'!$C$137)+(((A8*5)*2)*'MATERIALES (2)'!$C$136)+(2*'MATERIALES (2)'!$C$176)</f>
        <v>10402</v>
      </c>
      <c r="E8" s="75"/>
      <c r="F8" s="55">
        <f>(A8*B8)*'MATERIALES (2)'!$D$85</f>
        <v>3552</v>
      </c>
      <c r="G8" s="55">
        <f>(((A8*B8)*2)*'MATERIALES (2)'!$D$86)+(4*'MATERIALES (2)'!$C$218)+(((A8*2)+(B8*2))*'MATERIALES (2)'!$C$219)+(((A8*2)+(B8*2))*'MATERIALES (2)'!$C$220)+((((A8*2)+(B8*2))/15)*'MATERIALES (2)'!$C$221)+((((A8*2)+(B8*2))/15)*('MATERIALES (2)'!$C$222*0.15))</f>
        <v>13363.516666666665</v>
      </c>
      <c r="H8" s="55">
        <f>(A8*B8)*'MATERIALES (2)'!$D$92</f>
        <v>17352</v>
      </c>
      <c r="I8" s="125">
        <f t="shared" si="0"/>
        <v>79224.037761330008</v>
      </c>
      <c r="J8" s="144">
        <f t="shared" si="1"/>
        <v>105401.65480383</v>
      </c>
      <c r="K8" s="67">
        <f t="shared" si="2"/>
        <v>116043.12776133</v>
      </c>
      <c r="M8" s="262" t="s">
        <v>553</v>
      </c>
      <c r="N8" s="246" t="s">
        <v>603</v>
      </c>
      <c r="O8" s="247" t="s">
        <v>603</v>
      </c>
      <c r="P8" s="247">
        <f>(I8+F31+S60)</f>
        <v>265245.00597267749</v>
      </c>
      <c r="Q8" s="246">
        <f>(J8+F31+V60)</f>
        <v>317600.24005767755</v>
      </c>
      <c r="R8" s="246">
        <f>(K8+F31+Y60)</f>
        <v>338883.18597267754</v>
      </c>
      <c r="S8" s="248"/>
      <c r="T8" s="963"/>
    </row>
    <row r="9" spans="1:20" ht="16.5" thickBot="1">
      <c r="A9" s="68">
        <v>1</v>
      </c>
      <c r="B9" s="69">
        <v>0.8</v>
      </c>
      <c r="C9" s="59">
        <f>((((A9*2)+(B9*2))*'MATERIALES (2)'!$C$60)+(((A9*2)+(B9*2))*'MATERIALES (2)'!$C$76))*'MATERIALES (2)'!$F$2</f>
        <v>36419.544000000002</v>
      </c>
      <c r="D9" s="59">
        <f>(4*'MATERIALES (2)'!$C$178)+((((A9*2)+(B9*2))/0.1)*'MATERIALES (2)'!$C$181)+(((A9*2)+(B9*2))*'MATERIALES (2)'!$C$154)+(0.5*'MATERIALES (2)'!$C$156)+(4*'MATERIALES (2)'!$C$137)+(((A9*5)*2)*'MATERIALES (2)'!$C$136)+(2*'MATERIALES (2)'!$C$176)</f>
        <v>10834</v>
      </c>
      <c r="E9" s="75"/>
      <c r="F9" s="55">
        <f>(A9*B9)*'MATERIALES (2)'!$D$85</f>
        <v>5920</v>
      </c>
      <c r="G9" s="55">
        <f>(((A9*B9)*2)*'MATERIALES (2)'!$D$86)+(4*'MATERIALES (2)'!$C$218)+(((A9*2)+(B9*2))*'MATERIALES (2)'!$C$219)+(((A9*2)+(B9*2))*'MATERIALES (2)'!$C$220)+((((A9*2)+(B9*2))/15)*'MATERIALES (2)'!$C$221)+((((A9*2)+(B9*2))/15)*('MATERIALES (2)'!$C$222*0.15))</f>
        <v>20361.55</v>
      </c>
      <c r="H9" s="55">
        <f>(A9*B9)*'MATERIALES (2)'!$D$92</f>
        <v>28920</v>
      </c>
      <c r="I9" s="125">
        <f t="shared" si="0"/>
        <v>100895.35819671002</v>
      </c>
      <c r="J9" s="144">
        <f t="shared" si="1"/>
        <v>139426.13567421003</v>
      </c>
      <c r="K9" s="67">
        <f t="shared" si="2"/>
        <v>162260.50819671</v>
      </c>
      <c r="M9" s="262" t="s">
        <v>561</v>
      </c>
      <c r="N9" s="246" t="s">
        <v>599</v>
      </c>
      <c r="O9" s="247" t="s">
        <v>546</v>
      </c>
      <c r="P9" s="247">
        <f>(I9+F31+S61)</f>
        <v>277738.02596665127</v>
      </c>
      <c r="Q9" s="246">
        <f>(J9+F31+V61)</f>
        <v>339358.13037790137</v>
      </c>
      <c r="R9" s="246">
        <f>(K9+F31+Y61)</f>
        <v>369785.75096665125</v>
      </c>
      <c r="S9" s="248"/>
      <c r="T9" s="963"/>
    </row>
    <row r="10" spans="1:20" ht="16.5" thickBot="1">
      <c r="A10" s="68">
        <v>1.2</v>
      </c>
      <c r="B10" s="69">
        <v>0.8</v>
      </c>
      <c r="C10" s="59">
        <f>((((A10*2)+(B10*2))*'MATERIALES (2)'!$C$60)+(((A10*2)+(B10*2))*'MATERIALES (2)'!$C$76))*'MATERIALES (2)'!$F$2</f>
        <v>40466.160000000003</v>
      </c>
      <c r="D10" s="59">
        <f>(4*'MATERIALES (2)'!$C$178)+((((A10*2)+(B10*2))/0.1)*'MATERIALES (2)'!$C$181)+(((A10*2)+(B10*2))*'MATERIALES (2)'!$C$154)+(0.5*'MATERIALES (2)'!$C$156)+(4*'MATERIALES (2)'!$C$137)+(((A10*5)*2)*'MATERIALES (2)'!$C$136)+(2*'MATERIALES (2)'!$C$176)</f>
        <v>11050</v>
      </c>
      <c r="E10" s="75"/>
      <c r="F10" s="55">
        <f>(A10*B10)*'MATERIALES (2)'!$D$85</f>
        <v>7104</v>
      </c>
      <c r="G10" s="55">
        <f>(((A10*B10)*2)*'MATERIALES (2)'!$D$86)+(4*'MATERIALES (2)'!$C$218)+(((A10*2)+(B10*2))*'MATERIALES (2)'!$C$219)+(((A10*2)+(B10*2))*'MATERIALES (2)'!$C$220)+((((A10*2)+(B10*2))/15)*'MATERIALES (2)'!$C$221)+((((A10*2)+(B10*2))/15)*('MATERIALES (2)'!$C$222*0.15))</f>
        <v>23860.566666666666</v>
      </c>
      <c r="H10" s="55">
        <f>(A10*B10)*'MATERIALES (2)'!$D$92</f>
        <v>34704</v>
      </c>
      <c r="I10" s="125">
        <f t="shared" si="0"/>
        <v>111731.01841440002</v>
      </c>
      <c r="J10" s="144">
        <f t="shared" si="1"/>
        <v>156438.37610940001</v>
      </c>
      <c r="K10" s="67">
        <f t="shared" si="2"/>
        <v>185369.19841440002</v>
      </c>
      <c r="M10" s="262" t="s">
        <v>567</v>
      </c>
      <c r="N10" s="246" t="s">
        <v>603</v>
      </c>
      <c r="O10" s="247" t="s">
        <v>553</v>
      </c>
      <c r="P10" s="247">
        <f>(I10+F31+S62)</f>
        <v>297751.98662574752</v>
      </c>
      <c r="Q10" s="246">
        <f>(J10+F31+V62)</f>
        <v>368636.9613632476</v>
      </c>
      <c r="R10" s="246">
        <f>(K10+F31+Y62)</f>
        <v>408209.25662574754</v>
      </c>
      <c r="S10" s="248"/>
      <c r="T10" s="963"/>
    </row>
    <row r="11" spans="1:20" ht="16.5" thickBot="1">
      <c r="A11" s="68">
        <v>1.5</v>
      </c>
      <c r="B11" s="69">
        <v>0.8</v>
      </c>
      <c r="C11" s="59">
        <f>((((A11*2)+(B11*2))*'MATERIALES (2)'!$C$60)+(((A11*2)+(B11*2))*'MATERIALES (2)'!$C$76))*'MATERIALES (2)'!$F$2</f>
        <v>46536.083999999995</v>
      </c>
      <c r="D11" s="59">
        <f>(4*'MATERIALES (2)'!$C$178)+((((A11*2)+(B11*2))/0.1)*'MATERIALES (2)'!$C$181)+(((A11*2)+(B11*2))*'MATERIALES (2)'!$C$154)+(0.5*'MATERIALES (2)'!$C$156)+(4*'MATERIALES (2)'!$C$137)+(((A11*5)*2)*'MATERIALES (2)'!$C$136)+(2*'MATERIALES (2)'!$C$176)</f>
        <v>11374</v>
      </c>
      <c r="E11" s="75"/>
      <c r="F11" s="55">
        <f>(A11*B11)*'MATERIALES (2)'!$D$85</f>
        <v>8880.0000000000018</v>
      </c>
      <c r="G11" s="55">
        <f>(((A11*B11)*2)*'MATERIALES (2)'!$D$86)+(4*'MATERIALES (2)'!$C$218)+(((A11*2)+(B11*2))*'MATERIALES (2)'!$C$219)+(((A11*2)+(B11*2))*'MATERIALES (2)'!$C$220)+((((A11*2)+(B11*2))/15)*'MATERIALES (2)'!$C$221)+((((A11*2)+(B11*2))/15)*('MATERIALES (2)'!$C$222*0.15))</f>
        <v>29109.091666666671</v>
      </c>
      <c r="H11" s="55">
        <f>(A11*B11)*'MATERIALES (2)'!$D$92</f>
        <v>43380.000000000007</v>
      </c>
      <c r="I11" s="125">
        <f t="shared" si="0"/>
        <v>127984.50874093501</v>
      </c>
      <c r="J11" s="144">
        <f t="shared" si="1"/>
        <v>181956.73676218503</v>
      </c>
      <c r="K11" s="67">
        <f t="shared" si="2"/>
        <v>220032.23374093507</v>
      </c>
      <c r="M11" s="262" t="s">
        <v>573</v>
      </c>
      <c r="N11" s="246" t="s">
        <v>599</v>
      </c>
      <c r="O11" s="247" t="s">
        <v>561</v>
      </c>
      <c r="P11" s="247">
        <f>(I11+F31+S63)</f>
        <v>304827.17651087628</v>
      </c>
      <c r="Q11" s="246">
        <f>(J11+F31+V63)</f>
        <v>381888.73146587634</v>
      </c>
      <c r="R11" s="246">
        <f>(K11+F31+Y63)</f>
        <v>427557.47651087632</v>
      </c>
      <c r="S11" s="248"/>
      <c r="T11" s="963"/>
    </row>
    <row r="12" spans="1:20" ht="16.5" thickBot="1">
      <c r="A12" s="68">
        <v>0.6</v>
      </c>
      <c r="B12" s="69">
        <v>1.1000000000000001</v>
      </c>
      <c r="C12" s="59">
        <f>((((A12*2)+(B12*2))*'MATERIALES (2)'!$C$60)+(((A12*2)+(B12*2))*'MATERIALES (2)'!$C$76))*'MATERIALES (2)'!$F$2</f>
        <v>34396.236000000004</v>
      </c>
      <c r="D12" s="59">
        <f>(4*'MATERIALES (2)'!$C$178)+((((A12*2)+(B12*2))/0.1)*'MATERIALES (2)'!$C$181)+(((A12*2)+(B12*2))*'MATERIALES (2)'!$C$154)+(0.5*'MATERIALES (2)'!$C$156)+(4*'MATERIALES (2)'!$C$137)+(((A12*5)*2)*'MATERIALES (2)'!$C$136)+(2*'MATERIALES (2)'!$C$176)</f>
        <v>10726</v>
      </c>
      <c r="E12" s="75"/>
      <c r="F12" s="55">
        <f>(A12*B12)*'MATERIALES (2)'!$D$85</f>
        <v>4884</v>
      </c>
      <c r="G12" s="55">
        <f>(((A12*B12)*2)*'MATERIALES (2)'!$D$86)+(4*'MATERIALES (2)'!$C$218)+(((A12*2)+(B12*2))*'MATERIALES (2)'!$C$219)+(((A12*2)+(B12*2))*'MATERIALES (2)'!$C$220)+((((A12*2)+(B12*2))/15)*'MATERIALES (2)'!$C$221)+((((A12*2)+(B12*2))/15)*('MATERIALES (2)'!$C$222*0.15))</f>
        <v>17553.64166666667</v>
      </c>
      <c r="H12" s="55">
        <f>(A12*B12)*'MATERIALES (2)'!$D$92</f>
        <v>23859</v>
      </c>
      <c r="I12" s="125">
        <f t="shared" si="0"/>
        <v>94292.913887865026</v>
      </c>
      <c r="J12" s="144">
        <f t="shared" si="1"/>
        <v>128096.15133661503</v>
      </c>
      <c r="K12" s="67">
        <f t="shared" si="2"/>
        <v>144919.16263786503</v>
      </c>
      <c r="M12" s="262" t="s">
        <v>548</v>
      </c>
      <c r="N12" s="246" t="s">
        <v>651</v>
      </c>
      <c r="O12" s="247" t="s">
        <v>653</v>
      </c>
      <c r="P12" s="247">
        <f>(I12+F32+S64)</f>
        <v>294057.40071967884</v>
      </c>
      <c r="Q12" s="246">
        <f>(J12+F32+V64)</f>
        <v>353848.04547967878</v>
      </c>
      <c r="R12" s="246">
        <f>(K12+F32+Y64)</f>
        <v>378434.48196967883</v>
      </c>
      <c r="S12" s="248"/>
      <c r="T12" s="963"/>
    </row>
    <row r="13" spans="1:20" ht="16.5" thickBot="1">
      <c r="A13" s="68">
        <v>0.8</v>
      </c>
      <c r="B13" s="69">
        <v>1.1000000000000001</v>
      </c>
      <c r="C13" s="59">
        <f>((((A13*2)+(B13*2))*'MATERIALES (2)'!$C$60)+(((A13*2)+(B13*2))*'MATERIALES (2)'!$C$76))*'MATERIALES (2)'!$F$2</f>
        <v>38442.851999999999</v>
      </c>
      <c r="D13" s="59">
        <f>(4*'MATERIALES (2)'!$C$178)+((((A13*2)+(B13*2))/0.1)*'MATERIALES (2)'!$C$181)+(((A13*2)+(B13*2))*'MATERIALES (2)'!$C$154)+(0.5*'MATERIALES (2)'!$C$156)+(4*'MATERIALES (2)'!$C$137)+(((A13*5)*2)*'MATERIALES (2)'!$C$136)+(2*'MATERIALES (2)'!$C$176)</f>
        <v>10942</v>
      </c>
      <c r="E13" s="75"/>
      <c r="F13" s="55">
        <f>(A13*B13)*'MATERIALES (2)'!$D$85</f>
        <v>6512.0000000000009</v>
      </c>
      <c r="G13" s="55">
        <f>(((A13*B13)*2)*'MATERIALES (2)'!$D$86)+(4*'MATERIALES (2)'!$C$218)+(((A13*2)+(B13*2))*'MATERIALES (2)'!$C$219)+(((A13*2)+(B13*2))*'MATERIALES (2)'!$C$220)+((((A13*2)+(B13*2))/15)*'MATERIALES (2)'!$C$221)+((((A13*2)+(B13*2))/15)*('MATERIALES (2)'!$C$222*0.15))</f>
        <v>22111.058333333338</v>
      </c>
      <c r="H13" s="55">
        <f>(A13*B13)*'MATERIALES (2)'!$D$92</f>
        <v>31812.000000000004</v>
      </c>
      <c r="I13" s="125">
        <f t="shared" si="0"/>
        <v>106313.188305555</v>
      </c>
      <c r="J13" s="144">
        <f t="shared" si="1"/>
        <v>147932.25589180502</v>
      </c>
      <c r="K13" s="67">
        <f t="shared" si="2"/>
        <v>173814.85330555501</v>
      </c>
      <c r="M13" s="263" t="s">
        <v>555</v>
      </c>
      <c r="N13" s="246" t="s">
        <v>651</v>
      </c>
      <c r="O13" s="247" t="s">
        <v>862</v>
      </c>
      <c r="P13" s="247">
        <f>(I13+F32+S65)</f>
        <v>306077.67513736879</v>
      </c>
      <c r="Q13" s="246">
        <f>(J13+F32+V65)</f>
        <v>373684.1500348688</v>
      </c>
      <c r="R13" s="246">
        <f>(K13+F32+Y65)</f>
        <v>407330.17263736879</v>
      </c>
      <c r="S13" s="248"/>
      <c r="T13" s="963"/>
    </row>
    <row r="14" spans="1:20" ht="16.5" thickBot="1">
      <c r="A14" s="68">
        <v>0.6</v>
      </c>
      <c r="B14" s="69">
        <v>1.1000000000000001</v>
      </c>
      <c r="C14" s="59">
        <f>((((A14*2)+(B14*2))*'MATERIALES (2)'!$C$60)+(((A14*2)+(B14*2))*'MATERIALES (2)'!$C$76))*'MATERIALES (2)'!$F$2</f>
        <v>34396.236000000004</v>
      </c>
      <c r="D14" s="59">
        <f>(4*'MATERIALES (2)'!$C$178)+((((A14*2)+(B14*2))/0.1)*'MATERIALES (2)'!$C$181)+(((A14*2)+(B14*2))*'MATERIALES (2)'!$C$154)+(0.5*'MATERIALES (2)'!$C$156)+(4*'MATERIALES (2)'!$C$137)+(((A14*5)*2)*'MATERIALES (2)'!$C$136)+(2*'MATERIALES (2)'!$C$176)</f>
        <v>10726</v>
      </c>
      <c r="E14" s="75"/>
      <c r="F14" s="55">
        <f>(A14*B14)*'MATERIALES (2)'!$D$85</f>
        <v>4884</v>
      </c>
      <c r="G14" s="55">
        <f>(((A14*B14)*2)*'MATERIALES (2)'!$D$86)+(4*'MATERIALES (2)'!$C$218)+(((A14*2)+(B14*2))*'MATERIALES (2)'!$C$219)+(((A14*2)+(B14*2))*'MATERIALES (2)'!$C$220)+((((A14*2)+(B14*2))/15)*'MATERIALES (2)'!$C$221)+((((A14*2)+(B14*2))/15)*('MATERIALES (2)'!$C$222*0.15))</f>
        <v>17553.64166666667</v>
      </c>
      <c r="H14" s="55">
        <f>(A14*B14)*'MATERIALES (2)'!$D$92</f>
        <v>23859</v>
      </c>
      <c r="I14" s="125">
        <f t="shared" si="0"/>
        <v>94292.913887865026</v>
      </c>
      <c r="J14" s="144">
        <f t="shared" si="1"/>
        <v>128096.15133661503</v>
      </c>
      <c r="K14" s="67">
        <f t="shared" si="2"/>
        <v>144919.16263786503</v>
      </c>
      <c r="M14" s="263" t="s">
        <v>555</v>
      </c>
      <c r="N14" s="246" t="s">
        <v>653</v>
      </c>
      <c r="O14" s="247" t="s">
        <v>653</v>
      </c>
      <c r="P14" s="247">
        <f>(I14+F32+S66)</f>
        <v>313598.61580249132</v>
      </c>
      <c r="Q14" s="246">
        <f>(J14+F32+V66)</f>
        <v>381205.09069999139</v>
      </c>
      <c r="R14" s="246">
        <f>(K14+F32+Y66)</f>
        <v>414851.11330249137</v>
      </c>
      <c r="S14" s="252"/>
      <c r="T14" s="963"/>
    </row>
    <row r="15" spans="1:20" ht="16.5" thickBot="1">
      <c r="A15" s="68">
        <v>1</v>
      </c>
      <c r="B15" s="69">
        <v>1.1000000000000001</v>
      </c>
      <c r="C15" s="59">
        <f>((((A15*2)+(B15*2))*'MATERIALES (2)'!$C$60)+(((A15*2)+(B15*2))*'MATERIALES (2)'!$C$76))*'MATERIALES (2)'!$F$2</f>
        <v>42489.468000000001</v>
      </c>
      <c r="D15" s="59">
        <f>(4*'MATERIALES (2)'!$C$178)+((((A15*2)+(B15*2))/0.1)*'MATERIALES (2)'!$C$181)+(((A15*2)+(B15*2))*'MATERIALES (2)'!$C$154)+(0.5*'MATERIALES (2)'!$C$156)+(4*'MATERIALES (2)'!$C$137)+(((A15*5)*2)*'MATERIALES (2)'!$C$136)+(2*'MATERIALES (2)'!$C$176)</f>
        <v>11158</v>
      </c>
      <c r="E15" s="75"/>
      <c r="F15" s="55">
        <f>(A15*B15)*'MATERIALES (2)'!$D$85</f>
        <v>8140.0000000000009</v>
      </c>
      <c r="G15" s="55">
        <f>(((A15*B15)*2)*'MATERIALES (2)'!$D$86)+(4*'MATERIALES (2)'!$C$218)+(((A15*2)+(B15*2))*'MATERIALES (2)'!$C$219)+(((A15*2)+(B15*2))*'MATERIALES (2)'!$C$220)+((((A15*2)+(B15*2))/15)*'MATERIALES (2)'!$C$221)+((((A15*2)+(B15*2))/15)*('MATERIALES (2)'!$C$222*0.15))</f>
        <v>26668.474999999999</v>
      </c>
      <c r="H15" s="55">
        <f>(A15*B15)*'MATERIALES (2)'!$D$92</f>
        <v>39765</v>
      </c>
      <c r="I15" s="125">
        <f t="shared" si="0"/>
        <v>118333.462723245</v>
      </c>
      <c r="J15" s="144">
        <f t="shared" si="1"/>
        <v>167768.36044699501</v>
      </c>
      <c r="K15" s="67">
        <f t="shared" si="2"/>
        <v>202710.54397324499</v>
      </c>
      <c r="M15" s="263" t="s">
        <v>563</v>
      </c>
      <c r="N15" s="246" t="s">
        <v>652</v>
      </c>
      <c r="O15" s="247" t="s">
        <v>548</v>
      </c>
      <c r="P15" s="247">
        <f>(I15+F32+S67)</f>
        <v>327868.55709646503</v>
      </c>
      <c r="Q15" s="246">
        <f>(J15+F32+V67)</f>
        <v>407198.77720021503</v>
      </c>
      <c r="R15" s="246">
        <f>(K15+F32+Y67)</f>
        <v>454434.17897146498</v>
      </c>
      <c r="S15" s="252"/>
      <c r="T15" s="963"/>
    </row>
    <row r="16" spans="1:20" ht="16.5" thickBot="1">
      <c r="A16" s="68">
        <v>1.2</v>
      </c>
      <c r="B16" s="69">
        <v>1.1000000000000001</v>
      </c>
      <c r="C16" s="59">
        <f>((((A16*2)+(B16*2))*'MATERIALES (2)'!$C$60)+(((A16*2)+(B16*2))*'MATERIALES (2)'!$C$76))*'MATERIALES (2)'!$F$2</f>
        <v>46536.083999999995</v>
      </c>
      <c r="D16" s="59">
        <f>(4*'MATERIALES (2)'!$C$178)+((((A16*2)+(B16*2))/0.1)*'MATERIALES (2)'!$C$181)+(((A16*2)+(B16*2))*'MATERIALES (2)'!$C$154)+(0.5*'MATERIALES (2)'!$C$156)+(4*'MATERIALES (2)'!$C$137)+(((A16*5)*2)*'MATERIALES (2)'!$C$136)+(2*'MATERIALES (2)'!$C$176)</f>
        <v>11374</v>
      </c>
      <c r="E16" s="75"/>
      <c r="F16" s="55">
        <f>(A16*B16)*'MATERIALES (2)'!$D$85</f>
        <v>9768</v>
      </c>
      <c r="G16" s="55">
        <f>(((A16*B16)*2)*'MATERIALES (2)'!$D$86)+(4*'MATERIALES (2)'!$C$218)+(((A16*2)+(B16*2))*'MATERIALES (2)'!$C$219)+(((A16*2)+(B16*2))*'MATERIALES (2)'!$C$220)+((((A16*2)+(B16*2))/15)*'MATERIALES (2)'!$C$221)+((((A16*2)+(B16*2))/15)*('MATERIALES (2)'!$C$222*0.15))</f>
        <v>31225.89166666667</v>
      </c>
      <c r="H16" s="55">
        <f>(A16*B16)*'MATERIALES (2)'!$D$92</f>
        <v>47718</v>
      </c>
      <c r="I16" s="125">
        <f t="shared" si="0"/>
        <v>130353.73714093502</v>
      </c>
      <c r="J16" s="144">
        <f t="shared" si="1"/>
        <v>187604.46500218505</v>
      </c>
      <c r="K16" s="67">
        <f t="shared" si="2"/>
        <v>231606.23464093503</v>
      </c>
      <c r="M16" s="263" t="s">
        <v>569</v>
      </c>
      <c r="N16" s="246" t="s">
        <v>653</v>
      </c>
      <c r="O16" s="247" t="s">
        <v>555</v>
      </c>
      <c r="P16" s="247">
        <f>(I16+F32+S68)</f>
        <v>349659.43905556132</v>
      </c>
      <c r="Q16" s="246">
        <f>(J16+F32+V68)</f>
        <v>440713.40436556144</v>
      </c>
      <c r="R16" s="246">
        <f>(K16+F32+Y68)</f>
        <v>501538.18530556135</v>
      </c>
      <c r="S16" s="252"/>
      <c r="T16" s="964"/>
    </row>
    <row r="17" spans="1:19" ht="16.5" thickBot="1">
      <c r="A17" s="68">
        <v>1.5</v>
      </c>
      <c r="B17" s="69">
        <v>1.1000000000000001</v>
      </c>
      <c r="C17" s="59">
        <f>((((A17*2)+(B17*2))*'MATERIALES (2)'!$C$60)+(((A17*2)+(B17*2))*'MATERIALES (2)'!$C$76))*'MATERIALES (2)'!$F$2</f>
        <v>52606.008000000002</v>
      </c>
      <c r="D17" s="59">
        <f>(4*'MATERIALES (2)'!$C$178)+((((A17*2)+(B17*2))/0.1)*'MATERIALES (2)'!$C$181)+(((A17*2)+(B17*2))*'MATERIALES (2)'!$C$154)+(0.5*'MATERIALES (2)'!$C$156)+(4*'MATERIALES (2)'!$C$137)+(((A17*5)*2)*'MATERIALES (2)'!$C$136)+(2*'MATERIALES (2)'!$C$176)</f>
        <v>11698</v>
      </c>
      <c r="E17" s="75"/>
      <c r="F17" s="55">
        <f>(A17*B17)*'MATERIALES (2)'!$D$85</f>
        <v>12210.000000000002</v>
      </c>
      <c r="G17" s="55">
        <f>(((A17*B17)*2)*'MATERIALES (2)'!$D$86)+(4*'MATERIALES (2)'!$C$218)+(((A17*2)+(B17*2))*'MATERIALES (2)'!$C$219)+(((A17*2)+(B17*2))*'MATERIALES (2)'!$C$220)+((((A17*2)+(B17*2))/15)*'MATERIALES (2)'!$C$221)+((((A17*2)+(B17*2))/15)*('MATERIALES (2)'!$C$222*0.15))</f>
        <v>38062.016666666663</v>
      </c>
      <c r="H17" s="55">
        <f>(A17*B17)*'MATERIALES (2)'!$D$92</f>
        <v>59647.500000000007</v>
      </c>
      <c r="I17" s="125">
        <f t="shared" si="0"/>
        <v>148384.14876747003</v>
      </c>
      <c r="J17" s="144">
        <f t="shared" si="1"/>
        <v>217358.62183496999</v>
      </c>
      <c r="K17" s="67">
        <f t="shared" si="2"/>
        <v>274949.77064247004</v>
      </c>
      <c r="M17" s="263" t="s">
        <v>575</v>
      </c>
      <c r="N17" s="246" t="s">
        <v>652</v>
      </c>
      <c r="O17" s="247" t="s">
        <v>563</v>
      </c>
      <c r="P17" s="247">
        <f>(I17+F32+S69)</f>
        <v>357919.24314069009</v>
      </c>
      <c r="Q17" s="246">
        <f>(J17+F32+V69)</f>
        <v>456789.03858819004</v>
      </c>
      <c r="R17" s="246">
        <f>(K17+F32+Y69)</f>
        <v>526673.40564069001</v>
      </c>
      <c r="S17" s="252"/>
    </row>
    <row r="18" spans="1:19" ht="16.5" thickBot="1">
      <c r="A18" s="68">
        <v>0.6</v>
      </c>
      <c r="B18" s="69">
        <v>1.5</v>
      </c>
      <c r="C18" s="59">
        <f>((((A18*2)+(B18*2))*'MATERIALES (2)'!$C$60)+(((A18*2)+(B18*2))*'MATERIALES (2)'!$C$76))*'MATERIALES (2)'!$F$2</f>
        <v>42489.468000000001</v>
      </c>
      <c r="D18" s="59">
        <f>(4*'MATERIALES (2)'!$C$178)+((((A18*2)+(B18*2))/0.1)*'MATERIALES (2)'!$C$181)+(((A18*2)+(B18*2))*'MATERIALES (2)'!$C$154)+(0.5*'MATERIALES (2)'!$C$156)+(4*'MATERIALES (2)'!$C$137)+(((A18*5)*2)*'MATERIALES (2)'!$C$136)+(2*'MATERIALES (2)'!$C$176)</f>
        <v>11158</v>
      </c>
      <c r="E18" s="75"/>
      <c r="F18" s="55">
        <f>(A18*B18)*'MATERIALES (2)'!$D$85</f>
        <v>6659.9999999999991</v>
      </c>
      <c r="G18" s="55">
        <f>(((A18*B18)*2)*'MATERIALES (2)'!$D$86)+(4*'MATERIALES (2)'!$C$218)+(((A18*2)+(B18*2))*'MATERIALES (2)'!$C$219)+(((A18*2)+(B18*2))*'MATERIALES (2)'!$C$220)+((((A18*2)+(B18*2))/15)*'MATERIALES (2)'!$C$221)+((((A18*2)+(B18*2))/15)*('MATERIALES (2)'!$C$222*0.15))</f>
        <v>23140.474999999999</v>
      </c>
      <c r="H18" s="55">
        <f>(A18*B18)*'MATERIALES (2)'!$D$92</f>
        <v>32534.999999999996</v>
      </c>
      <c r="I18" s="125">
        <f t="shared" si="0"/>
        <v>114384.74872324502</v>
      </c>
      <c r="J18" s="144">
        <f t="shared" si="1"/>
        <v>158355.48004699501</v>
      </c>
      <c r="K18" s="67">
        <f t="shared" si="2"/>
        <v>183420.542473245</v>
      </c>
      <c r="M18" s="263" t="s">
        <v>557</v>
      </c>
      <c r="N18" s="246" t="s">
        <v>597</v>
      </c>
      <c r="O18" s="247" t="s">
        <v>606</v>
      </c>
      <c r="P18" s="247">
        <f>(I18+F33+S70)</f>
        <v>356949.39489276381</v>
      </c>
      <c r="Q18" s="246">
        <f>(J18+F33+V70)</f>
        <v>434889.3608427638</v>
      </c>
      <c r="R18" s="246">
        <f>(K18+F33+Y70)</f>
        <v>472009.05114276381</v>
      </c>
      <c r="S18" s="252"/>
    </row>
    <row r="19" spans="1:19" ht="16.5" thickBot="1">
      <c r="A19" s="68">
        <v>0.6</v>
      </c>
      <c r="B19" s="69">
        <v>1.5</v>
      </c>
      <c r="C19" s="59">
        <f>((((A19*2)+(B19*2))*'MATERIALES (2)'!$C$60)+(((A19*2)+(B19*2))*'MATERIALES (2)'!$C$76))*'MATERIALES (2)'!$F$2</f>
        <v>42489.468000000001</v>
      </c>
      <c r="D19" s="59">
        <f>(4*'MATERIALES (2)'!$C$178)+((((A19*2)+(B19*2))/0.1)*'MATERIALES (2)'!$C$181)+(((A19*2)+(B19*2))*'MATERIALES (2)'!$C$154)+(0.5*'MATERIALES (2)'!$C$156)+(4*'MATERIALES (2)'!$C$137)+(((A19*5)*2)*'MATERIALES (2)'!$C$136)+(2*'MATERIALES (2)'!$C$176)</f>
        <v>11158</v>
      </c>
      <c r="E19" s="75"/>
      <c r="F19" s="55">
        <f>(A19*B19)*'MATERIALES (2)'!$D$85</f>
        <v>6659.9999999999991</v>
      </c>
      <c r="G19" s="55">
        <f>(((A19*B19)*2)*'MATERIALES (2)'!$D$86)+(4*'MATERIALES (2)'!$C$218)+(((A19*2)+(B19*2))*'MATERIALES (2)'!$C$219)+(((A19*2)+(B19*2))*'MATERIALES (2)'!$C$220)+((((A19*2)+(B19*2))/15)*'MATERIALES (2)'!$C$221)+((((A19*2)+(B19*2))/15)*('MATERIALES (2)'!$C$222*0.15))</f>
        <v>23140.474999999999</v>
      </c>
      <c r="H19" s="55">
        <f>(A19*B19)*'MATERIALES (2)'!$D$92</f>
        <v>32534.999999999996</v>
      </c>
      <c r="I19" s="125">
        <f t="shared" si="0"/>
        <v>114384.74872324502</v>
      </c>
      <c r="J19" s="144">
        <f t="shared" si="1"/>
        <v>158355.48004699501</v>
      </c>
      <c r="K19" s="67">
        <f t="shared" si="2"/>
        <v>183420.542473245</v>
      </c>
      <c r="M19" s="263" t="s">
        <v>557</v>
      </c>
      <c r="N19" s="246" t="s">
        <v>606</v>
      </c>
      <c r="O19" s="247" t="s">
        <v>606</v>
      </c>
      <c r="P19" s="247">
        <f>(I19+F33+S71)</f>
        <v>378070.0955755763</v>
      </c>
      <c r="Q19" s="246">
        <f>(J19+F33+V71)</f>
        <v>466011.55822307628</v>
      </c>
      <c r="R19" s="246">
        <f>(K19+F33+Y71)</f>
        <v>516141.68307557632</v>
      </c>
      <c r="S19" s="252"/>
    </row>
    <row r="20" spans="1:19" ht="16.5" thickBot="1">
      <c r="A20" s="68">
        <v>1</v>
      </c>
      <c r="B20" s="69">
        <v>1.5</v>
      </c>
      <c r="C20" s="59">
        <f>((((A20*2)+(B20*2))*'MATERIALES (2)'!$C$60)+(((A20*2)+(B20*2))*'MATERIALES (2)'!$C$76))*'MATERIALES (2)'!$F$2</f>
        <v>50582.7</v>
      </c>
      <c r="D20" s="59">
        <f>(4*'MATERIALES (2)'!$C$178)+((((A20*2)+(B20*2))/0.1)*'MATERIALES (2)'!$C$181)+(((A20*2)+(B20*2))*'MATERIALES (2)'!$C$154)+(0.5*'MATERIALES (2)'!$C$156)+(4*'MATERIALES (2)'!$C$137)+(((A20*5)*2)*'MATERIALES (2)'!$C$136)+(2*'MATERIALES (2)'!$C$176)</f>
        <v>11590</v>
      </c>
      <c r="E20" s="75"/>
      <c r="F20" s="55">
        <f>(A20*B20)*'MATERIALES (2)'!$D$85</f>
        <v>11100</v>
      </c>
      <c r="G20" s="55">
        <f>(((A20*B20)*2)*'MATERIALES (2)'!$D$86)+(4*'MATERIALES (2)'!$C$218)+(((A20*2)+(B20*2))*'MATERIALES (2)'!$C$219)+(((A20*2)+(B20*2))*'MATERIALES (2)'!$C$220)+((((A20*2)+(B20*2))/15)*'MATERIALES (2)'!$C$221)+((((A20*2)+(B20*2))/15)*('MATERIALES (2)'!$C$222*0.15))</f>
        <v>35077.708333333336</v>
      </c>
      <c r="H20" s="55">
        <f>(A20*B20)*'MATERIALES (2)'!$D$92</f>
        <v>54225</v>
      </c>
      <c r="I20" s="125">
        <f t="shared" si="0"/>
        <v>141584.26875862502</v>
      </c>
      <c r="J20" s="144">
        <f t="shared" si="1"/>
        <v>205557.99347737501</v>
      </c>
      <c r="K20" s="67">
        <f t="shared" si="2"/>
        <v>256643.92500862502</v>
      </c>
      <c r="M20" s="263" t="s">
        <v>565</v>
      </c>
      <c r="N20" s="246" t="s">
        <v>602</v>
      </c>
      <c r="O20" s="247" t="s">
        <v>550</v>
      </c>
      <c r="P20" s="247">
        <f>(I20+F33+S72)</f>
        <v>394709.26526955003</v>
      </c>
      <c r="Q20" s="246">
        <f>(J20+F33+V72)</f>
        <v>497652.97296330007</v>
      </c>
      <c r="R20" s="246">
        <f>(K20+F33+Y72)</f>
        <v>567298.74964455003</v>
      </c>
      <c r="S20" s="252"/>
    </row>
    <row r="21" spans="1:19" ht="16.5" thickBot="1">
      <c r="A21" s="68">
        <v>1.2</v>
      </c>
      <c r="B21" s="69">
        <v>1.5</v>
      </c>
      <c r="C21" s="59">
        <f>((((A21*2)+(B21*2))*'MATERIALES (2)'!$C$60)+(((A21*2)+(B21*2))*'MATERIALES (2)'!$C$76))*'MATERIALES (2)'!$F$2</f>
        <v>54629.316000000006</v>
      </c>
      <c r="D21" s="59">
        <f>(4*'MATERIALES (2)'!$C$178)+((((A21*2)+(B21*2))/0.1)*'MATERIALES (2)'!$C$181)+(((A21*2)+(B21*2))*'MATERIALES (2)'!$C$154)+(0.5*'MATERIALES (2)'!$C$156)+(4*'MATERIALES (2)'!$C$137)+(((A21*5)*2)*'MATERIALES (2)'!$C$136)+(2*'MATERIALES (2)'!$C$176)</f>
        <v>11806</v>
      </c>
      <c r="E21" s="75"/>
      <c r="F21" s="55">
        <f>(A21*B21)*'MATERIALES (2)'!$D$85</f>
        <v>13319.999999999998</v>
      </c>
      <c r="G21" s="55">
        <f>(((A21*B21)*2)*'MATERIALES (2)'!$D$86)+(4*'MATERIALES (2)'!$C$218)+(((A21*2)+(B21*2))*'MATERIALES (2)'!$C$219)+(((A21*2)+(B21*2))*'MATERIALES (2)'!$C$220)+((((A21*2)+(B21*2))/15)*'MATERIALES (2)'!$C$221)+((((A21*2)+(B21*2))/15)*('MATERIALES (2)'!$C$222*0.15))</f>
        <v>41046.324999999997</v>
      </c>
      <c r="H21" s="55">
        <f>(A21*B21)*'MATERIALES (2)'!$D$92</f>
        <v>65069.999999999993</v>
      </c>
      <c r="I21" s="125">
        <f t="shared" si="0"/>
        <v>155184.02877631504</v>
      </c>
      <c r="J21" s="144">
        <f t="shared" si="1"/>
        <v>229159.25019256506</v>
      </c>
      <c r="K21" s="67">
        <f t="shared" si="2"/>
        <v>293255.61627631501</v>
      </c>
      <c r="M21" s="263" t="s">
        <v>571</v>
      </c>
      <c r="N21" s="246" t="s">
        <v>606</v>
      </c>
      <c r="O21" s="247" t="s">
        <v>557</v>
      </c>
      <c r="P21" s="247">
        <f>(I21+F33+S74)</f>
        <v>418869.37562864629</v>
      </c>
      <c r="Q21" s="246">
        <f>(J21+F33+V73)</f>
        <v>521254.22967849008</v>
      </c>
      <c r="R21" s="246">
        <f>(K21+F33+Y73)</f>
        <v>603910.44091223995</v>
      </c>
      <c r="S21" s="252"/>
    </row>
    <row r="22" spans="1:19" ht="16.5" thickBot="1">
      <c r="A22" s="71">
        <v>1.5</v>
      </c>
      <c r="B22" s="72">
        <v>1.5</v>
      </c>
      <c r="C22" s="60">
        <f>((((A22*2)+(B22*2))*'MATERIALES (2)'!$C$60)+(((A22*2)+(B22*2))*'MATERIALES (2)'!$C$76))*'MATERIALES (2)'!$F$2</f>
        <v>60699.240000000005</v>
      </c>
      <c r="D22" s="60">
        <f>(4*'MATERIALES (2)'!$C$178)+((((A22*2)+(B22*2))/0.1)*'MATERIALES (2)'!$C$181)+(((A22*2)+(B22*2))*'MATERIALES (2)'!$C$154)+(0.5*'MATERIALES (2)'!$C$156)+(4*'MATERIALES (2)'!$C$137)+(((A22*5)*2)*'MATERIALES (2)'!$C$136)+(2*'MATERIALES (2)'!$C$176)</f>
        <v>12130</v>
      </c>
      <c r="E22" s="76"/>
      <c r="F22" s="56">
        <f>(A22*B22)*'MATERIALES (2)'!$D$85</f>
        <v>16650</v>
      </c>
      <c r="G22" s="56">
        <f>(((A22*B22)*2)*'MATERIALES (2)'!$D$86)+(4*'MATERIALES (2)'!$C$218)+(((A22*2)+(B22*2))*'MATERIALES (2)'!$C$219)+(((A22*2)+(B22*2))*'MATERIALES (2)'!$C$220)+((((A22*2)+(B22*2))/15)*'MATERIALES (2)'!$C$221)+((((A22*2)+(B22*2))/15)*('MATERIALES (2)'!$C$222*0.15))</f>
        <v>49999.25</v>
      </c>
      <c r="H22" s="56">
        <f>(A22*B22)*'MATERIALES (2)'!$D$92</f>
        <v>81337.5</v>
      </c>
      <c r="I22" s="125">
        <f t="shared" si="0"/>
        <v>175583.66880285004</v>
      </c>
      <c r="J22" s="144">
        <f t="shared" si="1"/>
        <v>264561.13526535005</v>
      </c>
      <c r="K22" s="67">
        <f t="shared" si="2"/>
        <v>348173.15317785001</v>
      </c>
      <c r="M22" s="615" t="s">
        <v>577</v>
      </c>
      <c r="N22" s="285" t="s">
        <v>602</v>
      </c>
      <c r="O22" s="625" t="s">
        <v>565</v>
      </c>
      <c r="P22" s="625">
        <f>(I22+F33+S73)</f>
        <v>428708.66531377507</v>
      </c>
      <c r="Q22" s="285">
        <f>(J22+F33+V74)</f>
        <v>572217.21344143129</v>
      </c>
      <c r="R22" s="285">
        <f>(K22+F33+Y74)</f>
        <v>680894.29378018132</v>
      </c>
      <c r="S22" s="252"/>
    </row>
    <row r="26" spans="1:19" ht="15.75" thickBot="1"/>
    <row r="27" spans="1:19">
      <c r="M27" s="861" t="s">
        <v>863</v>
      </c>
      <c r="N27" s="876"/>
      <c r="O27" s="876"/>
      <c r="P27" s="876"/>
      <c r="Q27" s="876"/>
      <c r="R27" s="862"/>
    </row>
    <row r="28" spans="1:19" ht="15.75" thickBot="1">
      <c r="M28" s="865"/>
      <c r="N28" s="877"/>
      <c r="O28" s="877"/>
      <c r="P28" s="877"/>
      <c r="Q28" s="877"/>
      <c r="R28" s="866"/>
    </row>
    <row r="29" spans="1:19" ht="19.5" thickBot="1">
      <c r="C29" s="987" t="s">
        <v>865</v>
      </c>
      <c r="D29" s="988"/>
      <c r="E29" s="988"/>
      <c r="F29" s="988"/>
      <c r="G29" s="989"/>
      <c r="M29" s="271" t="s">
        <v>534</v>
      </c>
      <c r="N29" s="271" t="s">
        <v>860</v>
      </c>
      <c r="O29" s="271" t="s">
        <v>861</v>
      </c>
      <c r="P29" s="375" t="s">
        <v>663</v>
      </c>
      <c r="Q29" s="375" t="s">
        <v>623</v>
      </c>
      <c r="R29" s="626" t="s">
        <v>624</v>
      </c>
    </row>
    <row r="30" spans="1:19" ht="15.75">
      <c r="C30" s="616"/>
      <c r="D30" s="617"/>
      <c r="E30" s="617"/>
      <c r="F30" s="617"/>
      <c r="G30" s="618"/>
      <c r="M30" s="260" t="s">
        <v>546</v>
      </c>
      <c r="N30" s="278" t="s">
        <v>594</v>
      </c>
      <c r="O30" s="281" t="s">
        <v>603</v>
      </c>
      <c r="P30" s="278">
        <f>(I83+F31+I6)</f>
        <v>313522.95383986505</v>
      </c>
      <c r="Q30" s="278">
        <f>(J83+F31+J6)</f>
        <v>359701.60770736507</v>
      </c>
      <c r="R30" s="278">
        <f>(K83+F31+K6)</f>
        <v>374888.10383986507</v>
      </c>
    </row>
    <row r="31" spans="1:19" ht="15.75">
      <c r="C31" s="624">
        <v>0.8</v>
      </c>
      <c r="D31" s="617"/>
      <c r="E31" s="617"/>
      <c r="F31" s="622">
        <f>(C31*'Varios pesado'!D43)</f>
        <v>18491.857544160001</v>
      </c>
      <c r="G31" s="618"/>
      <c r="M31" s="262" t="s">
        <v>553</v>
      </c>
      <c r="N31" s="246" t="s">
        <v>594</v>
      </c>
      <c r="O31" s="247" t="s">
        <v>543</v>
      </c>
      <c r="P31" s="246">
        <f>(I84+F31+I7)</f>
        <v>324358.61405755504</v>
      </c>
      <c r="Q31" s="246">
        <f>(J84+F31+J7)</f>
        <v>376713.84814255504</v>
      </c>
      <c r="R31" s="246">
        <f>(K84+F31+K7)</f>
        <v>397996.79405755503</v>
      </c>
    </row>
    <row r="32" spans="1:19" ht="15.75">
      <c r="C32" s="624">
        <v>1.1000000000000001</v>
      </c>
      <c r="D32" s="617"/>
      <c r="E32" s="617"/>
      <c r="F32" s="622">
        <f>(C32*'Varios pesado'!D43)</f>
        <v>25426.304123220001</v>
      </c>
      <c r="G32" s="618"/>
      <c r="M32" s="262" t="s">
        <v>553</v>
      </c>
      <c r="N32" s="246" t="s">
        <v>603</v>
      </c>
      <c r="O32" s="247" t="s">
        <v>603</v>
      </c>
      <c r="P32" s="246">
        <f>(I85+F31+I8)</f>
        <v>331879.55472267751</v>
      </c>
      <c r="Q32" s="246">
        <f>(J85+F31+J8)</f>
        <v>384234.78880767745</v>
      </c>
      <c r="R32" s="246">
        <f>(K85+F31+K8)</f>
        <v>405517.7347226775</v>
      </c>
    </row>
    <row r="33" spans="3:18" ht="15.75">
      <c r="C33" s="624">
        <v>1.5</v>
      </c>
      <c r="D33" s="617"/>
      <c r="E33" s="617"/>
      <c r="F33" s="622">
        <f>(C33*'Varios pesado'!D43)</f>
        <v>34672.232895299996</v>
      </c>
      <c r="G33" s="618"/>
      <c r="M33" s="262" t="s">
        <v>561</v>
      </c>
      <c r="N33" s="246" t="s">
        <v>599</v>
      </c>
      <c r="O33" s="247" t="s">
        <v>546</v>
      </c>
      <c r="P33" s="246">
        <f>(I86+F31+I9)</f>
        <v>344372.57471665129</v>
      </c>
      <c r="Q33" s="246">
        <f>(J86+F31+J9)</f>
        <v>405992.67912790127</v>
      </c>
      <c r="R33" s="246">
        <f>(K86+F31+K9)</f>
        <v>436420.29971665121</v>
      </c>
    </row>
    <row r="34" spans="3:18" ht="16.5" thickBot="1">
      <c r="C34" s="619"/>
      <c r="D34" s="620"/>
      <c r="E34" s="620"/>
      <c r="F34" s="623"/>
      <c r="G34" s="621"/>
      <c r="M34" s="262" t="s">
        <v>567</v>
      </c>
      <c r="N34" s="246" t="s">
        <v>603</v>
      </c>
      <c r="O34" s="247" t="s">
        <v>553</v>
      </c>
      <c r="P34" s="246">
        <f>(I87+F31+I10)</f>
        <v>364386.53537574754</v>
      </c>
      <c r="Q34" s="246">
        <f>(J87+F31+J10)</f>
        <v>435271.5101132475</v>
      </c>
      <c r="R34" s="246">
        <f>(K87+F31+K10)</f>
        <v>474843.8053757475</v>
      </c>
    </row>
    <row r="35" spans="3:18" ht="15.75">
      <c r="M35" s="262" t="s">
        <v>573</v>
      </c>
      <c r="N35" s="246" t="s">
        <v>599</v>
      </c>
      <c r="O35" s="247" t="s">
        <v>561</v>
      </c>
      <c r="P35" s="246">
        <f>(I88+F31+I11)</f>
        <v>371461.72526087629</v>
      </c>
      <c r="Q35" s="246">
        <f>(J88+F31+J11)</f>
        <v>448523.28021587629</v>
      </c>
      <c r="R35" s="246">
        <f>(K88+F31+K11)</f>
        <v>494192.02526087628</v>
      </c>
    </row>
    <row r="36" spans="3:18" ht="15.75">
      <c r="M36" s="262" t="s">
        <v>548</v>
      </c>
      <c r="N36" s="246" t="s">
        <v>651</v>
      </c>
      <c r="O36" s="247" t="s">
        <v>653</v>
      </c>
      <c r="P36" s="246">
        <f>(I89+F32+I12)</f>
        <v>360691.9494696788</v>
      </c>
      <c r="Q36" s="246">
        <f>(J89+F32+J12)</f>
        <v>420482.5942296788</v>
      </c>
      <c r="R36" s="246">
        <f>(K89+F32+K12)</f>
        <v>445069.03071967873</v>
      </c>
    </row>
    <row r="37" spans="3:18" ht="15.75">
      <c r="M37" s="263" t="s">
        <v>555</v>
      </c>
      <c r="N37" s="246" t="s">
        <v>651</v>
      </c>
      <c r="O37" s="247" t="s">
        <v>862</v>
      </c>
      <c r="P37" s="246">
        <f>(I90+F32+I13)</f>
        <v>372712.2238873688</v>
      </c>
      <c r="Q37" s="246">
        <f>(J90+F32+J13)</f>
        <v>440318.69878486881</v>
      </c>
      <c r="R37" s="246">
        <f>(K90+F32+K13)</f>
        <v>473964.72138736874</v>
      </c>
    </row>
    <row r="38" spans="3:18" ht="15.75">
      <c r="M38" s="263" t="s">
        <v>555</v>
      </c>
      <c r="N38" s="246" t="s">
        <v>653</v>
      </c>
      <c r="O38" s="247" t="s">
        <v>653</v>
      </c>
      <c r="P38" s="246">
        <f>(I91+F32+I14)</f>
        <v>380233.16455249127</v>
      </c>
      <c r="Q38" s="246">
        <f>(J91+F32+J14)</f>
        <v>447839.63944999129</v>
      </c>
      <c r="R38" s="246">
        <f>(K91+F32+K14)</f>
        <v>481485.66205249121</v>
      </c>
    </row>
    <row r="39" spans="3:18" ht="15.75">
      <c r="M39" s="263" t="s">
        <v>563</v>
      </c>
      <c r="N39" s="246" t="s">
        <v>652</v>
      </c>
      <c r="O39" s="247" t="s">
        <v>548</v>
      </c>
      <c r="P39" s="246">
        <f>(I92+F32+I15)</f>
        <v>394503.10584646498</v>
      </c>
      <c r="Q39" s="246">
        <f>(J92+F32+J15)</f>
        <v>473833.32595021499</v>
      </c>
      <c r="R39" s="246">
        <f>(K92+F32+K15)</f>
        <v>521068.72772146494</v>
      </c>
    </row>
    <row r="40" spans="3:18" ht="15.75">
      <c r="M40" s="263" t="s">
        <v>569</v>
      </c>
      <c r="N40" s="246" t="s">
        <v>653</v>
      </c>
      <c r="O40" s="247" t="s">
        <v>555</v>
      </c>
      <c r="P40" s="246">
        <f>(I93+F32+I16)</f>
        <v>416293.98780556128</v>
      </c>
      <c r="Q40" s="246">
        <f>(J93+F32+J16)</f>
        <v>507347.95311556128</v>
      </c>
      <c r="R40" s="246">
        <f>(K93+F32+K16)</f>
        <v>568172.73405556125</v>
      </c>
    </row>
    <row r="41" spans="3:18" ht="15.75">
      <c r="M41" s="263" t="s">
        <v>575</v>
      </c>
      <c r="N41" s="246" t="s">
        <v>652</v>
      </c>
      <c r="O41" s="247" t="s">
        <v>563</v>
      </c>
      <c r="P41" s="246">
        <f>(I94+F32+I17)</f>
        <v>424553.79189069004</v>
      </c>
      <c r="Q41" s="246">
        <f>(J94+F32+J17)</f>
        <v>523423.58733818994</v>
      </c>
      <c r="R41" s="246">
        <f>(K94+F32+K17)</f>
        <v>593307.95439068996</v>
      </c>
    </row>
    <row r="42" spans="3:18" ht="15.75">
      <c r="M42" s="263" t="s">
        <v>557</v>
      </c>
      <c r="N42" s="246" t="s">
        <v>597</v>
      </c>
      <c r="O42" s="247" t="s">
        <v>606</v>
      </c>
      <c r="P42" s="246">
        <f>(I95+F33+I18)</f>
        <v>423583.94364276377</v>
      </c>
      <c r="Q42" s="246">
        <f>(J95+F33+J18)</f>
        <v>501523.90959276375</v>
      </c>
      <c r="R42" s="246">
        <f>(K95+F33+K18)</f>
        <v>538643.59989276389</v>
      </c>
    </row>
    <row r="43" spans="3:18" ht="15.75">
      <c r="M43" s="263" t="s">
        <v>557</v>
      </c>
      <c r="N43" s="246" t="s">
        <v>606</v>
      </c>
      <c r="O43" s="247" t="s">
        <v>606</v>
      </c>
      <c r="P43" s="246">
        <f>(I96+F33+I19)</f>
        <v>444704.64432557626</v>
      </c>
      <c r="Q43" s="246">
        <f>(J96+F33+J19)</f>
        <v>532646.10697307624</v>
      </c>
      <c r="R43" s="246">
        <f>(K96+F33+K19)</f>
        <v>582776.2318255764</v>
      </c>
    </row>
    <row r="44" spans="3:18" ht="15.75">
      <c r="M44" s="263" t="s">
        <v>565</v>
      </c>
      <c r="N44" s="246" t="s">
        <v>602</v>
      </c>
      <c r="O44" s="247" t="s">
        <v>550</v>
      </c>
      <c r="P44" s="246">
        <f>(I97+F33+I20)</f>
        <v>461343.8140195501</v>
      </c>
      <c r="Q44" s="246">
        <f>(J97+F33+J20)</f>
        <v>564287.52171330003</v>
      </c>
      <c r="R44" s="246">
        <f>(K97+F33+K20)</f>
        <v>633933.2983945501</v>
      </c>
    </row>
    <row r="45" spans="3:18" ht="15.75">
      <c r="M45" s="263" t="s">
        <v>571</v>
      </c>
      <c r="N45" s="246" t="s">
        <v>606</v>
      </c>
      <c r="O45" s="247" t="s">
        <v>557</v>
      </c>
      <c r="P45" s="246">
        <f>(I98+F33+I21)</f>
        <v>485503.9243786463</v>
      </c>
      <c r="Q45" s="246">
        <f>(J98+F33+J21)</f>
        <v>603449.87711864628</v>
      </c>
      <c r="R45" s="246">
        <f>(K98+F33+K21)</f>
        <v>692611.3056286464</v>
      </c>
    </row>
    <row r="46" spans="3:18" ht="16.5" thickBot="1">
      <c r="M46" s="615" t="s">
        <v>577</v>
      </c>
      <c r="N46" s="285" t="s">
        <v>602</v>
      </c>
      <c r="O46" s="625" t="s">
        <v>565</v>
      </c>
      <c r="P46" s="285">
        <f>(I99+F33+I22)</f>
        <v>495343.21406377514</v>
      </c>
      <c r="Q46" s="285">
        <f>(J99+F33+J22)</f>
        <v>623290.663501275</v>
      </c>
      <c r="R46" s="285">
        <f>(K99+F33+K22)</f>
        <v>725462.52656377503</v>
      </c>
    </row>
    <row r="49" spans="1:27" hidden="1"/>
    <row r="50" spans="1:27" s="614" customFormat="1" hidden="1"/>
    <row r="51" spans="1:27" hidden="1"/>
    <row r="52" spans="1:27" hidden="1"/>
    <row r="53" spans="1:27" ht="15.75" hidden="1" thickBot="1"/>
    <row r="54" spans="1:27" ht="15.75" hidden="1" thickBot="1">
      <c r="C54" s="965">
        <v>1.35</v>
      </c>
      <c r="D54" s="966"/>
      <c r="E54" s="966"/>
      <c r="F54" s="966"/>
      <c r="G54" s="966"/>
      <c r="H54" s="966"/>
      <c r="I54" s="967"/>
      <c r="J54" s="965">
        <v>2</v>
      </c>
      <c r="K54" s="966"/>
      <c r="L54" s="966"/>
      <c r="M54" s="966"/>
      <c r="N54" s="966"/>
      <c r="O54" s="967"/>
      <c r="P54" s="965">
        <v>1.5</v>
      </c>
      <c r="Q54" s="967"/>
      <c r="R54" s="435"/>
      <c r="AA54" s="62" t="s">
        <v>163</v>
      </c>
    </row>
    <row r="55" spans="1:27" ht="24" hidden="1" thickBot="1">
      <c r="A55" s="974" t="s">
        <v>700</v>
      </c>
      <c r="B55" s="975"/>
      <c r="C55" s="975"/>
      <c r="D55" s="975"/>
      <c r="E55" s="975"/>
      <c r="F55" s="975"/>
      <c r="G55" s="975"/>
      <c r="H55" s="975"/>
      <c r="I55" s="975"/>
      <c r="J55" s="975"/>
      <c r="K55" s="975"/>
      <c r="L55" s="975"/>
      <c r="M55" s="975"/>
      <c r="N55" s="975"/>
      <c r="O55" s="975"/>
      <c r="P55" s="975"/>
      <c r="Q55" s="975"/>
      <c r="R55" s="975"/>
      <c r="S55" s="975"/>
      <c r="T55" s="975"/>
      <c r="U55" s="975"/>
      <c r="V55" s="975"/>
      <c r="W55" s="975"/>
      <c r="X55" s="975"/>
      <c r="Y55" s="975"/>
      <c r="Z55" s="975"/>
      <c r="AA55" s="976"/>
    </row>
    <row r="56" spans="1:27" ht="15.75" hidden="1" thickBot="1">
      <c r="A56" s="36" t="s">
        <v>116</v>
      </c>
      <c r="B56" s="36" t="s">
        <v>117</v>
      </c>
      <c r="C56" s="36" t="s">
        <v>372</v>
      </c>
      <c r="D56" s="36" t="s">
        <v>373</v>
      </c>
      <c r="E56" s="36" t="s">
        <v>694</v>
      </c>
      <c r="F56" s="36" t="s">
        <v>370</v>
      </c>
      <c r="G56" s="36" t="s">
        <v>371</v>
      </c>
      <c r="H56" s="36" t="s">
        <v>695</v>
      </c>
      <c r="I56" s="36" t="s">
        <v>120</v>
      </c>
      <c r="J56" s="968" t="s">
        <v>520</v>
      </c>
      <c r="K56" s="969"/>
      <c r="L56" s="970"/>
      <c r="M56" s="971" t="s">
        <v>260</v>
      </c>
      <c r="N56" s="972"/>
      <c r="O56" s="973"/>
      <c r="P56" s="968" t="s">
        <v>259</v>
      </c>
      <c r="Q56" s="969"/>
      <c r="R56" s="970"/>
      <c r="S56" s="968" t="s">
        <v>521</v>
      </c>
      <c r="T56" s="969"/>
      <c r="U56" s="970"/>
      <c r="V56" s="968" t="s">
        <v>262</v>
      </c>
      <c r="W56" s="969"/>
      <c r="X56" s="970"/>
      <c r="Y56" s="890" t="s">
        <v>263</v>
      </c>
      <c r="Z56" s="891"/>
      <c r="AA56" s="892"/>
    </row>
    <row r="57" spans="1:27" ht="15.75" hidden="1" thickBot="1">
      <c r="A57" s="91"/>
      <c r="B57" s="92"/>
      <c r="C57" s="92"/>
      <c r="D57" s="92"/>
      <c r="E57" s="92"/>
      <c r="F57" s="92"/>
      <c r="G57" s="92"/>
      <c r="H57" s="92"/>
      <c r="I57" s="93"/>
      <c r="J57" s="128" t="s">
        <v>368</v>
      </c>
      <c r="K57" s="128" t="s">
        <v>369</v>
      </c>
      <c r="L57" s="128" t="s">
        <v>693</v>
      </c>
      <c r="M57" s="128" t="s">
        <v>368</v>
      </c>
      <c r="N57" s="128" t="s">
        <v>369</v>
      </c>
      <c r="O57" s="128" t="s">
        <v>693</v>
      </c>
      <c r="P57" s="128" t="s">
        <v>368</v>
      </c>
      <c r="Q57" s="128" t="s">
        <v>369</v>
      </c>
      <c r="R57" s="128" t="s">
        <v>693</v>
      </c>
      <c r="S57" s="128" t="s">
        <v>368</v>
      </c>
      <c r="T57" s="128" t="s">
        <v>369</v>
      </c>
      <c r="U57" s="128" t="s">
        <v>693</v>
      </c>
      <c r="V57" s="128" t="s">
        <v>368</v>
      </c>
      <c r="W57" s="128" t="s">
        <v>369</v>
      </c>
      <c r="X57" s="128" t="s">
        <v>693</v>
      </c>
      <c r="Y57" s="401" t="s">
        <v>368</v>
      </c>
      <c r="Z57" s="401" t="s">
        <v>369</v>
      </c>
      <c r="AA57" s="128" t="s">
        <v>693</v>
      </c>
    </row>
    <row r="58" spans="1:27" ht="15.75" hidden="1" thickBot="1">
      <c r="A58" s="65">
        <v>0.4</v>
      </c>
      <c r="B58" s="66">
        <v>0.8</v>
      </c>
      <c r="C58" s="58">
        <f>((((A58*2)+(B58*2))*'MATERIALES (2)'!$C$60)+(((A58*2)+(B58*2))*'MATERIALES (2)'!$C$59)+(((A58*2)+(B58*2))*'MATERIALES (2)'!$C$76))*'MATERIALES (2)'!$F$2</f>
        <v>47848.500000000015</v>
      </c>
      <c r="D58" s="58">
        <f>((((A58*2)+(B58*2))*'MATERIALES (2)'!$C$60)+(((A58*2)+(B58*4))*'MATERIALES (2)'!$C$59)+(((A58*2)+(B58*4))*'MATERIALES (2)'!$C$76)+(B58*'MATERIALES (2)'!$C$80))*'MATERIALES (2)'!$F$2</f>
        <v>73759.601999999984</v>
      </c>
      <c r="E58" s="58">
        <f>((((A58*2)+(B58*2))*'MATERIALES (2)'!$C$60)+(((A58*2)+(B58*6))*'MATERIALES (2)'!$C$59)+(((A58*2)+(B58*6))*'MATERIALES (2)'!$C$76)+((B58*2)*'MATERIALES (2)'!$C$80))*'MATERIALES (2)'!$F$2</f>
        <v>99670.704000000012</v>
      </c>
      <c r="F58" s="58">
        <f>(8*'MATERIALES (2)'!$C$178)+(1*'MATERIALES (2)'!$C$183)+(2*'MATERIALES (2)'!$C$195)+(((A58*2)+(B58*2))*'MATERIALES (2)'!$C$198)+(4*'MATERIALES (2)'!$C$137)+(((A58*5)*2)*'MATERIALES (2)'!$C$136)+(((A58*2)+(B58*2))*'MATERIALES (2)'!$C$199)+((((A58*2)+(B58*2))/0.1)*'MATERIALES (2)'!$C$181)+(((A58*2)+(B58*2))*'MATERIALES (2)'!$C$154)+(2*'MATERIALES (2)'!$C$176)+(0.5*'MATERIALES (2)'!$C$156)</f>
        <v>31474</v>
      </c>
      <c r="G58" s="58">
        <f>(12*'MATERIALES (2)'!$C$178)+(1*'MATERIALES (2)'!$C$183)+(4*'MATERIALES (2)'!$C$195)+(((A58*2)+(B58*4))*'MATERIALES (2)'!$C$198)+(4*'MATERIALES (2)'!$C$137)+(((A58*5)*2)*'MATERIALES (2)'!$C$136)+(((A58*2)+(B58*2))*'MATERIALES (2)'!$C$199)+((((A58*2)+(B58*4))/0.1)*'MATERIALES (2)'!$C$181)+(((A58*2)+(B58*4))*'MATERIALES (2)'!$C$154)+(2*'MATERIALES (2)'!$C$176)+(0.5*'MATERIALES (2)'!$C$156)</f>
        <v>41554</v>
      </c>
      <c r="H58" s="58">
        <f>(16*'MATERIALES (2)'!$C$178)+(1*'MATERIALES (2)'!$C$183)+(4*'MATERIALES (2)'!$C$195)+(2*'MATERIALES (2)'!$C$197)+(((A58*2)+(B58*6))*'MATERIALES (2)'!$C$198)+(4*'MATERIALES (2)'!$C$137)+(((A58*5)*2)*'MATERIALES (2)'!$C$136)+(((A58*2)+(B58*2))*'MATERIALES (2)'!$C$199)+((((A58*2)+(B58*6))/0.1)*'MATERIALES (2)'!$C$181)+(((A58*2)+(B58*6))*'MATERIALES (2)'!$C$154)+(2*'MATERIALES (2)'!$C$176)+(0.5*'MATERIALES (2)'!$C$156)</f>
        <v>52854</v>
      </c>
      <c r="I58" s="74"/>
      <c r="J58" s="54">
        <f>(A58*B58)*'MATERIALES (2)'!$D$85</f>
        <v>2368.0000000000005</v>
      </c>
      <c r="K58" s="54">
        <f>(A58*B58)*'MATERIALES (2)'!$D$85</f>
        <v>2368.0000000000005</v>
      </c>
      <c r="L58" s="54">
        <f>(A58*B58)*'MATERIALES (2)'!$D$85</f>
        <v>2368.0000000000005</v>
      </c>
      <c r="M58" s="54">
        <f>(((A58*B58)*2)*'MATERIALES (2)'!$D$86)+(4*'MATERIALES (2)'!$C$218)+(((A58*2)+(B58*2))*'MATERIALES (2)'!$C$219)+(((A58*2)+(B58*2))*'MATERIALES (2)'!$C$220)+((((A58*2)+(B58*2))/15)*'MATERIALES (2)'!$C$221)+((((A58*2)+(B58*2))/15)*('MATERIALES (2)'!$C$222*0.15))</f>
        <v>9864.5000000000018</v>
      </c>
      <c r="N58" s="54">
        <f>(((A58*B58)*2)*'MATERIALES (2)'!$D$86)+(8*'MATERIALES (2)'!$C$218)+(((A58*2)+(B58*4))*'MATERIALES (2)'!$C$219)+(((A58*2)+(B58*4))*'MATERIALES (2)'!$C$220)+((((A58*2)+(B58*4))/15)*'MATERIALES (2)'!$C$221)+((((A58*2)+(B58*4))/15)*('MATERIALES (2)'!$C$222*0.15))</f>
        <v>12730.966666666667</v>
      </c>
      <c r="O58" s="54">
        <f>(((A58*B58)*2)*'MATERIALES (2)'!$D$86)+(12*'MATERIALES (2)'!$C$218)+(((A58*2)+(B58*6))*'MATERIALES (2)'!$C$219)+(((A58*2)+(B58*6))*'MATERIALES (2)'!$C$220)+((((A58*2)+(B58*6))/15)*'MATERIALES (2)'!$C$221)+((((A58*2)+(B58*6))/15)*('MATERIALES (2)'!$C$222*0.15))</f>
        <v>15597.433333333334</v>
      </c>
      <c r="P58" s="54">
        <f>(A58*B58)*'MATERIALES (2)'!$D$92</f>
        <v>11568.000000000002</v>
      </c>
      <c r="Q58" s="54">
        <f>(A58*B58)*'MATERIALES (2)'!$D$92</f>
        <v>11568.000000000002</v>
      </c>
      <c r="R58" s="54">
        <f>(A58*B58)*'MATERIALES (2)'!$D$92</f>
        <v>11568.000000000002</v>
      </c>
      <c r="S58" s="125">
        <f>(((((C58+F58+I58)*$C$54)+(J58*$J$54))*1.21)*1.05)*1.05</f>
        <v>149172.50978437503</v>
      </c>
      <c r="T58" s="125">
        <f>(((((D58+G58+I58)*$C$54)+(K58*$J$54))*1.21)*1.05)*1.05</f>
        <v>213990.10007586752</v>
      </c>
      <c r="U58" s="125">
        <f>(((((E58+H58+I58)*$C$54)+(L58*$J$54))*1.21)*1.05)*1.05</f>
        <v>281004.82954236015</v>
      </c>
      <c r="V58" s="125">
        <f>(((((C58+F58+I58)*$C$54)+(M58*$J$54))*1.21)*1.05)*1.05</f>
        <v>169173.54660937501</v>
      </c>
      <c r="W58" s="125">
        <f>(((((D58+G58+I58)*$C$54)+(N58*$J$54))*1.21)*1.05)*1.05</f>
        <v>241639.01329086753</v>
      </c>
      <c r="X58" s="125">
        <f>(((((E58+H58+I58)*$C$54)+(O58*$J$54))*1.21)*1.05)*1.05</f>
        <v>316301.61914736009</v>
      </c>
      <c r="Y58" s="125">
        <f>(((((C58+F58+I58)*$C$54)+(P58*$J$54))*1.21)*1.05)*1.05</f>
        <v>173718.56978437505</v>
      </c>
      <c r="Z58" s="125">
        <f>(((((D58+G58+I58)*$C$54)+(Q58*$J$54))*1.21)*1.05)*1.05</f>
        <v>238536.16007586752</v>
      </c>
      <c r="AA58" s="67">
        <f>(((((E58+H58+I58)*$C$54)+(R58*$J$54))*1.21)*1.05)*1.05</f>
        <v>305550.88954236009</v>
      </c>
    </row>
    <row r="59" spans="1:27" ht="15.75" hidden="1" thickBot="1">
      <c r="A59" s="68">
        <v>0.4</v>
      </c>
      <c r="B59" s="69">
        <v>0.8</v>
      </c>
      <c r="C59" s="59">
        <f>((((A59*2)+(B59*2))*'MATERIALES (2)'!$C$60)+(((A59*2)+(B59*2))*'MATERIALES (2)'!$C$59)+(((A59*2)+(B59*2))*'MATERIALES (2)'!$C$76))*'MATERIALES (2)'!$F$2</f>
        <v>47848.500000000015</v>
      </c>
      <c r="D59" s="59">
        <f>((((A59*2)+(B59*2))*'MATERIALES (2)'!$C$60)+(((A59*2)+(B59*4))*'MATERIALES (2)'!$C$59)+(((A59*2)+(B59*4))*'MATERIALES (2)'!$C$76)+(B59*'MATERIALES (2)'!$C$80))*'MATERIALES (2)'!$F$2</f>
        <v>73759.601999999984</v>
      </c>
      <c r="E59" s="59">
        <f>((((A59*2)+(B59*2))*'MATERIALES (2)'!$C$60)+(((A59*2)+(B59*6))*'MATERIALES (2)'!$C$59)+(((A59*2)+(B59*6))*'MATERIALES (2)'!$C$76)+((B59*2)*'MATERIALES (2)'!$C$80))*'MATERIALES (2)'!$F$2</f>
        <v>99670.704000000012</v>
      </c>
      <c r="F59" s="59">
        <f>(8*'MATERIALES (2)'!$C$178)+(1*'MATERIALES (2)'!$C$183)+(2*'MATERIALES (2)'!$C$195)+(((A59*2)+(B59*2))*'MATERIALES (2)'!$C$198)+(4*'MATERIALES (2)'!$C$137)+(((A59*5)*2)*'MATERIALES (2)'!$C$136)+(((A59*2)+(B59*2))*'MATERIALES (2)'!$C$199)+((((A59*2)+(B59*2))/0.1)*'MATERIALES (2)'!$C$181)+(((A59*2)+(B59*2))*'MATERIALES (2)'!$C$154)+(2*'MATERIALES (2)'!$C$176)+(0.5*'MATERIALES (2)'!$C$156)</f>
        <v>31474</v>
      </c>
      <c r="G59" s="59">
        <f>(12*'MATERIALES (2)'!$C$178)+(1*'MATERIALES (2)'!$C$183)+(4*'MATERIALES (2)'!$C$195)+(((A59*2)+(B59*4))*'MATERIALES (2)'!$C$198)+(4*'MATERIALES (2)'!$C$137)+(((A59*5)*2)*'MATERIALES (2)'!$C$136)+(((A59*2)+(B59*2))*'MATERIALES (2)'!$C$199)+((((A59*2)+(B59*4))/0.1)*'MATERIALES (2)'!$C$181)+(((A59*2)+(B59*4))*'MATERIALES (2)'!$C$154)+(2*'MATERIALES (2)'!$C$176)+(0.5*'MATERIALES (2)'!$C$156)</f>
        <v>41554</v>
      </c>
      <c r="H59" s="59">
        <f>(16*'MATERIALES (2)'!$C$178)+(1*'MATERIALES (2)'!$C$183)+(4*'MATERIALES (2)'!$C$195)+(2*'MATERIALES (2)'!$C$197)+(((A59*2)+(B59*6))*'MATERIALES (2)'!$C$198)+(4*'MATERIALES (2)'!$C$137)+(((A59*5)*2)*'MATERIALES (2)'!$C$136)+(((A59*2)+(B59*2))*'MATERIALES (2)'!$C$199)+((((A59*2)+(B59*6))/0.1)*'MATERIALES (2)'!$C$181)+(((A59*2)+(B59*6))*'MATERIALES (2)'!$C$154)+(2*'MATERIALES (2)'!$C$176)+(0.5*'MATERIALES (2)'!$C$156)</f>
        <v>52854</v>
      </c>
      <c r="I59" s="75"/>
      <c r="J59" s="55">
        <f>(A59*B59)*'MATERIALES (2)'!$D$85</f>
        <v>2368.0000000000005</v>
      </c>
      <c r="K59" s="55">
        <f>(A59*B59)*'MATERIALES (2)'!$D$85</f>
        <v>2368.0000000000005</v>
      </c>
      <c r="L59" s="55">
        <f>(A59*B59)*'MATERIALES (2)'!$D$85</f>
        <v>2368.0000000000005</v>
      </c>
      <c r="M59" s="55">
        <f>(((A59*B59)*2)*'MATERIALES (2)'!$D$86)+(4*'MATERIALES (2)'!$C$218)+(((A59*2)+(B59*2))*'MATERIALES (2)'!$C$219)+(((A59*2)+(B59*2))*'MATERIALES (2)'!$C$220)+((((A59*2)+(B59*2))/15)*'MATERIALES (2)'!$C$221)+((((A59*2)+(B59*2))/15)*('MATERIALES (2)'!$C$222*0.15))</f>
        <v>9864.5000000000018</v>
      </c>
      <c r="N59" s="55">
        <f>(((A59*B59)*2)*'MATERIALES (2)'!$D$86)+(8*'MATERIALES (2)'!$C$218)+(((A59*2)+(B59*4))*'MATERIALES (2)'!$C$219)+(((A59*2)+(B59*4))*'MATERIALES (2)'!$C$220)+((((A59*2)+(B59*4))/15)*'MATERIALES (2)'!$C$221)+((((A59*2)+(B59*4))/15)*('MATERIALES (2)'!$C$222*0.15))</f>
        <v>12730.966666666667</v>
      </c>
      <c r="O59" s="55">
        <f>(((A59*B59)*2)*'MATERIALES (2)'!$D$86)+(12*'MATERIALES (2)'!$C$218)+(((A59*2)+(B59*6))*'MATERIALES (2)'!$C$219)+(((A59*2)+(B59*6))*'MATERIALES (2)'!$C$220)+((((A59*2)+(B59*6))/15)*'MATERIALES (2)'!$C$221)+((((A59*2)+(B59*6))/15)*('MATERIALES (2)'!$C$222*0.15))</f>
        <v>15597.433333333334</v>
      </c>
      <c r="P59" s="55">
        <f>(A59*B59)*'MATERIALES (2)'!$D$92</f>
        <v>11568.000000000002</v>
      </c>
      <c r="Q59" s="55">
        <f>(A59*B59)*'MATERIALES (2)'!$D$92</f>
        <v>11568.000000000002</v>
      </c>
      <c r="R59" s="55">
        <f>(A59*B59)*'MATERIALES (2)'!$D$92</f>
        <v>11568.000000000002</v>
      </c>
      <c r="S59" s="125">
        <f t="shared" ref="S59:S75" si="3">(((((C59+F59+I59)*$C$54)+(J59*$J$54))*1.21)*1.05)*1.05</f>
        <v>149172.50978437503</v>
      </c>
      <c r="T59" s="125">
        <f t="shared" ref="T59:T75" si="4">(((((D59+G59+I59)*$C$54)+(K59*$J$54))*1.21)*1.05)*1.05</f>
        <v>213990.10007586752</v>
      </c>
      <c r="U59" s="125">
        <f t="shared" ref="U59:U75" si="5">(((((E59+H59+I59)*$C$54)+(L59*$J$54))*1.21)*1.05)*1.05</f>
        <v>281004.82954236015</v>
      </c>
      <c r="V59" s="125">
        <f t="shared" ref="V59:V75" si="6">(((((C59+F59+I59)*$C$54)+(M59*$J$54))*1.21)*1.05)*1.05</f>
        <v>169173.54660937501</v>
      </c>
      <c r="W59" s="125">
        <f t="shared" ref="W59:W75" si="7">(((((D59+G59+I59)*$C$54)+(N59*$J$54))*1.21)*1.05)*1.05</f>
        <v>241639.01329086753</v>
      </c>
      <c r="X59" s="125">
        <f t="shared" ref="X59:X75" si="8">(((((E59+H59+I59)*$C$54)+(O59*$J$54))*1.21)*1.05)*1.05</f>
        <v>316301.61914736009</v>
      </c>
      <c r="Y59" s="125">
        <f t="shared" ref="Y59:Y75" si="9">(((((C59+F59+I59)*$C$54)+(P59*$J$54))*1.21)*1.05)*1.05</f>
        <v>173718.56978437505</v>
      </c>
      <c r="Z59" s="125">
        <f t="shared" ref="Z59:Z75" si="10">(((((D59+G59+I59)*$C$54)+(Q59*$J$54))*1.21)*1.05)*1.05</f>
        <v>238536.16007586752</v>
      </c>
      <c r="AA59" s="67">
        <f t="shared" ref="AA59:AA75" si="11">(((((E59+H59+I59)*$C$54)+(R59*$J$54))*1.21)*1.05)*1.05</f>
        <v>305550.88954236009</v>
      </c>
    </row>
    <row r="60" spans="1:27" ht="15.75" hidden="1" thickBot="1">
      <c r="A60" s="68">
        <v>0.6</v>
      </c>
      <c r="B60" s="69">
        <v>0.8</v>
      </c>
      <c r="C60" s="59">
        <f>((((A60*2)+(B60*2))*'MATERIALES (2)'!$C$60)+(((A60*2)+(B60*2))*'MATERIALES (2)'!$C$59)+(((A60*2)+(B60*2))*'MATERIALES (2)'!$C$76))*'MATERIALES (2)'!$F$2</f>
        <v>55823.250000000007</v>
      </c>
      <c r="D60" s="59">
        <f>((((A60*2)+(B60*2))*'MATERIALES (2)'!$C$60)+(((A60*2)+(B60*4))*'MATERIALES (2)'!$C$59)+(((A60*2)+(B60*4))*'MATERIALES (2)'!$C$76)+(B60*'MATERIALES (2)'!$C$80))*'MATERIALES (2)'!$F$2</f>
        <v>81734.351999999999</v>
      </c>
      <c r="E60" s="59">
        <f>((((A60*2)+(B60*2))*'MATERIALES (2)'!$C$60)+(((A60*2)+(B60*6))*'MATERIALES (2)'!$C$59)+(((A60*2)+(B60*6))*'MATERIALES (2)'!$C$76)+((B60*2)*'MATERIALES (2)'!$C$80))*'MATERIALES (2)'!$F$2</f>
        <v>107645.454</v>
      </c>
      <c r="F60" s="59">
        <f>(8*'MATERIALES (2)'!$C$178)+(1*'MATERIALES (2)'!$C$183)+(2*'MATERIALES (2)'!$C$195)+(((A60*2)+(B60*2))*'MATERIALES (2)'!$C$198)+(4*'MATERIALES (2)'!$C$137)+(((A60*5)*2)*'MATERIALES (2)'!$C$136)+(((A60*2)+(B60*2))*'MATERIALES (2)'!$C$199)+((((A60*2)+(B60*2))/0.1)*'MATERIALES (2)'!$C$181)+(((A60*2)+(B60*2))*'MATERIALES (2)'!$C$154)+(2*'MATERIALES (2)'!$C$176)+(0.5*'MATERIALES (2)'!$C$156)</f>
        <v>31938</v>
      </c>
      <c r="G60" s="59">
        <f>(12*'MATERIALES (2)'!$C$178)+(1*'MATERIALES (2)'!$C$183)+(4*'MATERIALES (2)'!$C$195)+(((A60*2)+(B60*4))*'MATERIALES (2)'!$C$198)+(4*'MATERIALES (2)'!$C$137)+(((A60*5)*2)*'MATERIALES (2)'!$C$136)+(((A60*2)+(B60*2))*'MATERIALES (2)'!$C$199)+((((A60*2)+(B60*4))/0.1)*'MATERIALES (2)'!$C$181)+(((A60*2)+(B60*4))*'MATERIALES (2)'!$C$154)+(2*'MATERIALES (2)'!$C$176)+(0.5*'MATERIALES (2)'!$C$156)</f>
        <v>42018</v>
      </c>
      <c r="H60" s="59">
        <f>(16*'MATERIALES (2)'!$C$178)+(1*'MATERIALES (2)'!$C$183)+(4*'MATERIALES (2)'!$C$195)+(2*'MATERIALES (2)'!$C$197)+(((A60*2)+(B60*6))*'MATERIALES (2)'!$C$198)+(4*'MATERIALES (2)'!$C$137)+(((A60*5)*2)*'MATERIALES (2)'!$C$136)+(((A60*2)+(B60*2))*'MATERIALES (2)'!$C$199)+((((A60*2)+(B60*6))/0.1)*'MATERIALES (2)'!$C$181)+(((A60*2)+(B60*6))*'MATERIALES (2)'!$C$154)+(2*'MATERIALES (2)'!$C$176)+(0.5*'MATERIALES (2)'!$C$156)</f>
        <v>53318</v>
      </c>
      <c r="I60" s="75"/>
      <c r="J60" s="55">
        <f>(A60*B60)*'MATERIALES (2)'!$D$85</f>
        <v>3552</v>
      </c>
      <c r="K60" s="55">
        <f>(A60*B60)*'MATERIALES (2)'!$D$85</f>
        <v>3552</v>
      </c>
      <c r="L60" s="55">
        <f>(A60*B60)*'MATERIALES (2)'!$D$85</f>
        <v>3552</v>
      </c>
      <c r="M60" s="55">
        <f>(((A60*B60)*2)*'MATERIALES (2)'!$D$86)+(4*'MATERIALES (2)'!$C$218)+(((A60*2)+(B60*2))*'MATERIALES (2)'!$C$219)+(((A60*2)+(B60*2))*'MATERIALES (2)'!$C$220)+((((A60*2)+(B60*2))/15)*'MATERIALES (2)'!$C$221)+((((A60*2)+(B60*2))/15)*('MATERIALES (2)'!$C$222*0.15))</f>
        <v>13363.516666666665</v>
      </c>
      <c r="N60" s="55">
        <f>(((A60*B60)*2)*'MATERIALES (2)'!$D$86)+(8*'MATERIALES (2)'!$C$218)+(((A60*2)+(B60*4))*'MATERIALES (2)'!$C$219)+(((A60*2)+(B60*4))*'MATERIALES (2)'!$C$220)+((((A60*2)+(B60*4))/15)*'MATERIALES (2)'!$C$221)+((((A60*2)+(B60*4))/15)*('MATERIALES (2)'!$C$222*0.15))</f>
        <v>16229.983333333334</v>
      </c>
      <c r="O60" s="55">
        <f>(((A60*B60)*2)*'MATERIALES (2)'!$D$86)+(12*'MATERIALES (2)'!$C$218)+(((A60*2)+(B60*6))*'MATERIALES (2)'!$C$219)+(((A60*2)+(B60*6))*'MATERIALES (2)'!$C$220)+((((A60*2)+(B60*6))/15)*'MATERIALES (2)'!$C$221)+((((A60*2)+(B60*6))/15)*('MATERIALES (2)'!$C$222*0.15))</f>
        <v>19096.45</v>
      </c>
      <c r="P60" s="55">
        <f>(A60*B60)*'MATERIALES (2)'!$D$92</f>
        <v>17352</v>
      </c>
      <c r="Q60" s="55">
        <f>(A60*B60)*'MATERIALES (2)'!$D$92</f>
        <v>17352</v>
      </c>
      <c r="R60" s="55">
        <f>(A60*B60)*'MATERIALES (2)'!$D$92</f>
        <v>17352</v>
      </c>
      <c r="S60" s="125">
        <f t="shared" si="3"/>
        <v>167529.11066718752</v>
      </c>
      <c r="T60" s="125">
        <f t="shared" si="4"/>
        <v>232346.70095868001</v>
      </c>
      <c r="U60" s="125">
        <f t="shared" si="5"/>
        <v>299361.43042517256</v>
      </c>
      <c r="V60" s="125">
        <f t="shared" si="6"/>
        <v>193706.72770968755</v>
      </c>
      <c r="W60" s="125">
        <f t="shared" si="7"/>
        <v>266172.19439118</v>
      </c>
      <c r="X60" s="125">
        <f t="shared" si="8"/>
        <v>340834.80024767254</v>
      </c>
      <c r="Y60" s="125">
        <f t="shared" si="9"/>
        <v>204348.20066718751</v>
      </c>
      <c r="Z60" s="125">
        <f t="shared" si="10"/>
        <v>269165.79095868004</v>
      </c>
      <c r="AA60" s="67">
        <f t="shared" si="11"/>
        <v>336180.52042517252</v>
      </c>
    </row>
    <row r="61" spans="1:27" ht="15.75" hidden="1" thickBot="1">
      <c r="A61" s="68">
        <v>0.5</v>
      </c>
      <c r="B61" s="69">
        <v>0.8</v>
      </c>
      <c r="C61" s="59">
        <f>((((A61*2)+(B61*2))*'MATERIALES (2)'!$C$60)+(((A61*2)+(B61*2))*'MATERIALES (2)'!$C$59)+(((A61*2)+(B61*2))*'MATERIALES (2)'!$C$76))*'MATERIALES (2)'!$F$2</f>
        <v>51835.875000000007</v>
      </c>
      <c r="D61" s="59">
        <f>((((A61*2)+(B61*2))*'MATERIALES (2)'!$C$60)+(((A61*2)+(B61*4))*'MATERIALES (2)'!$C$59)+(((A61*2)+(B61*4))*'MATERIALES (2)'!$C$76)+(B61*'MATERIALES (2)'!$C$80))*'MATERIALES (2)'!$F$2</f>
        <v>77746.976999999999</v>
      </c>
      <c r="E61" s="59">
        <f>((((A61*2)+(B61*2))*'MATERIALES (2)'!$C$60)+(((A61*2)+(B61*6))*'MATERIALES (2)'!$C$59)+(((A61*2)+(B61*6))*'MATERIALES (2)'!$C$76)+((B61*2)*'MATERIALES (2)'!$C$80))*'MATERIALES (2)'!$F$2</f>
        <v>103658.07900000001</v>
      </c>
      <c r="F61" s="59">
        <f>(8*'MATERIALES (2)'!$C$178)+(1*'MATERIALES (2)'!$C$183)+(2*'MATERIALES (2)'!$C$195)+(((A61*2)+(B61*2))*'MATERIALES (2)'!$C$198)+(4*'MATERIALES (2)'!$C$137)+(((A61*5)*2)*'MATERIALES (2)'!$C$136)+(((A61*2)+(B61*2))*'MATERIALES (2)'!$C$199)+((((A61*2)+(B61*2))/0.1)*'MATERIALES (2)'!$C$181)+(((A61*2)+(B61*2))*'MATERIALES (2)'!$C$154)+(2*'MATERIALES (2)'!$C$176)+(0.5*'MATERIALES (2)'!$C$156)</f>
        <v>31706</v>
      </c>
      <c r="G61" s="59">
        <f>(12*'MATERIALES (2)'!$C$178)+(1*'MATERIALES (2)'!$C$183)+(4*'MATERIALES (2)'!$C$195)+(((A61*2)+(B61*4))*'MATERIALES (2)'!$C$198)+(4*'MATERIALES (2)'!$C$137)+(((A61*5)*2)*'MATERIALES (2)'!$C$136)+(((A61*2)+(B61*2))*'MATERIALES (2)'!$C$199)+((((A61*2)+(B61*4))/0.1)*'MATERIALES (2)'!$C$181)+(((A61*2)+(B61*4))*'MATERIALES (2)'!$C$154)+(2*'MATERIALES (2)'!$C$176)+(0.5*'MATERIALES (2)'!$C$156)</f>
        <v>41786</v>
      </c>
      <c r="H61" s="59">
        <f>(16*'MATERIALES (2)'!$C$178)+(1*'MATERIALES (2)'!$C$183)+(4*'MATERIALES (2)'!$C$195)+(2*'MATERIALES (2)'!$C$197)+(((A61*2)+(B61*6))*'MATERIALES (2)'!$C$198)+(4*'MATERIALES (2)'!$C$137)+(((A61*5)*2)*'MATERIALES (2)'!$C$136)+(((A61*2)+(B61*2))*'MATERIALES (2)'!$C$199)+((((A61*2)+(B61*6))/0.1)*'MATERIALES (2)'!$C$181)+(((A61*2)+(B61*6))*'MATERIALES (2)'!$C$154)+(2*'MATERIALES (2)'!$C$176)+(0.5*'MATERIALES (2)'!$C$156)</f>
        <v>53086</v>
      </c>
      <c r="I61" s="75"/>
      <c r="J61" s="55">
        <f>(A61*B61)*'MATERIALES (2)'!$D$85</f>
        <v>2960</v>
      </c>
      <c r="K61" s="55">
        <f>(A61*B61)*'MATERIALES (2)'!$D$85</f>
        <v>2960</v>
      </c>
      <c r="L61" s="55">
        <f>(A61*B61)*'MATERIALES (2)'!$D$85</f>
        <v>2960</v>
      </c>
      <c r="M61" s="55">
        <f>(((A61*B61)*2)*'MATERIALES (2)'!$D$86)+(4*'MATERIALES (2)'!$C$218)+(((A61*2)+(B61*2))*'MATERIALES (2)'!$C$219)+(((A61*2)+(B61*2))*'MATERIALES (2)'!$C$220)+((((A61*2)+(B61*2))/15)*'MATERIALES (2)'!$C$221)+((((A61*2)+(B61*2))/15)*('MATERIALES (2)'!$C$222*0.15))</f>
        <v>11614.008333333333</v>
      </c>
      <c r="N61" s="55">
        <f>(((A61*B61)*2)*'MATERIALES (2)'!$D$86)+(8*'MATERIALES (2)'!$C$218)+(((A61*2)+(B61*4))*'MATERIALES (2)'!$C$219)+(((A61*2)+(B61*4))*'MATERIALES (2)'!$C$220)+((((A61*2)+(B61*4))/15)*'MATERIALES (2)'!$C$221)+((((A61*2)+(B61*4))/15)*('MATERIALES (2)'!$C$222*0.15))</f>
        <v>14480.475</v>
      </c>
      <c r="O61" s="55">
        <f>(((A61*B61)*2)*'MATERIALES (2)'!$D$86)+(12*'MATERIALES (2)'!$C$218)+(((A61*2)+(B61*6))*'MATERIALES (2)'!$C$219)+(((A61*2)+(B61*6))*'MATERIALES (2)'!$C$220)+((((A61*2)+(B61*6))/15)*'MATERIALES (2)'!$C$221)+((((A61*2)+(B61*6))/15)*('MATERIALES (2)'!$C$222*0.15))</f>
        <v>17346.941666666669</v>
      </c>
      <c r="P61" s="55">
        <f>(A61*B61)*'MATERIALES (2)'!$D$92</f>
        <v>14460</v>
      </c>
      <c r="Q61" s="55">
        <f>(A61*B61)*'MATERIALES (2)'!$D$92</f>
        <v>14460</v>
      </c>
      <c r="R61" s="55">
        <f>(A61*B61)*'MATERIALES (2)'!$D$92</f>
        <v>14460</v>
      </c>
      <c r="S61" s="125">
        <f t="shared" si="3"/>
        <v>158350.81022578126</v>
      </c>
      <c r="T61" s="125">
        <f t="shared" si="4"/>
        <v>223168.40051727375</v>
      </c>
      <c r="U61" s="125">
        <f t="shared" si="5"/>
        <v>290183.12998376635</v>
      </c>
      <c r="V61" s="125">
        <f t="shared" si="6"/>
        <v>181440.1371595313</v>
      </c>
      <c r="W61" s="125">
        <f t="shared" si="7"/>
        <v>253905.60384102378</v>
      </c>
      <c r="X61" s="125">
        <f t="shared" si="8"/>
        <v>328568.20969751634</v>
      </c>
      <c r="Y61" s="125">
        <f t="shared" si="9"/>
        <v>189033.38522578127</v>
      </c>
      <c r="Z61" s="125">
        <f t="shared" si="10"/>
        <v>253850.97551727374</v>
      </c>
      <c r="AA61" s="67">
        <f t="shared" si="11"/>
        <v>320865.70498376631</v>
      </c>
    </row>
    <row r="62" spans="1:27" ht="15.75" hidden="1" thickBot="1">
      <c r="A62" s="68">
        <v>0.6</v>
      </c>
      <c r="B62" s="69">
        <v>0.8</v>
      </c>
      <c r="C62" s="59">
        <f>((((A62*2)+(B62*2))*'MATERIALES (2)'!$C$60)+(((A62*2)+(B62*2))*'MATERIALES (2)'!$C$59)+(((A62*2)+(B62*2))*'MATERIALES (2)'!$C$76))*'MATERIALES (2)'!$F$2</f>
        <v>55823.250000000007</v>
      </c>
      <c r="D62" s="59">
        <f>((((A62*2)+(B62*2))*'MATERIALES (2)'!$C$60)+(((A62*2)+(B62*4))*'MATERIALES (2)'!$C$59)+(((A62*2)+(B62*4))*'MATERIALES (2)'!$C$76)+(B62*'MATERIALES (2)'!$C$80))*'MATERIALES (2)'!$F$2</f>
        <v>81734.351999999999</v>
      </c>
      <c r="E62" s="59">
        <f>((((A62*2)+(B62*2))*'MATERIALES (2)'!$C$60)+(((A62*2)+(B62*6))*'MATERIALES (2)'!$C$59)+(((A62*2)+(B62*6))*'MATERIALES (2)'!$C$76)+((B62*2)*'MATERIALES (2)'!$C$80))*'MATERIALES (2)'!$F$2</f>
        <v>107645.454</v>
      </c>
      <c r="F62" s="59">
        <f>(8*'MATERIALES (2)'!$C$178)+(1*'MATERIALES (2)'!$C$183)+(2*'MATERIALES (2)'!$C$195)+(((A62*2)+(B62*2))*'MATERIALES (2)'!$C$198)+(4*'MATERIALES (2)'!$C$137)+(((A62*5)*2)*'MATERIALES (2)'!$C$136)+(((A62*2)+(B62*2))*'MATERIALES (2)'!$C$199)+((((A62*2)+(B62*2))/0.1)*'MATERIALES (2)'!$C$181)+(((A62*2)+(B62*2))*'MATERIALES (2)'!$C$154)+(2*'MATERIALES (2)'!$C$176)+(0.5*'MATERIALES (2)'!$C$156)</f>
        <v>31938</v>
      </c>
      <c r="G62" s="59">
        <f>(12*'MATERIALES (2)'!$C$178)+(1*'MATERIALES (2)'!$C$183)+(4*'MATERIALES (2)'!$C$195)+(((A62*2)+(B62*4))*'MATERIALES (2)'!$C$198)+(4*'MATERIALES (2)'!$C$137)+(((A62*5)*2)*'MATERIALES (2)'!$C$136)+(((A62*2)+(B62*2))*'MATERIALES (2)'!$C$199)+((((A62*2)+(B62*4))/0.1)*'MATERIALES (2)'!$C$181)+(((A62*2)+(B62*4))*'MATERIALES (2)'!$C$154)+(2*'MATERIALES (2)'!$C$176)+(0.5*'MATERIALES (2)'!$C$156)</f>
        <v>42018</v>
      </c>
      <c r="H62" s="59">
        <f>(16*'MATERIALES (2)'!$C$178)+(1*'MATERIALES (2)'!$C$183)+(4*'MATERIALES (2)'!$C$195)+(2*'MATERIALES (2)'!$C$197)+(((A62*2)+(B62*6))*'MATERIALES (2)'!$C$198)+(4*'MATERIALES (2)'!$C$137)+(((A62*5)*2)*'MATERIALES (2)'!$C$136)+(((A62*2)+(B62*2))*'MATERIALES (2)'!$C$199)+((((A62*2)+(B62*6))/0.1)*'MATERIALES (2)'!$C$181)+(((A62*2)+(B62*6))*'MATERIALES (2)'!$C$154)+(2*'MATERIALES (2)'!$C$176)+(0.5*'MATERIALES (2)'!$C$156)</f>
        <v>53318</v>
      </c>
      <c r="I62" s="75"/>
      <c r="J62" s="55">
        <f>(A62*B62)*'MATERIALES (2)'!$D$85</f>
        <v>3552</v>
      </c>
      <c r="K62" s="55">
        <f>(A62*B62)*'MATERIALES (2)'!$D$85</f>
        <v>3552</v>
      </c>
      <c r="L62" s="55">
        <f>(A62*B62)*'MATERIALES (2)'!$D$85</f>
        <v>3552</v>
      </c>
      <c r="M62" s="55">
        <f>(((A62*B62)*2)*'MATERIALES (2)'!$D$86)+(4*'MATERIALES (2)'!$C$218)+(((A62*2)+(B62*2))*'MATERIALES (2)'!$C$219)+(((A62*2)+(B62*2))*'MATERIALES (2)'!$C$220)+((((A62*2)+(B62*2))/15)*'MATERIALES (2)'!$C$221)+((((A62*2)+(B62*2))/15)*('MATERIALES (2)'!$C$222*0.15))</f>
        <v>13363.516666666665</v>
      </c>
      <c r="N62" s="55">
        <f>(((A62*B62)*2)*'MATERIALES (2)'!$D$86)+(8*'MATERIALES (2)'!$C$218)+(((A62*2)+(B62*4))*'MATERIALES (2)'!$C$219)+(((A62*2)+(B62*4))*'MATERIALES (2)'!$C$220)+((((A62*2)+(B62*4))/15)*'MATERIALES (2)'!$C$221)+((((A62*2)+(B62*4))/15)*('MATERIALES (2)'!$C$222*0.15))</f>
        <v>16229.983333333334</v>
      </c>
      <c r="O62" s="55">
        <f>(((A62*B62)*2)*'MATERIALES (2)'!$D$86)+(12*'MATERIALES (2)'!$C$218)+(((A62*2)+(B62*6))*'MATERIALES (2)'!$C$219)+(((A62*2)+(B62*6))*'MATERIALES (2)'!$C$220)+((((A62*2)+(B62*6))/15)*'MATERIALES (2)'!$C$221)+((((A62*2)+(B62*6))/15)*('MATERIALES (2)'!$C$222*0.15))</f>
        <v>19096.45</v>
      </c>
      <c r="P62" s="55">
        <f>(A62*B62)*'MATERIALES (2)'!$D$92</f>
        <v>17352</v>
      </c>
      <c r="Q62" s="55">
        <f>(A62*B62)*'MATERIALES (2)'!$D$92</f>
        <v>17352</v>
      </c>
      <c r="R62" s="55">
        <f>(A62*B62)*'MATERIALES (2)'!$D$92</f>
        <v>17352</v>
      </c>
      <c r="S62" s="125">
        <f t="shared" si="3"/>
        <v>167529.11066718752</v>
      </c>
      <c r="T62" s="125">
        <f t="shared" si="4"/>
        <v>232346.70095868001</v>
      </c>
      <c r="U62" s="125">
        <f t="shared" si="5"/>
        <v>299361.43042517256</v>
      </c>
      <c r="V62" s="125">
        <f t="shared" si="6"/>
        <v>193706.72770968755</v>
      </c>
      <c r="W62" s="125">
        <f t="shared" si="7"/>
        <v>266172.19439118</v>
      </c>
      <c r="X62" s="125">
        <f t="shared" si="8"/>
        <v>340834.80024767254</v>
      </c>
      <c r="Y62" s="125">
        <f t="shared" si="9"/>
        <v>204348.20066718751</v>
      </c>
      <c r="Z62" s="125">
        <f t="shared" si="10"/>
        <v>269165.79095868004</v>
      </c>
      <c r="AA62" s="67">
        <f t="shared" si="11"/>
        <v>336180.52042517252</v>
      </c>
    </row>
    <row r="63" spans="1:27" ht="15.75" hidden="1" thickBot="1">
      <c r="A63" s="68">
        <v>0.5</v>
      </c>
      <c r="B63" s="69">
        <v>0.8</v>
      </c>
      <c r="C63" s="59">
        <f>((((A63*2)+(B63*2))*'MATERIALES (2)'!$C$60)+(((A63*2)+(B63*2))*'MATERIALES (2)'!$C$59)+(((A63*2)+(B63*2))*'MATERIALES (2)'!$C$76))*'MATERIALES (2)'!$F$2</f>
        <v>51835.875000000007</v>
      </c>
      <c r="D63" s="59">
        <f>((((A63*2)+(B63*2))*'MATERIALES (2)'!$C$60)+(((A63*2)+(B63*4))*'MATERIALES (2)'!$C$59)+(((A63*2)+(B63*4))*'MATERIALES (2)'!$C$76)+(B63*'MATERIALES (2)'!$C$80))*'MATERIALES (2)'!$F$2</f>
        <v>77746.976999999999</v>
      </c>
      <c r="E63" s="59">
        <f>((((A63*2)+(B63*2))*'MATERIALES (2)'!$C$60)+(((A63*2)+(B63*6))*'MATERIALES (2)'!$C$59)+(((A63*2)+(B63*6))*'MATERIALES (2)'!$C$76)+((B63*2)*'MATERIALES (2)'!$C$80))*'MATERIALES (2)'!$F$2</f>
        <v>103658.07900000001</v>
      </c>
      <c r="F63" s="59">
        <f>(8*'MATERIALES (2)'!$C$178)+(1*'MATERIALES (2)'!$C$183)+(2*'MATERIALES (2)'!$C$195)+(((A63*2)+(B63*2))*'MATERIALES (2)'!$C$198)+(4*'MATERIALES (2)'!$C$137)+(((A63*5)*2)*'MATERIALES (2)'!$C$136)+(((A63*2)+(B63*2))*'MATERIALES (2)'!$C$199)+((((A63*2)+(B63*2))/0.1)*'MATERIALES (2)'!$C$181)+(((A63*2)+(B63*2))*'MATERIALES (2)'!$C$154)+(2*'MATERIALES (2)'!$C$176)+(0.5*'MATERIALES (2)'!$C$156)</f>
        <v>31706</v>
      </c>
      <c r="G63" s="59">
        <f>(12*'MATERIALES (2)'!$C$178)+(1*'MATERIALES (2)'!$C$183)+(4*'MATERIALES (2)'!$C$195)+(((A63*2)+(B63*4))*'MATERIALES (2)'!$C$198)+(4*'MATERIALES (2)'!$C$137)+(((A63*5)*2)*'MATERIALES (2)'!$C$136)+(((A63*2)+(B63*2))*'MATERIALES (2)'!$C$199)+((((A63*2)+(B63*4))/0.1)*'MATERIALES (2)'!$C$181)+(((A63*2)+(B63*4))*'MATERIALES (2)'!$C$154)+(2*'MATERIALES (2)'!$C$176)+(0.5*'MATERIALES (2)'!$C$156)</f>
        <v>41786</v>
      </c>
      <c r="H63" s="59">
        <f>(16*'MATERIALES (2)'!$C$178)+(1*'MATERIALES (2)'!$C$183)+(4*'MATERIALES (2)'!$C$195)+(2*'MATERIALES (2)'!$C$197)+(((A63*2)+(B63*6))*'MATERIALES (2)'!$C$198)+(4*'MATERIALES (2)'!$C$137)+(((A63*5)*2)*'MATERIALES (2)'!$C$136)+(((A63*2)+(B63*2))*'MATERIALES (2)'!$C$199)+((((A63*2)+(B63*6))/0.1)*'MATERIALES (2)'!$C$181)+(((A63*2)+(B63*6))*'MATERIALES (2)'!$C$154)+(2*'MATERIALES (2)'!$C$176)+(0.5*'MATERIALES (2)'!$C$156)</f>
        <v>53086</v>
      </c>
      <c r="I63" s="75"/>
      <c r="J63" s="55">
        <f>(A63*B63)*'MATERIALES (2)'!$D$85</f>
        <v>2960</v>
      </c>
      <c r="K63" s="55">
        <f>(A63*B63)*'MATERIALES (2)'!$D$85</f>
        <v>2960</v>
      </c>
      <c r="L63" s="55">
        <f>(A63*B63)*'MATERIALES (2)'!$D$85</f>
        <v>2960</v>
      </c>
      <c r="M63" s="55">
        <f>(((A63*B63)*2)*'MATERIALES (2)'!$D$86)+(4*'MATERIALES (2)'!$C$218)+(((A63*2)+(B63*2))*'MATERIALES (2)'!$C$219)+(((A63*2)+(B63*2))*'MATERIALES (2)'!$C$220)+((((A63*2)+(B63*2))/15)*'MATERIALES (2)'!$C$221)+((((A63*2)+(B63*2))/15)*('MATERIALES (2)'!$C$222*0.15))</f>
        <v>11614.008333333333</v>
      </c>
      <c r="N63" s="55">
        <f>(((A63*B63)*2)*'MATERIALES (2)'!$D$86)+(8*'MATERIALES (2)'!$C$218)+(((A63*2)+(B63*4))*'MATERIALES (2)'!$C$219)+(((A63*2)+(B63*4))*'MATERIALES (2)'!$C$220)+((((A63*2)+(B63*4))/15)*'MATERIALES (2)'!$C$221)+((((A63*2)+(B63*4))/15)*('MATERIALES (2)'!$C$222*0.15))</f>
        <v>14480.475</v>
      </c>
      <c r="O63" s="55">
        <f>(((A63*B63)*2)*'MATERIALES (2)'!$D$86)+(12*'MATERIALES (2)'!$C$218)+(((A63*2)+(B63*6))*'MATERIALES (2)'!$C$219)+(((A63*2)+(B63*6))*'MATERIALES (2)'!$C$220)+((((A63*2)+(B63*6))/15)*'MATERIALES (2)'!$C$221)+((((A63*2)+(B63*6))/15)*('MATERIALES (2)'!$C$222*0.15))</f>
        <v>17346.941666666669</v>
      </c>
      <c r="P63" s="55">
        <f>(A63*B63)*'MATERIALES (2)'!$D$92</f>
        <v>14460</v>
      </c>
      <c r="Q63" s="55">
        <f>(A63*B63)*'MATERIALES (2)'!$D$92</f>
        <v>14460</v>
      </c>
      <c r="R63" s="55">
        <f>(A63*B63)*'MATERIALES (2)'!$D$92</f>
        <v>14460</v>
      </c>
      <c r="S63" s="125">
        <f t="shared" si="3"/>
        <v>158350.81022578126</v>
      </c>
      <c r="T63" s="125">
        <f t="shared" si="4"/>
        <v>223168.40051727375</v>
      </c>
      <c r="U63" s="125">
        <f t="shared" si="5"/>
        <v>290183.12998376635</v>
      </c>
      <c r="V63" s="125">
        <f t="shared" si="6"/>
        <v>181440.1371595313</v>
      </c>
      <c r="W63" s="125">
        <f t="shared" si="7"/>
        <v>253905.60384102378</v>
      </c>
      <c r="X63" s="125">
        <f t="shared" si="8"/>
        <v>328568.20969751634</v>
      </c>
      <c r="Y63" s="125">
        <f t="shared" si="9"/>
        <v>189033.38522578127</v>
      </c>
      <c r="Z63" s="125">
        <f t="shared" si="10"/>
        <v>253850.97551727374</v>
      </c>
      <c r="AA63" s="67">
        <f t="shared" si="11"/>
        <v>320865.70498376631</v>
      </c>
    </row>
    <row r="64" spans="1:27" ht="15.75" hidden="1" thickBot="1">
      <c r="A64" s="68">
        <v>0.4</v>
      </c>
      <c r="B64" s="69">
        <v>1.1000000000000001</v>
      </c>
      <c r="C64" s="59">
        <f>((((A64*2)+(B64*2))*'MATERIALES (2)'!$C$60)+(((A64*2)+(B64*2))*'MATERIALES (2)'!$C$59)+(((A64*2)+(B64*2))*'MATERIALES (2)'!$C$76))*'MATERIALES (2)'!$F$2</f>
        <v>59810.625</v>
      </c>
      <c r="D64" s="59">
        <f>((((A64*2)+(B64*2))*'MATERIALES (2)'!$C$60)+(((A64*2)+(B64*4))*'MATERIALES (2)'!$C$59)+(((A64*2)+(B64*4))*'MATERIALES (2)'!$C$76)+(B64*'MATERIALES (2)'!$C$80))*'MATERIALES (2)'!$F$2</f>
        <v>95438.390249999997</v>
      </c>
      <c r="E64" s="59">
        <f>((((A64*2)+(B64*2))*'MATERIALES (2)'!$C$60)+(((A64*2)+(B64*6))*'MATERIALES (2)'!$C$59)+(((A64*2)+(B64*6))*'MATERIALES (2)'!$C$76)+((B64*2)*'MATERIALES (2)'!$C$80))*'MATERIALES (2)'!$F$2</f>
        <v>131066.15549999999</v>
      </c>
      <c r="F64" s="59">
        <f>(8*'MATERIALES (2)'!$C$178)+(1*'MATERIALES (2)'!$C$183)+(2*'MATERIALES (2)'!$C$195)+(((A64*2)+(B64*2))*'MATERIALES (2)'!$C$198)+(4*'MATERIALES (2)'!$C$137)+(((A64*5)*2)*'MATERIALES (2)'!$C$136)+(((A64*2)+(B64*2))*'MATERIALES (2)'!$C$199)+((((A64*2)+(B64*2))/0.1)*'MATERIALES (2)'!$C$181)+(((A64*2)+(B64*2))*'MATERIALES (2)'!$C$154)+(2*'MATERIALES (2)'!$C$176)+(0.5*'MATERIALES (2)'!$C$156)</f>
        <v>32170</v>
      </c>
      <c r="G64" s="59">
        <f>(12*'MATERIALES (2)'!$C$178)+(1*'MATERIALES (2)'!$C$183)+(4*'MATERIALES (2)'!$C$195)+(((A64*2)+(B64*4))*'MATERIALES (2)'!$C$198)+(4*'MATERIALES (2)'!$C$137)+(((A64*5)*2)*'MATERIALES (2)'!$C$136)+(((A64*2)+(B64*2))*'MATERIALES (2)'!$C$199)+((((A64*2)+(B64*4))/0.1)*'MATERIALES (2)'!$C$181)+(((A64*2)+(B64*4))*'MATERIALES (2)'!$C$154)+(2*'MATERIALES (2)'!$C$176)+(0.5*'MATERIALES (2)'!$C$156)</f>
        <v>42730</v>
      </c>
      <c r="H64" s="59">
        <f>(16*'MATERIALES (2)'!$C$178)+(1*'MATERIALES (2)'!$C$183)+(4*'MATERIALES (2)'!$C$195)+(2*'MATERIALES (2)'!$C$197)+(((A64*2)+(B64*6))*'MATERIALES (2)'!$C$198)+(4*'MATERIALES (2)'!$C$137)+(((A64*5)*2)*'MATERIALES (2)'!$C$136)+(((A64*2)+(B64*2))*'MATERIALES (2)'!$C$199)+((((A64*2)+(B64*6))/0.1)*'MATERIALES (2)'!$C$181)+(((A64*2)+(B64*6))*'MATERIALES (2)'!$C$154)+(2*'MATERIALES (2)'!$C$176)+(0.5*'MATERIALES (2)'!$C$156)</f>
        <v>54510</v>
      </c>
      <c r="I64" s="75"/>
      <c r="J64" s="55">
        <f>(A64*B64)*'MATERIALES (2)'!$D$85</f>
        <v>3256.0000000000005</v>
      </c>
      <c r="K64" s="55">
        <f>(A64*B64)*'MATERIALES (2)'!$D$85</f>
        <v>3256.0000000000005</v>
      </c>
      <c r="L64" s="55">
        <f>(A64*B64)*'MATERIALES (2)'!$D$85</f>
        <v>3256.0000000000005</v>
      </c>
      <c r="M64" s="55">
        <f>(((A64*B64)*2)*'MATERIALES (2)'!$D$86)+(4*'MATERIALES (2)'!$C$218)+(((A64*2)+(B64*2))*'MATERIALES (2)'!$C$219)+(((A64*2)+(B64*2))*'MATERIALES (2)'!$C$220)+((((A64*2)+(B64*2))/15)*'MATERIALES (2)'!$C$221)+((((A64*2)+(B64*2))/15)*('MATERIALES (2)'!$C$222*0.15))</f>
        <v>12996.225000000002</v>
      </c>
      <c r="N64" s="55">
        <f>(((A64*B64)*2)*'MATERIALES (2)'!$D$86)+(8*'MATERIALES (2)'!$C$218)+(((A64*2)+(B64*4))*'MATERIALES (2)'!$C$219)+(((A64*2)+(B64*4))*'MATERIALES (2)'!$C$220)+((((A64*2)+(B64*4))/15)*'MATERIALES (2)'!$C$221)+((((A64*2)+(B64*4))/15)*('MATERIALES (2)'!$C$222*0.15))</f>
        <v>16877.616666666669</v>
      </c>
      <c r="O64" s="55">
        <f>(((A64*B64)*2)*'MATERIALES (2)'!$D$86)+(12*'MATERIALES (2)'!$C$218)+(((A64*2)+(B64*6))*'MATERIALES (2)'!$C$219)+(((A64*2)+(B64*6))*'MATERIALES (2)'!$C$220)+((((A64*2)+(B64*6))/15)*'MATERIALES (2)'!$C$221)+((((A64*2)+(B64*6))/15)*('MATERIALES (2)'!$C$222*0.15))</f>
        <v>20759.008333333335</v>
      </c>
      <c r="P64" s="55">
        <f>(A64*B64)*'MATERIALES (2)'!$D$92</f>
        <v>15906.000000000002</v>
      </c>
      <c r="Q64" s="55">
        <f>(A64*B64)*'MATERIALES (2)'!$D$92</f>
        <v>15906.000000000002</v>
      </c>
      <c r="R64" s="55">
        <f>(A64*B64)*'MATERIALES (2)'!$D$92</f>
        <v>15906.000000000002</v>
      </c>
      <c r="S64" s="125">
        <f t="shared" si="3"/>
        <v>174338.18270859378</v>
      </c>
      <c r="T64" s="125">
        <f t="shared" si="4"/>
        <v>257519.28798439592</v>
      </c>
      <c r="U64" s="125">
        <f t="shared" si="5"/>
        <v>342897.5324351982</v>
      </c>
      <c r="V64" s="125">
        <f t="shared" si="6"/>
        <v>200325.59001984377</v>
      </c>
      <c r="W64" s="125">
        <f t="shared" si="7"/>
        <v>293862.44233189599</v>
      </c>
      <c r="X64" s="125">
        <f t="shared" si="8"/>
        <v>389596.43381894816</v>
      </c>
      <c r="Y64" s="125">
        <f t="shared" si="9"/>
        <v>208089.0152085938</v>
      </c>
      <c r="Z64" s="125">
        <f t="shared" si="10"/>
        <v>291270.12048439594</v>
      </c>
      <c r="AA64" s="67">
        <f t="shared" si="11"/>
        <v>376648.36493519816</v>
      </c>
    </row>
    <row r="65" spans="1:27" ht="15.75" hidden="1" thickBot="1">
      <c r="A65" s="68">
        <v>0.4</v>
      </c>
      <c r="B65" s="69">
        <v>1.1000000000000001</v>
      </c>
      <c r="C65" s="59">
        <f>((((A65*2)+(B65*2))*'MATERIALES (2)'!$C$60)+(((A65*2)+(B65*2))*'MATERIALES (2)'!$C$59)+(((A65*2)+(B65*2))*'MATERIALES (2)'!$C$76))*'MATERIALES (2)'!$F$2</f>
        <v>59810.625</v>
      </c>
      <c r="D65" s="59">
        <f>((((A65*2)+(B65*2))*'MATERIALES (2)'!$C$60)+(((A65*2)+(B65*4))*'MATERIALES (2)'!$C$59)+(((A65*2)+(B65*4))*'MATERIALES (2)'!$C$76)+(B65*'MATERIALES (2)'!$C$80))*'MATERIALES (2)'!$F$2</f>
        <v>95438.390249999997</v>
      </c>
      <c r="E65" s="59">
        <f>((((A65*2)+(B65*2))*'MATERIALES (2)'!$C$60)+(((A65*2)+(B65*6))*'MATERIALES (2)'!$C$59)+(((A65*2)+(B65*6))*'MATERIALES (2)'!$C$76)+((B65*2)*'MATERIALES (2)'!$C$80))*'MATERIALES (2)'!$F$2</f>
        <v>131066.15549999999</v>
      </c>
      <c r="F65" s="59">
        <f>(8*'MATERIALES (2)'!$C$178)+(1*'MATERIALES (2)'!$C$183)+(2*'MATERIALES (2)'!$C$195)+(((A65*2)+(B65*2))*'MATERIALES (2)'!$C$198)+(4*'MATERIALES (2)'!$C$137)+(((A65*5)*2)*'MATERIALES (2)'!$C$136)+(((A65*2)+(B65*2))*'MATERIALES (2)'!$C$199)+((((A65*2)+(B65*2))/0.1)*'MATERIALES (2)'!$C$181)+(((A65*2)+(B65*2))*'MATERIALES (2)'!$C$154)+(2*'MATERIALES (2)'!$C$176)+(0.5*'MATERIALES (2)'!$C$156)</f>
        <v>32170</v>
      </c>
      <c r="G65" s="59">
        <f>(12*'MATERIALES (2)'!$C$178)+(1*'MATERIALES (2)'!$C$183)+(4*'MATERIALES (2)'!$C$195)+(((A65*2)+(B65*4))*'MATERIALES (2)'!$C$198)+(4*'MATERIALES (2)'!$C$137)+(((A65*5)*2)*'MATERIALES (2)'!$C$136)+(((A65*2)+(B65*2))*'MATERIALES (2)'!$C$199)+((((A65*2)+(B65*4))/0.1)*'MATERIALES (2)'!$C$181)+(((A65*2)+(B65*4))*'MATERIALES (2)'!$C$154)+(2*'MATERIALES (2)'!$C$176)+(0.5*'MATERIALES (2)'!$C$156)</f>
        <v>42730</v>
      </c>
      <c r="H65" s="59">
        <f>(16*'MATERIALES (2)'!$C$178)+(1*'MATERIALES (2)'!$C$183)+(4*'MATERIALES (2)'!$C$195)+(2*'MATERIALES (2)'!$C$197)+(((A65*2)+(B65*6))*'MATERIALES (2)'!$C$198)+(4*'MATERIALES (2)'!$C$137)+(((A65*5)*2)*'MATERIALES (2)'!$C$136)+(((A65*2)+(B65*2))*'MATERIALES (2)'!$C$199)+((((A65*2)+(B65*6))/0.1)*'MATERIALES (2)'!$C$181)+(((A65*2)+(B65*6))*'MATERIALES (2)'!$C$154)+(2*'MATERIALES (2)'!$C$176)+(0.5*'MATERIALES (2)'!$C$156)</f>
        <v>54510</v>
      </c>
      <c r="I65" s="75"/>
      <c r="J65" s="55">
        <f>(A65*B65)*'MATERIALES (2)'!$D$85</f>
        <v>3256.0000000000005</v>
      </c>
      <c r="K65" s="55">
        <f>(A65*B65)*'MATERIALES (2)'!$D$85</f>
        <v>3256.0000000000005</v>
      </c>
      <c r="L65" s="55">
        <f>(A65*B65)*'MATERIALES (2)'!$D$85</f>
        <v>3256.0000000000005</v>
      </c>
      <c r="M65" s="55">
        <f>(((A65*B65)*2)*'MATERIALES (2)'!$D$86)+(4*'MATERIALES (2)'!$C$218)+(((A65*2)+(B65*2))*'MATERIALES (2)'!$C$219)+(((A65*2)+(B65*2))*'MATERIALES (2)'!$C$220)+((((A65*2)+(B65*2))/15)*'MATERIALES (2)'!$C$221)+((((A65*2)+(B65*2))/15)*('MATERIALES (2)'!$C$222*0.15))</f>
        <v>12996.225000000002</v>
      </c>
      <c r="N65" s="55">
        <f>(((A65*B65)*2)*'MATERIALES (2)'!$D$86)+(8*'MATERIALES (2)'!$C$218)+(((A65*2)+(B65*4))*'MATERIALES (2)'!$C$219)+(((A65*2)+(B65*4))*'MATERIALES (2)'!$C$220)+((((A65*2)+(B65*4))/15)*'MATERIALES (2)'!$C$221)+((((A65*2)+(B65*4))/15)*('MATERIALES (2)'!$C$222*0.15))</f>
        <v>16877.616666666669</v>
      </c>
      <c r="O65" s="55">
        <f>(((A65*B65)*2)*'MATERIALES (2)'!$D$86)+(12*'MATERIALES (2)'!$C$218)+(((A65*2)+(B65*6))*'MATERIALES (2)'!$C$219)+(((A65*2)+(B65*6))*'MATERIALES (2)'!$C$220)+((((A65*2)+(B65*6))/15)*'MATERIALES (2)'!$C$221)+((((A65*2)+(B65*6))/15)*('MATERIALES (2)'!$C$222*0.15))</f>
        <v>20759.008333333335</v>
      </c>
      <c r="P65" s="55">
        <f>(A65*B65)*'MATERIALES (2)'!$D$92</f>
        <v>15906.000000000002</v>
      </c>
      <c r="Q65" s="55">
        <f>(A65*B65)*'MATERIALES (2)'!$D$92</f>
        <v>15906.000000000002</v>
      </c>
      <c r="R65" s="55">
        <f>(A65*B65)*'MATERIALES (2)'!$D$92</f>
        <v>15906.000000000002</v>
      </c>
      <c r="S65" s="125">
        <f t="shared" si="3"/>
        <v>174338.18270859378</v>
      </c>
      <c r="T65" s="125">
        <f t="shared" si="4"/>
        <v>257519.28798439592</v>
      </c>
      <c r="U65" s="125">
        <f t="shared" si="5"/>
        <v>342897.5324351982</v>
      </c>
      <c r="V65" s="125">
        <f t="shared" si="6"/>
        <v>200325.59001984377</v>
      </c>
      <c r="W65" s="125">
        <f t="shared" si="7"/>
        <v>293862.44233189599</v>
      </c>
      <c r="X65" s="125">
        <f t="shared" si="8"/>
        <v>389596.43381894816</v>
      </c>
      <c r="Y65" s="125">
        <f t="shared" si="9"/>
        <v>208089.0152085938</v>
      </c>
      <c r="Z65" s="125">
        <f t="shared" si="10"/>
        <v>291270.12048439594</v>
      </c>
      <c r="AA65" s="67">
        <f t="shared" si="11"/>
        <v>376648.36493519816</v>
      </c>
    </row>
    <row r="66" spans="1:27" ht="15.75" hidden="1" thickBot="1">
      <c r="A66" s="68">
        <v>0.6</v>
      </c>
      <c r="B66" s="69">
        <v>1.1000000000000001</v>
      </c>
      <c r="C66" s="59">
        <f>((((A66*2)+(B66*2))*'MATERIALES (2)'!$C$60)+(((A66*2)+(B66*2))*'MATERIALES (2)'!$C$59)+(((A66*2)+(B66*2))*'MATERIALES (2)'!$C$76))*'MATERIALES (2)'!$F$2</f>
        <v>67785.375000000015</v>
      </c>
      <c r="D66" s="59">
        <f>((((A66*2)+(B66*2))*'MATERIALES (2)'!$C$60)+(((A66*2)+(B66*4))*'MATERIALES (2)'!$C$59)+(((A66*2)+(B66*4))*'MATERIALES (2)'!$C$76)+(B66*'MATERIALES (2)'!$C$80))*'MATERIALES (2)'!$F$2</f>
        <v>103413.14025000001</v>
      </c>
      <c r="E66" s="59">
        <f>((((A66*2)+(B66*2))*'MATERIALES (2)'!$C$60)+(((A66*2)+(B66*6))*'MATERIALES (2)'!$C$59)+(((A66*2)+(B66*6))*'MATERIALES (2)'!$C$76)+((B66*2)*'MATERIALES (2)'!$C$80))*'MATERIALES (2)'!$F$2</f>
        <v>139040.90549999999</v>
      </c>
      <c r="F66" s="59">
        <f>(8*'MATERIALES (2)'!$C$178)+(1*'MATERIALES (2)'!$C$183)+(2*'MATERIALES (2)'!$C$195)+(((A66*2)+(B66*2))*'MATERIALES (2)'!$C$198)+(4*'MATERIALES (2)'!$C$137)+(((A66*5)*2)*'MATERIALES (2)'!$C$136)+(((A66*2)+(B66*2))*'MATERIALES (2)'!$C$199)+((((A66*2)+(B66*2))/0.1)*'MATERIALES (2)'!$C$181)+(((A66*2)+(B66*2))*'MATERIALES (2)'!$C$154)+(2*'MATERIALES (2)'!$C$176)+(0.5*'MATERIALES (2)'!$C$156)</f>
        <v>32634</v>
      </c>
      <c r="G66" s="59">
        <f>(12*'MATERIALES (2)'!$C$178)+(1*'MATERIALES (2)'!$C$183)+(4*'MATERIALES (2)'!$C$195)+(((A66*2)+(B66*4))*'MATERIALES (2)'!$C$198)+(4*'MATERIALES (2)'!$C$137)+(((A66*5)*2)*'MATERIALES (2)'!$C$136)+(((A66*2)+(B66*2))*'MATERIALES (2)'!$C$199)+((((A66*2)+(B66*4))/0.1)*'MATERIALES (2)'!$C$181)+(((A66*2)+(B66*4))*'MATERIALES (2)'!$C$154)+(2*'MATERIALES (2)'!$C$176)+(0.5*'MATERIALES (2)'!$C$156)</f>
        <v>43194</v>
      </c>
      <c r="H66" s="59">
        <f>(16*'MATERIALES (2)'!$C$178)+(1*'MATERIALES (2)'!$C$183)+(4*'MATERIALES (2)'!$C$195)+(2*'MATERIALES (2)'!$C$197)+(((A66*2)+(B66*6))*'MATERIALES (2)'!$C$198)+(4*'MATERIALES (2)'!$C$137)+(((A66*5)*2)*'MATERIALES (2)'!$C$136)+(((A66*2)+(B66*2))*'MATERIALES (2)'!$C$199)+((((A66*2)+(B66*6))/0.1)*'MATERIALES (2)'!$C$181)+(((A66*2)+(B66*6))*'MATERIALES (2)'!$C$154)+(2*'MATERIALES (2)'!$C$176)+(0.5*'MATERIALES (2)'!$C$156)</f>
        <v>54974</v>
      </c>
      <c r="I66" s="75"/>
      <c r="J66" s="55">
        <f>(A66*B66)*'MATERIALES (2)'!$D$85</f>
        <v>4884</v>
      </c>
      <c r="K66" s="55">
        <f>(A66*B66)*'MATERIALES (2)'!$D$85</f>
        <v>4884</v>
      </c>
      <c r="L66" s="55">
        <f>(A66*B66)*'MATERIALES (2)'!$D$85</f>
        <v>4884</v>
      </c>
      <c r="M66" s="55">
        <f>(((A66*B66)*2)*'MATERIALES (2)'!$D$86)+(4*'MATERIALES (2)'!$C$218)+(((A66*2)+(B66*2))*'MATERIALES (2)'!$C$219)+(((A66*2)+(B66*2))*'MATERIALES (2)'!$C$220)+((((A66*2)+(B66*2))/15)*'MATERIALES (2)'!$C$221)+((((A66*2)+(B66*2))/15)*('MATERIALES (2)'!$C$222*0.15))</f>
        <v>17553.64166666667</v>
      </c>
      <c r="N66" s="55">
        <f>(((A66*B66)*2)*'MATERIALES (2)'!$D$86)+(8*'MATERIALES (2)'!$C$218)+(((A66*2)+(B66*4))*'MATERIALES (2)'!$C$219)+(((A66*2)+(B66*4))*'MATERIALES (2)'!$C$220)+((((A66*2)+(B66*4))/15)*'MATERIALES (2)'!$C$221)+((((A66*2)+(B66*4))/15)*('MATERIALES (2)'!$C$222*0.15))</f>
        <v>21435.033333333336</v>
      </c>
      <c r="O66" s="55">
        <f>(((A66*B66)*2)*'MATERIALES (2)'!$D$86)+(12*'MATERIALES (2)'!$C$218)+(((A66*2)+(B66*6))*'MATERIALES (2)'!$C$219)+(((A66*2)+(B66*6))*'MATERIALES (2)'!$C$220)+((((A66*2)+(B66*6))/15)*'MATERIALES (2)'!$C$221)+((((A66*2)+(B66*6))/15)*('MATERIALES (2)'!$C$222*0.15))</f>
        <v>25316.425000000003</v>
      </c>
      <c r="P66" s="55">
        <f>(A66*B66)*'MATERIALES (2)'!$D$92</f>
        <v>23859</v>
      </c>
      <c r="Q66" s="55">
        <f>(A66*B66)*'MATERIALES (2)'!$D$92</f>
        <v>23859</v>
      </c>
      <c r="R66" s="55">
        <f>(A66*B66)*'MATERIALES (2)'!$D$92</f>
        <v>23859</v>
      </c>
      <c r="S66" s="125">
        <f t="shared" si="3"/>
        <v>193879.39779140629</v>
      </c>
      <c r="T66" s="125">
        <f t="shared" si="4"/>
        <v>277060.50306720845</v>
      </c>
      <c r="U66" s="125">
        <f t="shared" si="5"/>
        <v>362438.74751801067</v>
      </c>
      <c r="V66" s="125">
        <f t="shared" si="6"/>
        <v>227682.63524015635</v>
      </c>
      <c r="W66" s="125">
        <f t="shared" si="7"/>
        <v>321219.48755220842</v>
      </c>
      <c r="X66" s="125">
        <f t="shared" si="8"/>
        <v>416953.47903926071</v>
      </c>
      <c r="Y66" s="125">
        <f t="shared" si="9"/>
        <v>244505.64654140631</v>
      </c>
      <c r="Z66" s="125">
        <f t="shared" si="10"/>
        <v>327686.75181720848</v>
      </c>
      <c r="AA66" s="67">
        <f t="shared" si="11"/>
        <v>413064.99626801064</v>
      </c>
    </row>
    <row r="67" spans="1:27" ht="15.75" hidden="1" thickBot="1">
      <c r="A67" s="68">
        <v>0.5</v>
      </c>
      <c r="B67" s="69">
        <v>1.1000000000000001</v>
      </c>
      <c r="C67" s="59">
        <f>((((A67*2)+(B67*2))*'MATERIALES (2)'!$C$60)+(((A67*2)+(B67*2))*'MATERIALES (2)'!$C$59)+(((A67*2)+(B67*2))*'MATERIALES (2)'!$C$76))*'MATERIALES (2)'!$F$2</f>
        <v>63797.999999999993</v>
      </c>
      <c r="D67" s="59">
        <f>((((A67*2)+(B67*2))*'MATERIALES (2)'!$C$60)+(((A67*2)+(B67*4))*'MATERIALES (2)'!$C$59)+(((A67*2)+(B67*4))*'MATERIALES (2)'!$C$76)+(B67*'MATERIALES (2)'!$C$80))*'MATERIALES (2)'!$F$2</f>
        <v>99425.765249999997</v>
      </c>
      <c r="E67" s="59">
        <f>((((A67*2)+(B67*2))*'MATERIALES (2)'!$C$60)+(((A67*2)+(B67*6))*'MATERIALES (2)'!$C$59)+(((A67*2)+(B67*6))*'MATERIALES (2)'!$C$76)+((B67*2)*'MATERIALES (2)'!$C$80))*'MATERIALES (2)'!$F$2</f>
        <v>135053.53050000002</v>
      </c>
      <c r="F67" s="59">
        <f>(8*'MATERIALES (2)'!$C$178)+(1*'MATERIALES (2)'!$C$183)+(2*'MATERIALES (2)'!$C$195)+(((A67*2)+(B67*2))*'MATERIALES (2)'!$C$198)+(4*'MATERIALES (2)'!$C$137)+(((A67*5)*2)*'MATERIALES (2)'!$C$136)+(((A67*2)+(B67*2))*'MATERIALES (2)'!$C$199)+((((A67*2)+(B67*2))/0.1)*'MATERIALES (2)'!$C$181)+(((A67*2)+(B67*2))*'MATERIALES (2)'!$C$154)+(2*'MATERIALES (2)'!$C$176)+(0.5*'MATERIALES (2)'!$C$156)</f>
        <v>32402</v>
      </c>
      <c r="G67" s="59">
        <f>(12*'MATERIALES (2)'!$C$178)+(1*'MATERIALES (2)'!$C$183)+(4*'MATERIALES (2)'!$C$195)+(((A67*2)+(B67*4))*'MATERIALES (2)'!$C$198)+(4*'MATERIALES (2)'!$C$137)+(((A67*5)*2)*'MATERIALES (2)'!$C$136)+(((A67*2)+(B67*2))*'MATERIALES (2)'!$C$199)+((((A67*2)+(B67*4))/0.1)*'MATERIALES (2)'!$C$181)+(((A67*2)+(B67*4))*'MATERIALES (2)'!$C$154)+(2*'MATERIALES (2)'!$C$176)+(0.5*'MATERIALES (2)'!$C$156)</f>
        <v>42962</v>
      </c>
      <c r="H67" s="59">
        <f>(16*'MATERIALES (2)'!$C$178)+(1*'MATERIALES (2)'!$C$183)+(4*'MATERIALES (2)'!$C$195)+(2*'MATERIALES (2)'!$C$197)+(((A67*2)+(B67*6))*'MATERIALES (2)'!$C$198)+(4*'MATERIALES (2)'!$C$137)+(((A67*5)*2)*'MATERIALES (2)'!$C$136)+(((A67*2)+(B67*2))*'MATERIALES (2)'!$C$199)+((((A67*2)+(B67*6))/0.1)*'MATERIALES (2)'!$C$181)+(((A67*2)+(B67*6))*'MATERIALES (2)'!$C$154)+(2*'MATERIALES (2)'!$C$176)+(0.5*'MATERIALES (2)'!$C$156)</f>
        <v>54742</v>
      </c>
      <c r="I67" s="75"/>
      <c r="J67" s="55">
        <f>(A67*B67)*'MATERIALES (2)'!$D$85</f>
        <v>4070.0000000000005</v>
      </c>
      <c r="K67" s="55">
        <f>(A67*B67)*'MATERIALES (2)'!$D$85</f>
        <v>4070.0000000000005</v>
      </c>
      <c r="L67" s="55">
        <f>(A67*B67)*'MATERIALES (2)'!$D$85</f>
        <v>4070.0000000000005</v>
      </c>
      <c r="M67" s="55">
        <f>(((A67*B67)*2)*'MATERIALES (2)'!$D$86)+(4*'MATERIALES (2)'!$C$218)+(((A67*2)+(B67*2))*'MATERIALES (2)'!$C$219)+(((A67*2)+(B67*2))*'MATERIALES (2)'!$C$220)+((((A67*2)+(B67*2))/15)*'MATERIALES (2)'!$C$221)+((((A67*2)+(B67*2))/15)*('MATERIALES (2)'!$C$222*0.15))</f>
        <v>15274.933333333334</v>
      </c>
      <c r="N67" s="55">
        <f>(((A67*B67)*2)*'MATERIALES (2)'!$D$86)+(8*'MATERIALES (2)'!$C$218)+(((A67*2)+(B67*4))*'MATERIALES (2)'!$C$219)+(((A67*2)+(B67*4))*'MATERIALES (2)'!$C$220)+((((A67*2)+(B67*4))/15)*'MATERIALES (2)'!$C$221)+((((A67*2)+(B67*4))/15)*('MATERIALES (2)'!$C$222*0.15))</f>
        <v>19156.325000000001</v>
      </c>
      <c r="O67" s="55">
        <f>(((A67*B67)*2)*'MATERIALES (2)'!$D$86)+(12*'MATERIALES (2)'!$C$218)+(((A67*2)+(B67*6))*'MATERIALES (2)'!$C$219)+(((A67*2)+(B67*6))*'MATERIALES (2)'!$C$220)+((((A67*2)+(B67*6))/15)*'MATERIALES (2)'!$C$221)+((((A67*2)+(B67*6))/15)*('MATERIALES (2)'!$C$222*0.15))</f>
        <v>23037.716666666667</v>
      </c>
      <c r="P67" s="55">
        <f>(A67*B67)*'MATERIALES (2)'!$D$92</f>
        <v>19882.5</v>
      </c>
      <c r="Q67" s="55">
        <f>(A67*B67)*'MATERIALES (2)'!$D$92</f>
        <v>19882.5</v>
      </c>
      <c r="R67" s="55">
        <f>(A67*B67)*'MATERIALES (2)'!$D$92</f>
        <v>19882.5</v>
      </c>
      <c r="S67" s="125">
        <f t="shared" si="3"/>
        <v>184108.79025000005</v>
      </c>
      <c r="T67" s="125">
        <f t="shared" si="4"/>
        <v>267289.89552580222</v>
      </c>
      <c r="U67" s="125">
        <f t="shared" si="5"/>
        <v>352668.13997660443</v>
      </c>
      <c r="V67" s="125">
        <f t="shared" si="6"/>
        <v>214004.11263000005</v>
      </c>
      <c r="W67" s="125">
        <f t="shared" si="7"/>
        <v>307540.96494205215</v>
      </c>
      <c r="X67" s="125">
        <f t="shared" si="8"/>
        <v>403274.95642910444</v>
      </c>
      <c r="Y67" s="125">
        <f t="shared" si="9"/>
        <v>226297.33087500001</v>
      </c>
      <c r="Z67" s="125">
        <f t="shared" si="10"/>
        <v>309478.43615080218</v>
      </c>
      <c r="AA67" s="67">
        <f t="shared" si="11"/>
        <v>394856.68060160446</v>
      </c>
    </row>
    <row r="68" spans="1:27" ht="15.75" hidden="1" thickBot="1">
      <c r="A68" s="68">
        <v>0.6</v>
      </c>
      <c r="B68" s="69">
        <v>1.1000000000000001</v>
      </c>
      <c r="C68" s="59">
        <f>((((A68*2)+(B68*2))*'MATERIALES (2)'!$C$60)+(((A68*2)+(B68*2))*'MATERIALES (2)'!$C$59)+(((A68*2)+(B68*2))*'MATERIALES (2)'!$C$76))*'MATERIALES (2)'!$F$2</f>
        <v>67785.375000000015</v>
      </c>
      <c r="D68" s="59">
        <f>((((A68*2)+(B68*2))*'MATERIALES (2)'!$C$60)+(((A68*2)+(B68*4))*'MATERIALES (2)'!$C$59)+(((A68*2)+(B68*4))*'MATERIALES (2)'!$C$76)+(B68*'MATERIALES (2)'!$C$80))*'MATERIALES (2)'!$F$2</f>
        <v>103413.14025000001</v>
      </c>
      <c r="E68" s="59">
        <f>((((A68*2)+(B68*2))*'MATERIALES (2)'!$C$60)+(((A68*2)+(B68*6))*'MATERIALES (2)'!$C$59)+(((A68*2)+(B68*6))*'MATERIALES (2)'!$C$76)+((B68*2)*'MATERIALES (2)'!$C$80))*'MATERIALES (2)'!$F$2</f>
        <v>139040.90549999999</v>
      </c>
      <c r="F68" s="59">
        <f>(8*'MATERIALES (2)'!$C$178)+(1*'MATERIALES (2)'!$C$183)+(2*'MATERIALES (2)'!$C$195)+(((A68*2)+(B68*2))*'MATERIALES (2)'!$C$198)+(4*'MATERIALES (2)'!$C$137)+(((A68*5)*2)*'MATERIALES (2)'!$C$136)+(((A68*2)+(B68*2))*'MATERIALES (2)'!$C$199)+((((A68*2)+(B68*2))/0.1)*'MATERIALES (2)'!$C$181)+(((A68*2)+(B68*2))*'MATERIALES (2)'!$C$154)+(2*'MATERIALES (2)'!$C$176)+(0.5*'MATERIALES (2)'!$C$156)</f>
        <v>32634</v>
      </c>
      <c r="G68" s="59">
        <f>(12*'MATERIALES (2)'!$C$178)+(1*'MATERIALES (2)'!$C$183)+(4*'MATERIALES (2)'!$C$195)+(((A68*2)+(B68*4))*'MATERIALES (2)'!$C$198)+(4*'MATERIALES (2)'!$C$137)+(((A68*5)*2)*'MATERIALES (2)'!$C$136)+(((A68*2)+(B68*2))*'MATERIALES (2)'!$C$199)+((((A68*2)+(B68*4))/0.1)*'MATERIALES (2)'!$C$181)+(((A68*2)+(B68*4))*'MATERIALES (2)'!$C$154)+(2*'MATERIALES (2)'!$C$176)+(0.5*'MATERIALES (2)'!$C$156)</f>
        <v>43194</v>
      </c>
      <c r="H68" s="59">
        <f>(16*'MATERIALES (2)'!$C$178)+(1*'MATERIALES (2)'!$C$183)+(4*'MATERIALES (2)'!$C$195)+(2*'MATERIALES (2)'!$C$197)+(((A68*2)+(B68*6))*'MATERIALES (2)'!$C$198)+(4*'MATERIALES (2)'!$C$137)+(((A68*5)*2)*'MATERIALES (2)'!$C$136)+(((A68*2)+(B68*2))*'MATERIALES (2)'!$C$199)+((((A68*2)+(B68*6))/0.1)*'MATERIALES (2)'!$C$181)+(((A68*2)+(B68*6))*'MATERIALES (2)'!$C$154)+(2*'MATERIALES (2)'!$C$176)+(0.5*'MATERIALES (2)'!$C$156)</f>
        <v>54974</v>
      </c>
      <c r="I68" s="75"/>
      <c r="J68" s="55">
        <f>(A68*B68)*'MATERIALES (2)'!$D$85</f>
        <v>4884</v>
      </c>
      <c r="K68" s="55">
        <f>(A68*B68)*'MATERIALES (2)'!$D$85</f>
        <v>4884</v>
      </c>
      <c r="L68" s="55">
        <f>(A68*B68)*'MATERIALES (2)'!$D$85</f>
        <v>4884</v>
      </c>
      <c r="M68" s="55">
        <f>(((A68*B68)*2)*'MATERIALES (2)'!$D$86)+(4*'MATERIALES (2)'!$C$218)+(((A68*2)+(B68*2))*'MATERIALES (2)'!$C$219)+(((A68*2)+(B68*2))*'MATERIALES (2)'!$C$220)+((((A68*2)+(B68*2))/15)*'MATERIALES (2)'!$C$221)+((((A68*2)+(B68*2))/15)*('MATERIALES (2)'!$C$222*0.15))</f>
        <v>17553.64166666667</v>
      </c>
      <c r="N68" s="55">
        <f>(((A68*B68)*2)*'MATERIALES (2)'!$D$86)+(8*'MATERIALES (2)'!$C$218)+(((A68*2)+(B68*4))*'MATERIALES (2)'!$C$219)+(((A68*2)+(B68*4))*'MATERIALES (2)'!$C$220)+((((A68*2)+(B68*4))/15)*'MATERIALES (2)'!$C$221)+((((A68*2)+(B68*4))/15)*('MATERIALES (2)'!$C$222*0.15))</f>
        <v>21435.033333333336</v>
      </c>
      <c r="O68" s="55">
        <f>(((A68*B68)*2)*'MATERIALES (2)'!$D$86)+(12*'MATERIALES (2)'!$C$218)+(((A68*2)+(B68*6))*'MATERIALES (2)'!$C$219)+(((A68*2)+(B68*6))*'MATERIALES (2)'!$C$220)+((((A68*2)+(B68*6))/15)*'MATERIALES (2)'!$C$221)+((((A68*2)+(B68*6))/15)*('MATERIALES (2)'!$C$222*0.15))</f>
        <v>25316.425000000003</v>
      </c>
      <c r="P68" s="55">
        <f>(A68*B68)*'MATERIALES (2)'!$D$92</f>
        <v>23859</v>
      </c>
      <c r="Q68" s="55">
        <f>(A68*B68)*'MATERIALES (2)'!$D$92</f>
        <v>23859</v>
      </c>
      <c r="R68" s="55">
        <f>(A68*B68)*'MATERIALES (2)'!$D$92</f>
        <v>23859</v>
      </c>
      <c r="S68" s="125">
        <f t="shared" si="3"/>
        <v>193879.39779140629</v>
      </c>
      <c r="T68" s="125">
        <f t="shared" si="4"/>
        <v>277060.50306720845</v>
      </c>
      <c r="U68" s="125">
        <f t="shared" si="5"/>
        <v>362438.74751801067</v>
      </c>
      <c r="V68" s="125">
        <f t="shared" si="6"/>
        <v>227682.63524015635</v>
      </c>
      <c r="W68" s="125">
        <f t="shared" si="7"/>
        <v>321219.48755220842</v>
      </c>
      <c r="X68" s="125">
        <f t="shared" si="8"/>
        <v>416953.47903926071</v>
      </c>
      <c r="Y68" s="125">
        <f t="shared" si="9"/>
        <v>244505.64654140631</v>
      </c>
      <c r="Z68" s="125">
        <f t="shared" si="10"/>
        <v>327686.75181720848</v>
      </c>
      <c r="AA68" s="67">
        <f t="shared" si="11"/>
        <v>413064.99626801064</v>
      </c>
    </row>
    <row r="69" spans="1:27" ht="15.75" hidden="1" thickBot="1">
      <c r="A69" s="68">
        <v>0.5</v>
      </c>
      <c r="B69" s="69">
        <v>1.1000000000000001</v>
      </c>
      <c r="C69" s="59">
        <f>((((A69*2)+(B69*2))*'MATERIALES (2)'!$C$60)+(((A69*2)+(B69*2))*'MATERIALES (2)'!$C$59)+(((A69*2)+(B69*2))*'MATERIALES (2)'!$C$76))*'MATERIALES (2)'!$F$2</f>
        <v>63797.999999999993</v>
      </c>
      <c r="D69" s="59">
        <f>((((A69*2)+(B69*2))*'MATERIALES (2)'!$C$60)+(((A69*2)+(B69*4))*'MATERIALES (2)'!$C$59)+(((A69*2)+(B69*4))*'MATERIALES (2)'!$C$76)+(B69*'MATERIALES (2)'!$C$80))*'MATERIALES (2)'!$F$2</f>
        <v>99425.765249999997</v>
      </c>
      <c r="E69" s="59">
        <f>((((A69*2)+(B69*2))*'MATERIALES (2)'!$C$60)+(((A69*2)+(B69*6))*'MATERIALES (2)'!$C$59)+(((A69*2)+(B69*6))*'MATERIALES (2)'!$C$76)+((B69*2)*'MATERIALES (2)'!$C$80))*'MATERIALES (2)'!$F$2</f>
        <v>135053.53050000002</v>
      </c>
      <c r="F69" s="59">
        <f>(8*'MATERIALES (2)'!$C$178)+(1*'MATERIALES (2)'!$C$183)+(2*'MATERIALES (2)'!$C$195)+(((A69*2)+(B69*2))*'MATERIALES (2)'!$C$198)+(4*'MATERIALES (2)'!$C$137)+(((A69*5)*2)*'MATERIALES (2)'!$C$136)+(((A69*2)+(B69*2))*'MATERIALES (2)'!$C$199)+((((A69*2)+(B69*2))/0.1)*'MATERIALES (2)'!$C$181)+(((A69*2)+(B69*2))*'MATERIALES (2)'!$C$154)+(2*'MATERIALES (2)'!$C$176)+(0.5*'MATERIALES (2)'!$C$156)</f>
        <v>32402</v>
      </c>
      <c r="G69" s="59">
        <f>(12*'MATERIALES (2)'!$C$178)+(1*'MATERIALES (2)'!$C$183)+(4*'MATERIALES (2)'!$C$195)+(((A69*2)+(B69*4))*'MATERIALES (2)'!$C$198)+(4*'MATERIALES (2)'!$C$137)+(((A69*5)*2)*'MATERIALES (2)'!$C$136)+(((A69*2)+(B69*2))*'MATERIALES (2)'!$C$199)+((((A69*2)+(B69*4))/0.1)*'MATERIALES (2)'!$C$181)+(((A69*2)+(B69*4))*'MATERIALES (2)'!$C$154)+(2*'MATERIALES (2)'!$C$176)+(0.5*'MATERIALES (2)'!$C$156)</f>
        <v>42962</v>
      </c>
      <c r="H69" s="59">
        <f>(16*'MATERIALES (2)'!$C$178)+(1*'MATERIALES (2)'!$C$183)+(4*'MATERIALES (2)'!$C$195)+(2*'MATERIALES (2)'!$C$197)+(((A69*2)+(B69*6))*'MATERIALES (2)'!$C$198)+(4*'MATERIALES (2)'!$C$137)+(((A69*5)*2)*'MATERIALES (2)'!$C$136)+(((A69*2)+(B69*2))*'MATERIALES (2)'!$C$199)+((((A69*2)+(B69*6))/0.1)*'MATERIALES (2)'!$C$181)+(((A69*2)+(B69*6))*'MATERIALES (2)'!$C$154)+(2*'MATERIALES (2)'!$C$176)+(0.5*'MATERIALES (2)'!$C$156)</f>
        <v>54742</v>
      </c>
      <c r="I69" s="75"/>
      <c r="J69" s="55">
        <f>(A69*B69)*'MATERIALES (2)'!$D$85</f>
        <v>4070.0000000000005</v>
      </c>
      <c r="K69" s="55">
        <f>(A69*B69)*'MATERIALES (2)'!$D$85</f>
        <v>4070.0000000000005</v>
      </c>
      <c r="L69" s="55">
        <f>(A69*B69)*'MATERIALES (2)'!$D$85</f>
        <v>4070.0000000000005</v>
      </c>
      <c r="M69" s="55">
        <f>(((A69*B69)*2)*'MATERIALES (2)'!$D$86)+(4*'MATERIALES (2)'!$C$218)+(((A69*2)+(B69*2))*'MATERIALES (2)'!$C$219)+(((A69*2)+(B69*2))*'MATERIALES (2)'!$C$220)+((((A69*2)+(B69*2))/15)*'MATERIALES (2)'!$C$221)+((((A69*2)+(B69*2))/15)*('MATERIALES (2)'!$C$222*0.15))</f>
        <v>15274.933333333334</v>
      </c>
      <c r="N69" s="55">
        <f>(((A69*B69)*2)*'MATERIALES (2)'!$D$86)+(8*'MATERIALES (2)'!$C$218)+(((A69*2)+(B69*4))*'MATERIALES (2)'!$C$219)+(((A69*2)+(B69*4))*'MATERIALES (2)'!$C$220)+((((A69*2)+(B69*4))/15)*'MATERIALES (2)'!$C$221)+((((A69*2)+(B69*4))/15)*('MATERIALES (2)'!$C$222*0.15))</f>
        <v>19156.325000000001</v>
      </c>
      <c r="O69" s="55">
        <f>(((A69*B69)*2)*'MATERIALES (2)'!$D$86)+(12*'MATERIALES (2)'!$C$218)+(((A69*2)+(B69*6))*'MATERIALES (2)'!$C$219)+(((A69*2)+(B69*6))*'MATERIALES (2)'!$C$220)+((((A69*2)+(B69*6))/15)*'MATERIALES (2)'!$C$221)+((((A69*2)+(B69*6))/15)*('MATERIALES (2)'!$C$222*0.15))</f>
        <v>23037.716666666667</v>
      </c>
      <c r="P69" s="55">
        <f>(A69*B69)*'MATERIALES (2)'!$D$92</f>
        <v>19882.5</v>
      </c>
      <c r="Q69" s="55">
        <f>(A69*B69)*'MATERIALES (2)'!$D$92</f>
        <v>19882.5</v>
      </c>
      <c r="R69" s="55">
        <f>(A69*B69)*'MATERIALES (2)'!$D$92</f>
        <v>19882.5</v>
      </c>
      <c r="S69" s="125">
        <f t="shared" si="3"/>
        <v>184108.79025000005</v>
      </c>
      <c r="T69" s="125">
        <f t="shared" si="4"/>
        <v>267289.89552580222</v>
      </c>
      <c r="U69" s="125">
        <f t="shared" si="5"/>
        <v>352668.13997660443</v>
      </c>
      <c r="V69" s="125">
        <f t="shared" si="6"/>
        <v>214004.11263000005</v>
      </c>
      <c r="W69" s="125">
        <f t="shared" si="7"/>
        <v>307540.96494205215</v>
      </c>
      <c r="X69" s="125">
        <f t="shared" si="8"/>
        <v>403274.95642910444</v>
      </c>
      <c r="Y69" s="125">
        <f t="shared" si="9"/>
        <v>226297.33087500001</v>
      </c>
      <c r="Z69" s="125">
        <f t="shared" si="10"/>
        <v>309478.43615080218</v>
      </c>
      <c r="AA69" s="67">
        <f t="shared" si="11"/>
        <v>394856.68060160446</v>
      </c>
    </row>
    <row r="70" spans="1:27" ht="15.75" hidden="1" thickBot="1">
      <c r="A70" s="68">
        <v>0.4</v>
      </c>
      <c r="B70" s="69">
        <v>1.5</v>
      </c>
      <c r="C70" s="59">
        <f>((((A70*2)+(B70*2))*'MATERIALES (2)'!$C$60)+(((A70*2)+(B70*2))*'MATERIALES (2)'!$C$59)+(((A70*2)+(B70*2))*'MATERIALES (2)'!$C$76))*'MATERIALES (2)'!$F$2</f>
        <v>75760.125</v>
      </c>
      <c r="D70" s="59">
        <f>((((A70*2)+(B70*2))*'MATERIALES (2)'!$C$60)+(((A70*2)+(B70*4))*'MATERIALES (2)'!$C$59)+(((A70*2)+(B70*4))*'MATERIALES (2)'!$C$76)+(B70*'MATERIALES (2)'!$C$80))*'MATERIALES (2)'!$F$2</f>
        <v>124343.44125</v>
      </c>
      <c r="E70" s="59">
        <f>((((A70*2)+(B70*2))*'MATERIALES (2)'!$C$60)+(((A70*2)+(B70*6))*'MATERIALES (2)'!$C$59)+(((A70*2)+(B70*6))*'MATERIALES (2)'!$C$76)+((B70*2)*'MATERIALES (2)'!$C$80))*'MATERIALES (2)'!$F$2</f>
        <v>172926.75750000004</v>
      </c>
      <c r="F70" s="59">
        <f>(8*'MATERIALES (2)'!$C$178)+(1*'MATERIALES (2)'!$C$183)+(2*'MATERIALES (2)'!$C$195)+(((A70*2)+(B70*2))*'MATERIALES (2)'!$C$198)+(4*'MATERIALES (2)'!$C$137)+(((A70*5)*2)*'MATERIALES (2)'!$C$136)+(((A70*2)+(B70*2))*'MATERIALES (2)'!$C$199)+((((A70*2)+(B70*2))/0.1)*'MATERIALES (2)'!$C$181)+(((A70*2)+(B70*2))*'MATERIALES (2)'!$C$154)+(2*'MATERIALES (2)'!$C$176)+(0.5*'MATERIALES (2)'!$C$156)</f>
        <v>33098</v>
      </c>
      <c r="G70" s="59">
        <f>(12*'MATERIALES (2)'!$C$178)+(1*'MATERIALES (2)'!$C$183)+(4*'MATERIALES (2)'!$C$195)+(((A70*2)+(B70*4))*'MATERIALES (2)'!$C$198)+(4*'MATERIALES (2)'!$C$137)+(((A70*5)*2)*'MATERIALES (2)'!$C$136)+(((A70*2)+(B70*2))*'MATERIALES (2)'!$C$199)+((((A70*2)+(B70*4))/0.1)*'MATERIALES (2)'!$C$181)+(((A70*2)+(B70*4))*'MATERIALES (2)'!$C$154)+(2*'MATERIALES (2)'!$C$176)+(0.5*'MATERIALES (2)'!$C$156)</f>
        <v>44298</v>
      </c>
      <c r="H70" s="59">
        <f>(16*'MATERIALES (2)'!$C$178)+(1*'MATERIALES (2)'!$C$183)+(4*'MATERIALES (2)'!$C$195)+(2*'MATERIALES (2)'!$C$197)+(((A70*2)+(B70*6))*'MATERIALES (2)'!$C$198)+(4*'MATERIALES (2)'!$C$137)+(((A70*5)*2)*'MATERIALES (2)'!$C$136)+(((A70*2)+(B70*2))*'MATERIALES (2)'!$C$199)+((((A70*2)+(B70*6))/0.1)*'MATERIALES (2)'!$C$181)+(((A70*2)+(B70*6))*'MATERIALES (2)'!$C$154)+(2*'MATERIALES (2)'!$C$176)+(0.5*'MATERIALES (2)'!$C$156)</f>
        <v>56718</v>
      </c>
      <c r="I70" s="75"/>
      <c r="J70" s="55">
        <f>(A70*B70)*'MATERIALES (2)'!$D$85</f>
        <v>4440.0000000000009</v>
      </c>
      <c r="K70" s="55">
        <f>(A70*B70)*'MATERIALES (2)'!$D$85</f>
        <v>4440.0000000000009</v>
      </c>
      <c r="L70" s="55">
        <f>(A70*B70)*'MATERIALES (2)'!$D$85</f>
        <v>4440.0000000000009</v>
      </c>
      <c r="M70" s="55">
        <f>(((A70*B70)*2)*'MATERIALES (2)'!$D$86)+(4*'MATERIALES (2)'!$C$218)+(((A70*2)+(B70*2))*'MATERIALES (2)'!$C$219)+(((A70*2)+(B70*2))*'MATERIALES (2)'!$C$220)+((((A70*2)+(B70*2))/15)*'MATERIALES (2)'!$C$221)+((((A70*2)+(B70*2))/15)*('MATERIALES (2)'!$C$222*0.15))</f>
        <v>17171.858333333337</v>
      </c>
      <c r="N70" s="55">
        <f>(((A70*B70)*2)*'MATERIALES (2)'!$D$86)+(8*'MATERIALES (2)'!$C$218)+(((A70*2)+(B70*4))*'MATERIALES (2)'!$C$219)+(((A70*2)+(B70*4))*'MATERIALES (2)'!$C$220)+((((A70*2)+(B70*4))/15)*'MATERIALES (2)'!$C$221)+((((A70*2)+(B70*4))/15)*('MATERIALES (2)'!$C$222*0.15))</f>
        <v>22406.483333333337</v>
      </c>
      <c r="O70" s="55">
        <f>(((A70*B70)*2)*'MATERIALES (2)'!$D$86)+(12*'MATERIALES (2)'!$C$218)+(((A70*2)+(B70*6))*'MATERIALES (2)'!$C$219)+(((A70*2)+(B70*6))*'MATERIALES (2)'!$C$220)+((((A70*2)+(B70*6))/15)*'MATERIALES (2)'!$C$221)+((((A70*2)+(B70*6))/15)*('MATERIALES (2)'!$C$222*0.15))</f>
        <v>27641.108333333337</v>
      </c>
      <c r="P70" s="55">
        <f>(A70*B70)*'MATERIALES (2)'!$D$92</f>
        <v>21690.000000000004</v>
      </c>
      <c r="Q70" s="55">
        <f>(A70*B70)*'MATERIALES (2)'!$D$92</f>
        <v>21690.000000000004</v>
      </c>
      <c r="R70" s="55">
        <f>(A70*B70)*'MATERIALES (2)'!$D$92</f>
        <v>21690.000000000004</v>
      </c>
      <c r="S70" s="125">
        <f t="shared" si="3"/>
        <v>207892.41327421876</v>
      </c>
      <c r="T70" s="125">
        <f t="shared" si="4"/>
        <v>315558.20519576722</v>
      </c>
      <c r="U70" s="125">
        <f t="shared" si="5"/>
        <v>425421.13629231573</v>
      </c>
      <c r="V70" s="125">
        <f t="shared" si="6"/>
        <v>241861.64790046876</v>
      </c>
      <c r="W70" s="125">
        <f t="shared" si="7"/>
        <v>363493.68105326733</v>
      </c>
      <c r="X70" s="125">
        <f t="shared" si="8"/>
        <v>487322.85338106571</v>
      </c>
      <c r="Y70" s="125">
        <f t="shared" si="9"/>
        <v>253916.27577421878</v>
      </c>
      <c r="Z70" s="125">
        <f t="shared" si="10"/>
        <v>361582.06769576727</v>
      </c>
      <c r="AA70" s="67">
        <f t="shared" si="11"/>
        <v>471444.99879231572</v>
      </c>
    </row>
    <row r="71" spans="1:27" ht="15.75" hidden="1" thickBot="1">
      <c r="A71" s="68">
        <v>0.6</v>
      </c>
      <c r="B71" s="69">
        <v>1.5</v>
      </c>
      <c r="C71" s="59">
        <f>((((A71*2)+(B71*2))*'MATERIALES (2)'!$C$60)+(((A71*2)+(B71*2))*'MATERIALES (2)'!$C$59)+(((A71*2)+(B71*2))*'MATERIALES (2)'!$C$76))*'MATERIALES (2)'!$F$2</f>
        <v>83734.875</v>
      </c>
      <c r="D71" s="59">
        <f>((((A71*2)+(B71*2))*'MATERIALES (2)'!$C$60)+(((A71*2)+(B71*4))*'MATERIALES (2)'!$C$59)+(((A71*2)+(B71*4))*'MATERIALES (2)'!$C$76)+(B71*'MATERIALES (2)'!$C$80))*'MATERIALES (2)'!$F$2</f>
        <v>132318.19125</v>
      </c>
      <c r="E71" s="59">
        <f>((((A71*2)+(B71*2))*'MATERIALES (2)'!$C$60)+(((A71*2)+(B71*6))*'MATERIALES (2)'!$C$59)+(((A71*2)+(B71*6))*'MATERIALES (2)'!$C$76)+((B71*2)*'MATERIALES (2)'!$C$80))*'MATERIALES (2)'!$F$2</f>
        <v>180901.50749999998</v>
      </c>
      <c r="F71" s="59">
        <f>(8*'MATERIALES (2)'!$C$178)+(1*'MATERIALES (2)'!$C$183)+(2*'MATERIALES (2)'!$C$195)+(((A71*2)+(B71*2))*'MATERIALES (2)'!$C$198)+(4*'MATERIALES (2)'!$C$137)+(((A71*5)*2)*'MATERIALES (2)'!$C$136)+(((A71*2)+(B71*2))*'MATERIALES (2)'!$C$199)+((((A71*2)+(B71*2))/0.1)*'MATERIALES (2)'!$C$181)+(((A71*2)+(B71*2))*'MATERIALES (2)'!$C$154)+(2*'MATERIALES (2)'!$C$176)+(0.5*'MATERIALES (2)'!$C$156)</f>
        <v>33562</v>
      </c>
      <c r="G71" s="59">
        <f>(12*'MATERIALES (2)'!$C$178)+(1*'MATERIALES (2)'!$C$183)+(4*'MATERIALES (2)'!$C$195)+(((A71*2)+(B71*4))*'MATERIALES (2)'!$C$198)+(4*'MATERIALES (2)'!$C$137)+(((A71*5)*2)*'MATERIALES (2)'!$C$136)+(((A71*2)+(B71*2))*'MATERIALES (2)'!$C$199)+((((A71*2)+(B71*4))/0.1)*'MATERIALES (2)'!$C$181)+(((A71*2)+(B71*4))*'MATERIALES (2)'!$C$154)+(2*'MATERIALES (2)'!$C$176)+(0.5*'MATERIALES (2)'!$C$156)</f>
        <v>44762</v>
      </c>
      <c r="H71" s="59">
        <f>(16*'MATERIALES (2)'!$C$178)+(1*'MATERIALES (2)'!$C$183)+(4*'MATERIALES (2)'!$C$195)+(2*'MATERIALES (2)'!$C$197)+(((A71*2)+(B71*6))*'MATERIALES (2)'!$C$198)+(4*'MATERIALES (2)'!$C$137)+(((A71*5)*2)*'MATERIALES (2)'!$C$136)+(((A71*2)+(B71*2))*'MATERIALES (2)'!$C$199)+((((A71*2)+(B71*6))/0.1)*'MATERIALES (2)'!$C$181)+(((A71*2)+(B71*6))*'MATERIALES (2)'!$C$154)+(2*'MATERIALES (2)'!$C$176)+(0.5*'MATERIALES (2)'!$C$156)</f>
        <v>57182</v>
      </c>
      <c r="I71" s="75"/>
      <c r="J71" s="55">
        <f>(A71*B71)*'MATERIALES (2)'!$D$85</f>
        <v>6659.9999999999991</v>
      </c>
      <c r="K71" s="55">
        <f>(A71*B71)*'MATERIALES (2)'!$D$85</f>
        <v>6659.9999999999991</v>
      </c>
      <c r="L71" s="55">
        <f>(A71*B71)*'MATERIALES (2)'!$D$85</f>
        <v>6659.9999999999991</v>
      </c>
      <c r="M71" s="55">
        <f>(((A71*B71)*2)*'MATERIALES (2)'!$D$86)+(4*'MATERIALES (2)'!$C$218)+(((A71*2)+(B71*2))*'MATERIALES (2)'!$C$219)+(((A71*2)+(B71*2))*'MATERIALES (2)'!$C$220)+((((A71*2)+(B71*2))/15)*'MATERIALES (2)'!$C$221)+((((A71*2)+(B71*2))/15)*('MATERIALES (2)'!$C$222*0.15))</f>
        <v>23140.474999999999</v>
      </c>
      <c r="N71" s="55">
        <f>(((A71*B71)*2)*'MATERIALES (2)'!$D$86)+(8*'MATERIALES (2)'!$C$218)+(((A71*2)+(B71*4))*'MATERIALES (2)'!$C$219)+(((A71*2)+(B71*4))*'MATERIALES (2)'!$C$220)+((((A71*2)+(B71*4))/15)*'MATERIALES (2)'!$C$221)+((((A71*2)+(B71*4))/15)*('MATERIALES (2)'!$C$222*0.15))</f>
        <v>28375.1</v>
      </c>
      <c r="O71" s="55">
        <f>(((A71*B71)*2)*'MATERIALES (2)'!$D$86)+(12*'MATERIALES (2)'!$C$218)+(((A71*2)+(B71*6))*'MATERIALES (2)'!$C$219)+(((A71*2)+(B71*6))*'MATERIALES (2)'!$C$220)+((((A71*2)+(B71*6))/15)*'MATERIALES (2)'!$C$221)+((((A71*2)+(B71*6))/15)*('MATERIALES (2)'!$C$222*0.15))</f>
        <v>33609.724999999999</v>
      </c>
      <c r="P71" s="55">
        <f>(A71*B71)*'MATERIALES (2)'!$D$92</f>
        <v>32534.999999999996</v>
      </c>
      <c r="Q71" s="55">
        <f>(A71*B71)*'MATERIALES (2)'!$D$92</f>
        <v>32534.999999999996</v>
      </c>
      <c r="R71" s="55">
        <f>(A71*B71)*'MATERIALES (2)'!$D$92</f>
        <v>32534.999999999996</v>
      </c>
      <c r="S71" s="125">
        <f t="shared" si="3"/>
        <v>229013.11395703125</v>
      </c>
      <c r="T71" s="125">
        <f t="shared" si="4"/>
        <v>336678.90587857971</v>
      </c>
      <c r="U71" s="125">
        <f t="shared" si="5"/>
        <v>446541.83697512816</v>
      </c>
      <c r="V71" s="125">
        <f t="shared" si="6"/>
        <v>272983.84528078127</v>
      </c>
      <c r="W71" s="125">
        <f t="shared" si="7"/>
        <v>394615.8784335797</v>
      </c>
      <c r="X71" s="125">
        <f t="shared" si="8"/>
        <v>518445.0507613782</v>
      </c>
      <c r="Y71" s="125">
        <f t="shared" si="9"/>
        <v>298048.90770703129</v>
      </c>
      <c r="Z71" s="125">
        <f t="shared" si="10"/>
        <v>405714.69962857966</v>
      </c>
      <c r="AA71" s="67">
        <f t="shared" si="11"/>
        <v>515577.63072512817</v>
      </c>
    </row>
    <row r="72" spans="1:27" ht="15.75" hidden="1" thickBot="1">
      <c r="A72" s="68">
        <v>0.5</v>
      </c>
      <c r="B72" s="69">
        <v>1.5</v>
      </c>
      <c r="C72" s="59">
        <f>((((A72*2)+(B72*2))*'MATERIALES (2)'!$C$60)+(((A72*2)+(B72*2))*'MATERIALES (2)'!$C$59)+(((A72*2)+(B72*2))*'MATERIALES (2)'!$C$76))*'MATERIALES (2)'!$F$2</f>
        <v>79747.499999999985</v>
      </c>
      <c r="D72" s="59">
        <f>((((A72*2)+(B72*2))*'MATERIALES (2)'!$C$60)+(((A72*2)+(B72*4))*'MATERIALES (2)'!$C$59)+(((A72*2)+(B72*4))*'MATERIALES (2)'!$C$76)+(B72*'MATERIALES (2)'!$C$80))*'MATERIALES (2)'!$F$2</f>
        <v>128330.81624999997</v>
      </c>
      <c r="E72" s="59">
        <f>((((A72*2)+(B72*2))*'MATERIALES (2)'!$C$60)+(((A72*2)+(B72*6))*'MATERIALES (2)'!$C$59)+(((A72*2)+(B72*6))*'MATERIALES (2)'!$C$76)+((B72*2)*'MATERIALES (2)'!$C$80))*'MATERIALES (2)'!$F$2</f>
        <v>176914.13250000001</v>
      </c>
      <c r="F72" s="59">
        <f>(8*'MATERIALES (2)'!$C$178)+(1*'MATERIALES (2)'!$C$183)+(2*'MATERIALES (2)'!$C$195)+(((A72*2)+(B72*2))*'MATERIALES (2)'!$C$198)+(4*'MATERIALES (2)'!$C$137)+(((A72*5)*2)*'MATERIALES (2)'!$C$136)+(((A72*2)+(B72*2))*'MATERIALES (2)'!$C$199)+((((A72*2)+(B72*2))/0.1)*'MATERIALES (2)'!$C$181)+(((A72*2)+(B72*2))*'MATERIALES (2)'!$C$154)+(2*'MATERIALES (2)'!$C$176)+(0.5*'MATERIALES (2)'!$C$156)</f>
        <v>33330</v>
      </c>
      <c r="G72" s="59">
        <f>(12*'MATERIALES (2)'!$C$178)+(1*'MATERIALES (2)'!$C$183)+(4*'MATERIALES (2)'!$C$195)+(((A72*2)+(B72*4))*'MATERIALES (2)'!$C$198)+(4*'MATERIALES (2)'!$C$137)+(((A72*5)*2)*'MATERIALES (2)'!$C$136)+(((A72*2)+(B72*2))*'MATERIALES (2)'!$C$199)+((((A72*2)+(B72*4))/0.1)*'MATERIALES (2)'!$C$181)+(((A72*2)+(B72*4))*'MATERIALES (2)'!$C$154)+(2*'MATERIALES (2)'!$C$176)+(0.5*'MATERIALES (2)'!$C$156)</f>
        <v>44530</v>
      </c>
      <c r="H72" s="59">
        <f>(16*'MATERIALES (2)'!$C$178)+(1*'MATERIALES (2)'!$C$183)+(4*'MATERIALES (2)'!$C$195)+(2*'MATERIALES (2)'!$C$197)+(((A72*2)+(B72*6))*'MATERIALES (2)'!$C$198)+(4*'MATERIALES (2)'!$C$137)+(((A72*5)*2)*'MATERIALES (2)'!$C$136)+(((A72*2)+(B72*2))*'MATERIALES (2)'!$C$199)+((((A72*2)+(B72*6))/0.1)*'MATERIALES (2)'!$C$181)+(((A72*2)+(B72*6))*'MATERIALES (2)'!$C$154)+(2*'MATERIALES (2)'!$C$176)+(0.5*'MATERIALES (2)'!$C$156)</f>
        <v>56950</v>
      </c>
      <c r="I72" s="75"/>
      <c r="J72" s="55">
        <f>(A72*B72)*'MATERIALES (2)'!$D$85</f>
        <v>5550</v>
      </c>
      <c r="K72" s="55">
        <f>(A72*B72)*'MATERIALES (2)'!$D$85</f>
        <v>5550</v>
      </c>
      <c r="L72" s="55">
        <f>(A72*B72)*'MATERIALES (2)'!$D$85</f>
        <v>5550</v>
      </c>
      <c r="M72" s="55">
        <f>(((A72*B72)*2)*'MATERIALES (2)'!$D$86)+(4*'MATERIALES (2)'!$C$218)+(((A72*2)+(B72*2))*'MATERIALES (2)'!$C$219)+(((A72*2)+(B72*2))*'MATERIALES (2)'!$C$220)+((((A72*2)+(B72*2))/15)*'MATERIALES (2)'!$C$221)+((((A72*2)+(B72*2))/15)*('MATERIALES (2)'!$C$222*0.15))</f>
        <v>20156.166666666668</v>
      </c>
      <c r="N72" s="55">
        <f>(((A72*B72)*2)*'MATERIALES (2)'!$D$86)+(8*'MATERIALES (2)'!$C$218)+(((A72*2)+(B72*4))*'MATERIALES (2)'!$C$219)+(((A72*2)+(B72*4))*'MATERIALES (2)'!$C$220)+((((A72*2)+(B72*4))/15)*'MATERIALES (2)'!$C$221)+((((A72*2)+(B72*4))/15)*('MATERIALES (2)'!$C$222*0.15))</f>
        <v>25390.791666666668</v>
      </c>
      <c r="O72" s="55">
        <f>(((A72*B72)*2)*'MATERIALES (2)'!$D$86)+(12*'MATERIALES (2)'!$C$218)+(((A72*2)+(B72*6))*'MATERIALES (2)'!$C$219)+(((A72*2)+(B72*6))*'MATERIALES (2)'!$C$220)+((((A72*2)+(B72*6))/15)*'MATERIALES (2)'!$C$221)+((((A72*2)+(B72*6))/15)*('MATERIALES (2)'!$C$222*0.15))</f>
        <v>30625.416666666664</v>
      </c>
      <c r="P72" s="55">
        <f>(A72*B72)*'MATERIALES (2)'!$D$92</f>
        <v>27112.5</v>
      </c>
      <c r="Q72" s="55">
        <f>(A72*B72)*'MATERIALES (2)'!$D$92</f>
        <v>27112.5</v>
      </c>
      <c r="R72" s="55">
        <f>(A72*B72)*'MATERIALES (2)'!$D$92</f>
        <v>27112.5</v>
      </c>
      <c r="S72" s="125">
        <f t="shared" si="3"/>
        <v>218452.76361562501</v>
      </c>
      <c r="T72" s="125">
        <f t="shared" si="4"/>
        <v>326118.55553717347</v>
      </c>
      <c r="U72" s="125">
        <f t="shared" si="5"/>
        <v>435981.48663372197</v>
      </c>
      <c r="V72" s="125">
        <f t="shared" si="6"/>
        <v>257422.74659062503</v>
      </c>
      <c r="W72" s="125">
        <f t="shared" si="7"/>
        <v>379054.77974342345</v>
      </c>
      <c r="X72" s="125">
        <f t="shared" si="8"/>
        <v>502883.95207122195</v>
      </c>
      <c r="Y72" s="125">
        <f t="shared" si="9"/>
        <v>275982.59174062504</v>
      </c>
      <c r="Z72" s="125">
        <f t="shared" si="10"/>
        <v>383648.38366217341</v>
      </c>
      <c r="AA72" s="67">
        <f t="shared" si="11"/>
        <v>493511.31475872197</v>
      </c>
    </row>
    <row r="73" spans="1:27" ht="15.75" hidden="1" thickBot="1">
      <c r="A73" s="68">
        <v>0.5</v>
      </c>
      <c r="B73" s="69">
        <v>1.5</v>
      </c>
      <c r="C73" s="59">
        <f>((((A73*2)+(B73*2))*'MATERIALES (2)'!$C$60)+(((A73*2)+(B73*2))*'MATERIALES (2)'!$C$59)+(((A73*2)+(B73*2))*'MATERIALES (2)'!$C$76))*'MATERIALES (2)'!$F$2</f>
        <v>79747.499999999985</v>
      </c>
      <c r="D73" s="59">
        <f>((((A73*2)+(B73*2))*'MATERIALES (2)'!$C$60)+(((A73*2)+(B73*4))*'MATERIALES (2)'!$C$59)+(((A73*2)+(B73*4))*'MATERIALES (2)'!$C$76)+(B73*'MATERIALES (2)'!$C$80))*'MATERIALES (2)'!$F$2</f>
        <v>128330.81624999997</v>
      </c>
      <c r="E73" s="59">
        <f>((((A73*2)+(B73*2))*'MATERIALES (2)'!$C$60)+(((A73*2)+(B73*6))*'MATERIALES (2)'!$C$59)+(((A73*2)+(B73*6))*'MATERIALES (2)'!$C$76)+((B73*2)*'MATERIALES (2)'!$C$80))*'MATERIALES (2)'!$F$2</f>
        <v>176914.13250000001</v>
      </c>
      <c r="F73" s="59">
        <f>(8*'MATERIALES (2)'!$C$178)+(1*'MATERIALES (2)'!$C$183)+(2*'MATERIALES (2)'!$C$195)+(((A73*2)+(B73*2))*'MATERIALES (2)'!$C$198)+(4*'MATERIALES (2)'!$C$137)+(((A73*5)*2)*'MATERIALES (2)'!$C$136)+(((A73*2)+(B73*2))*'MATERIALES (2)'!$C$199)+((((A73*2)+(B73*2))/0.1)*'MATERIALES (2)'!$C$181)+(((A73*2)+(B73*2))*'MATERIALES (2)'!$C$154)+(2*'MATERIALES (2)'!$C$176)+(0.5*'MATERIALES (2)'!$C$156)</f>
        <v>33330</v>
      </c>
      <c r="G73" s="59">
        <f>(12*'MATERIALES (2)'!$C$178)+(1*'MATERIALES (2)'!$C$183)+(4*'MATERIALES (2)'!$C$195)+(((A73*2)+(B73*4))*'MATERIALES (2)'!$C$198)+(4*'MATERIALES (2)'!$C$137)+(((A73*5)*2)*'MATERIALES (2)'!$C$136)+(((A73*2)+(B73*2))*'MATERIALES (2)'!$C$199)+((((A73*2)+(B73*4))/0.1)*'MATERIALES (2)'!$C$181)+(((A73*2)+(B73*4))*'MATERIALES (2)'!$C$154)+(2*'MATERIALES (2)'!$C$176)+(0.5*'MATERIALES (2)'!$C$156)</f>
        <v>44530</v>
      </c>
      <c r="H73" s="59">
        <f>(16*'MATERIALES (2)'!$C$178)+(1*'MATERIALES (2)'!$C$183)+(4*'MATERIALES (2)'!$C$195)+(2*'MATERIALES (2)'!$C$197)+(((A73*2)+(B73*6))*'MATERIALES (2)'!$C$198)+(4*'MATERIALES (2)'!$C$137)+(((A73*5)*2)*'MATERIALES (2)'!$C$136)+(((A73*2)+(B73*2))*'MATERIALES (2)'!$C$199)+((((A73*2)+(B73*6))/0.1)*'MATERIALES (2)'!$C$181)+(((A73*2)+(B73*6))*'MATERIALES (2)'!$C$154)+(2*'MATERIALES (2)'!$C$176)+(0.5*'MATERIALES (2)'!$C$156)</f>
        <v>56950</v>
      </c>
      <c r="I73" s="75"/>
      <c r="J73" s="55">
        <f>(A73*B73)*'MATERIALES (2)'!$D$85</f>
        <v>5550</v>
      </c>
      <c r="K73" s="55">
        <f>(A73*B73)*'MATERIALES (2)'!$D$85</f>
        <v>5550</v>
      </c>
      <c r="L73" s="55">
        <f>(A73*B73)*'MATERIALES (2)'!$D$85</f>
        <v>5550</v>
      </c>
      <c r="M73" s="55">
        <f>(((A73*B73)*2)*'MATERIALES (2)'!$D$86)+(4*'MATERIALES (2)'!$C$218)+(((A73*2)+(B73*2))*'MATERIALES (2)'!$C$219)+(((A73*2)+(B73*2))*'MATERIALES (2)'!$C$220)+((((A73*2)+(B73*2))/15)*'MATERIALES (2)'!$C$221)+((((A73*2)+(B73*2))/15)*('MATERIALES (2)'!$C$222*0.15))</f>
        <v>20156.166666666668</v>
      </c>
      <c r="N73" s="55">
        <f>(((A73*B73)*2)*'MATERIALES (2)'!$D$86)+(8*'MATERIALES (2)'!$C$218)+(((A73*2)+(B73*4))*'MATERIALES (2)'!$C$219)+(((A73*2)+(B73*4))*'MATERIALES (2)'!$C$220)+((((A73*2)+(B73*4))/15)*'MATERIALES (2)'!$C$221)+((((A73*2)+(B73*4))/15)*('MATERIALES (2)'!$C$222*0.15))</f>
        <v>25390.791666666668</v>
      </c>
      <c r="O73" s="55">
        <f>(((A73*B73)*2)*'MATERIALES (2)'!$D$86)+(12*'MATERIALES (2)'!$C$218)+(((A73*2)+(B73*6))*'MATERIALES (2)'!$C$219)+(((A73*2)+(B73*6))*'MATERIALES (2)'!$C$220)+((((A73*2)+(B73*6))/15)*'MATERIALES (2)'!$C$221)+((((A73*2)+(B73*6))/15)*('MATERIALES (2)'!$C$222*0.15))</f>
        <v>30625.416666666664</v>
      </c>
      <c r="P73" s="55">
        <f>(A73*B73)*'MATERIALES (2)'!$D$92</f>
        <v>27112.5</v>
      </c>
      <c r="Q73" s="55">
        <f>(A73*B73)*'MATERIALES (2)'!$D$92</f>
        <v>27112.5</v>
      </c>
      <c r="R73" s="55">
        <f>(A73*B73)*'MATERIALES (2)'!$D$92</f>
        <v>27112.5</v>
      </c>
      <c r="S73" s="125">
        <f t="shared" si="3"/>
        <v>218452.76361562501</v>
      </c>
      <c r="T73" s="125">
        <f t="shared" si="4"/>
        <v>326118.55553717347</v>
      </c>
      <c r="U73" s="125">
        <f t="shared" si="5"/>
        <v>435981.48663372197</v>
      </c>
      <c r="V73" s="125">
        <f t="shared" si="6"/>
        <v>257422.74659062503</v>
      </c>
      <c r="W73" s="125">
        <f t="shared" si="7"/>
        <v>379054.77974342345</v>
      </c>
      <c r="X73" s="125">
        <f t="shared" si="8"/>
        <v>502883.95207122195</v>
      </c>
      <c r="Y73" s="125">
        <f t="shared" si="9"/>
        <v>275982.59174062504</v>
      </c>
      <c r="Z73" s="125">
        <f t="shared" si="10"/>
        <v>383648.38366217341</v>
      </c>
      <c r="AA73" s="67">
        <f t="shared" si="11"/>
        <v>493511.31475872197</v>
      </c>
    </row>
    <row r="74" spans="1:27" ht="15.75" hidden="1" thickBot="1">
      <c r="A74" s="68">
        <v>0.6</v>
      </c>
      <c r="B74" s="69">
        <v>1.5</v>
      </c>
      <c r="C74" s="59">
        <f>((((A74*2)+(B74*2))*'MATERIALES (2)'!$C$60)+(((A74*2)+(B74*2))*'MATERIALES (2)'!$C$59)+(((A74*2)+(B74*2))*'MATERIALES (2)'!$C$76))*'MATERIALES (2)'!$F$2</f>
        <v>83734.875</v>
      </c>
      <c r="D74" s="59">
        <f>((((A74*2)+(B74*2))*'MATERIALES (2)'!$C$60)+(((A74*2)+(B74*4))*'MATERIALES (2)'!$C$59)+(((A74*2)+(B74*4))*'MATERIALES (2)'!$C$76)+(B74*'MATERIALES (2)'!$C$80))*'MATERIALES (2)'!$F$2</f>
        <v>132318.19125</v>
      </c>
      <c r="E74" s="59">
        <f>((((A74*2)+(B74*2))*'MATERIALES (2)'!$C$60)+(((A74*2)+(B74*6))*'MATERIALES (2)'!$C$59)+(((A74*2)+(B74*6))*'MATERIALES (2)'!$C$76)+((B74*2)*'MATERIALES (2)'!$C$80))*'MATERIALES (2)'!$F$2</f>
        <v>180901.50749999998</v>
      </c>
      <c r="F74" s="59">
        <f>(8*'MATERIALES (2)'!$C$178)+(1*'MATERIALES (2)'!$C$183)+(2*'MATERIALES (2)'!$C$195)+(((A74*2)+(B74*2))*'MATERIALES (2)'!$C$198)+(4*'MATERIALES (2)'!$C$137)+(((A74*5)*2)*'MATERIALES (2)'!$C$136)+(((A74*2)+(B74*2))*'MATERIALES (2)'!$C$199)+((((A74*2)+(B74*2))/0.1)*'MATERIALES (2)'!$C$181)+(((A74*2)+(B74*2))*'MATERIALES (2)'!$C$154)+(2*'MATERIALES (2)'!$C$176)+(0.5*'MATERIALES (2)'!$C$156)</f>
        <v>33562</v>
      </c>
      <c r="G74" s="59">
        <f>(12*'MATERIALES (2)'!$C$178)+(1*'MATERIALES (2)'!$C$183)+(4*'MATERIALES (2)'!$C$195)+(((A74*2)+(B74*4))*'MATERIALES (2)'!$C$198)+(4*'MATERIALES (2)'!$C$137)+(((A74*5)*2)*'MATERIALES (2)'!$C$136)+(((A74*2)+(B74*2))*'MATERIALES (2)'!$C$199)+((((A74*2)+(B74*4))/0.1)*'MATERIALES (2)'!$C$181)+(((A74*2)+(B74*4))*'MATERIALES (2)'!$C$154)+(2*'MATERIALES (2)'!$C$176)+(0.5*'MATERIALES (2)'!$C$156)</f>
        <v>44762</v>
      </c>
      <c r="H74" s="59">
        <f>(16*'MATERIALES (2)'!$C$178)+(1*'MATERIALES (2)'!$C$183)+(4*'MATERIALES (2)'!$C$195)+(2*'MATERIALES (2)'!$C$197)+(((A74*2)+(B74*6))*'MATERIALES (2)'!$C$198)+(4*'MATERIALES (2)'!$C$137)+(((A74*5)*2)*'MATERIALES (2)'!$C$136)+(((A74*2)+(B74*2))*'MATERIALES (2)'!$C$199)+((((A74*2)+(B74*6))/0.1)*'MATERIALES (2)'!$C$181)+(((A74*2)+(B74*6))*'MATERIALES (2)'!$C$154)+(2*'MATERIALES (2)'!$C$176)+(0.5*'MATERIALES (2)'!$C$156)</f>
        <v>57182</v>
      </c>
      <c r="I74" s="75"/>
      <c r="J74" s="55">
        <f>(A74*B74)*'MATERIALES (2)'!$D$85</f>
        <v>6659.9999999999991</v>
      </c>
      <c r="K74" s="55">
        <f>(A74*B74)*'MATERIALES (2)'!$D$85</f>
        <v>6659.9999999999991</v>
      </c>
      <c r="L74" s="55">
        <f>(A74*B74)*'MATERIALES (2)'!$D$85</f>
        <v>6659.9999999999991</v>
      </c>
      <c r="M74" s="55">
        <f>(((A74*B74)*2)*'MATERIALES (2)'!$D$86)+(4*'MATERIALES (2)'!$C$218)+(((A74*2)+(B74*2))*'MATERIALES (2)'!$C$219)+(((A74*2)+(B74*2))*'MATERIALES (2)'!$C$220)+((((A74*2)+(B74*2))/15)*'MATERIALES (2)'!$C$221)+((((A74*2)+(B74*2))/15)*('MATERIALES (2)'!$C$222*0.15))</f>
        <v>23140.474999999999</v>
      </c>
      <c r="N74" s="55">
        <f>(((A74*B74)*2)*'MATERIALES (2)'!$D$86)+(8*'MATERIALES (2)'!$C$218)+(((A74*2)+(B74*4))*'MATERIALES (2)'!$C$219)+(((A74*2)+(B74*4))*'MATERIALES (2)'!$C$220)+((((A74*2)+(B74*4))/15)*'MATERIALES (2)'!$C$221)+((((A74*2)+(B74*4))/15)*('MATERIALES (2)'!$C$222*0.15))</f>
        <v>28375.1</v>
      </c>
      <c r="O74" s="55">
        <f>(((A74*B74)*2)*'MATERIALES (2)'!$D$86)+(12*'MATERIALES (2)'!$C$218)+(((A74*2)+(B74*6))*'MATERIALES (2)'!$C$219)+(((A74*2)+(B74*6))*'MATERIALES (2)'!$C$220)+((((A74*2)+(B74*6))/15)*'MATERIALES (2)'!$C$221)+((((A74*2)+(B74*6))/15)*('MATERIALES (2)'!$C$222*0.15))</f>
        <v>33609.724999999999</v>
      </c>
      <c r="P74" s="55">
        <f>(A74*B74)*'MATERIALES (2)'!$D$92</f>
        <v>32534.999999999996</v>
      </c>
      <c r="Q74" s="55">
        <f>(A74*B74)*'MATERIALES (2)'!$D$92</f>
        <v>32534.999999999996</v>
      </c>
      <c r="R74" s="55">
        <f>(A74*B74)*'MATERIALES (2)'!$D$92</f>
        <v>32534.999999999996</v>
      </c>
      <c r="S74" s="125">
        <f t="shared" si="3"/>
        <v>229013.11395703125</v>
      </c>
      <c r="T74" s="125">
        <f t="shared" si="4"/>
        <v>336678.90587857971</v>
      </c>
      <c r="U74" s="125">
        <f t="shared" si="5"/>
        <v>446541.83697512816</v>
      </c>
      <c r="V74" s="125">
        <f t="shared" si="6"/>
        <v>272983.84528078127</v>
      </c>
      <c r="W74" s="125">
        <f t="shared" si="7"/>
        <v>394615.8784335797</v>
      </c>
      <c r="X74" s="125">
        <f t="shared" si="8"/>
        <v>518445.0507613782</v>
      </c>
      <c r="Y74" s="125">
        <f t="shared" si="9"/>
        <v>298048.90770703129</v>
      </c>
      <c r="Z74" s="125">
        <f t="shared" si="10"/>
        <v>405714.69962857966</v>
      </c>
      <c r="AA74" s="67">
        <f t="shared" si="11"/>
        <v>515577.63072512817</v>
      </c>
    </row>
    <row r="75" spans="1:27" ht="15.75" hidden="1" thickBot="1">
      <c r="A75" s="71">
        <v>0.5</v>
      </c>
      <c r="B75" s="72">
        <v>1.5</v>
      </c>
      <c r="C75" s="60">
        <f>((((A75*2)+(B75*2))*'MATERIALES (2)'!$C$60)+(((A75*2)+(B75*2))*'MATERIALES (2)'!$C$59)+(((A75*2)+(B75*2))*'MATERIALES (2)'!$C$76))*'MATERIALES (2)'!$F$2</f>
        <v>79747.499999999985</v>
      </c>
      <c r="D75" s="60">
        <f>((((A75*2)+(B75*2))*'MATERIALES (2)'!$C$60)+(((A75*2)+(B75*4))*'MATERIALES (2)'!$C$59)+(((A75*2)+(B75*4))*'MATERIALES (2)'!$C$76)+(B75*'MATERIALES (2)'!$C$80))*'MATERIALES (2)'!$F$2</f>
        <v>128330.81624999997</v>
      </c>
      <c r="E75" s="60">
        <f>((((A75*2)+(B75*2))*'MATERIALES (2)'!$C$60)+(((A75*2)+(B75*6))*'MATERIALES (2)'!$C$59)+(((A75*2)+(B75*6))*'MATERIALES (2)'!$C$76)+((B75*2)*'MATERIALES (2)'!$C$80))*'MATERIALES (2)'!$F$2</f>
        <v>176914.13250000001</v>
      </c>
      <c r="F75" s="60">
        <f>(8*'MATERIALES (2)'!$C$178)+(1*'MATERIALES (2)'!$C$183)+(2*'MATERIALES (2)'!$C$195)+(((A75*2)+(B75*2))*'MATERIALES (2)'!$C$198)+(4*'MATERIALES (2)'!$C$137)+(((A75*5)*2)*'MATERIALES (2)'!$C$136)+(((A75*2)+(B75*2))*'MATERIALES (2)'!$C$199)+((((A75*2)+(B75*2))/0.1)*'MATERIALES (2)'!$C$181)+(((A75*2)+(B75*2))*'MATERIALES (2)'!$C$154)+(2*'MATERIALES (2)'!$C$176)+(0.5*'MATERIALES (2)'!$C$156)</f>
        <v>33330</v>
      </c>
      <c r="G75" s="60">
        <f>(12*'MATERIALES (2)'!$C$178)+(1*'MATERIALES (2)'!$C$183)+(4*'MATERIALES (2)'!$C$195)+(((A75*2)+(B75*4))*'MATERIALES (2)'!$C$198)+(4*'MATERIALES (2)'!$C$137)+(((A75*5)*2)*'MATERIALES (2)'!$C$136)+(((A75*2)+(B75*2))*'MATERIALES (2)'!$C$199)+((((A75*2)+(B75*4))/0.1)*'MATERIALES (2)'!$C$181)+(((A75*2)+(B75*4))*'MATERIALES (2)'!$C$154)+(2*'MATERIALES (2)'!$C$176)+(0.5*'MATERIALES (2)'!$C$156)</f>
        <v>44530</v>
      </c>
      <c r="H75" s="60">
        <f>(16*'MATERIALES (2)'!$C$178)+(1*'MATERIALES (2)'!$C$183)+(4*'MATERIALES (2)'!$C$195)+(2*'MATERIALES (2)'!$C$197)+(((A75*2)+(B75*6))*'MATERIALES (2)'!$C$198)+(4*'MATERIALES (2)'!$C$137)+(((A75*5)*2)*'MATERIALES (2)'!$C$136)+(((A75*2)+(B75*2))*'MATERIALES (2)'!$C$199)+((((A75*2)+(B75*6))/0.1)*'MATERIALES (2)'!$C$181)+(((A75*2)+(B75*6))*'MATERIALES (2)'!$C$154)+(2*'MATERIALES (2)'!$C$176)+(0.5*'MATERIALES (2)'!$C$156)</f>
        <v>56950</v>
      </c>
      <c r="I75" s="76"/>
      <c r="J75" s="56">
        <f>(A75*B75)*'MATERIALES (2)'!$D$85</f>
        <v>5550</v>
      </c>
      <c r="K75" s="56">
        <f>(A75*B75)*'MATERIALES (2)'!$D$85</f>
        <v>5550</v>
      </c>
      <c r="L75" s="56">
        <f>(A75*B75)*'MATERIALES (2)'!$D$85</f>
        <v>5550</v>
      </c>
      <c r="M75" s="56">
        <f>(((A75*B75)*2)*'MATERIALES (2)'!$D$86)+(4*'MATERIALES (2)'!$C$218)+(((A75*2)+(B75*2))*'MATERIALES (2)'!$C$219)+(((A75*2)+(B75*2))*'MATERIALES (2)'!$C$220)+((((A75*2)+(B75*2))/15)*'MATERIALES (2)'!$C$221)+((((A75*2)+(B75*2))/15)*('MATERIALES (2)'!$C$222*0.15))</f>
        <v>20156.166666666668</v>
      </c>
      <c r="N75" s="56">
        <f>(((A75*B75)*2)*'MATERIALES (2)'!$D$86)+(8*'MATERIALES (2)'!$C$218)+(((A75*2)+(B75*4))*'MATERIALES (2)'!$C$219)+(((A75*2)+(B75*4))*'MATERIALES (2)'!$C$220)+((((A75*2)+(B75*4))/15)*'MATERIALES (2)'!$C$221)+((((A75*2)+(B75*4))/15)*('MATERIALES (2)'!$C$222*0.15))</f>
        <v>25390.791666666668</v>
      </c>
      <c r="O75" s="56">
        <f>(((A75*B75)*2)*'MATERIALES (2)'!$D$86)+(12*'MATERIALES (2)'!$C$218)+(((A75*2)+(B75*6))*'MATERIALES (2)'!$C$219)+(((A75*2)+(B75*6))*'MATERIALES (2)'!$C$220)+((((A75*2)+(B75*6))/15)*'MATERIALES (2)'!$C$221)+((((A75*2)+(B75*6))/15)*('MATERIALES (2)'!$C$222*0.15))</f>
        <v>30625.416666666664</v>
      </c>
      <c r="P75" s="56">
        <f>(A75*B75)*'MATERIALES (2)'!$D$92</f>
        <v>27112.5</v>
      </c>
      <c r="Q75" s="56">
        <f>(A75*B75)*'MATERIALES (2)'!$D$92</f>
        <v>27112.5</v>
      </c>
      <c r="R75" s="56">
        <f>(A75*B75)*'MATERIALES (2)'!$D$92</f>
        <v>27112.5</v>
      </c>
      <c r="S75" s="125">
        <f t="shared" si="3"/>
        <v>218452.76361562501</v>
      </c>
      <c r="T75" s="125">
        <f t="shared" si="4"/>
        <v>326118.55553717347</v>
      </c>
      <c r="U75" s="125">
        <f t="shared" si="5"/>
        <v>435981.48663372197</v>
      </c>
      <c r="V75" s="125">
        <f t="shared" si="6"/>
        <v>257422.74659062503</v>
      </c>
      <c r="W75" s="125">
        <f t="shared" si="7"/>
        <v>379054.77974342345</v>
      </c>
      <c r="X75" s="125">
        <f t="shared" si="8"/>
        <v>502883.95207122195</v>
      </c>
      <c r="Y75" s="125">
        <f t="shared" si="9"/>
        <v>275982.59174062504</v>
      </c>
      <c r="Z75" s="125">
        <f t="shared" si="10"/>
        <v>383648.38366217341</v>
      </c>
      <c r="AA75" s="67">
        <f t="shared" si="11"/>
        <v>493511.31475872197</v>
      </c>
    </row>
    <row r="76" spans="1:27" hidden="1"/>
    <row r="77" spans="1:27" hidden="1"/>
    <row r="78" spans="1:27" ht="15.75" hidden="1" thickBot="1"/>
    <row r="79" spans="1:27" ht="15.75" hidden="1" thickBot="1">
      <c r="C79" s="965">
        <v>1.35</v>
      </c>
      <c r="D79" s="966"/>
      <c r="E79" s="967"/>
      <c r="F79" s="965">
        <v>2</v>
      </c>
      <c r="G79" s="966"/>
      <c r="H79" s="548">
        <v>1.5</v>
      </c>
      <c r="K79" s="62" t="s">
        <v>163</v>
      </c>
    </row>
    <row r="80" spans="1:27" ht="15.75" hidden="1" thickBot="1">
      <c r="A80" s="792" t="s">
        <v>377</v>
      </c>
      <c r="B80" s="793"/>
      <c r="C80" s="793"/>
      <c r="D80" s="793"/>
      <c r="E80" s="793"/>
      <c r="F80" s="793"/>
      <c r="G80" s="793"/>
      <c r="H80" s="793"/>
      <c r="I80" s="793"/>
      <c r="J80" s="793"/>
      <c r="K80" s="794"/>
    </row>
    <row r="81" spans="1:12" ht="15.75" hidden="1" thickBot="1">
      <c r="A81" s="116" t="s">
        <v>116</v>
      </c>
      <c r="B81" s="116" t="s">
        <v>117</v>
      </c>
      <c r="C81" s="116" t="s">
        <v>162</v>
      </c>
      <c r="D81" s="116" t="s">
        <v>376</v>
      </c>
      <c r="E81" s="116" t="s">
        <v>120</v>
      </c>
      <c r="F81" s="608" t="s">
        <v>520</v>
      </c>
      <c r="G81" s="609" t="s">
        <v>260</v>
      </c>
      <c r="H81" s="608" t="s">
        <v>259</v>
      </c>
      <c r="I81" s="608" t="s">
        <v>521</v>
      </c>
      <c r="J81" s="608" t="s">
        <v>262</v>
      </c>
      <c r="K81" s="116" t="s">
        <v>263</v>
      </c>
      <c r="L81" s="32"/>
    </row>
    <row r="82" spans="1:12" hidden="1">
      <c r="A82" s="795"/>
      <c r="B82" s="796"/>
      <c r="C82" s="796"/>
      <c r="D82" s="796"/>
      <c r="E82" s="796"/>
      <c r="F82" s="796"/>
      <c r="G82" s="796"/>
      <c r="H82" s="796"/>
      <c r="I82" s="796"/>
      <c r="J82" s="796"/>
      <c r="K82" s="797"/>
      <c r="L82" s="197"/>
    </row>
    <row r="83" spans="1:12" hidden="1">
      <c r="A83" s="168">
        <v>0.4</v>
      </c>
      <c r="B83" s="169">
        <v>0.8</v>
      </c>
      <c r="C83" s="170">
        <f>((((A83*2)+(B83*2))*'MATERIALES (2)'!$C$60)+(((A83*2)+(B83*2))*'MATERIALES (2)'!$C$59)+(((A83*2)+(B83*2))*'MATERIALES (2)'!$C$76))*'MATERIALES (2)'!$F$2</f>
        <v>47848.500000000015</v>
      </c>
      <c r="D83" s="170">
        <f>(8*'MATERIALES (2)'!$C$178)+(1*'MATERIALES (2)'!$C$184)+(((A83*2)+(B83*2))*'MATERIALES (2)'!$C$198)+(4*'MATERIALES (2)'!$C$137)+(((A83*5)*2)*'MATERIALES (2)'!$C$136)+(((A83*2)+(B83*2))*'MATERIALES (2)'!$C$199)+((((A83*2)+(B83*2))/0.1)*'MATERIALES (2)'!$C$181)+(((A83*2)+(B83*2))*'MATERIALES (2)'!$C$154)+(2*'MATERIALES (2)'!$C$176)</f>
        <v>68474</v>
      </c>
      <c r="E83" s="170"/>
      <c r="F83" s="171">
        <f>(A83*B83)*'MATERIALES (2)'!$D$85</f>
        <v>2368.0000000000005</v>
      </c>
      <c r="G83" s="171">
        <f>(((A83*B83)*2)*'MATERIALES (2)'!$D$86)+(4*'MATERIALES (2)'!$C$218)+(((A83*2)+(B83*2))*'MATERIALES (2)'!$C$219)+(((A83*2)+(B83*2))*'MATERIALES (2)'!$C$220)+((((A83*2)+(B83*2))/15)*'MATERIALES (2)'!$C$221)+((((A83*2)+(B83*2))/15)*('MATERIALES (2)'!$C$222*0.15))</f>
        <v>9864.5000000000018</v>
      </c>
      <c r="H83" s="171">
        <f>(A83*B83)*'MATERIALES (2)'!$D$92</f>
        <v>11568.000000000002</v>
      </c>
      <c r="I83" s="172">
        <f>(((((C83+D83+E83)*$C$79)+(F83*$F$79))*1.21)*1.05)*1.05</f>
        <v>215807.05853437504</v>
      </c>
      <c r="J83" s="172">
        <f>(((((C83+D83+E83)*$C$79)+(G83*$F$79))*1.21)*1.05)*1.05</f>
        <v>235808.09535937503</v>
      </c>
      <c r="K83" s="173">
        <f>(((((C83+D83+E83)*$C$79)+(H83*$F$79))*1.21)*1.05)*1.05</f>
        <v>240353.11853437504</v>
      </c>
    </row>
    <row r="84" spans="1:12" hidden="1">
      <c r="A84" s="168">
        <v>0.4</v>
      </c>
      <c r="B84" s="169">
        <v>0.8</v>
      </c>
      <c r="C84" s="170">
        <f>((((A84*2)+(B84*2))*'MATERIALES (2)'!$C$60)+(((A84*2)+(B84*2))*'MATERIALES (2)'!$C$59)+(((A84*2)+(B84*2))*'MATERIALES (2)'!$C$76))*'MATERIALES (2)'!$F$2</f>
        <v>47848.500000000015</v>
      </c>
      <c r="D84" s="170">
        <f>(8*'MATERIALES (2)'!$C$178)+(1*'MATERIALES (2)'!$C$184)+(((A84*2)+(B84*2))*'MATERIALES (2)'!$C$198)+(4*'MATERIALES (2)'!$C$137)+(((A84*5)*2)*'MATERIALES (2)'!$C$136)+(((A84*2)+(B84*2))*'MATERIALES (2)'!$C$199)+((((A84*2)+(B84*2))/0.1)*'MATERIALES (2)'!$C$181)+(((A84*2)+(B84*2))*'MATERIALES (2)'!$C$154)+(2*'MATERIALES (2)'!$C$176)</f>
        <v>68474</v>
      </c>
      <c r="E84" s="170"/>
      <c r="F84" s="171">
        <f>(A84*B84)*'MATERIALES (2)'!$D$85</f>
        <v>2368.0000000000005</v>
      </c>
      <c r="G84" s="171">
        <f>(((A84*B84)*2)*'MATERIALES (2)'!$D$86)+(4*'MATERIALES (2)'!$C$218)+(((A84*2)+(B84*2))*'MATERIALES (2)'!$C$219)+(((A84*2)+(B84*2))*'MATERIALES (2)'!$C$220)+((((A84*2)+(B84*2))/15)*'MATERIALES (2)'!$C$221)+((((A84*2)+(B84*2))/15)*('MATERIALES (2)'!$C$222*0.15))</f>
        <v>9864.5000000000018</v>
      </c>
      <c r="H84" s="171">
        <f>(A84*B84)*'MATERIALES (2)'!$D$92</f>
        <v>11568.000000000002</v>
      </c>
      <c r="I84" s="172">
        <f t="shared" ref="I84:I99" si="12">(((((C84+D84+E84)*$C$79)+(F84*$F$79))*1.21)*1.05)*1.05</f>
        <v>215807.05853437504</v>
      </c>
      <c r="J84" s="172">
        <f t="shared" ref="J84:J99" si="13">(((((C84+D84+E84)*$C$79)+(G84*$F$79))*1.21)*1.05)*1.05</f>
        <v>235808.09535937503</v>
      </c>
      <c r="K84" s="173">
        <f t="shared" ref="K84:K99" si="14">(((((C84+D84+E84)*$C$79)+(H84*$F$79))*1.21)*1.05)*1.05</f>
        <v>240353.11853437504</v>
      </c>
    </row>
    <row r="85" spans="1:12" hidden="1">
      <c r="A85" s="168">
        <v>0.6</v>
      </c>
      <c r="B85" s="169">
        <v>0.8</v>
      </c>
      <c r="C85" s="170">
        <f>((((A85*2)+(B85*2))*'MATERIALES (2)'!$C$60)+(((A85*2)+(B85*2))*'MATERIALES (2)'!$C$59)+(((A85*2)+(B85*2))*'MATERIALES (2)'!$C$76))*'MATERIALES (2)'!$F$2</f>
        <v>55823.250000000007</v>
      </c>
      <c r="D85" s="170">
        <f>(8*'MATERIALES (2)'!$C$178)+(1*'MATERIALES (2)'!$C$184)+(((A85*2)+(B85*2))*'MATERIALES (2)'!$C$198)+(4*'MATERIALES (2)'!$C$137)+(((A85*5)*2)*'MATERIALES (2)'!$C$136)+(((A85*2)+(B85*2))*'MATERIALES (2)'!$C$199)+((((A85*2)+(B85*2))/0.1)*'MATERIALES (2)'!$C$181)+(((A85*2)+(B85*2))*'MATERIALES (2)'!$C$154)+(2*'MATERIALES (2)'!$C$176)</f>
        <v>68938</v>
      </c>
      <c r="E85" s="170"/>
      <c r="F85" s="171">
        <f>(A85*B85)*'MATERIALES (2)'!$D$85</f>
        <v>3552</v>
      </c>
      <c r="G85" s="171">
        <f>(((A85*B85)*2)*'MATERIALES (2)'!$D$86)+(4*'MATERIALES (2)'!$C$218)+(((A85*2)+(B85*2))*'MATERIALES (2)'!$C$219)+(((A85*2)+(B85*2))*'MATERIALES (2)'!$C$220)+((((A85*2)+(B85*2))/15)*'MATERIALES (2)'!$C$221)+((((A85*2)+(B85*2))/15)*('MATERIALES (2)'!$C$222*0.15))</f>
        <v>13363.516666666665</v>
      </c>
      <c r="H85" s="171">
        <f>(A85*B85)*'MATERIALES (2)'!$D$92</f>
        <v>17352</v>
      </c>
      <c r="I85" s="172">
        <f t="shared" si="12"/>
        <v>234163.6594171875</v>
      </c>
      <c r="J85" s="172">
        <f t="shared" si="13"/>
        <v>260341.27645968751</v>
      </c>
      <c r="K85" s="173">
        <f t="shared" si="14"/>
        <v>270982.74941718753</v>
      </c>
    </row>
    <row r="86" spans="1:12" hidden="1">
      <c r="A86" s="168">
        <v>0.5</v>
      </c>
      <c r="B86" s="169">
        <v>0.8</v>
      </c>
      <c r="C86" s="170">
        <f>((((A86*2)+(B86*2))*'MATERIALES (2)'!$C$60)+(((A86*2)+(B86*2))*'MATERIALES (2)'!$C$59)+(((A86*2)+(B86*2))*'MATERIALES (2)'!$C$76))*'MATERIALES (2)'!$F$2</f>
        <v>51835.875000000007</v>
      </c>
      <c r="D86" s="170">
        <f>(8*'MATERIALES (2)'!$C$178)+(1*'MATERIALES (2)'!$C$184)+(((A86*2)+(B86*2))*'MATERIALES (2)'!$C$198)+(4*'MATERIALES (2)'!$C$137)+(((A86*5)*2)*'MATERIALES (2)'!$C$136)+(((A86*2)+(B86*2))*'MATERIALES (2)'!$C$199)+((((A86*2)+(B86*2))/0.1)*'MATERIALES (2)'!$C$181)+(((A86*2)+(B86*2))*'MATERIALES (2)'!$C$154)+(2*'MATERIALES (2)'!$C$176)</f>
        <v>68706</v>
      </c>
      <c r="E86" s="170"/>
      <c r="F86" s="171">
        <f>(A86*B86)*'MATERIALES (2)'!$D$85</f>
        <v>2960</v>
      </c>
      <c r="G86" s="171">
        <f>(((A86*B86)*2)*'MATERIALES (2)'!$D$86)+(4*'MATERIALES (2)'!$C$218)+(((A86*2)+(B86*2))*'MATERIALES (2)'!$C$219)+(((A86*2)+(B86*2))*'MATERIALES (2)'!$C$220)+((((A86*2)+(B86*2))/15)*'MATERIALES (2)'!$C$221)+((((A86*2)+(B86*2))/15)*('MATERIALES (2)'!$C$222*0.15))</f>
        <v>11614.008333333333</v>
      </c>
      <c r="H86" s="171">
        <f>(A86*B86)*'MATERIALES (2)'!$D$92</f>
        <v>14460</v>
      </c>
      <c r="I86" s="172">
        <f t="shared" si="12"/>
        <v>224985.35897578127</v>
      </c>
      <c r="J86" s="172">
        <f t="shared" si="13"/>
        <v>248074.68590953125</v>
      </c>
      <c r="K86" s="173">
        <f t="shared" si="14"/>
        <v>255667.93397578126</v>
      </c>
    </row>
    <row r="87" spans="1:12" hidden="1">
      <c r="A87" s="168">
        <v>0.6</v>
      </c>
      <c r="B87" s="169">
        <v>0.8</v>
      </c>
      <c r="C87" s="170">
        <f>((((A87*2)+(B87*2))*'MATERIALES (2)'!$C$60)+(((A87*2)+(B87*2))*'MATERIALES (2)'!$C$59)+(((A87*2)+(B87*2))*'MATERIALES (2)'!$C$76))*'MATERIALES (2)'!$F$2</f>
        <v>55823.250000000007</v>
      </c>
      <c r="D87" s="170">
        <f>(8*'MATERIALES (2)'!$C$178)+(1*'MATERIALES (2)'!$C$184)+(((A87*2)+(B87*2))*'MATERIALES (2)'!$C$198)+(4*'MATERIALES (2)'!$C$137)+(((A87*5)*2)*'MATERIALES (2)'!$C$136)+(((A87*2)+(B87*2))*'MATERIALES (2)'!$C$199)+((((A87*2)+(B87*2))/0.1)*'MATERIALES (2)'!$C$181)+(((A87*2)+(B87*2))*'MATERIALES (2)'!$C$154)+(2*'MATERIALES (2)'!$C$176)</f>
        <v>68938</v>
      </c>
      <c r="E87" s="170"/>
      <c r="F87" s="171">
        <f>(A87*B87)*'MATERIALES (2)'!$D$85</f>
        <v>3552</v>
      </c>
      <c r="G87" s="171">
        <f>(((A87*B87)*2)*'MATERIALES (2)'!$D$86)+(4*'MATERIALES (2)'!$C$218)+(((A87*2)+(B87*2))*'MATERIALES (2)'!$C$219)+(((A87*2)+(B87*2))*'MATERIALES (2)'!$C$220)+((((A87*2)+(B87*2))/15)*'MATERIALES (2)'!$C$221)+((((A87*2)+(B87*2))/15)*('MATERIALES (2)'!$C$222*0.15))</f>
        <v>13363.516666666665</v>
      </c>
      <c r="H87" s="171">
        <f>(A87*B87)*'MATERIALES (2)'!$D$92</f>
        <v>17352</v>
      </c>
      <c r="I87" s="172">
        <f t="shared" si="12"/>
        <v>234163.6594171875</v>
      </c>
      <c r="J87" s="172">
        <f t="shared" si="13"/>
        <v>260341.27645968751</v>
      </c>
      <c r="K87" s="173">
        <f t="shared" si="14"/>
        <v>270982.74941718753</v>
      </c>
    </row>
    <row r="88" spans="1:12" hidden="1">
      <c r="A88" s="168">
        <v>0.5</v>
      </c>
      <c r="B88" s="169">
        <v>0.8</v>
      </c>
      <c r="C88" s="170">
        <f>((((A88*2)+(B88*2))*'MATERIALES (2)'!$C$60)+(((A88*2)+(B88*2))*'MATERIALES (2)'!$C$59)+(((A88*2)+(B88*2))*'MATERIALES (2)'!$C$76))*'MATERIALES (2)'!$F$2</f>
        <v>51835.875000000007</v>
      </c>
      <c r="D88" s="170">
        <f>(8*'MATERIALES (2)'!$C$178)+(1*'MATERIALES (2)'!$C$184)+(((A88*2)+(B88*2))*'MATERIALES (2)'!$C$198)+(4*'MATERIALES (2)'!$C$137)+(((A88*5)*2)*'MATERIALES (2)'!$C$136)+(((A88*2)+(B88*2))*'MATERIALES (2)'!$C$199)+((((A88*2)+(B88*2))/0.1)*'MATERIALES (2)'!$C$181)+(((A88*2)+(B88*2))*'MATERIALES (2)'!$C$154)+(2*'MATERIALES (2)'!$C$176)</f>
        <v>68706</v>
      </c>
      <c r="E88" s="170"/>
      <c r="F88" s="171">
        <f>(A88*B88)*'MATERIALES (2)'!$D$85</f>
        <v>2960</v>
      </c>
      <c r="G88" s="171">
        <f>(((A88*B88)*2)*'MATERIALES (2)'!$D$86)+(4*'MATERIALES (2)'!$C$218)+(((A88*2)+(B88*2))*'MATERIALES (2)'!$C$219)+(((A88*2)+(B88*2))*'MATERIALES (2)'!$C$220)+((((A88*2)+(B88*2))/15)*'MATERIALES (2)'!$C$221)+((((A88*2)+(B88*2))/15)*('MATERIALES (2)'!$C$222*0.15))</f>
        <v>11614.008333333333</v>
      </c>
      <c r="H88" s="171">
        <f>(A88*B88)*'MATERIALES (2)'!$D$92</f>
        <v>14460</v>
      </c>
      <c r="I88" s="172">
        <f t="shared" si="12"/>
        <v>224985.35897578127</v>
      </c>
      <c r="J88" s="172">
        <f t="shared" si="13"/>
        <v>248074.68590953125</v>
      </c>
      <c r="K88" s="173">
        <f t="shared" si="14"/>
        <v>255667.93397578126</v>
      </c>
    </row>
    <row r="89" spans="1:12" hidden="1">
      <c r="A89" s="168">
        <v>0.4</v>
      </c>
      <c r="B89" s="169">
        <v>1.1000000000000001</v>
      </c>
      <c r="C89" s="170">
        <f>((((A89*2)+(B89*2))*'MATERIALES (2)'!$C$60)+(((A89*2)+(B89*2))*'MATERIALES (2)'!$C$59)+(((A89*2)+(B89*2))*'MATERIALES (2)'!$C$76))*'MATERIALES (2)'!$F$2</f>
        <v>59810.625</v>
      </c>
      <c r="D89" s="170">
        <f>(8*'MATERIALES (2)'!$C$178)+(1*'MATERIALES (2)'!$C$184)+(((A89*2)+(B89*2))*'MATERIALES (2)'!$C$198)+(4*'MATERIALES (2)'!$C$137)+(((A89*5)*2)*'MATERIALES (2)'!$C$136)+(((A89*2)+(B89*2))*'MATERIALES (2)'!$C$199)+((((A89*2)+(B89*2))/0.1)*'MATERIALES (2)'!$C$181)+(((A89*2)+(B89*2))*'MATERIALES (2)'!$C$154)+(2*'MATERIALES (2)'!$C$176)</f>
        <v>69170</v>
      </c>
      <c r="E89" s="170"/>
      <c r="F89" s="171">
        <f>(A89*B89)*'MATERIALES (2)'!$D$85</f>
        <v>3256.0000000000005</v>
      </c>
      <c r="G89" s="171">
        <f>(((A89*B89)*2)*'MATERIALES (2)'!$D$86)+(4*'MATERIALES (2)'!$C$218)+(((A89*2)+(B89*2))*'MATERIALES (2)'!$C$219)+(((A89*2)+(B89*2))*'MATERIALES (2)'!$C$220)+((((A89*2)+(B89*2))/15)*'MATERIALES (2)'!$C$221)+((((A89*2)+(B89*2))/15)*('MATERIALES (2)'!$C$222*0.15))</f>
        <v>12996.225000000002</v>
      </c>
      <c r="H89" s="171">
        <f>(A89*B89)*'MATERIALES (2)'!$D$92</f>
        <v>15906.000000000002</v>
      </c>
      <c r="I89" s="172">
        <f t="shared" si="12"/>
        <v>240972.73145859377</v>
      </c>
      <c r="J89" s="172">
        <f t="shared" si="13"/>
        <v>266960.13876984379</v>
      </c>
      <c r="K89" s="173">
        <f t="shared" si="14"/>
        <v>274723.56395859376</v>
      </c>
    </row>
    <row r="90" spans="1:12" hidden="1">
      <c r="A90" s="168">
        <v>0.4</v>
      </c>
      <c r="B90" s="169">
        <v>1.1000000000000001</v>
      </c>
      <c r="C90" s="170">
        <f>((((A90*2)+(B90*2))*'MATERIALES (2)'!$C$60)+(((A90*2)+(B90*2))*'MATERIALES (2)'!$C$59)+(((A90*2)+(B90*2))*'MATERIALES (2)'!$C$76))*'MATERIALES (2)'!$F$2</f>
        <v>59810.625</v>
      </c>
      <c r="D90" s="170">
        <f>(8*'MATERIALES (2)'!$C$178)+(1*'MATERIALES (2)'!$C$184)+(((A90*2)+(B90*2))*'MATERIALES (2)'!$C$198)+(4*'MATERIALES (2)'!$C$137)+(((A90*5)*2)*'MATERIALES (2)'!$C$136)+(((A90*2)+(B90*2))*'MATERIALES (2)'!$C$199)+((((A90*2)+(B90*2))/0.1)*'MATERIALES (2)'!$C$181)+(((A90*2)+(B90*2))*'MATERIALES (2)'!$C$154)+(2*'MATERIALES (2)'!$C$176)</f>
        <v>69170</v>
      </c>
      <c r="E90" s="170"/>
      <c r="F90" s="171">
        <f>(A90*B90)*'MATERIALES (2)'!$D$85</f>
        <v>3256.0000000000005</v>
      </c>
      <c r="G90" s="171">
        <f>(((A90*B90)*2)*'MATERIALES (2)'!$D$86)+(4*'MATERIALES (2)'!$C$218)+(((A90*2)+(B90*2))*'MATERIALES (2)'!$C$219)+(((A90*2)+(B90*2))*'MATERIALES (2)'!$C$220)+((((A90*2)+(B90*2))/15)*'MATERIALES (2)'!$C$221)+((((A90*2)+(B90*2))/15)*('MATERIALES (2)'!$C$222*0.15))</f>
        <v>12996.225000000002</v>
      </c>
      <c r="H90" s="171">
        <f>(A90*B90)*'MATERIALES (2)'!$D$92</f>
        <v>15906.000000000002</v>
      </c>
      <c r="I90" s="172">
        <f t="shared" si="12"/>
        <v>240972.73145859377</v>
      </c>
      <c r="J90" s="172">
        <f t="shared" si="13"/>
        <v>266960.13876984379</v>
      </c>
      <c r="K90" s="173">
        <f t="shared" si="14"/>
        <v>274723.56395859376</v>
      </c>
    </row>
    <row r="91" spans="1:12" hidden="1">
      <c r="A91" s="168">
        <v>0.6</v>
      </c>
      <c r="B91" s="169">
        <v>1.1000000000000001</v>
      </c>
      <c r="C91" s="170">
        <f>((((A91*2)+(B91*2))*'MATERIALES (2)'!$C$60)+(((A91*2)+(B91*2))*'MATERIALES (2)'!$C$59)+(((A91*2)+(B91*2))*'MATERIALES (2)'!$C$76))*'MATERIALES (2)'!$F$2</f>
        <v>67785.375000000015</v>
      </c>
      <c r="D91" s="170">
        <f>(8*'MATERIALES (2)'!$C$178)+(1*'MATERIALES (2)'!$C$184)+(((A91*2)+(B91*2))*'MATERIALES (2)'!$C$198)+(4*'MATERIALES (2)'!$C$137)+(((A91*5)*2)*'MATERIALES (2)'!$C$136)+(((A91*2)+(B91*2))*'MATERIALES (2)'!$C$199)+((((A91*2)+(B91*2))/0.1)*'MATERIALES (2)'!$C$181)+(((A91*2)+(B91*2))*'MATERIALES (2)'!$C$154)+(2*'MATERIALES (2)'!$C$176)</f>
        <v>69634</v>
      </c>
      <c r="E91" s="170"/>
      <c r="F91" s="171">
        <f>(A91*B91)*'MATERIALES (2)'!$D$85</f>
        <v>4884</v>
      </c>
      <c r="G91" s="171">
        <f>(((A91*B91)*2)*'MATERIALES (2)'!$D$86)+(4*'MATERIALES (2)'!$C$218)+(((A91*2)+(B91*2))*'MATERIALES (2)'!$C$219)+(((A91*2)+(B91*2))*'MATERIALES (2)'!$C$220)+((((A91*2)+(B91*2))/15)*'MATERIALES (2)'!$C$221)+((((A91*2)+(B91*2))/15)*('MATERIALES (2)'!$C$222*0.15))</f>
        <v>17553.64166666667</v>
      </c>
      <c r="H91" s="171">
        <f>(A91*B91)*'MATERIALES (2)'!$D$92</f>
        <v>23859</v>
      </c>
      <c r="I91" s="172">
        <f t="shared" si="12"/>
        <v>260513.94654140624</v>
      </c>
      <c r="J91" s="172">
        <f t="shared" si="13"/>
        <v>294317.18399015628</v>
      </c>
      <c r="K91" s="173">
        <f t="shared" si="14"/>
        <v>311140.19529140624</v>
      </c>
    </row>
    <row r="92" spans="1:12" hidden="1">
      <c r="A92" s="168">
        <v>0.5</v>
      </c>
      <c r="B92" s="169">
        <v>1.1000000000000001</v>
      </c>
      <c r="C92" s="170">
        <f>((((A92*2)+(B92*2))*'MATERIALES (2)'!$C$60)+(((A92*2)+(B92*2))*'MATERIALES (2)'!$C$59)+(((A92*2)+(B92*2))*'MATERIALES (2)'!$C$76))*'MATERIALES (2)'!$F$2</f>
        <v>63797.999999999993</v>
      </c>
      <c r="D92" s="170">
        <f>(8*'MATERIALES (2)'!$C$178)+(1*'MATERIALES (2)'!$C$184)+(((A92*2)+(B92*2))*'MATERIALES (2)'!$C$198)+(4*'MATERIALES (2)'!$C$137)+(((A92*5)*2)*'MATERIALES (2)'!$C$136)+(((A92*2)+(B92*2))*'MATERIALES (2)'!$C$199)+((((A92*2)+(B92*2))/0.1)*'MATERIALES (2)'!$C$181)+(((A92*2)+(B92*2))*'MATERIALES (2)'!$C$154)+(2*'MATERIALES (2)'!$C$176)</f>
        <v>69402</v>
      </c>
      <c r="E92" s="170"/>
      <c r="F92" s="171">
        <f>(A92*B92)*'MATERIALES (2)'!$D$85</f>
        <v>4070.0000000000005</v>
      </c>
      <c r="G92" s="171">
        <f>(((A92*B92)*2)*'MATERIALES (2)'!$D$86)+(4*'MATERIALES (2)'!$C$218)+(((A92*2)+(B92*2))*'MATERIALES (2)'!$C$219)+(((A92*2)+(B92*2))*'MATERIALES (2)'!$C$220)+((((A92*2)+(B92*2))/15)*'MATERIALES (2)'!$C$221)+((((A92*2)+(B92*2))/15)*('MATERIALES (2)'!$C$222*0.15))</f>
        <v>15274.933333333334</v>
      </c>
      <c r="H92" s="171">
        <f>(A92*B92)*'MATERIALES (2)'!$D$92</f>
        <v>19882.5</v>
      </c>
      <c r="I92" s="172">
        <f t="shared" si="12"/>
        <v>250743.33900000004</v>
      </c>
      <c r="J92" s="172">
        <f t="shared" si="13"/>
        <v>280638.66138000001</v>
      </c>
      <c r="K92" s="173">
        <f t="shared" si="14"/>
        <v>292931.879625</v>
      </c>
    </row>
    <row r="93" spans="1:12" hidden="1">
      <c r="A93" s="168">
        <v>0.6</v>
      </c>
      <c r="B93" s="169">
        <v>1.1000000000000001</v>
      </c>
      <c r="C93" s="170">
        <f>((((A93*2)+(B93*2))*'MATERIALES (2)'!$C$60)+(((A93*2)+(B93*2))*'MATERIALES (2)'!$C$59)+(((A93*2)+(B93*2))*'MATERIALES (2)'!$C$76))*'MATERIALES (2)'!$F$2</f>
        <v>67785.375000000015</v>
      </c>
      <c r="D93" s="170">
        <f>(8*'MATERIALES (2)'!$C$178)+(1*'MATERIALES (2)'!$C$184)+(((A93*2)+(B93*2))*'MATERIALES (2)'!$C$198)+(4*'MATERIALES (2)'!$C$137)+(((A93*5)*2)*'MATERIALES (2)'!$C$136)+(((A93*2)+(B93*2))*'MATERIALES (2)'!$C$199)+((((A93*2)+(B93*2))/0.1)*'MATERIALES (2)'!$C$181)+(((A93*2)+(B93*2))*'MATERIALES (2)'!$C$154)+(2*'MATERIALES (2)'!$C$176)</f>
        <v>69634</v>
      </c>
      <c r="E93" s="170"/>
      <c r="F93" s="171">
        <f>(A93*B93)*'MATERIALES (2)'!$D$85</f>
        <v>4884</v>
      </c>
      <c r="G93" s="171">
        <f>(((A93*B93)*2)*'MATERIALES (2)'!$D$86)+(4*'MATERIALES (2)'!$C$218)+(((A93*2)+(B93*2))*'MATERIALES (2)'!$C$219)+(((A93*2)+(B93*2))*'MATERIALES (2)'!$C$220)+((((A93*2)+(B93*2))/15)*'MATERIALES (2)'!$C$221)+((((A93*2)+(B93*2))/15)*('MATERIALES (2)'!$C$222*0.15))</f>
        <v>17553.64166666667</v>
      </c>
      <c r="H93" s="171">
        <f>(A93*B93)*'MATERIALES (2)'!$D$92</f>
        <v>23859</v>
      </c>
      <c r="I93" s="172">
        <f t="shared" si="12"/>
        <v>260513.94654140624</v>
      </c>
      <c r="J93" s="172">
        <f t="shared" si="13"/>
        <v>294317.18399015628</v>
      </c>
      <c r="K93" s="173">
        <f t="shared" si="14"/>
        <v>311140.19529140624</v>
      </c>
    </row>
    <row r="94" spans="1:12" hidden="1">
      <c r="A94" s="168">
        <v>0.5</v>
      </c>
      <c r="B94" s="169">
        <v>1.1000000000000001</v>
      </c>
      <c r="C94" s="170">
        <f>((((A94*2)+(B94*2))*'MATERIALES (2)'!$C$60)+(((A94*2)+(B94*2))*'MATERIALES (2)'!$C$59)+(((A94*2)+(B94*2))*'MATERIALES (2)'!$C$76))*'MATERIALES (2)'!$F$2</f>
        <v>63797.999999999993</v>
      </c>
      <c r="D94" s="170">
        <f>(8*'MATERIALES (2)'!$C$178)+(1*'MATERIALES (2)'!$C$184)+(((A94*2)+(B94*2))*'MATERIALES (2)'!$C$198)+(4*'MATERIALES (2)'!$C$137)+(((A94*5)*2)*'MATERIALES (2)'!$C$136)+(((A94*2)+(B94*2))*'MATERIALES (2)'!$C$199)+((((A94*2)+(B94*2))/0.1)*'MATERIALES (2)'!$C$181)+(((A94*2)+(B94*2))*'MATERIALES (2)'!$C$154)+(2*'MATERIALES (2)'!$C$176)</f>
        <v>69402</v>
      </c>
      <c r="E94" s="170"/>
      <c r="F94" s="171">
        <f>(A94*B94)*'MATERIALES (2)'!$D$85</f>
        <v>4070.0000000000005</v>
      </c>
      <c r="G94" s="171">
        <f>(((A94*B94)*2)*'MATERIALES (2)'!$D$86)+(4*'MATERIALES (2)'!$C$218)+(((A94*2)+(B94*2))*'MATERIALES (2)'!$C$219)+(((A94*2)+(B94*2))*'MATERIALES (2)'!$C$220)+((((A94*2)+(B94*2))/15)*'MATERIALES (2)'!$C$221)+((((A94*2)+(B94*2))/15)*('MATERIALES (2)'!$C$222*0.15))</f>
        <v>15274.933333333334</v>
      </c>
      <c r="H94" s="171">
        <f>(A94*B94)*'MATERIALES (2)'!$D$92</f>
        <v>19882.5</v>
      </c>
      <c r="I94" s="172">
        <f t="shared" si="12"/>
        <v>250743.33900000004</v>
      </c>
      <c r="J94" s="172">
        <f t="shared" si="13"/>
        <v>280638.66138000001</v>
      </c>
      <c r="K94" s="173">
        <f t="shared" si="14"/>
        <v>292931.879625</v>
      </c>
    </row>
    <row r="95" spans="1:12" hidden="1">
      <c r="A95" s="168">
        <v>0.4</v>
      </c>
      <c r="B95" s="169">
        <v>1.5</v>
      </c>
      <c r="C95" s="170">
        <f>((((A95*2)+(B95*2))*'MATERIALES (2)'!$C$60)+(((A95*2)+(B95*2))*'MATERIALES (2)'!$C$59)+(((A95*2)+(B95*2))*'MATERIALES (2)'!$C$76))*'MATERIALES (2)'!$F$2</f>
        <v>75760.125</v>
      </c>
      <c r="D95" s="170">
        <f>(8*'MATERIALES (2)'!$C$178)+(1*'MATERIALES (2)'!$C$184)+(((A95*2)+(B95*2))*'MATERIALES (2)'!$C$198)+(4*'MATERIALES (2)'!$C$137)+(((A95*5)*2)*'MATERIALES (2)'!$C$136)+(((A95*2)+(B95*2))*'MATERIALES (2)'!$C$199)+((((A95*2)+(B95*2))/0.1)*'MATERIALES (2)'!$C$181)+(((A95*2)+(B95*2))*'MATERIALES (2)'!$C$154)+(2*'MATERIALES (2)'!$C$176)</f>
        <v>70098</v>
      </c>
      <c r="E95" s="170"/>
      <c r="F95" s="171">
        <f>(A95*B95)*'MATERIALES (2)'!$D$85</f>
        <v>4440.0000000000009</v>
      </c>
      <c r="G95" s="171">
        <f>(((A95*B95)*2)*'MATERIALES (2)'!$D$86)+(4*'MATERIALES (2)'!$C$218)+(((A95*2)+(B95*2))*'MATERIALES (2)'!$C$219)+(((A95*2)+(B95*2))*'MATERIALES (2)'!$C$220)+((((A95*2)+(B95*2))/15)*'MATERIALES (2)'!$C$221)+((((A95*2)+(B95*2))/15)*('MATERIALES (2)'!$C$222*0.15))</f>
        <v>17171.858333333337</v>
      </c>
      <c r="H95" s="171">
        <f>(A95*B95)*'MATERIALES (2)'!$D$92</f>
        <v>21690.000000000004</v>
      </c>
      <c r="I95" s="172">
        <f t="shared" si="12"/>
        <v>274526.96202421875</v>
      </c>
      <c r="J95" s="172">
        <f t="shared" si="13"/>
        <v>308496.1966504688</v>
      </c>
      <c r="K95" s="173">
        <f t="shared" si="14"/>
        <v>320550.8245242188</v>
      </c>
    </row>
    <row r="96" spans="1:12" hidden="1">
      <c r="A96" s="168">
        <v>0.6</v>
      </c>
      <c r="B96" s="169">
        <v>1.5</v>
      </c>
      <c r="C96" s="170">
        <f>((((A96*2)+(B96*2))*'MATERIALES (2)'!$C$60)+(((A96*2)+(B96*2))*'MATERIALES (2)'!$C$59)+(((A96*2)+(B96*2))*'MATERIALES (2)'!$C$76))*'MATERIALES (2)'!$F$2</f>
        <v>83734.875</v>
      </c>
      <c r="D96" s="170">
        <f>(8*'MATERIALES (2)'!$C$178)+(1*'MATERIALES (2)'!$C$184)+(((A96*2)+(B96*2))*'MATERIALES (2)'!$C$198)+(4*'MATERIALES (2)'!$C$137)+(((A96*5)*2)*'MATERIALES (2)'!$C$136)+(((A96*2)+(B96*2))*'MATERIALES (2)'!$C$199)+((((A96*2)+(B96*2))/0.1)*'MATERIALES (2)'!$C$181)+(((A96*2)+(B96*2))*'MATERIALES (2)'!$C$154)+(2*'MATERIALES (2)'!$C$176)</f>
        <v>70562</v>
      </c>
      <c r="E96" s="170"/>
      <c r="F96" s="171">
        <f>(A96*B96)*'MATERIALES (2)'!$D$85</f>
        <v>6659.9999999999991</v>
      </c>
      <c r="G96" s="171">
        <f>(((A96*B96)*2)*'MATERIALES (2)'!$D$86)+(4*'MATERIALES (2)'!$C$218)+(((A96*2)+(B96*2))*'MATERIALES (2)'!$C$219)+(((A96*2)+(B96*2))*'MATERIALES (2)'!$C$220)+((((A96*2)+(B96*2))/15)*'MATERIALES (2)'!$C$221)+((((A96*2)+(B96*2))/15)*('MATERIALES (2)'!$C$222*0.15))</f>
        <v>23140.474999999999</v>
      </c>
      <c r="H96" s="171">
        <f>(A96*B96)*'MATERIALES (2)'!$D$92</f>
        <v>32534.999999999996</v>
      </c>
      <c r="I96" s="172">
        <f t="shared" si="12"/>
        <v>295647.66270703124</v>
      </c>
      <c r="J96" s="172">
        <f t="shared" si="13"/>
        <v>339618.39403078129</v>
      </c>
      <c r="K96" s="173">
        <f t="shared" si="14"/>
        <v>364683.45645703131</v>
      </c>
    </row>
    <row r="97" spans="1:11" hidden="1">
      <c r="A97" s="168">
        <v>0.5</v>
      </c>
      <c r="B97" s="169">
        <v>1.5</v>
      </c>
      <c r="C97" s="170">
        <f>((((A97*2)+(B97*2))*'MATERIALES (2)'!$C$60)+(((A97*2)+(B97*2))*'MATERIALES (2)'!$C$59)+(((A97*2)+(B97*2))*'MATERIALES (2)'!$C$76))*'MATERIALES (2)'!$F$2</f>
        <v>79747.499999999985</v>
      </c>
      <c r="D97" s="170">
        <f>(8*'MATERIALES (2)'!$C$178)+(1*'MATERIALES (2)'!$C$184)+(((A97*2)+(B97*2))*'MATERIALES (2)'!$C$198)+(4*'MATERIALES (2)'!$C$137)+(((A97*5)*2)*'MATERIALES (2)'!$C$136)+(((A97*2)+(B97*2))*'MATERIALES (2)'!$C$199)+((((A97*2)+(B97*2))/0.1)*'MATERIALES (2)'!$C$181)+(((A97*2)+(B97*2))*'MATERIALES (2)'!$C$154)+(2*'MATERIALES (2)'!$C$176)</f>
        <v>70330</v>
      </c>
      <c r="E97" s="170"/>
      <c r="F97" s="171">
        <f>(A97*B97)*'MATERIALES (2)'!$D$85</f>
        <v>5550</v>
      </c>
      <c r="G97" s="171">
        <f>(((A97*B97)*2)*'MATERIALES (2)'!$D$86)+(4*'MATERIALES (2)'!$C$218)+(((A97*2)+(B97*2))*'MATERIALES (2)'!$C$219)+(((A97*2)+(B97*2))*'MATERIALES (2)'!$C$220)+((((A97*2)+(B97*2))/15)*'MATERIALES (2)'!$C$221)+((((A97*2)+(B97*2))/15)*('MATERIALES (2)'!$C$222*0.15))</f>
        <v>20156.166666666668</v>
      </c>
      <c r="H97" s="171">
        <f>(A97*B97)*'MATERIALES (2)'!$D$92</f>
        <v>27112.5</v>
      </c>
      <c r="I97" s="172">
        <f t="shared" si="12"/>
        <v>285087.31236562505</v>
      </c>
      <c r="J97" s="172">
        <f t="shared" si="13"/>
        <v>324057.29534062505</v>
      </c>
      <c r="K97" s="173">
        <f t="shared" si="14"/>
        <v>342617.14049062505</v>
      </c>
    </row>
    <row r="98" spans="1:11" hidden="1">
      <c r="A98" s="168">
        <v>0.6</v>
      </c>
      <c r="B98" s="169">
        <v>1.5</v>
      </c>
      <c r="C98" s="170">
        <f>((((A98*2)+(B98*2))*'MATERIALES (2)'!$C$60)+(((A98*2)+(B98*2))*'MATERIALES (2)'!$C$59)+(((A98*2)+(B98*2))*'MATERIALES (2)'!$C$76))*'MATERIALES (2)'!$F$2</f>
        <v>83734.875</v>
      </c>
      <c r="D98" s="170">
        <f>(8*'MATERIALES (2)'!$C$178)+(1*'MATERIALES (2)'!$C$184)+(((A98*2)+(B98*2))*'MATERIALES (2)'!$C$198)+(4*'MATERIALES (2)'!$C$137)+(((A98*5)*2)*'MATERIALES (2)'!$C$136)+(((A98*2)+(B98*2))*'MATERIALES (2)'!$C$199)+((((A98*2)+(B98*2))/0.1)*'MATERIALES (2)'!$C$181)+(((A98*2)+(B98*2))*'MATERIALES (2)'!$C$154)+(2*'MATERIALES (2)'!$C$176)</f>
        <v>70562</v>
      </c>
      <c r="E98" s="170"/>
      <c r="F98" s="171">
        <f>(A98*B98)*'MATERIALES (2)'!$D$85</f>
        <v>6659.9999999999991</v>
      </c>
      <c r="G98" s="171">
        <f>(((A98*B98)*2)*'MATERIALES (2)'!$D$86)+(4*'MATERIALES (2)'!$C$218)+(((A98*2)+(B98*2))*'MATERIALES (2)'!$C$219)+(((A98*2)+(B98*2))*'MATERIALES (2)'!$C$220)+((((A98*2)+(B98*2))/15)*'MATERIALES (2)'!$C$221)+((((A98*2)+(B98*2))/15)*('MATERIALES (2)'!$C$222*0.15))</f>
        <v>23140.474999999999</v>
      </c>
      <c r="H98" s="171">
        <f>(A98*B98)*'MATERIALES (2)'!$D$92</f>
        <v>32534.999999999996</v>
      </c>
      <c r="I98" s="172">
        <f t="shared" si="12"/>
        <v>295647.66270703124</v>
      </c>
      <c r="J98" s="172">
        <f t="shared" si="13"/>
        <v>339618.39403078129</v>
      </c>
      <c r="K98" s="173">
        <f t="shared" si="14"/>
        <v>364683.45645703131</v>
      </c>
    </row>
    <row r="99" spans="1:11" hidden="1">
      <c r="A99" s="168">
        <v>0.5</v>
      </c>
      <c r="B99" s="169">
        <v>1.5</v>
      </c>
      <c r="C99" s="170">
        <f>((((A99*2)+(B99*2))*'MATERIALES (2)'!$C$60)+(((A99*2)+(B99*2))*'MATERIALES (2)'!$C$59)+(((A99*2)+(B99*2))*'MATERIALES (2)'!$C$76))*'MATERIALES (2)'!$F$2</f>
        <v>79747.499999999985</v>
      </c>
      <c r="D99" s="170">
        <f>(8*'MATERIALES (2)'!$C$178)+(1*'MATERIALES (2)'!$C$184)+(((A99*2)+(B99*2))*'MATERIALES (2)'!$C$198)+(4*'MATERIALES (2)'!$C$137)+(((A99*5)*2)*'MATERIALES (2)'!$C$136)+(((A99*2)+(B99*2))*'MATERIALES (2)'!$C$199)+((((A99*2)+(B99*2))/0.1)*'MATERIALES (2)'!$C$181)+(((A99*2)+(B99*2))*'MATERIALES (2)'!$C$154)+(2*'MATERIALES (2)'!$C$176)</f>
        <v>70330</v>
      </c>
      <c r="E99" s="170"/>
      <c r="F99" s="171">
        <f>(A99*B99)*'MATERIALES (2)'!$D$85</f>
        <v>5550</v>
      </c>
      <c r="G99" s="171">
        <f>(((A99*B99)*2)*'MATERIALES (2)'!$D$86)+(4*'MATERIALES (2)'!$C$218)+(((A99*2)+(B99*2))*'MATERIALES (2)'!$C$219)+(((A99*2)+(B99*2))*'MATERIALES (2)'!$C$220)+((((A99*2)+(B99*2))/15)*'MATERIALES (2)'!$C$221)+((((A99*2)+(B99*2))/15)*('MATERIALES (2)'!$C$222*0.15))</f>
        <v>20156.166666666668</v>
      </c>
      <c r="H99" s="171">
        <f>(A99*B99)*'MATERIALES (2)'!$D$92</f>
        <v>27112.5</v>
      </c>
      <c r="I99" s="172">
        <f t="shared" si="12"/>
        <v>285087.31236562505</v>
      </c>
      <c r="J99" s="172">
        <f t="shared" si="13"/>
        <v>324057.29534062505</v>
      </c>
      <c r="K99" s="173">
        <f t="shared" si="14"/>
        <v>342617.14049062505</v>
      </c>
    </row>
    <row r="100" spans="1:11" hidden="1"/>
    <row r="101" spans="1:11" hidden="1"/>
    <row r="102" spans="1:11" hidden="1"/>
    <row r="103" spans="1:11" hidden="1"/>
    <row r="104" spans="1:11" hidden="1"/>
    <row r="105" spans="1:11" hidden="1"/>
    <row r="106" spans="1:11" hidden="1"/>
    <row r="107" spans="1:11" hidden="1"/>
    <row r="108" spans="1:11" hidden="1"/>
    <row r="109" spans="1:11" hidden="1"/>
    <row r="110" spans="1:11" hidden="1"/>
    <row r="111" spans="1:11" hidden="1"/>
    <row r="112" spans="1:11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</sheetData>
  <mergeCells count="22">
    <mergeCell ref="T3:T16"/>
    <mergeCell ref="C2:E2"/>
    <mergeCell ref="F2:G2"/>
    <mergeCell ref="A3:K3"/>
    <mergeCell ref="A5:K5"/>
    <mergeCell ref="M3:R4"/>
    <mergeCell ref="M27:R28"/>
    <mergeCell ref="C79:E79"/>
    <mergeCell ref="F79:G79"/>
    <mergeCell ref="C29:G29"/>
    <mergeCell ref="A80:K80"/>
    <mergeCell ref="A82:K82"/>
    <mergeCell ref="P54:Q54"/>
    <mergeCell ref="A55:AA55"/>
    <mergeCell ref="J56:L56"/>
    <mergeCell ref="M56:O56"/>
    <mergeCell ref="P56:R56"/>
    <mergeCell ref="S56:U56"/>
    <mergeCell ref="V56:X56"/>
    <mergeCell ref="Y56:AA56"/>
    <mergeCell ref="C54:I54"/>
    <mergeCell ref="J54:O54"/>
  </mergeCells>
  <pageMargins left="0.70866141732283472" right="0.70866141732283472" top="0.74803149606299213" bottom="0.74803149606299213" header="0.31496062992125984" footer="0.31496062992125984"/>
  <pageSetup scale="62" orientation="portrait" r:id="rId1"/>
  <tableParts count="2">
    <tablePart r:id="rId2"/>
    <tablePart r:id="rId3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372"/>
  <sheetViews>
    <sheetView topLeftCell="AH1" zoomScale="90" zoomScaleNormal="90" workbookViewId="0">
      <selection activeCell="BA10" sqref="BA10"/>
    </sheetView>
  </sheetViews>
  <sheetFormatPr baseColWidth="10" defaultRowHeight="15"/>
  <cols>
    <col min="1" max="1" width="7" hidden="1" customWidth="1"/>
    <col min="2" max="2" width="4.7109375" hidden="1" customWidth="1"/>
    <col min="3" max="3" width="13.28515625" hidden="1" customWidth="1"/>
    <col min="4" max="4" width="12.140625" hidden="1" customWidth="1"/>
    <col min="5" max="5" width="8.140625" hidden="1" customWidth="1"/>
    <col min="6" max="6" width="12.140625" hidden="1" customWidth="1"/>
    <col min="7" max="8" width="13.28515625" hidden="1" customWidth="1"/>
    <col min="9" max="9" width="30.42578125" hidden="1" customWidth="1"/>
    <col min="10" max="12" width="0" hidden="1" customWidth="1"/>
    <col min="13" max="13" width="7" hidden="1" customWidth="1"/>
    <col min="14" max="14" width="4.7109375" hidden="1" customWidth="1"/>
    <col min="15" max="15" width="13.28515625" hidden="1" customWidth="1"/>
    <col min="16" max="16" width="12.140625" hidden="1" customWidth="1"/>
    <col min="17" max="17" width="8.140625" hidden="1" customWidth="1"/>
    <col min="18" max="20" width="13.28515625" hidden="1" customWidth="1"/>
    <col min="21" max="21" width="30.42578125" hidden="1" customWidth="1"/>
    <col min="22" max="22" width="0" hidden="1" customWidth="1"/>
    <col min="23" max="23" width="7" hidden="1" customWidth="1"/>
    <col min="24" max="24" width="4.7109375" hidden="1" customWidth="1"/>
    <col min="25" max="25" width="13.28515625" hidden="1" customWidth="1"/>
    <col min="26" max="26" width="12.140625" hidden="1" customWidth="1"/>
    <col min="27" max="27" width="8.140625" hidden="1" customWidth="1"/>
    <col min="28" max="28" width="12.140625" hidden="1" customWidth="1"/>
    <col min="29" max="30" width="13.28515625" hidden="1" customWidth="1"/>
    <col min="31" max="33" width="0" hidden="1" customWidth="1"/>
    <col min="34" max="34" width="0.140625" customWidth="1"/>
    <col min="36" max="36" width="16.42578125" bestFit="1" customWidth="1"/>
    <col min="37" max="37" width="3.7109375" customWidth="1"/>
    <col min="38" max="38" width="13.85546875" bestFit="1" customWidth="1"/>
    <col min="39" max="39" width="3.7109375" customWidth="1"/>
    <col min="40" max="40" width="13.85546875" bestFit="1" customWidth="1"/>
    <col min="41" max="41" width="3.7109375" customWidth="1"/>
    <col min="42" max="42" width="13.85546875" bestFit="1" customWidth="1"/>
    <col min="43" max="43" width="3.7109375" customWidth="1"/>
    <col min="44" max="44" width="13.85546875" bestFit="1" customWidth="1"/>
    <col min="45" max="45" width="3.7109375" customWidth="1"/>
    <col min="46" max="46" width="12.28515625" bestFit="1" customWidth="1"/>
    <col min="47" max="47" width="2.28515625" customWidth="1"/>
    <col min="48" max="48" width="2.85546875" customWidth="1"/>
    <col min="49" max="49" width="4.28515625" customWidth="1"/>
    <col min="50" max="50" width="16.5703125" customWidth="1"/>
    <col min="51" max="51" width="12" bestFit="1" customWidth="1"/>
  </cols>
  <sheetData>
    <row r="1" spans="1:50" ht="15.75" customHeight="1" thickBot="1">
      <c r="AV1" s="575"/>
      <c r="AX1" s="575"/>
    </row>
    <row r="2" spans="1:50" ht="15.75" customHeight="1" thickBot="1">
      <c r="A2" s="32"/>
      <c r="B2" s="32"/>
      <c r="C2" s="807">
        <v>1.35</v>
      </c>
      <c r="D2" s="808"/>
      <c r="E2" s="809"/>
      <c r="F2" s="545">
        <v>2</v>
      </c>
      <c r="G2" s="32"/>
      <c r="H2" s="46" t="s">
        <v>163</v>
      </c>
      <c r="M2" s="32"/>
      <c r="N2" s="32"/>
      <c r="O2" s="807">
        <v>1.35</v>
      </c>
      <c r="P2" s="808"/>
      <c r="Q2" s="808"/>
      <c r="R2" s="809"/>
      <c r="S2" s="32"/>
      <c r="T2" s="46" t="s">
        <v>163</v>
      </c>
      <c r="AJ2" s="411" t="s">
        <v>627</v>
      </c>
      <c r="AK2" s="421"/>
      <c r="AL2" s="416" t="s">
        <v>628</v>
      </c>
      <c r="AM2" s="422"/>
      <c r="AN2" s="411" t="s">
        <v>629</v>
      </c>
      <c r="AO2" s="421"/>
      <c r="AP2" s="411" t="s">
        <v>630</v>
      </c>
      <c r="AQ2" s="423"/>
      <c r="AR2" s="416" t="s">
        <v>631</v>
      </c>
      <c r="AS2" s="416"/>
      <c r="AT2" s="416"/>
      <c r="AU2" s="77"/>
      <c r="AV2" s="575"/>
      <c r="AX2" s="575"/>
    </row>
    <row r="3" spans="1:50" ht="15.75" thickBot="1">
      <c r="A3" s="792" t="s">
        <v>194</v>
      </c>
      <c r="B3" s="793"/>
      <c r="C3" s="793"/>
      <c r="D3" s="793"/>
      <c r="E3" s="793"/>
      <c r="F3" s="793"/>
      <c r="G3" s="793"/>
      <c r="H3" s="794"/>
      <c r="M3" s="792" t="s">
        <v>208</v>
      </c>
      <c r="N3" s="793"/>
      <c r="O3" s="793"/>
      <c r="P3" s="793"/>
      <c r="Q3" s="793"/>
      <c r="R3" s="793"/>
      <c r="S3" s="793"/>
      <c r="T3" s="794"/>
      <c r="AV3" s="575"/>
      <c r="AX3" s="990" t="s">
        <v>671</v>
      </c>
    </row>
    <row r="4" spans="1:50" ht="15.75" thickBot="1">
      <c r="A4" s="36" t="s">
        <v>116</v>
      </c>
      <c r="B4" s="36" t="s">
        <v>117</v>
      </c>
      <c r="C4" s="36" t="s">
        <v>162</v>
      </c>
      <c r="D4" s="36" t="s">
        <v>119</v>
      </c>
      <c r="E4" s="36" t="s">
        <v>120</v>
      </c>
      <c r="F4" s="36" t="s">
        <v>118</v>
      </c>
      <c r="G4" s="36" t="s">
        <v>121</v>
      </c>
      <c r="H4" s="36" t="s">
        <v>122</v>
      </c>
      <c r="M4" s="36" t="s">
        <v>116</v>
      </c>
      <c r="N4" s="36" t="s">
        <v>117</v>
      </c>
      <c r="O4" s="36" t="s">
        <v>162</v>
      </c>
      <c r="P4" s="36" t="s">
        <v>119</v>
      </c>
      <c r="Q4" s="36" t="s">
        <v>120</v>
      </c>
      <c r="R4" s="36" t="s">
        <v>207</v>
      </c>
      <c r="S4" s="36" t="s">
        <v>121</v>
      </c>
      <c r="T4" s="36" t="s">
        <v>122</v>
      </c>
      <c r="AL4" s="4"/>
      <c r="AM4" s="32"/>
      <c r="AN4" s="289"/>
      <c r="AP4" s="287"/>
      <c r="AQ4" s="288"/>
      <c r="AR4" s="290"/>
      <c r="AS4" s="290"/>
      <c r="AT4" s="290"/>
      <c r="AV4" s="575"/>
      <c r="AX4" s="991"/>
    </row>
    <row r="5" spans="1:50" ht="15.75" customHeight="1" thickBot="1">
      <c r="A5" s="795"/>
      <c r="B5" s="796"/>
      <c r="C5" s="796"/>
      <c r="D5" s="796"/>
      <c r="E5" s="796"/>
      <c r="F5" s="796"/>
      <c r="G5" s="796"/>
      <c r="H5" s="797"/>
      <c r="M5" s="795"/>
      <c r="N5" s="796"/>
      <c r="O5" s="796"/>
      <c r="P5" s="796"/>
      <c r="Q5" s="796"/>
      <c r="R5" s="796"/>
      <c r="S5" s="796"/>
      <c r="T5" s="797"/>
      <c r="AK5" s="291"/>
      <c r="AL5" s="292"/>
      <c r="AM5" s="293"/>
      <c r="AN5" s="294"/>
      <c r="AO5" s="295"/>
      <c r="AP5" s="296"/>
      <c r="AQ5" s="293"/>
      <c r="AR5" s="297"/>
      <c r="AS5" s="297"/>
      <c r="AT5" s="297"/>
      <c r="AU5" s="291"/>
      <c r="AV5" s="575"/>
      <c r="AX5" s="991"/>
    </row>
    <row r="6" spans="1:50" ht="15.75" customHeight="1" thickBot="1">
      <c r="A6" s="65">
        <v>0.6</v>
      </c>
      <c r="B6" s="66">
        <v>2</v>
      </c>
      <c r="C6" s="58">
        <f>(((A6+(2*B6))*'MATERIALES (2)'!$C$60)+((A6+(2*B6))*'MATERIALES (2)'!$C$58)+(A6*'MATERIALES (2)'!$C$62)+((((A6*2)+(B6*2))*'MATERIALES (2)'!$C$76)*2))*'MATERIALES (2)'!$F$2</f>
        <v>126224.34299999999</v>
      </c>
      <c r="D6" s="58">
        <f>(1*'MATERIALES (2)'!$C$193)+(1*'MATERIALES (2)'!$C$194)+(3*'MATERIALES (2)'!$C$196)+(2*'MATERIALES (2)'!$C$178)+(2*'MATERIALES (2)'!$C$179)+(2*'MATERIALES (2)'!$C$180)+(4*'MATERIALES (2)'!$C$147)+(4*'MATERIALES (2)'!$C$148)+((A6+(2*B6))*'MATERIALES (2)'!$C$199)+((A6+(2*B6))*'MATERIALES (2)'!$C$198)+(((A6*2)+(B6*2))*'MATERIALES (2)'!$C$130)+(((((A6*2)+(B6*2))/0.1)*'MATERIALES (2)'!$C$181)*2)+(2*'MATERIALES (2)'!$C$176)+(((A6*5)*2)*'MATERIALES (2)'!$C$136)+(4*'MATERIALES (2)'!$C$137)</f>
        <v>56070</v>
      </c>
      <c r="E6" s="74"/>
      <c r="F6" s="54">
        <f>(A6*B6)*'MATERIALES (2)'!$D$85</f>
        <v>8880</v>
      </c>
      <c r="G6" s="58">
        <f>SUM(C6:F6)</f>
        <v>191174.34299999999</v>
      </c>
      <c r="H6" s="67">
        <f>((((SUM(C6:E6)*$C$2)+(F6*$F$2))*1.21)*1.05)*1.05</f>
        <v>351992.31874277635</v>
      </c>
      <c r="M6" s="65">
        <v>0.6</v>
      </c>
      <c r="N6" s="66">
        <v>2</v>
      </c>
      <c r="O6" s="58">
        <f>(((M6+(2*N6))*'MATERIALES (2)'!$C$60)+((M6+(2*N6))*'MATERIALES (2)'!$C$58)+(M6*'MATERIALES (2)'!$C$62)+((((M6*2)+(N6*2))*'MATERIALES (2)'!$C$76)*2))*'MATERIALES (2)'!$F$2</f>
        <v>126224.34299999999</v>
      </c>
      <c r="P6" s="58">
        <f>(1*'MATERIALES (2)'!$C$193)+(1*'MATERIALES (2)'!$C$194)+(3*'MATERIALES (2)'!$C$196)+(2*'MATERIALES (2)'!$C$178)+(2*'MATERIALES (2)'!$C$179)+(2*'MATERIALES (2)'!$C$180)+(4*'MATERIALES (2)'!$C$147)+(4*'MATERIALES (2)'!$C$148)+((M6+(2*N6))*'MATERIALES (2)'!$C$199)+((M6+(2*N6))*'MATERIALES (2)'!$C$198)+(((M6*2)+(N6*2))*'MATERIALES (2)'!$C$154)+(0.5*'MATERIALES (2)'!$C$156)+(((((M6*2)+(N6*2))/0.1)*'MATERIALES (2)'!$C$181)*2)+(2*'MATERIALES (2)'!$C$176)+(((M6*5)*2)*'MATERIALES (2)'!$C$136)+(4*'MATERIALES (2)'!$C$137)</f>
        <v>60070</v>
      </c>
      <c r="Q6" s="74"/>
      <c r="R6" s="54">
        <f>(((M6-0.2)*'MATERIALES (2)'!$C$30)*(N6/0.12))*'MATERIALES (2)'!$F$2</f>
        <v>75038.599999999991</v>
      </c>
      <c r="S6" s="58">
        <f>SUM(O6:R6)</f>
        <v>261332.94299999997</v>
      </c>
      <c r="T6" s="67">
        <f>((((SUM(O6:R6)*$O$2))*1.21)*1.05)*1.05</f>
        <v>470643.31703552627</v>
      </c>
      <c r="AK6" s="291"/>
      <c r="AL6" s="292"/>
      <c r="AM6" s="293"/>
      <c r="AN6" s="294"/>
      <c r="AO6" s="295"/>
      <c r="AP6" s="296"/>
      <c r="AQ6" s="293"/>
      <c r="AR6" s="297"/>
      <c r="AS6" s="297"/>
      <c r="AT6" s="297"/>
      <c r="AU6" s="291"/>
      <c r="AV6" s="575"/>
      <c r="AX6" s="991"/>
    </row>
    <row r="7" spans="1:50" ht="15.75" customHeight="1" thickBot="1">
      <c r="A7" s="68">
        <v>0.7</v>
      </c>
      <c r="B7" s="69">
        <v>2</v>
      </c>
      <c r="C7" s="59">
        <f>(((A7+(2*B7))*'MATERIALES (2)'!$C$60)+((A7+(2*B7))*'MATERIALES (2)'!$C$58)+(A7*'MATERIALES (2)'!$C$62)+((((A7*2)+(B7*2))*'MATERIALES (2)'!$C$76)*2))*'MATERIALES (2)'!$F$2</f>
        <v>131038.8135</v>
      </c>
      <c r="D7" s="59">
        <f>(1*'MATERIALES (2)'!$C$193)+(1*'MATERIALES (2)'!$C$194)+(3*'MATERIALES (2)'!$C$196)+(2*'MATERIALES (2)'!$C$178)+(2*'MATERIALES (2)'!$C$179)+(2*'MATERIALES (2)'!$C$180)+(4*'MATERIALES (2)'!$C$147)+(4*'MATERIALES (2)'!$C$148)+((A7+(2*B7))*'MATERIALES (2)'!$C$199)+((A7+(2*B7))*'MATERIALES (2)'!$C$198)+(((A7*2)+(B7*2))*'MATERIALES (2)'!$C$130)+(((((A7*2)+(B7*2))/0.1)*'MATERIALES (2)'!$C$181)*2)+(2*'MATERIALES (2)'!$C$176)+(((A7*5)*2)*'MATERIALES (2)'!$C$136)+(4*'MATERIALES (2)'!$C$137)</f>
        <v>56300</v>
      </c>
      <c r="E7" s="75"/>
      <c r="F7" s="55">
        <f>(A7*B7)*'MATERIALES (2)'!$D$85</f>
        <v>10360</v>
      </c>
      <c r="G7" s="59">
        <f t="shared" ref="G7:G13" si="0">SUM(C7:F7)</f>
        <v>197698.81349999999</v>
      </c>
      <c r="H7" s="67">
        <f t="shared" ref="H7:H13" si="1">((((SUM(C7:E7)*$C$2)+(F7*$F$2))*1.21)*1.05)*1.05</f>
        <v>365025.78991710569</v>
      </c>
      <c r="M7" s="68">
        <v>0.7</v>
      </c>
      <c r="N7" s="69">
        <v>2</v>
      </c>
      <c r="O7" s="59">
        <f>(((M7+(2*N7))*'MATERIALES (2)'!$C$60)+((M7+(2*N7))*'MATERIALES (2)'!$C$58)+(M7*'MATERIALES (2)'!$C$62)+((((M7*2)+(N7*2))*'MATERIALES (2)'!$C$76)*2))*'MATERIALES (2)'!$F$2</f>
        <v>131038.8135</v>
      </c>
      <c r="P7" s="59">
        <f>(1*'MATERIALES (2)'!$C$193)+(1*'MATERIALES (2)'!$C$194)+(3*'MATERIALES (2)'!$C$196)+(2*'MATERIALES (2)'!$C$178)+(2*'MATERIALES (2)'!$C$179)+(2*'MATERIALES (2)'!$C$180)+(4*'MATERIALES (2)'!$C$147)+(4*'MATERIALES (2)'!$C$148)+((M7+(2*N7))*'MATERIALES (2)'!$C$199)+((M7+(2*N7))*'MATERIALES (2)'!$C$198)+(((M7*2)+(N7*2))*'MATERIALES (2)'!$C$154)+(0.5*'MATERIALES (2)'!$C$156)+(((((M7*2)+(N7*2))/0.1)*'MATERIALES (2)'!$C$181)*2)+(2*'MATERIALES (2)'!$C$176)+(((M7*5)*2)*'MATERIALES (2)'!$C$136)+(4*'MATERIALES (2)'!$C$137)</f>
        <v>60300</v>
      </c>
      <c r="Q7" s="75"/>
      <c r="R7" s="55">
        <f>(((M7-0.2)*'MATERIALES (2)'!$C$30)*(N7/0.12))*'MATERIALES (2)'!$F$2</f>
        <v>93798.249999999985</v>
      </c>
      <c r="S7" s="59">
        <f t="shared" ref="S7:S13" si="2">SUM(O7:R7)</f>
        <v>285137.06349999999</v>
      </c>
      <c r="T7" s="67">
        <f t="shared" ref="T7:T13" si="3">((((SUM(O7:R7)*$O$2))*1.21)*1.05)*1.05</f>
        <v>513512.96103304316</v>
      </c>
      <c r="AK7" s="291"/>
      <c r="AL7" s="292"/>
      <c r="AM7" s="298"/>
      <c r="AN7" s="294"/>
      <c r="AO7" s="295"/>
      <c r="AP7" s="296"/>
      <c r="AQ7" s="298"/>
      <c r="AR7" s="297"/>
      <c r="AS7" s="297"/>
      <c r="AT7" s="297"/>
      <c r="AU7" s="291"/>
      <c r="AV7" s="575"/>
      <c r="AX7" s="991"/>
    </row>
    <row r="8" spans="1:50" ht="15" customHeight="1" thickBot="1">
      <c r="A8" s="68">
        <v>0.8</v>
      </c>
      <c r="B8" s="69">
        <v>2</v>
      </c>
      <c r="C8" s="59">
        <f>(((A8+(2*B8))*'MATERIALES (2)'!$C$60)+((A8+(2*B8))*'MATERIALES (2)'!$C$58)+(A8*'MATERIALES (2)'!$C$62)+((((A8*2)+(B8*2))*'MATERIALES (2)'!$C$76)*2))*'MATERIALES (2)'!$F$2</f>
        <v>135853.28399999999</v>
      </c>
      <c r="D8" s="59">
        <f>(1*'MATERIALES (2)'!$C$193)+(1*'MATERIALES (2)'!$C$194)+(3*'MATERIALES (2)'!$C$196)+(2*'MATERIALES (2)'!$C$178)+(2*'MATERIALES (2)'!$C$179)+(2*'MATERIALES (2)'!$C$180)+(4*'MATERIALES (2)'!$C$147)+(4*'MATERIALES (2)'!$C$148)+((A8+(2*B8))*'MATERIALES (2)'!$C$199)+((A8+(2*B8))*'MATERIALES (2)'!$C$198)+(((A8*2)+(B8*2))*'MATERIALES (2)'!$C$130)+(((((A8*2)+(B8*2))/0.1)*'MATERIALES (2)'!$C$181)*2)+(2*'MATERIALES (2)'!$C$176)+(((A8*5)*2)*'MATERIALES (2)'!$C$136)+(4*'MATERIALES (2)'!$C$137)</f>
        <v>56530</v>
      </c>
      <c r="E8" s="75"/>
      <c r="F8" s="55">
        <f>(A8*B8)*'MATERIALES (2)'!$D$85</f>
        <v>11840</v>
      </c>
      <c r="G8" s="59">
        <f t="shared" si="0"/>
        <v>204223.28399999999</v>
      </c>
      <c r="H8" s="67">
        <f t="shared" si="1"/>
        <v>378059.26109143498</v>
      </c>
      <c r="M8" s="68">
        <v>0.8</v>
      </c>
      <c r="N8" s="69">
        <v>2</v>
      </c>
      <c r="O8" s="59">
        <f>(((M8+(2*N8))*'MATERIALES (2)'!$C$60)+((M8+(2*N8))*'MATERIALES (2)'!$C$58)+(M8*'MATERIALES (2)'!$C$62)+((((M8*2)+(N8*2))*'MATERIALES (2)'!$C$76)*2))*'MATERIALES (2)'!$F$2</f>
        <v>135853.28399999999</v>
      </c>
      <c r="P8" s="59">
        <f>(1*'MATERIALES (2)'!$C$193)+(1*'MATERIALES (2)'!$C$194)+(3*'MATERIALES (2)'!$C$196)+(2*'MATERIALES (2)'!$C$178)+(2*'MATERIALES (2)'!$C$179)+(2*'MATERIALES (2)'!$C$180)+(4*'MATERIALES (2)'!$C$147)+(4*'MATERIALES (2)'!$C$148)+((M8+(2*N8))*'MATERIALES (2)'!$C$199)+((M8+(2*N8))*'MATERIALES (2)'!$C$198)+(((M8*2)+(N8*2))*'MATERIALES (2)'!$C$154)+(0.5*'MATERIALES (2)'!$C$156)+(((((M8*2)+(N8*2))/0.1)*'MATERIALES (2)'!$C$181)*2)+(2*'MATERIALES (2)'!$C$176)+(((M8*5)*2)*'MATERIALES (2)'!$C$136)+(4*'MATERIALES (2)'!$C$137)</f>
        <v>60530</v>
      </c>
      <c r="Q8" s="75"/>
      <c r="R8" s="55">
        <f>(((M8-0.2)*'MATERIALES (2)'!$C$30)*(N8/0.12))*'MATERIALES (2)'!$F$2</f>
        <v>112557.90000000002</v>
      </c>
      <c r="S8" s="59">
        <f t="shared" si="2"/>
        <v>308941.18400000001</v>
      </c>
      <c r="T8" s="67">
        <f t="shared" si="3"/>
        <v>556382.60503056005</v>
      </c>
      <c r="AL8" s="4"/>
      <c r="AM8" s="298"/>
      <c r="AN8" s="289"/>
      <c r="AO8" s="295"/>
      <c r="AP8" s="287"/>
      <c r="AQ8" s="298"/>
      <c r="AR8" s="297"/>
      <c r="AS8" s="297"/>
      <c r="AT8" s="297"/>
      <c r="AV8" s="575"/>
      <c r="AX8" s="991"/>
    </row>
    <row r="9" spans="1:50" ht="15.75" thickBot="1">
      <c r="A9" s="68">
        <v>0.9</v>
      </c>
      <c r="B9" s="69">
        <v>2</v>
      </c>
      <c r="C9" s="59">
        <f>(((A9+(2*B9))*'MATERIALES (2)'!$C$60)+((A9+(2*B9))*'MATERIALES (2)'!$C$58)+(A9*'MATERIALES (2)'!$C$62)+((((A9*2)+(B9*2))*'MATERIALES (2)'!$C$76)*2))*'MATERIALES (2)'!$F$2</f>
        <v>140667.75450000001</v>
      </c>
      <c r="D9" s="59">
        <f>(1*'MATERIALES (2)'!$C$193)+(1*'MATERIALES (2)'!$C$194)+(3*'MATERIALES (2)'!$C$196)+(2*'MATERIALES (2)'!$C$178)+(2*'MATERIALES (2)'!$C$179)+(2*'MATERIALES (2)'!$C$180)+(4*'MATERIALES (2)'!$C$147)+(4*'MATERIALES (2)'!$C$148)+((A9+(2*B9))*'MATERIALES (2)'!$C$199)+((A9+(2*B9))*'MATERIALES (2)'!$C$198)+(((A9*2)+(B9*2))*'MATERIALES (2)'!$C$130)+(((((A9*2)+(B9*2))/0.1)*'MATERIALES (2)'!$C$181)*2)+(2*'MATERIALES (2)'!$C$176)+(((A9*5)*2)*'MATERIALES (2)'!$C$136)+(4*'MATERIALES (2)'!$C$137)</f>
        <v>56760</v>
      </c>
      <c r="E9" s="75"/>
      <c r="F9" s="55">
        <f>(A9*B9)*'MATERIALES (2)'!$D$85</f>
        <v>13320</v>
      </c>
      <c r="G9" s="59">
        <f t="shared" si="0"/>
        <v>210747.75450000001</v>
      </c>
      <c r="H9" s="67">
        <f t="shared" si="1"/>
        <v>391092.73226576438</v>
      </c>
      <c r="M9" s="68">
        <v>0.9</v>
      </c>
      <c r="N9" s="69">
        <v>2</v>
      </c>
      <c r="O9" s="59">
        <f>(((M9+(2*N9))*'MATERIALES (2)'!$C$60)+((M9+(2*N9))*'MATERIALES (2)'!$C$58)+(M9*'MATERIALES (2)'!$C$62)+((((M9*2)+(N9*2))*'MATERIALES (2)'!$C$76)*2))*'MATERIALES (2)'!$F$2</f>
        <v>140667.75450000001</v>
      </c>
      <c r="P9" s="59">
        <f>(1*'MATERIALES (2)'!$C$193)+(1*'MATERIALES (2)'!$C$194)+(3*'MATERIALES (2)'!$C$196)+(2*'MATERIALES (2)'!$C$178)+(2*'MATERIALES (2)'!$C$179)+(2*'MATERIALES (2)'!$C$180)+(4*'MATERIALES (2)'!$C$147)+(4*'MATERIALES (2)'!$C$148)+((M9+(2*N9))*'MATERIALES (2)'!$C$199)+((M9+(2*N9))*'MATERIALES (2)'!$C$198)+(((M9*2)+(N9*2))*'MATERIALES (2)'!$C$154)+(0.5*'MATERIALES (2)'!$C$156)+(((((M9*2)+(N9*2))/0.1)*'MATERIALES (2)'!$C$181)*2)+(2*'MATERIALES (2)'!$C$176)+(((M9*5)*2)*'MATERIALES (2)'!$C$136)+(4*'MATERIALES (2)'!$C$137)</f>
        <v>60760</v>
      </c>
      <c r="Q9" s="75"/>
      <c r="R9" s="55">
        <f>(((M9-0.2)*'MATERIALES (2)'!$C$30)*(N9/0.12))*'MATERIALES (2)'!$F$2</f>
        <v>131317.55000000002</v>
      </c>
      <c r="S9" s="59">
        <f t="shared" si="2"/>
        <v>332745.30450000003</v>
      </c>
      <c r="T9" s="67">
        <f t="shared" si="3"/>
        <v>599252.249028077</v>
      </c>
      <c r="AL9" s="4"/>
      <c r="AM9" s="299"/>
      <c r="AN9" s="289"/>
      <c r="AO9" s="300"/>
      <c r="AP9" s="287"/>
      <c r="AQ9" s="288"/>
      <c r="AV9" s="575"/>
      <c r="AX9" s="991"/>
    </row>
    <row r="10" spans="1:50" ht="15.75" thickBot="1">
      <c r="A10" s="68">
        <v>0.6</v>
      </c>
      <c r="B10" s="69">
        <v>2.1</v>
      </c>
      <c r="C10" s="59">
        <f>(((A10+(2*B10))*'MATERIALES (2)'!$C$60)+((A10+(2*B10))*'MATERIALES (2)'!$C$58)+(A10*'MATERIALES (2)'!$C$62)+((((A10*2)+(B10*2))*'MATERIALES (2)'!$C$76)*2))*'MATERIALES (2)'!$F$2</f>
        <v>131091.21899999998</v>
      </c>
      <c r="D10" s="59">
        <f>(1*'MATERIALES (2)'!$C$193)+(1*'MATERIALES (2)'!$C$194)+(3*'MATERIALES (2)'!$C$196)+(2*'MATERIALES (2)'!$C$178)+(2*'MATERIALES (2)'!$C$179)+(2*'MATERIALES (2)'!$C$180)+(4*'MATERIALES (2)'!$C$147)+(4*'MATERIALES (2)'!$C$148)+((A10+(2*B10))*'MATERIALES (2)'!$C$199)+((A10+(2*B10))*'MATERIALES (2)'!$C$198)+(((A10*2)+(B10*2))*'MATERIALES (2)'!$C$130)+(((((A10*2)+(B10*2))/0.1)*'MATERIALES (2)'!$C$181)*2)+(2*'MATERIALES (2)'!$C$176)+(((A10*5)*2)*'MATERIALES (2)'!$C$136)+(4*'MATERIALES (2)'!$C$137)</f>
        <v>56362</v>
      </c>
      <c r="E10" s="75"/>
      <c r="F10" s="55">
        <f>(A10*B10)*'MATERIALES (2)'!$D$85</f>
        <v>9324</v>
      </c>
      <c r="G10" s="59">
        <f t="shared" si="0"/>
        <v>196777.21899999998</v>
      </c>
      <c r="H10" s="67">
        <f t="shared" si="1"/>
        <v>362467.72684324131</v>
      </c>
      <c r="M10" s="68">
        <v>0.6</v>
      </c>
      <c r="N10" s="69">
        <v>2.1</v>
      </c>
      <c r="O10" s="59">
        <f>(((M10+(2*N10))*'MATERIALES (2)'!$C$60)+((M10+(2*N10))*'MATERIALES (2)'!$C$58)+(M10*'MATERIALES (2)'!$C$62)+((((M10*2)+(N10*2))*'MATERIALES (2)'!$C$76)*2))*'MATERIALES (2)'!$F$2</f>
        <v>131091.21899999998</v>
      </c>
      <c r="P10" s="59">
        <f>(1*'MATERIALES (2)'!$C$193)+(1*'MATERIALES (2)'!$C$194)+(3*'MATERIALES (2)'!$C$196)+(2*'MATERIALES (2)'!$C$178)+(2*'MATERIALES (2)'!$C$179)+(2*'MATERIALES (2)'!$C$180)+(4*'MATERIALES (2)'!$C$147)+(4*'MATERIALES (2)'!$C$148)+((M10+(2*N10))*'MATERIALES (2)'!$C$199)+((M10+(2*N10))*'MATERIALES (2)'!$C$198)+(((M10*2)+(N10*2))*'MATERIALES (2)'!$C$154)+(0.5*'MATERIALES (2)'!$C$156)+(((((M10*2)+(N10*2))/0.1)*'MATERIALES (2)'!$C$181)*2)+(2*'MATERIALES (2)'!$C$176)+(((M10*5)*2)*'MATERIALES (2)'!$C$136)+(4*'MATERIALES (2)'!$C$137)</f>
        <v>60362</v>
      </c>
      <c r="Q10" s="75"/>
      <c r="R10" s="55">
        <f>(((M10-0.2)*'MATERIALES (2)'!$C$30)*(N10/0.12))*'MATERIALES (2)'!$F$2</f>
        <v>78790.529999999984</v>
      </c>
      <c r="S10" s="59">
        <f t="shared" si="2"/>
        <v>270243.74899999995</v>
      </c>
      <c r="T10" s="67">
        <f t="shared" si="3"/>
        <v>486691.0883006287</v>
      </c>
      <c r="AM10" s="299"/>
      <c r="AO10" s="300"/>
      <c r="AQ10" s="288"/>
      <c r="AV10" s="575"/>
      <c r="AX10" s="991"/>
    </row>
    <row r="11" spans="1:50" ht="15.75" thickBot="1">
      <c r="A11" s="68">
        <v>0.7</v>
      </c>
      <c r="B11" s="69">
        <v>2.1</v>
      </c>
      <c r="C11" s="59">
        <f>(((A11+(2*B11))*'MATERIALES (2)'!$C$60)+((A11+(2*B11))*'MATERIALES (2)'!$C$58)+(A11*'MATERIALES (2)'!$C$62)+((((A11*2)+(B11*2))*'MATERIALES (2)'!$C$76)*2))*'MATERIALES (2)'!$F$2</f>
        <v>135905.68949999998</v>
      </c>
      <c r="D11" s="59">
        <f>(1*'MATERIALES (2)'!$C$193)+(1*'MATERIALES (2)'!$C$194)+(3*'MATERIALES (2)'!$C$196)+(2*'MATERIALES (2)'!$C$178)+(2*'MATERIALES (2)'!$C$179)+(2*'MATERIALES (2)'!$C$180)+(4*'MATERIALES (2)'!$C$147)+(4*'MATERIALES (2)'!$C$148)+((A11+(2*B11))*'MATERIALES (2)'!$C$199)+((A11+(2*B11))*'MATERIALES (2)'!$C$198)+(((A11*2)+(B11*2))*'MATERIALES (2)'!$C$130)+(((((A11*2)+(B11*2))/0.1)*'MATERIALES (2)'!$C$181)*2)+(2*'MATERIALES (2)'!$C$176)+(((A11*5)*2)*'MATERIALES (2)'!$C$136)+(4*'MATERIALES (2)'!$C$137)</f>
        <v>56592</v>
      </c>
      <c r="E11" s="75"/>
      <c r="F11" s="55">
        <f>(A11*B11)*'MATERIALES (2)'!$D$85</f>
        <v>10878</v>
      </c>
      <c r="G11" s="59">
        <f t="shared" si="0"/>
        <v>203375.68949999998</v>
      </c>
      <c r="H11" s="67">
        <f t="shared" si="1"/>
        <v>375698.63371757069</v>
      </c>
      <c r="M11" s="68">
        <v>0.7</v>
      </c>
      <c r="N11" s="69">
        <v>2.1</v>
      </c>
      <c r="O11" s="59">
        <f>(((M11+(2*N11))*'MATERIALES (2)'!$C$60)+((M11+(2*N11))*'MATERIALES (2)'!$C$58)+(M11*'MATERIALES (2)'!$C$62)+((((M11*2)+(N11*2))*'MATERIALES (2)'!$C$76)*2))*'MATERIALES (2)'!$F$2</f>
        <v>135905.68949999998</v>
      </c>
      <c r="P11" s="59">
        <f>(1*'MATERIALES (2)'!$C$193)+(1*'MATERIALES (2)'!$C$194)+(3*'MATERIALES (2)'!$C$196)+(2*'MATERIALES (2)'!$C$178)+(2*'MATERIALES (2)'!$C$179)+(2*'MATERIALES (2)'!$C$180)+(4*'MATERIALES (2)'!$C$147)+(4*'MATERIALES (2)'!$C$148)+((M11+(2*N11))*'MATERIALES (2)'!$C$199)+((M11+(2*N11))*'MATERIALES (2)'!$C$198)+(((M11*2)+(N11*2))*'MATERIALES (2)'!$C$154)+(0.5*'MATERIALES (2)'!$C$156)+(((((M11*2)+(N11*2))/0.1)*'MATERIALES (2)'!$C$181)*2)+(2*'MATERIALES (2)'!$C$176)+(((M11*5)*2)*'MATERIALES (2)'!$C$136)+(4*'MATERIALES (2)'!$C$137)</f>
        <v>60592</v>
      </c>
      <c r="Q11" s="75"/>
      <c r="R11" s="55">
        <f>(((M11-0.2)*'MATERIALES (2)'!$C$30)*(N11/0.12))*'MATERIALES (2)'!$F$2</f>
        <v>98488.162499999991</v>
      </c>
      <c r="S11" s="59">
        <f t="shared" si="2"/>
        <v>294985.85199999996</v>
      </c>
      <c r="T11" s="67">
        <f t="shared" si="3"/>
        <v>531249.97663930501</v>
      </c>
      <c r="AL11" s="4"/>
      <c r="AM11" s="299"/>
      <c r="AO11" s="300"/>
      <c r="AP11" s="287"/>
      <c r="AQ11" s="288"/>
      <c r="AT11" s="500"/>
      <c r="AV11" s="575"/>
      <c r="AX11" s="991"/>
    </row>
    <row r="12" spans="1:50" ht="15.75" customHeight="1" thickBot="1">
      <c r="A12" s="68">
        <v>0.8</v>
      </c>
      <c r="B12" s="69">
        <v>2.1</v>
      </c>
      <c r="C12" s="59">
        <f>(((A12+(2*B12))*'MATERIALES (2)'!$C$60)+((A12+(2*B12))*'MATERIALES (2)'!$C$58)+(A12*'MATERIALES (2)'!$C$62)+((((A12*2)+(B12*2))*'MATERIALES (2)'!$C$76)*2))*'MATERIALES (2)'!$F$2</f>
        <v>140720.16</v>
      </c>
      <c r="D12" s="59">
        <f>(1*'MATERIALES (2)'!$C$193)+(1*'MATERIALES (2)'!$C$194)+(3*'MATERIALES (2)'!$C$196)+(2*'MATERIALES (2)'!$C$178)+(2*'MATERIALES (2)'!$C$179)+(2*'MATERIALES (2)'!$C$180)+(4*'MATERIALES (2)'!$C$147)+(4*'MATERIALES (2)'!$C$148)+((A12+(2*B12))*'MATERIALES (2)'!$C$199)+((A12+(2*B12))*'MATERIALES (2)'!$C$198)+(((A12*2)+(B12*2))*'MATERIALES (2)'!$C$130)+(((((A12*2)+(B12*2))/0.1)*'MATERIALES (2)'!$C$181)*2)+(2*'MATERIALES (2)'!$C$176)+(((A12*5)*2)*'MATERIALES (2)'!$C$136)+(4*'MATERIALES (2)'!$C$137)</f>
        <v>56822</v>
      </c>
      <c r="E12" s="75"/>
      <c r="F12" s="55">
        <f>(A12*B12)*'MATERIALES (2)'!$D$85</f>
        <v>12432.000000000002</v>
      </c>
      <c r="G12" s="59">
        <f t="shared" si="0"/>
        <v>209974.16</v>
      </c>
      <c r="H12" s="67">
        <f t="shared" si="1"/>
        <v>388929.54059190006</v>
      </c>
      <c r="M12" s="68">
        <v>0.8</v>
      </c>
      <c r="N12" s="69">
        <v>2.1</v>
      </c>
      <c r="O12" s="59">
        <f>(((M12+(2*N12))*'MATERIALES (2)'!$C$60)+((M12+(2*N12))*'MATERIALES (2)'!$C$58)+(M12*'MATERIALES (2)'!$C$62)+((((M12*2)+(N12*2))*'MATERIALES (2)'!$C$76)*2))*'MATERIALES (2)'!$F$2</f>
        <v>140720.16</v>
      </c>
      <c r="P12" s="59">
        <f>(1*'MATERIALES (2)'!$C$193)+(1*'MATERIALES (2)'!$C$194)+(3*'MATERIALES (2)'!$C$196)+(2*'MATERIALES (2)'!$C$178)+(2*'MATERIALES (2)'!$C$179)+(2*'MATERIALES (2)'!$C$180)+(4*'MATERIALES (2)'!$C$147)+(4*'MATERIALES (2)'!$C$148)+((M12+(2*N12))*'MATERIALES (2)'!$C$199)+((M12+(2*N12))*'MATERIALES (2)'!$C$198)+(((M12*2)+(N12*2))*'MATERIALES (2)'!$C$154)+(0.5*'MATERIALES (2)'!$C$156)+(((((M12*2)+(N12*2))/0.1)*'MATERIALES (2)'!$C$181)*2)+(2*'MATERIALES (2)'!$C$176)+(((M12*5)*2)*'MATERIALES (2)'!$C$136)+(4*'MATERIALES (2)'!$C$137)</f>
        <v>60822</v>
      </c>
      <c r="Q12" s="75"/>
      <c r="R12" s="55">
        <f>(((M12-0.2)*'MATERIALES (2)'!$C$30)*(N12/0.12))*'MATERIALES (2)'!$F$2</f>
        <v>118185.79500000003</v>
      </c>
      <c r="S12" s="59">
        <f t="shared" si="2"/>
        <v>319727.95500000002</v>
      </c>
      <c r="T12" s="67">
        <f t="shared" si="3"/>
        <v>575808.86497798131</v>
      </c>
      <c r="AM12" s="267"/>
      <c r="AQ12" s="288"/>
      <c r="AT12" s="500"/>
      <c r="AV12" s="575"/>
      <c r="AX12" s="991"/>
    </row>
    <row r="13" spans="1:50" ht="15.75" customHeight="1" thickBot="1">
      <c r="A13" s="71">
        <v>0.9</v>
      </c>
      <c r="B13" s="72">
        <v>2.1</v>
      </c>
      <c r="C13" s="60">
        <f>(((A13+(2*B13))*'MATERIALES (2)'!$C$60)+((A13+(2*B13))*'MATERIALES (2)'!$C$58)+(A13*'MATERIALES (2)'!$C$62)+((((A13*2)+(B13*2))*'MATERIALES (2)'!$C$76)*2))*'MATERIALES (2)'!$F$2</f>
        <v>145534.63050000003</v>
      </c>
      <c r="D13" s="60">
        <f>(1*'MATERIALES (2)'!$C$193)+(1*'MATERIALES (2)'!$C$194)+(3*'MATERIALES (2)'!$C$196)+(2*'MATERIALES (2)'!$C$178)+(2*'MATERIALES (2)'!$C$179)+(2*'MATERIALES (2)'!$C$180)+(4*'MATERIALES (2)'!$C$147)+(4*'MATERIALES (2)'!$C$148)+((A13+(2*B13))*'MATERIALES (2)'!$C$199)+((A13+(2*B13))*'MATERIALES (2)'!$C$198)+(((A13*2)+(B13*2))*'MATERIALES (2)'!$C$130)+(((((A13*2)+(B13*2))/0.1)*'MATERIALES (2)'!$C$181)*2)+(2*'MATERIALES (2)'!$C$176)+(((A13*5)*2)*'MATERIALES (2)'!$C$136)+(4*'MATERIALES (2)'!$C$137)</f>
        <v>57052</v>
      </c>
      <c r="E13" s="76"/>
      <c r="F13" s="56">
        <f>(A13*B13)*'MATERIALES (2)'!$D$85</f>
        <v>13986.000000000002</v>
      </c>
      <c r="G13" s="60">
        <f t="shared" si="0"/>
        <v>216572.63050000003</v>
      </c>
      <c r="H13" s="67">
        <f t="shared" si="1"/>
        <v>402160.44746622944</v>
      </c>
      <c r="M13" s="71">
        <v>0.9</v>
      </c>
      <c r="N13" s="72">
        <v>2.1</v>
      </c>
      <c r="O13" s="60">
        <f>(((M13+(2*N13))*'MATERIALES (2)'!$C$60)+((M13+(2*N13))*'MATERIALES (2)'!$C$58)+(M13*'MATERIALES (2)'!$C$62)+((((M13*2)+(N13*2))*'MATERIALES (2)'!$C$76)*2))*'MATERIALES (2)'!$F$2</f>
        <v>145534.63050000003</v>
      </c>
      <c r="P13" s="60">
        <f>(1*'MATERIALES (2)'!$C$193)+(1*'MATERIALES (2)'!$C$194)+(3*'MATERIALES (2)'!$C$196)+(2*'MATERIALES (2)'!$C$178)+(2*'MATERIALES (2)'!$C$179)+(2*'MATERIALES (2)'!$C$180)+(4*'MATERIALES (2)'!$C$147)+(4*'MATERIALES (2)'!$C$148)+((M13+(2*N13))*'MATERIALES (2)'!$C$199)+((M13+(2*N13))*'MATERIALES (2)'!$C$198)+(((M13*2)+(N13*2))*'MATERIALES (2)'!$C$154)+(0.5*'MATERIALES (2)'!$C$156)+(((((M13*2)+(N13*2))/0.1)*'MATERIALES (2)'!$C$181)*2)+(2*'MATERIALES (2)'!$C$176)+(((M13*5)*2)*'MATERIALES (2)'!$C$136)+(4*'MATERIALES (2)'!$C$137)</f>
        <v>61052</v>
      </c>
      <c r="Q13" s="76"/>
      <c r="R13" s="56">
        <f>(((M13-0.2)*'MATERIALES (2)'!$C$30)*(N13/0.12))*'MATERIALES (2)'!$F$2</f>
        <v>137883.42749999999</v>
      </c>
      <c r="S13" s="60">
        <f t="shared" si="2"/>
        <v>344470.05800000002</v>
      </c>
      <c r="T13" s="67">
        <f t="shared" si="3"/>
        <v>620367.7533166575</v>
      </c>
      <c r="AJ13" s="595">
        <f>+H8</f>
        <v>378059.26109143498</v>
      </c>
      <c r="AK13" s="496"/>
      <c r="AL13" s="595">
        <f>+H22</f>
        <v>411228.96695496008</v>
      </c>
      <c r="AM13" s="498"/>
      <c r="AN13" s="595">
        <f>+H36</f>
        <v>539801.66145906015</v>
      </c>
      <c r="AO13" s="496"/>
      <c r="AP13" s="595">
        <f>+AD50</f>
        <v>471411.25566380995</v>
      </c>
      <c r="AQ13" s="497"/>
      <c r="AR13" s="595">
        <f>+T78</f>
        <v>582381.85796323954</v>
      </c>
      <c r="AS13" s="431"/>
      <c r="AT13" s="607" t="s">
        <v>921</v>
      </c>
      <c r="AV13" s="575"/>
      <c r="AX13" s="991"/>
    </row>
    <row r="14" spans="1:50" ht="15.75">
      <c r="AJ14" s="602">
        <f>+H137</f>
        <v>500789.56109143503</v>
      </c>
      <c r="AK14" s="486"/>
      <c r="AL14" s="602">
        <f>+H151</f>
        <v>533959.26695496007</v>
      </c>
      <c r="AM14" s="488"/>
      <c r="AN14" s="602">
        <f>+H165</f>
        <v>626919.6509975217</v>
      </c>
      <c r="AO14" s="486"/>
      <c r="AP14" s="602">
        <f>+AD179</f>
        <v>532776.40566380997</v>
      </c>
      <c r="AQ14" s="487"/>
      <c r="AR14" s="602">
        <f>+T207</f>
        <v>645870.85962528945</v>
      </c>
      <c r="AS14" s="494"/>
      <c r="AT14" s="607" t="s">
        <v>703</v>
      </c>
      <c r="AU14" s="474"/>
      <c r="AX14" s="991"/>
    </row>
    <row r="15" spans="1:50" ht="15.75" customHeight="1" thickBot="1">
      <c r="AJ15" s="602">
        <f>+H265</f>
        <v>447472.93965643505</v>
      </c>
      <c r="AK15" s="486"/>
      <c r="AL15" s="602">
        <f>+H279</f>
        <v>488290.52190996008</v>
      </c>
      <c r="AM15" s="488"/>
      <c r="AN15" s="602">
        <f>+H293</f>
        <v>628796.43262021395</v>
      </c>
      <c r="AO15" s="486"/>
      <c r="AP15" s="602">
        <f>+AD307</f>
        <v>515357.77443380997</v>
      </c>
      <c r="AQ15" s="487"/>
      <c r="AR15" s="602">
        <f>+T335</f>
        <v>650422.2550139043</v>
      </c>
      <c r="AS15" s="494"/>
      <c r="AT15" s="607" t="s">
        <v>692</v>
      </c>
      <c r="AU15" s="474"/>
      <c r="AX15" s="992"/>
    </row>
    <row r="16" spans="1:50" ht="15.75" thickBot="1">
      <c r="A16" s="32"/>
      <c r="B16" s="32"/>
      <c r="C16" s="807">
        <v>1.35</v>
      </c>
      <c r="D16" s="808"/>
      <c r="E16" s="809"/>
      <c r="F16" s="545">
        <v>2</v>
      </c>
      <c r="G16" s="32"/>
      <c r="H16" s="46" t="s">
        <v>163</v>
      </c>
      <c r="M16" s="32"/>
      <c r="N16" s="32"/>
      <c r="O16" s="807">
        <v>1.35</v>
      </c>
      <c r="P16" s="808"/>
      <c r="Q16" s="809"/>
      <c r="R16" s="545">
        <v>2</v>
      </c>
      <c r="S16" s="32"/>
      <c r="T16" s="46" t="s">
        <v>163</v>
      </c>
      <c r="AM16" s="267"/>
      <c r="AQ16" s="288"/>
      <c r="AT16" s="500"/>
    </row>
    <row r="17" spans="1:51" ht="15" customHeight="1" thickBot="1">
      <c r="A17" s="792" t="s">
        <v>203</v>
      </c>
      <c r="B17" s="793"/>
      <c r="C17" s="793"/>
      <c r="D17" s="793"/>
      <c r="E17" s="793"/>
      <c r="F17" s="793"/>
      <c r="G17" s="793"/>
      <c r="H17" s="794"/>
      <c r="M17" s="792" t="s">
        <v>209</v>
      </c>
      <c r="N17" s="793"/>
      <c r="O17" s="793"/>
      <c r="P17" s="793"/>
      <c r="Q17" s="793"/>
      <c r="R17" s="793"/>
      <c r="S17" s="793"/>
      <c r="T17" s="794"/>
      <c r="AJ17" s="411" t="s">
        <v>632</v>
      </c>
      <c r="AK17" s="419"/>
      <c r="AL17" s="411" t="s">
        <v>633</v>
      </c>
      <c r="AM17" s="419"/>
      <c r="AN17" s="416" t="s">
        <v>634</v>
      </c>
      <c r="AO17" s="420"/>
      <c r="AP17" s="411" t="s">
        <v>635</v>
      </c>
      <c r="AQ17" s="420"/>
      <c r="AR17" s="411" t="s">
        <v>636</v>
      </c>
      <c r="AS17" s="411"/>
      <c r="AT17" s="500"/>
    </row>
    <row r="18" spans="1:51" ht="15.75" thickBot="1">
      <c r="A18" s="36" t="s">
        <v>116</v>
      </c>
      <c r="B18" s="36" t="s">
        <v>117</v>
      </c>
      <c r="C18" s="36" t="s">
        <v>162</v>
      </c>
      <c r="D18" s="36" t="s">
        <v>119</v>
      </c>
      <c r="E18" s="36" t="s">
        <v>120</v>
      </c>
      <c r="F18" s="36" t="s">
        <v>118</v>
      </c>
      <c r="G18" s="36" t="s">
        <v>121</v>
      </c>
      <c r="H18" s="36" t="s">
        <v>122</v>
      </c>
      <c r="M18" s="36" t="s">
        <v>116</v>
      </c>
      <c r="N18" s="36" t="s">
        <v>117</v>
      </c>
      <c r="O18" s="36" t="s">
        <v>162</v>
      </c>
      <c r="P18" s="36" t="s">
        <v>119</v>
      </c>
      <c r="Q18" s="36" t="s">
        <v>120</v>
      </c>
      <c r="R18" s="36" t="s">
        <v>118</v>
      </c>
      <c r="S18" s="36" t="s">
        <v>121</v>
      </c>
      <c r="T18" s="36" t="s">
        <v>122</v>
      </c>
      <c r="AL18" s="301"/>
      <c r="AN18" s="302"/>
      <c r="AO18" s="302"/>
      <c r="AP18" s="302"/>
      <c r="AQ18" s="302"/>
      <c r="AT18" s="500"/>
    </row>
    <row r="19" spans="1:51" ht="15.75" thickBot="1">
      <c r="A19" s="795"/>
      <c r="B19" s="796"/>
      <c r="C19" s="796"/>
      <c r="D19" s="796"/>
      <c r="E19" s="796"/>
      <c r="F19" s="796"/>
      <c r="G19" s="796"/>
      <c r="H19" s="797"/>
      <c r="M19" s="795"/>
      <c r="N19" s="796"/>
      <c r="O19" s="796"/>
      <c r="P19" s="796"/>
      <c r="Q19" s="796"/>
      <c r="R19" s="796"/>
      <c r="S19" s="796"/>
      <c r="T19" s="797"/>
      <c r="AM19" s="32"/>
      <c r="AQ19" s="32"/>
      <c r="AT19" s="500"/>
    </row>
    <row r="20" spans="1:51" ht="15" customHeight="1" thickBot="1">
      <c r="A20" s="65">
        <v>0.6</v>
      </c>
      <c r="B20" s="66">
        <v>2</v>
      </c>
      <c r="C20" s="58">
        <f>(((A20+(2*B20))*'MATERIALES (2)'!$C$60)+((A20+(2*B20))*'MATERIALES (2)'!$C$58)+(A20*'MATERIALES (2)'!$C$62)+((((A20*4)+(B20*2))*'MATERIALES (2)'!$C$76)*2)+(A20*'MATERIALES (2)'!$C$61))*'MATERIALES (2)'!$F$2</f>
        <v>138459.88799999998</v>
      </c>
      <c r="D20" s="58">
        <f>(1*'MATERIALES (2)'!$C$193)+(1*'MATERIALES (2)'!$C$194)+(3*'MATERIALES (2)'!$C$196)+(2*'MATERIALES (2)'!$C$178)+(2*'MATERIALES (2)'!$C$179)+(2*'MATERIALES (2)'!$C$180)+(8*'MATERIALES (2)'!$C$147)+(8*'MATERIALES (2)'!$C$148)+((A20+(2*B20))*'MATERIALES (2)'!$C$199)+((A20+(2*B20))*'MATERIALES (2)'!$C$198)+(((A20*4)+(B20*2))*'MATERIALES (2)'!$C$130)+(((((A20*4)+(B20*2))/0.1)*'MATERIALES (2)'!$C$181)*2)+(2*'MATERIALES (2)'!$C$176)+(((A20*5)*2)*'MATERIALES (2)'!$C$136)+(4*'MATERIALES (2)'!$C$137)</f>
        <v>57838</v>
      </c>
      <c r="E20" s="74"/>
      <c r="F20" s="54">
        <f>(A20*B20)*'MATERIALES (2)'!$D$85</f>
        <v>8880</v>
      </c>
      <c r="G20" s="58">
        <f>SUM(C20:F20)</f>
        <v>205177.88799999998</v>
      </c>
      <c r="H20" s="67">
        <f>((((SUM(C20:E20)*$C$16)+(F20*$F$16))*1.21)*1.05)*1.05</f>
        <v>377211.77555292001</v>
      </c>
      <c r="M20" s="65">
        <v>0.6</v>
      </c>
      <c r="N20" s="66">
        <v>2</v>
      </c>
      <c r="O20" s="58">
        <f>(((M20+(2*N20))*'MATERIALES (2)'!$C$60)+((M20+(2*N20))*'MATERIALES (2)'!$C$58)+(M20*'MATERIALES (2)'!$C$62)+(M20*'MATERIALES (2)'!$C$61)+(((M20-0.2)*'MATERIALES (2)'!$C$30)*((N20/2)/0.12))+((((M20*2)+(N20*1))*'MATERIALES (2)'!$C$76)*2))*'MATERIALES (2)'!$F$2</f>
        <v>164313.26799999998</v>
      </c>
      <c r="P20" s="58">
        <f>(1*'MATERIALES (2)'!$C$193)+(1*'MATERIALES (2)'!$C$194)+(3*'MATERIALES (2)'!$C$196)+(2*'MATERIALES (2)'!$C$178)+(2*'MATERIALES (2)'!$C$179)+(2*'MATERIALES (2)'!$C$180)+(8*'MATERIALES (2)'!$C$147)+(8*'MATERIALES (2)'!$C$148)+((M20+(2*N20))*'MATERIALES (2)'!$C$199)+((M20+(2*N20))*'MATERIALES (2)'!$C$198)+(((M20*2)+(N20*1))*'MATERIALES (2)'!$C$130)+(((M20*2)+(N20*1))*'MATERIALES (2)'!$C$154)+(((((M20*4)+(N20*2))/0.1)*'MATERIALES (2)'!$C$181)*2)+(0.25*'MATERIALES (2)'!$C$156)+(2*'MATERIALES (2)'!$C$176)+(((M20*5)*2)*'MATERIALES (2)'!$C$136)+(4*'MATERIALES (2)'!$C$137)</f>
        <v>59838</v>
      </c>
      <c r="Q20" s="74"/>
      <c r="R20" s="54">
        <f>(M20*(N20/2))*'MATERIALES (2)'!$D$85</f>
        <v>4440</v>
      </c>
      <c r="S20" s="58">
        <f>SUM(O20:R20)</f>
        <v>228591.26799999998</v>
      </c>
      <c r="T20" s="67">
        <f>((((SUM(O20:Q20)*$O$16)+(R20*$R$16))*1.21)*1.05)*1.05</f>
        <v>415527.725646495</v>
      </c>
      <c r="AM20" s="32"/>
      <c r="AQ20" s="32"/>
      <c r="AT20" s="501"/>
      <c r="AU20" s="291"/>
    </row>
    <row r="21" spans="1:51" ht="15" customHeight="1" thickBot="1">
      <c r="A21" s="68">
        <v>0.7</v>
      </c>
      <c r="B21" s="69">
        <v>2</v>
      </c>
      <c r="C21" s="59">
        <f>(((A21+(2*B21))*'MATERIALES (2)'!$C$60)+((A21+(2*B21))*'MATERIALES (2)'!$C$58)+(A21*'MATERIALES (2)'!$C$62)+((((A21*4)+(B21*2))*'MATERIALES (2)'!$C$76)*2)+(A21*'MATERIALES (2)'!$C$61))*'MATERIALES (2)'!$F$2</f>
        <v>145313.61600000001</v>
      </c>
      <c r="D21" s="59">
        <f>(1*'MATERIALES (2)'!$C$193)+(1*'MATERIALES (2)'!$C$194)+(3*'MATERIALES (2)'!$C$196)+(2*'MATERIALES (2)'!$C$178)+(2*'MATERIALES (2)'!$C$179)+(2*'MATERIALES (2)'!$C$180)+(8*'MATERIALES (2)'!$C$147)+(8*'MATERIALES (2)'!$C$148)+((A21+(2*B21))*'MATERIALES (2)'!$C$199)+((A21+(2*B21))*'MATERIALES (2)'!$C$198)+(((A21*4)+(B21*2))*'MATERIALES (2)'!$C$130)+(((((A21*4)+(B21*2))/0.1)*'MATERIALES (2)'!$C$181)*2)+(2*'MATERIALES (2)'!$C$176)+(((A21*5)*2)*'MATERIALES (2)'!$C$136)+(4*'MATERIALES (2)'!$C$137)</f>
        <v>58236</v>
      </c>
      <c r="E21" s="75"/>
      <c r="F21" s="55">
        <f>(A21*B21)*'MATERIALES (2)'!$D$85</f>
        <v>10360</v>
      </c>
      <c r="G21" s="59">
        <f t="shared" ref="G21:G27" si="4">SUM(C21:F21)</f>
        <v>213909.61600000001</v>
      </c>
      <c r="H21" s="67">
        <f t="shared" ref="H21:H27" si="5">((((SUM(C21:E21)*$C$16)+(F21*$F$16))*1.21)*1.05)*1.05</f>
        <v>394220.3712539401</v>
      </c>
      <c r="M21" s="68">
        <v>0.7</v>
      </c>
      <c r="N21" s="69">
        <v>2</v>
      </c>
      <c r="O21" s="59">
        <f>(((M21+(2*N21))*'MATERIALES (2)'!$C$60)+((M21+(2*N21))*'MATERIALES (2)'!$C$58)+(M21*'MATERIALES (2)'!$C$62)+(M21*'MATERIALES (2)'!$C$61)+(((M21-0.2)*'MATERIALES (2)'!$C$30)*((N21/2)/0.12))+((((M21*2)+(N21*1))*'MATERIALES (2)'!$C$76)*2))*'MATERIALES (2)'!$F$2</f>
        <v>179817.70100000003</v>
      </c>
      <c r="P21" s="59">
        <f>(1*'MATERIALES (2)'!$C$193)+(1*'MATERIALES (2)'!$C$194)+(3*'MATERIALES (2)'!$C$196)+(2*'MATERIALES (2)'!$C$178)+(2*'MATERIALES (2)'!$C$179)+(2*'MATERIALES (2)'!$C$180)+(8*'MATERIALES (2)'!$C$147)+(8*'MATERIALES (2)'!$C$148)+((M21+(2*N21))*'MATERIALES (2)'!$C$199)+((M21+(2*N21))*'MATERIALES (2)'!$C$198)+(((M21*2)+(N21*1))*'MATERIALES (2)'!$C$130)+(((M21*2)+(N21*1))*'MATERIALES (2)'!$C$154)+(((((M21*4)+(N21*2))/0.1)*'MATERIALES (2)'!$C$181)*2)+(0.25*'MATERIALES (2)'!$C$156)+(2*'MATERIALES (2)'!$C$176)+(((M21*5)*2)*'MATERIALES (2)'!$C$136)+(4*'MATERIALES (2)'!$C$137)</f>
        <v>60236</v>
      </c>
      <c r="Q21" s="75"/>
      <c r="R21" s="55">
        <f>(M21*(N21/2))*'MATERIALES (2)'!$D$85</f>
        <v>5180</v>
      </c>
      <c r="S21" s="59">
        <f t="shared" ref="S21:S27" si="6">SUM(O21:R21)</f>
        <v>245233.70100000003</v>
      </c>
      <c r="T21" s="67">
        <f t="shared" ref="T21:T27" si="7">((((SUM(O21:Q21)*$O$16)+(R21*$R$16))*1.21)*1.05)*1.05</f>
        <v>446141.31094330893</v>
      </c>
      <c r="AM21" s="32"/>
      <c r="AQ21" s="32"/>
      <c r="AT21" s="501"/>
      <c r="AU21" s="291"/>
    </row>
    <row r="22" spans="1:51" ht="15.75" customHeight="1" thickBot="1">
      <c r="A22" s="68">
        <v>0.8</v>
      </c>
      <c r="B22" s="69">
        <v>2</v>
      </c>
      <c r="C22" s="59">
        <f>(((A22+(2*B22))*'MATERIALES (2)'!$C$60)+((A22+(2*B22))*'MATERIALES (2)'!$C$58)+(A22*'MATERIALES (2)'!$C$62)+((((A22*4)+(B22*2))*'MATERIALES (2)'!$C$76)*2)+(A22*'MATERIALES (2)'!$C$61))*'MATERIALES (2)'!$F$2</f>
        <v>152167.34400000001</v>
      </c>
      <c r="D22" s="59">
        <f>(1*'MATERIALES (2)'!$C$193)+(1*'MATERIALES (2)'!$C$194)+(3*'MATERIALES (2)'!$C$196)+(2*'MATERIALES (2)'!$C$178)+(2*'MATERIALES (2)'!$C$179)+(2*'MATERIALES (2)'!$C$180)+(8*'MATERIALES (2)'!$C$147)+(8*'MATERIALES (2)'!$C$148)+((A22+(2*B22))*'MATERIALES (2)'!$C$199)+((A22+(2*B22))*'MATERIALES (2)'!$C$198)+(((A22*4)+(B22*2))*'MATERIALES (2)'!$C$130)+(((((A22*4)+(B22*2))/0.1)*'MATERIALES (2)'!$C$181)*2)+(2*'MATERIALES (2)'!$C$176)+(((A22*5)*2)*'MATERIALES (2)'!$C$136)+(4*'MATERIALES (2)'!$C$137)</f>
        <v>58634</v>
      </c>
      <c r="E22" s="75"/>
      <c r="F22" s="55">
        <f>(A22*B22)*'MATERIALES (2)'!$D$85</f>
        <v>11840</v>
      </c>
      <c r="G22" s="59">
        <f t="shared" si="4"/>
        <v>222641.34400000001</v>
      </c>
      <c r="H22" s="67">
        <f t="shared" si="5"/>
        <v>411228.96695496008</v>
      </c>
      <c r="M22" s="68">
        <v>0.8</v>
      </c>
      <c r="N22" s="69">
        <v>2</v>
      </c>
      <c r="O22" s="59">
        <f>(((M22+(2*N22))*'MATERIALES (2)'!$C$60)+((M22+(2*N22))*'MATERIALES (2)'!$C$58)+(M22*'MATERIALES (2)'!$C$62)+(M22*'MATERIALES (2)'!$C$61)+(((M22-0.2)*'MATERIALES (2)'!$C$30)*((N22/2)/0.12))+((((M22*2)+(N22*1))*'MATERIALES (2)'!$C$76)*2))*'MATERIALES (2)'!$F$2</f>
        <v>195322.13399999999</v>
      </c>
      <c r="P22" s="59">
        <f>(1*'MATERIALES (2)'!$C$193)+(1*'MATERIALES (2)'!$C$194)+(3*'MATERIALES (2)'!$C$196)+(2*'MATERIALES (2)'!$C$178)+(2*'MATERIALES (2)'!$C$179)+(2*'MATERIALES (2)'!$C$180)+(8*'MATERIALES (2)'!$C$147)+(8*'MATERIALES (2)'!$C$148)+((M22+(2*N22))*'MATERIALES (2)'!$C$199)+((M22+(2*N22))*'MATERIALES (2)'!$C$198)+(((M22*2)+(N22*1))*'MATERIALES (2)'!$C$130)+(((M22*2)+(N22*1))*'MATERIALES (2)'!$C$154)+(((((M22*4)+(N22*2))/0.1)*'MATERIALES (2)'!$C$181)*2)+(0.25*'MATERIALES (2)'!$C$156)+(2*'MATERIALES (2)'!$C$176)+(((M22*5)*2)*'MATERIALES (2)'!$C$136)+(4*'MATERIALES (2)'!$C$137)</f>
        <v>60634</v>
      </c>
      <c r="Q22" s="75"/>
      <c r="R22" s="55">
        <f>(M22*(N22/2))*'MATERIALES (2)'!$D$85</f>
        <v>5920</v>
      </c>
      <c r="S22" s="59">
        <f t="shared" si="6"/>
        <v>261876.13399999999</v>
      </c>
      <c r="T22" s="67">
        <f t="shared" si="7"/>
        <v>476754.89624012256</v>
      </c>
      <c r="AT22" s="501"/>
      <c r="AU22" s="291"/>
    </row>
    <row r="23" spans="1:51" ht="15.75" customHeight="1" thickBot="1">
      <c r="A23" s="68">
        <v>0.9</v>
      </c>
      <c r="B23" s="69">
        <v>2</v>
      </c>
      <c r="C23" s="59">
        <f>(((A23+(2*B23))*'MATERIALES (2)'!$C$60)+((A23+(2*B23))*'MATERIALES (2)'!$C$58)+(A23*'MATERIALES (2)'!$C$62)+((((A23*4)+(B23*2))*'MATERIALES (2)'!$C$76)*2)+(A23*'MATERIALES (2)'!$C$61))*'MATERIALES (2)'!$F$2</f>
        <v>159021.07200000001</v>
      </c>
      <c r="D23" s="59">
        <f>(1*'MATERIALES (2)'!$C$193)+(1*'MATERIALES (2)'!$C$194)+(3*'MATERIALES (2)'!$C$196)+(2*'MATERIALES (2)'!$C$178)+(2*'MATERIALES (2)'!$C$179)+(2*'MATERIALES (2)'!$C$180)+(8*'MATERIALES (2)'!$C$147)+(8*'MATERIALES (2)'!$C$148)+((A23+(2*B23))*'MATERIALES (2)'!$C$199)+((A23+(2*B23))*'MATERIALES (2)'!$C$198)+(((A23*4)+(B23*2))*'MATERIALES (2)'!$C$130)+(((((A23*4)+(B23*2))/0.1)*'MATERIALES (2)'!$C$181)*2)+(2*'MATERIALES (2)'!$C$176)+(((A23*5)*2)*'MATERIALES (2)'!$C$136)+(4*'MATERIALES (2)'!$C$137)</f>
        <v>59032</v>
      </c>
      <c r="E23" s="75"/>
      <c r="F23" s="55">
        <f>(A23*B23)*'MATERIALES (2)'!$D$85</f>
        <v>13320</v>
      </c>
      <c r="G23" s="59">
        <f t="shared" si="4"/>
        <v>231373.07200000001</v>
      </c>
      <c r="H23" s="67">
        <f t="shared" si="5"/>
        <v>428237.56265598012</v>
      </c>
      <c r="M23" s="68">
        <v>0.9</v>
      </c>
      <c r="N23" s="69">
        <v>2</v>
      </c>
      <c r="O23" s="59">
        <f>(((M23+(2*N23))*'MATERIALES (2)'!$C$60)+((M23+(2*N23))*'MATERIALES (2)'!$C$58)+(M23*'MATERIALES (2)'!$C$62)+(M23*'MATERIALES (2)'!$C$61)+(((M23-0.2)*'MATERIALES (2)'!$C$30)*((N23/2)/0.12))+((((M23*2)+(N23*1))*'MATERIALES (2)'!$C$76)*2))*'MATERIALES (2)'!$F$2</f>
        <v>210826.56700000001</v>
      </c>
      <c r="P23" s="59">
        <f>(1*'MATERIALES (2)'!$C$193)+(1*'MATERIALES (2)'!$C$194)+(3*'MATERIALES (2)'!$C$196)+(2*'MATERIALES (2)'!$C$178)+(2*'MATERIALES (2)'!$C$179)+(2*'MATERIALES (2)'!$C$180)+(8*'MATERIALES (2)'!$C$147)+(8*'MATERIALES (2)'!$C$148)+((M23+(2*N23))*'MATERIALES (2)'!$C$199)+((M23+(2*N23))*'MATERIALES (2)'!$C$198)+(((M23*2)+(N23*1))*'MATERIALES (2)'!$C$130)+(((M23*2)+(N23*1))*'MATERIALES (2)'!$C$154)+(((((M23*4)+(N23*2))/0.1)*'MATERIALES (2)'!$C$181)*2)+(0.25*'MATERIALES (2)'!$C$156)+(2*'MATERIALES (2)'!$C$176)+(((M23*5)*2)*'MATERIALES (2)'!$C$136)+(4*'MATERIALES (2)'!$C$137)</f>
        <v>61032</v>
      </c>
      <c r="Q23" s="75"/>
      <c r="R23" s="55">
        <f>(M23*(N23/2))*'MATERIALES (2)'!$D$85</f>
        <v>6660</v>
      </c>
      <c r="S23" s="59">
        <f t="shared" si="6"/>
        <v>278518.56700000004</v>
      </c>
      <c r="T23" s="67">
        <f t="shared" si="7"/>
        <v>507368.48153693636</v>
      </c>
      <c r="AL23" s="289"/>
      <c r="AM23" s="32"/>
      <c r="AN23" s="287"/>
      <c r="AO23" s="4"/>
      <c r="AP23" s="290"/>
      <c r="AQ23" s="267"/>
      <c r="AR23" s="4"/>
      <c r="AS23" s="4"/>
      <c r="AT23" s="502"/>
      <c r="AU23" s="291"/>
    </row>
    <row r="24" spans="1:51" ht="15.75" customHeight="1" thickBot="1">
      <c r="A24" s="68">
        <v>0.6</v>
      </c>
      <c r="B24" s="69">
        <v>2.1</v>
      </c>
      <c r="C24" s="59">
        <f>(((A24+(2*B24))*'MATERIALES (2)'!$C$60)+((A24+(2*B24))*'MATERIALES (2)'!$C$58)+(A24*'MATERIALES (2)'!$C$62)+((((A24*4)+(B24*2))*'MATERIALES (2)'!$C$76)*2)+(A24*'MATERIALES (2)'!$C$61))*'MATERIALES (2)'!$F$2</f>
        <v>143326.76399999997</v>
      </c>
      <c r="D24" s="59">
        <f>(1*'MATERIALES (2)'!$C$193)+(1*'MATERIALES (2)'!$C$194)+(3*'MATERIALES (2)'!$C$196)+(2*'MATERIALES (2)'!$C$178)+(2*'MATERIALES (2)'!$C$179)+(2*'MATERIALES (2)'!$C$180)+(8*'MATERIALES (2)'!$C$147)+(8*'MATERIALES (2)'!$C$148)+((A24+(2*B24))*'MATERIALES (2)'!$C$199)+((A24+(2*B24))*'MATERIALES (2)'!$C$198)+(((A24*4)+(B24*2))*'MATERIALES (2)'!$C$130)+(((((A24*4)+(B24*2))/0.1)*'MATERIALES (2)'!$C$181)*2)+(2*'MATERIALES (2)'!$C$176)+(((A24*5)*2)*'MATERIALES (2)'!$C$136)+(4*'MATERIALES (2)'!$C$137)</f>
        <v>58130</v>
      </c>
      <c r="E24" s="75"/>
      <c r="F24" s="55">
        <f>(A24*B24)*'MATERIALES (2)'!$D$85</f>
        <v>9324</v>
      </c>
      <c r="G24" s="59">
        <f t="shared" si="4"/>
        <v>210780.76399999997</v>
      </c>
      <c r="H24" s="67">
        <f t="shared" si="5"/>
        <v>387687.18365338491</v>
      </c>
      <c r="M24" s="68">
        <v>0.6</v>
      </c>
      <c r="N24" s="69">
        <v>2.1</v>
      </c>
      <c r="O24" s="59">
        <f>(((M24+(2*N24))*'MATERIALES (2)'!$C$60)+((M24+(2*N24))*'MATERIALES (2)'!$C$58)+(M24*'MATERIALES (2)'!$C$62)+(M24*'MATERIALES (2)'!$C$61)+(((M24-0.2)*'MATERIALES (2)'!$C$30)*((N24/2)/0.12))+((((M24*2)+(N24*1))*'MATERIALES (2)'!$C$76)*2))*'MATERIALES (2)'!$F$2</f>
        <v>170691.54899999997</v>
      </c>
      <c r="P24" s="59">
        <f>(1*'MATERIALES (2)'!$C$193)+(1*'MATERIALES (2)'!$C$194)+(3*'MATERIALES (2)'!$C$196)+(2*'MATERIALES (2)'!$C$178)+(2*'MATERIALES (2)'!$C$179)+(2*'MATERIALES (2)'!$C$180)+(8*'MATERIALES (2)'!$C$147)+(8*'MATERIALES (2)'!$C$148)+((M24+(2*N24))*'MATERIALES (2)'!$C$199)+((M24+(2*N24))*'MATERIALES (2)'!$C$198)+(((M24*2)+(N24*1))*'MATERIALES (2)'!$C$130)+(((M24*2)+(N24*1))*'MATERIALES (2)'!$C$154)+(((((M24*4)+(N24*2))/0.1)*'MATERIALES (2)'!$C$181)*2)+(0.25*'MATERIALES (2)'!$C$156)+(2*'MATERIALES (2)'!$C$176)+(((M24*5)*2)*'MATERIALES (2)'!$C$136)+(4*'MATERIALES (2)'!$C$137)</f>
        <v>60130</v>
      </c>
      <c r="Q24" s="75"/>
      <c r="R24" s="55">
        <f>(M24*(N24/2))*'MATERIALES (2)'!$D$85</f>
        <v>4662</v>
      </c>
      <c r="S24" s="59">
        <f t="shared" si="6"/>
        <v>235483.54899999997</v>
      </c>
      <c r="T24" s="67">
        <f t="shared" si="7"/>
        <v>428132.76692137879</v>
      </c>
      <c r="AK24" s="291"/>
      <c r="AL24" s="294"/>
      <c r="AM24" s="293"/>
      <c r="AN24" s="296"/>
      <c r="AO24" s="295"/>
      <c r="AP24" s="297"/>
      <c r="AQ24" s="293"/>
      <c r="AR24" s="292"/>
      <c r="AS24" s="292"/>
      <c r="AT24" s="500"/>
      <c r="AU24" s="291"/>
    </row>
    <row r="25" spans="1:51" ht="15.75" customHeight="1" thickBot="1">
      <c r="A25" s="68">
        <v>0.7</v>
      </c>
      <c r="B25" s="69">
        <v>2.1</v>
      </c>
      <c r="C25" s="59">
        <f>(((A25+(2*B25))*'MATERIALES (2)'!$C$60)+((A25+(2*B25))*'MATERIALES (2)'!$C$58)+(A25*'MATERIALES (2)'!$C$62)+((((A25*4)+(B25*2))*'MATERIALES (2)'!$C$76)*2)+(A25*'MATERIALES (2)'!$C$61))*'MATERIALES (2)'!$F$2</f>
        <v>150180.492</v>
      </c>
      <c r="D25" s="59">
        <f>(1*'MATERIALES (2)'!$C$193)+(1*'MATERIALES (2)'!$C$194)+(3*'MATERIALES (2)'!$C$196)+(2*'MATERIALES (2)'!$C$178)+(2*'MATERIALES (2)'!$C$179)+(2*'MATERIALES (2)'!$C$180)+(8*'MATERIALES (2)'!$C$147)+(8*'MATERIALES (2)'!$C$148)+((A25+(2*B25))*'MATERIALES (2)'!$C$199)+((A25+(2*B25))*'MATERIALES (2)'!$C$198)+(((A25*4)+(B25*2))*'MATERIALES (2)'!$C$130)+(((((A25*4)+(B25*2))/0.1)*'MATERIALES (2)'!$C$181)*2)+(2*'MATERIALES (2)'!$C$176)+(((A25*5)*2)*'MATERIALES (2)'!$C$136)+(4*'MATERIALES (2)'!$C$137)</f>
        <v>58528</v>
      </c>
      <c r="E25" s="75"/>
      <c r="F25" s="55">
        <f>(A25*B25)*'MATERIALES (2)'!$D$85</f>
        <v>10878</v>
      </c>
      <c r="G25" s="59">
        <f t="shared" si="4"/>
        <v>219586.492</v>
      </c>
      <c r="H25" s="67">
        <f t="shared" si="5"/>
        <v>404893.21505440498</v>
      </c>
      <c r="M25" s="68">
        <v>0.7</v>
      </c>
      <c r="N25" s="69">
        <v>2.1</v>
      </c>
      <c r="O25" s="59">
        <f>(((M25+(2*N25))*'MATERIALES (2)'!$C$60)+((M25+(2*N25))*'MATERIALES (2)'!$C$58)+(M25*'MATERIALES (2)'!$C$62)+(M25*'MATERIALES (2)'!$C$61)+(((M25-0.2)*'MATERIALES (2)'!$C$30)*((N25/2)/0.12))+((((M25*2)+(N25*1))*'MATERIALES (2)'!$C$76)*2))*'MATERIALES (2)'!$F$2</f>
        <v>186664.97324999998</v>
      </c>
      <c r="P25" s="59">
        <f>(1*'MATERIALES (2)'!$C$193)+(1*'MATERIALES (2)'!$C$194)+(3*'MATERIALES (2)'!$C$196)+(2*'MATERIALES (2)'!$C$178)+(2*'MATERIALES (2)'!$C$179)+(2*'MATERIALES (2)'!$C$180)+(8*'MATERIALES (2)'!$C$147)+(8*'MATERIALES (2)'!$C$148)+((M25+(2*N25))*'MATERIALES (2)'!$C$199)+((M25+(2*N25))*'MATERIALES (2)'!$C$198)+(((M25*2)+(N25*1))*'MATERIALES (2)'!$C$130)+(((M25*2)+(N25*1))*'MATERIALES (2)'!$C$154)+(((((M25*4)+(N25*2))/0.1)*'MATERIALES (2)'!$C$181)*2)+(0.25*'MATERIALES (2)'!$C$156)+(2*'MATERIALES (2)'!$C$176)+(((M25*5)*2)*'MATERIALES (2)'!$C$136)+(4*'MATERIALES (2)'!$C$137)</f>
        <v>60528</v>
      </c>
      <c r="Q25" s="75"/>
      <c r="R25" s="55">
        <f>(M25*(N25/2))*'MATERIALES (2)'!$D$85</f>
        <v>5439</v>
      </c>
      <c r="S25" s="59">
        <f t="shared" si="6"/>
        <v>252631.97324999998</v>
      </c>
      <c r="T25" s="67">
        <f t="shared" si="7"/>
        <v>459689.69223877211</v>
      </c>
      <c r="AK25" s="291"/>
      <c r="AL25" s="294"/>
      <c r="AM25" s="293"/>
      <c r="AN25" s="296"/>
      <c r="AO25" s="295"/>
      <c r="AP25" s="297"/>
      <c r="AQ25" s="293"/>
      <c r="AR25" s="292"/>
      <c r="AS25" s="292"/>
      <c r="AT25" s="503"/>
      <c r="AU25" s="291"/>
      <c r="AY25" s="705"/>
    </row>
    <row r="26" spans="1:51" ht="15" customHeight="1" thickBot="1">
      <c r="A26" s="68">
        <v>0.8</v>
      </c>
      <c r="B26" s="69">
        <v>2.1</v>
      </c>
      <c r="C26" s="59">
        <f>(((A26+(2*B26))*'MATERIALES (2)'!$C$60)+((A26+(2*B26))*'MATERIALES (2)'!$C$58)+(A26*'MATERIALES (2)'!$C$62)+((((A26*4)+(B26*2))*'MATERIALES (2)'!$C$76)*2)+(A26*'MATERIALES (2)'!$C$61))*'MATERIALES (2)'!$F$2</f>
        <v>157034.22</v>
      </c>
      <c r="D26" s="59">
        <f>(1*'MATERIALES (2)'!$C$193)+(1*'MATERIALES (2)'!$C$194)+(3*'MATERIALES (2)'!$C$196)+(2*'MATERIALES (2)'!$C$178)+(2*'MATERIALES (2)'!$C$179)+(2*'MATERIALES (2)'!$C$180)+(8*'MATERIALES (2)'!$C$147)+(8*'MATERIALES (2)'!$C$148)+((A26+(2*B26))*'MATERIALES (2)'!$C$199)+((A26+(2*B26))*'MATERIALES (2)'!$C$198)+(((A26*4)+(B26*2))*'MATERIALES (2)'!$C$130)+(((((A26*4)+(B26*2))/0.1)*'MATERIALES (2)'!$C$181)*2)+(2*'MATERIALES (2)'!$C$176)+(((A26*5)*2)*'MATERIALES (2)'!$C$136)+(4*'MATERIALES (2)'!$C$137)</f>
        <v>58926</v>
      </c>
      <c r="E26" s="75"/>
      <c r="F26" s="55">
        <f>(A26*B26)*'MATERIALES (2)'!$D$85</f>
        <v>12432.000000000002</v>
      </c>
      <c r="G26" s="59">
        <f t="shared" si="4"/>
        <v>228392.22</v>
      </c>
      <c r="H26" s="67">
        <f t="shared" si="5"/>
        <v>422099.24645542505</v>
      </c>
      <c r="M26" s="68">
        <v>0.8</v>
      </c>
      <c r="N26" s="69">
        <v>2.1</v>
      </c>
      <c r="O26" s="59">
        <f>(((M26+(2*N26))*'MATERIALES (2)'!$C$60)+((M26+(2*N26))*'MATERIALES (2)'!$C$58)+(M26*'MATERIALES (2)'!$C$62)+(M26*'MATERIALES (2)'!$C$61)+(((M26-0.2)*'MATERIALES (2)'!$C$30)*((N26/2)/0.12))+((((M26*2)+(N26*1))*'MATERIALES (2)'!$C$76)*2))*'MATERIALES (2)'!$F$2</f>
        <v>202638.39750000002</v>
      </c>
      <c r="P26" s="59">
        <f>(1*'MATERIALES (2)'!$C$193)+(1*'MATERIALES (2)'!$C$194)+(3*'MATERIALES (2)'!$C$196)+(2*'MATERIALES (2)'!$C$178)+(2*'MATERIALES (2)'!$C$179)+(2*'MATERIALES (2)'!$C$180)+(8*'MATERIALES (2)'!$C$147)+(8*'MATERIALES (2)'!$C$148)+((M26+(2*N26))*'MATERIALES (2)'!$C$199)+((M26+(2*N26))*'MATERIALES (2)'!$C$198)+(((M26*2)+(N26*1))*'MATERIALES (2)'!$C$130)+(((M26*2)+(N26*1))*'MATERIALES (2)'!$C$154)+(((((M26*4)+(N26*2))/0.1)*'MATERIALES (2)'!$C$181)*2)+(0.25*'MATERIALES (2)'!$C$156)+(2*'MATERIALES (2)'!$C$176)+(((M26*5)*2)*'MATERIALES (2)'!$C$136)+(4*'MATERIALES (2)'!$C$137)</f>
        <v>60926</v>
      </c>
      <c r="Q26" s="75"/>
      <c r="R26" s="55">
        <f>(M26*(N26/2))*'MATERIALES (2)'!$D$85</f>
        <v>6216.0000000000009</v>
      </c>
      <c r="S26" s="59">
        <f t="shared" si="6"/>
        <v>269780.39750000002</v>
      </c>
      <c r="T26" s="67">
        <f t="shared" si="7"/>
        <v>491246.61755616567</v>
      </c>
      <c r="AK26" s="291"/>
      <c r="AL26" s="294"/>
      <c r="AM26" s="293"/>
      <c r="AN26" s="296"/>
      <c r="AO26" s="295"/>
      <c r="AP26" s="297"/>
      <c r="AQ26" s="293"/>
      <c r="AR26" s="292"/>
      <c r="AS26" s="292"/>
      <c r="AT26" s="504"/>
    </row>
    <row r="27" spans="1:51" ht="15.75" customHeight="1" thickBot="1">
      <c r="A27" s="71">
        <v>0.9</v>
      </c>
      <c r="B27" s="72">
        <v>2.1</v>
      </c>
      <c r="C27" s="60">
        <f>(((A27+(2*B27))*'MATERIALES (2)'!$C$60)+((A27+(2*B27))*'MATERIALES (2)'!$C$58)+(A27*'MATERIALES (2)'!$C$62)+((((A27*4)+(B27*2))*'MATERIALES (2)'!$C$76)*2)+(A27*'MATERIALES (2)'!$C$61))*'MATERIALES (2)'!$F$2</f>
        <v>163887.94800000003</v>
      </c>
      <c r="D27" s="60">
        <f>(1*'MATERIALES (2)'!$C$193)+(1*'MATERIALES (2)'!$C$194)+(3*'MATERIALES (2)'!$C$196)+(2*'MATERIALES (2)'!$C$178)+(2*'MATERIALES (2)'!$C$179)+(2*'MATERIALES (2)'!$C$180)+(8*'MATERIALES (2)'!$C$147)+(8*'MATERIALES (2)'!$C$148)+((A27+(2*B27))*'MATERIALES (2)'!$C$199)+((A27+(2*B27))*'MATERIALES (2)'!$C$198)+(((A27*4)+(B27*2))*'MATERIALES (2)'!$C$130)+(((((A27*4)+(B27*2))/0.1)*'MATERIALES (2)'!$C$181)*2)+(2*'MATERIALES (2)'!$C$176)+(((A27*5)*2)*'MATERIALES (2)'!$C$136)+(4*'MATERIALES (2)'!$C$137)</f>
        <v>59324</v>
      </c>
      <c r="E27" s="76"/>
      <c r="F27" s="56">
        <f>(A27*B27)*'MATERIALES (2)'!$D$85</f>
        <v>13986.000000000002</v>
      </c>
      <c r="G27" s="60">
        <f t="shared" si="4"/>
        <v>237197.94800000003</v>
      </c>
      <c r="H27" s="67">
        <f t="shared" si="5"/>
        <v>439305.27785644511</v>
      </c>
      <c r="M27" s="71">
        <v>0.9</v>
      </c>
      <c r="N27" s="72">
        <v>2.1</v>
      </c>
      <c r="O27" s="60">
        <f>(((M27+(2*N27))*'MATERIALES (2)'!$C$60)+((M27+(2*N27))*'MATERIALES (2)'!$C$58)+(M27*'MATERIALES (2)'!$C$62)+(M27*'MATERIALES (2)'!$C$61)+(((M27-0.2)*'MATERIALES (2)'!$C$30)*((N27/2)/0.12))+((((M27*2)+(N27*1))*'MATERIALES (2)'!$C$76)*2))*'MATERIALES (2)'!$F$2</f>
        <v>218611.82175000003</v>
      </c>
      <c r="P27" s="60">
        <f>(1*'MATERIALES (2)'!$C$193)+(1*'MATERIALES (2)'!$C$194)+(3*'MATERIALES (2)'!$C$196)+(2*'MATERIALES (2)'!$C$178)+(2*'MATERIALES (2)'!$C$179)+(2*'MATERIALES (2)'!$C$180)+(8*'MATERIALES (2)'!$C$147)+(8*'MATERIALES (2)'!$C$148)+((M27+(2*N27))*'MATERIALES (2)'!$C$199)+((M27+(2*N27))*'MATERIALES (2)'!$C$198)+(((M27*2)+(N27*1))*'MATERIALES (2)'!$C$130)+(((M27*2)+(N27*1))*'MATERIALES (2)'!$C$154)+(((((M27*4)+(N27*2))/0.1)*'MATERIALES (2)'!$C$181)*2)+(0.25*'MATERIALES (2)'!$C$156)+(2*'MATERIALES (2)'!$C$176)+(((M27*5)*2)*'MATERIALES (2)'!$C$136)+(4*'MATERIALES (2)'!$C$137)</f>
        <v>61324</v>
      </c>
      <c r="Q27" s="76"/>
      <c r="R27" s="56">
        <f>(M27*(N27/2))*'MATERIALES (2)'!$D$85</f>
        <v>6993.0000000000009</v>
      </c>
      <c r="S27" s="60">
        <f t="shared" si="6"/>
        <v>286928.82175</v>
      </c>
      <c r="T27" s="67">
        <f t="shared" si="7"/>
        <v>522803.54287355911</v>
      </c>
      <c r="AK27" s="291"/>
      <c r="AL27" s="294"/>
      <c r="AM27" s="293"/>
      <c r="AN27" s="296"/>
      <c r="AO27" s="295"/>
      <c r="AP27" s="297"/>
      <c r="AQ27" s="293"/>
      <c r="AR27" s="292"/>
      <c r="AS27" s="292"/>
      <c r="AT27" s="502"/>
    </row>
    <row r="28" spans="1:51" ht="15.75" customHeight="1">
      <c r="AI28" s="410"/>
      <c r="AJ28" s="595">
        <f>+T64</f>
        <v>614655.47307433491</v>
      </c>
      <c r="AK28" s="361"/>
      <c r="AL28" s="596">
        <f>+H106</f>
        <v>613741.17476133024</v>
      </c>
      <c r="AM28" s="361"/>
      <c r="AN28" s="597">
        <f>+H64</f>
        <v>570331.91815157258</v>
      </c>
      <c r="AO28" s="493"/>
      <c r="AP28" s="596">
        <f>+T8</f>
        <v>556382.60503056005</v>
      </c>
      <c r="AQ28" s="361"/>
      <c r="AR28" s="596">
        <f>+H92</f>
        <v>562679.85843704268</v>
      </c>
      <c r="AS28" s="479"/>
      <c r="AT28" s="607" t="s">
        <v>921</v>
      </c>
    </row>
    <row r="29" spans="1:51" ht="16.5" customHeight="1" thickBot="1">
      <c r="AJ29" s="602">
        <f>+T193</f>
        <v>676020.62307433493</v>
      </c>
      <c r="AK29" s="486"/>
      <c r="AL29" s="602">
        <f>+H235</f>
        <v>650560.26476133021</v>
      </c>
      <c r="AM29" s="488"/>
      <c r="AN29" s="602">
        <f>+H193</f>
        <v>631697.0681515726</v>
      </c>
      <c r="AO29" s="486"/>
      <c r="AP29" s="495"/>
      <c r="AQ29" s="487"/>
      <c r="AR29" s="602">
        <f>+H221</f>
        <v>599498.94843704265</v>
      </c>
      <c r="AS29" s="494"/>
      <c r="AT29" s="607" t="s">
        <v>703</v>
      </c>
      <c r="AU29" s="480"/>
    </row>
    <row r="30" spans="1:51" ht="15.75" customHeight="1" thickBot="1">
      <c r="A30" s="32"/>
      <c r="B30" s="32"/>
      <c r="C30" s="807">
        <v>1.35</v>
      </c>
      <c r="D30" s="808"/>
      <c r="E30" s="809"/>
      <c r="F30" s="545">
        <v>2</v>
      </c>
      <c r="G30" s="32"/>
      <c r="H30" s="46" t="s">
        <v>163</v>
      </c>
      <c r="M30" s="32"/>
      <c r="N30" s="32"/>
      <c r="O30" s="807">
        <v>1.35</v>
      </c>
      <c r="P30" s="808"/>
      <c r="Q30" s="809"/>
      <c r="R30" s="545">
        <v>2</v>
      </c>
      <c r="S30" s="32"/>
      <c r="T30" s="46" t="s">
        <v>163</v>
      </c>
      <c r="AJ30" s="602">
        <f>+T321</f>
        <v>672092.49752683507</v>
      </c>
      <c r="AK30" s="486"/>
      <c r="AL30" s="602">
        <f>+H363</f>
        <v>651604.05038883013</v>
      </c>
      <c r="AM30" s="488"/>
      <c r="AN30" s="602">
        <f>+H321</f>
        <v>624158.44840907271</v>
      </c>
      <c r="AO30" s="486"/>
      <c r="AP30" s="495"/>
      <c r="AQ30" s="487"/>
      <c r="AR30" s="602">
        <f>+H349</f>
        <v>588857.47547954263</v>
      </c>
      <c r="AS30" s="494"/>
      <c r="AT30" s="607" t="s">
        <v>692</v>
      </c>
      <c r="AU30" s="480"/>
    </row>
    <row r="31" spans="1:51" ht="15.75" customHeight="1" thickBot="1">
      <c r="A31" s="792" t="s">
        <v>204</v>
      </c>
      <c r="B31" s="793"/>
      <c r="C31" s="793"/>
      <c r="D31" s="793"/>
      <c r="E31" s="793"/>
      <c r="F31" s="793"/>
      <c r="G31" s="793"/>
      <c r="H31" s="794"/>
      <c r="M31" s="792" t="s">
        <v>210</v>
      </c>
      <c r="N31" s="793"/>
      <c r="O31" s="793"/>
      <c r="P31" s="793"/>
      <c r="Q31" s="793"/>
      <c r="R31" s="793"/>
      <c r="S31" s="793"/>
      <c r="T31" s="794"/>
      <c r="U31" s="64" t="s">
        <v>381</v>
      </c>
      <c r="AK31" s="291"/>
      <c r="AM31" s="293"/>
      <c r="AO31" s="295"/>
      <c r="AQ31" s="293"/>
      <c r="AT31" s="500"/>
    </row>
    <row r="32" spans="1:51" ht="15.75" customHeight="1" thickBot="1">
      <c r="A32" s="36" t="s">
        <v>116</v>
      </c>
      <c r="B32" s="36" t="s">
        <v>117</v>
      </c>
      <c r="C32" s="36" t="s">
        <v>162</v>
      </c>
      <c r="D32" s="36" t="s">
        <v>119</v>
      </c>
      <c r="E32" s="36" t="s">
        <v>120</v>
      </c>
      <c r="F32" s="36" t="s">
        <v>118</v>
      </c>
      <c r="G32" s="36" t="s">
        <v>121</v>
      </c>
      <c r="H32" s="36" t="s">
        <v>122</v>
      </c>
      <c r="M32" s="36" t="s">
        <v>116</v>
      </c>
      <c r="N32" s="36" t="s">
        <v>117</v>
      </c>
      <c r="O32" s="36" t="s">
        <v>162</v>
      </c>
      <c r="P32" s="36" t="s">
        <v>119</v>
      </c>
      <c r="Q32" s="36" t="s">
        <v>120</v>
      </c>
      <c r="R32" s="36" t="s">
        <v>118</v>
      </c>
      <c r="S32" s="36" t="s">
        <v>121</v>
      </c>
      <c r="T32" s="36" t="s">
        <v>122</v>
      </c>
      <c r="AJ32" s="416" t="s">
        <v>644</v>
      </c>
      <c r="AK32" s="412"/>
      <c r="AL32" s="411" t="s">
        <v>637</v>
      </c>
      <c r="AM32" s="417"/>
      <c r="AN32" s="411" t="s">
        <v>638</v>
      </c>
      <c r="AO32" s="418"/>
      <c r="AP32" s="411" t="s">
        <v>639</v>
      </c>
      <c r="AQ32" s="417"/>
      <c r="AR32" s="411" t="s">
        <v>640</v>
      </c>
      <c r="AS32" s="411"/>
      <c r="AT32" s="500"/>
    </row>
    <row r="33" spans="1:51" ht="15.75" customHeight="1" thickBot="1">
      <c r="A33" s="795"/>
      <c r="B33" s="796"/>
      <c r="C33" s="796"/>
      <c r="D33" s="796"/>
      <c r="E33" s="796"/>
      <c r="F33" s="796"/>
      <c r="G33" s="796"/>
      <c r="H33" s="797"/>
      <c r="M33" s="795"/>
      <c r="N33" s="796"/>
      <c r="O33" s="796"/>
      <c r="P33" s="796"/>
      <c r="Q33" s="796"/>
      <c r="R33" s="796"/>
      <c r="S33" s="796"/>
      <c r="T33" s="797"/>
      <c r="AK33" s="291"/>
      <c r="AL33" s="305"/>
      <c r="AM33" s="298"/>
      <c r="AN33" s="306"/>
      <c r="AO33" s="307"/>
      <c r="AP33" s="308"/>
      <c r="AQ33" s="309"/>
      <c r="AR33" s="310"/>
      <c r="AS33" s="310"/>
      <c r="AT33" s="505"/>
      <c r="AU33" s="291"/>
    </row>
    <row r="34" spans="1:51" ht="15" customHeight="1" thickBot="1">
      <c r="A34" s="65">
        <v>0.6</v>
      </c>
      <c r="B34" s="66">
        <v>2</v>
      </c>
      <c r="C34" s="58">
        <f>(((A34+(2*B34))*'MATERIALES (2)'!$C$60)+((A34+(2*B34))*'MATERIALES (2)'!$C$58)+(A34*'MATERIALES (2)'!$C$62)+((((A34*2)+(B34*6))*'MATERIALES (2)'!$C$76)*2)+((B34*2)*'MATERIALES (2)'!$C$61))*'MATERIALES (2)'!$F$2</f>
        <v>207794.64299999998</v>
      </c>
      <c r="D34" s="58">
        <f>(1*'MATERIALES (2)'!$C$193)+(1*'MATERIALES (2)'!$C$194)+(3*'MATERIALES (2)'!$C$196)+(2*'MATERIALES (2)'!$C$178)+(2*'MATERIALES (2)'!$C$179)+(2*'MATERIALES (2)'!$C$180)+(12*'MATERIALES (2)'!$C$147)+(12*'MATERIALES (2)'!$C$148)+((A34+(2*B34))*'MATERIALES (2)'!$C$199)+((A34+(2*B34))*'MATERIALES (2)'!$C$198)+(((A34*2)+(B34*6))*'MATERIALES (2)'!$C$130)+(((((A34*2)+(B34*6))/0.1)*'MATERIALES (2)'!$C$181)*2)+(2*'MATERIALES (2)'!$C$176)+(((A34*5)*2)*'MATERIALES (2)'!$C$136)+(4*'MATERIALES (2)'!$C$137)</f>
        <v>64310</v>
      </c>
      <c r="E34" s="74"/>
      <c r="F34" s="54">
        <f>(A34*B34)*'MATERIALES (2)'!$D$85</f>
        <v>8880</v>
      </c>
      <c r="G34" s="58">
        <f>SUM(C34:F34)</f>
        <v>280984.64299999998</v>
      </c>
      <c r="H34" s="67">
        <f>((((SUM(C34:E34)*$C$30)+(F34*$F$30))*1.21)*1.05)*1.05</f>
        <v>513734.71911040129</v>
      </c>
      <c r="M34" s="65">
        <v>0.6</v>
      </c>
      <c r="N34" s="66">
        <v>2</v>
      </c>
      <c r="O34" s="58">
        <f>(((M34+(2*N34))*'MATERIALES (2)'!$C$60)+((M34+(2*N34))*'MATERIALES (2)'!$C$58)+(M34*'MATERIALES (2)'!$C$62)+((M34*4)*'MATERIALES (2)'!$C$61)+((((M34*10)+(N34*2))*'MATERIALES (2)'!$C$76)*2))*'MATERIALES (2)'!$F$2</f>
        <v>175166.52299999999</v>
      </c>
      <c r="P34" s="58">
        <f>(1*'MATERIALES (2)'!$C$193)+(1*'MATERIALES (2)'!$C$194)+(3*'MATERIALES (2)'!$C$196)+(2*'MATERIALES (2)'!$C$178)+(2*'MATERIALES (2)'!$C$179)+(2*'MATERIALES (2)'!$C$180)+(20*'MATERIALES (2)'!$C$147)+(20*'MATERIALES (2)'!$C$148)+((M34+(2*N34))*'MATERIALES (2)'!$C$199)+((M34+(2*N34))*'MATERIALES (2)'!$C$198)+(((M34*10)+(N34*2))*'MATERIALES (2)'!$C$130)+(((((M34*10)+(N34*2))/0.1)*'MATERIALES (2)'!$C$181)*2)+(2*'MATERIALES (2)'!$C$176)+(((M34*5)*2)*'MATERIALES (2)'!$C$136)+(4*'MATERIALES (2)'!$C$137)</f>
        <v>63142</v>
      </c>
      <c r="Q34" s="74"/>
      <c r="R34" s="54">
        <f>(M34*N34)*'MATERIALES (2)'!$D$85</f>
        <v>8880</v>
      </c>
      <c r="S34" s="58">
        <f>SUM(O34:R34)</f>
        <v>247188.52299999999</v>
      </c>
      <c r="T34" s="67">
        <f>((((SUM(O34:Q34)*$O$30)+(R34*$R$30))*1.21)*1.05)*1.05</f>
        <v>452870.14598335134</v>
      </c>
      <c r="AM34" s="32"/>
      <c r="AN34" s="287"/>
      <c r="AO34" s="295"/>
      <c r="AP34" s="290"/>
      <c r="AQ34" s="293"/>
      <c r="AR34" s="4"/>
      <c r="AS34" s="4"/>
      <c r="AT34" s="506"/>
      <c r="AU34" s="291"/>
    </row>
    <row r="35" spans="1:51" ht="15.75" customHeight="1" thickBot="1">
      <c r="A35" s="68">
        <v>0.7</v>
      </c>
      <c r="B35" s="69">
        <v>2</v>
      </c>
      <c r="C35" s="59">
        <f>(((A35+(2*B35))*'MATERIALES (2)'!$C$60)+((A35+(2*B35))*'MATERIALES (2)'!$C$58)+(A35*'MATERIALES (2)'!$C$62)+((((A35*2)+(B35*6))*'MATERIALES (2)'!$C$76)*2)+((B35*2)*'MATERIALES (2)'!$C$61))*'MATERIALES (2)'!$F$2</f>
        <v>212609.11349999998</v>
      </c>
      <c r="D35" s="59">
        <f>(1*'MATERIALES (2)'!$C$193)+(1*'MATERIALES (2)'!$C$194)+(3*'MATERIALES (2)'!$C$196)+(2*'MATERIALES (2)'!$C$178)+(2*'MATERIALES (2)'!$C$179)+(2*'MATERIALES (2)'!$C$180)+(12*'MATERIALES (2)'!$C$147)+(12*'MATERIALES (2)'!$C$148)+((A35+(2*B35))*'MATERIALES (2)'!$C$199)+((A35+(2*B35))*'MATERIALES (2)'!$C$198)+(((A35*2)+(B35*6))*'MATERIALES (2)'!$C$130)+(((((A35*2)+(B35*6))/0.1)*'MATERIALES (2)'!$C$181)*2)+(2*'MATERIALES (2)'!$C$176)+(((A35*5)*2)*'MATERIALES (2)'!$C$136)+(4*'MATERIALES (2)'!$C$137)</f>
        <v>64540</v>
      </c>
      <c r="E35" s="75"/>
      <c r="F35" s="55">
        <f>(A35*B35)*'MATERIALES (2)'!$D$85</f>
        <v>10360</v>
      </c>
      <c r="G35" s="59">
        <f t="shared" ref="G35:G41" si="8">SUM(C35:F35)</f>
        <v>287509.11349999998</v>
      </c>
      <c r="H35" s="67">
        <f t="shared" ref="H35:H41" si="9">((((SUM(C35:E35)*$C$30)+(F35*$F$30))*1.21)*1.05)*1.05</f>
        <v>526768.19028473063</v>
      </c>
      <c r="M35" s="68">
        <v>0.7</v>
      </c>
      <c r="N35" s="69">
        <v>2</v>
      </c>
      <c r="O35" s="59">
        <f>(((M35+(2*N35))*'MATERIALES (2)'!$C$60)+((M35+(2*N35))*'MATERIALES (2)'!$C$58)+(M35*'MATERIALES (2)'!$C$62)+((M35*4)*'MATERIALES (2)'!$C$61)+((((M35*10)+(N35*2))*'MATERIALES (2)'!$C$76)*2))*'MATERIALES (2)'!$F$2</f>
        <v>188138.02349999998</v>
      </c>
      <c r="P35" s="59">
        <f>(1*'MATERIALES (2)'!$C$193)+(1*'MATERIALES (2)'!$C$194)+(3*'MATERIALES (2)'!$C$196)+(2*'MATERIALES (2)'!$C$178)+(2*'MATERIALES (2)'!$C$179)+(2*'MATERIALES (2)'!$C$180)+(20*'MATERIALES (2)'!$C$147)+(20*'MATERIALES (2)'!$C$148)+((M35+(2*N35))*'MATERIALES (2)'!$C$199)+((M35+(2*N35))*'MATERIALES (2)'!$C$198)+(((M35*10)+(N35*2))*'MATERIALES (2)'!$C$130)+(((((M35*10)+(N35*2))/0.1)*'MATERIALES (2)'!$C$181)*2)+(2*'MATERIALES (2)'!$C$176)+(((M35*5)*2)*'MATERIALES (2)'!$C$136)+(4*'MATERIALES (2)'!$C$137)</f>
        <v>64044</v>
      </c>
      <c r="Q35" s="75"/>
      <c r="R35" s="55">
        <f>(M35*N35)*'MATERIALES (2)'!$D$85</f>
        <v>10360</v>
      </c>
      <c r="S35" s="59">
        <f t="shared" ref="S35:S41" si="10">SUM(O35:R35)</f>
        <v>262542.02350000001</v>
      </c>
      <c r="T35" s="67">
        <f t="shared" ref="T35:T41" si="11">((((SUM(O35:Q35)*$O$30)+(R35*$R$30))*1.21)*1.05)*1.05</f>
        <v>481804.11526444316</v>
      </c>
      <c r="AM35" s="32"/>
      <c r="AN35" s="287"/>
      <c r="AO35" s="295"/>
      <c r="AP35" s="290"/>
      <c r="AQ35" s="293"/>
      <c r="AR35" s="4"/>
      <c r="AS35" s="4"/>
      <c r="AT35" s="506"/>
      <c r="AU35" s="291"/>
    </row>
    <row r="36" spans="1:51" ht="15.75" customHeight="1" thickBot="1">
      <c r="A36" s="68">
        <v>0.8</v>
      </c>
      <c r="B36" s="69">
        <v>2</v>
      </c>
      <c r="C36" s="59">
        <f>(((A36+(2*B36))*'MATERIALES (2)'!$C$60)+((A36+(2*B36))*'MATERIALES (2)'!$C$58)+(A36*'MATERIALES (2)'!$C$62)+((((A36*2)+(B36*6))*'MATERIALES (2)'!$C$76)*2)+((B36*2)*'MATERIALES (2)'!$C$61))*'MATERIALES (2)'!$F$2</f>
        <v>217423.584</v>
      </c>
      <c r="D36" s="59">
        <f>(1*'MATERIALES (2)'!$C$193)+(1*'MATERIALES (2)'!$C$194)+(3*'MATERIALES (2)'!$C$196)+(2*'MATERIALES (2)'!$C$178)+(2*'MATERIALES (2)'!$C$179)+(2*'MATERIALES (2)'!$C$180)+(12*'MATERIALES (2)'!$C$147)+(12*'MATERIALES (2)'!$C$148)+((A36+(2*B36))*'MATERIALES (2)'!$C$199)+((A36+(2*B36))*'MATERIALES (2)'!$C$198)+(((A36*2)+(B36*6))*'MATERIALES (2)'!$C$130)+(((((A36*2)+(B36*6))/0.1)*'MATERIALES (2)'!$C$181)*2)+(2*'MATERIALES (2)'!$C$176)+(((A36*5)*2)*'MATERIALES (2)'!$C$136)+(4*'MATERIALES (2)'!$C$137)</f>
        <v>64770</v>
      </c>
      <c r="E36" s="75"/>
      <c r="F36" s="55">
        <f>(A36*B36)*'MATERIALES (2)'!$D$85</f>
        <v>11840</v>
      </c>
      <c r="G36" s="59">
        <f t="shared" si="8"/>
        <v>294033.58400000003</v>
      </c>
      <c r="H36" s="67">
        <f t="shared" si="9"/>
        <v>539801.66145906015</v>
      </c>
      <c r="M36" s="68">
        <v>0.8</v>
      </c>
      <c r="N36" s="69">
        <v>2</v>
      </c>
      <c r="O36" s="59">
        <f>(((M36+(2*N36))*'MATERIALES (2)'!$C$60)+((M36+(2*N36))*'MATERIALES (2)'!$C$58)+(M36*'MATERIALES (2)'!$C$62)+((M36*4)*'MATERIALES (2)'!$C$61)+((((M36*10)+(N36*2))*'MATERIALES (2)'!$C$76)*2))*'MATERIALES (2)'!$F$2</f>
        <v>201109.524</v>
      </c>
      <c r="P36" s="59">
        <f>(1*'MATERIALES (2)'!$C$193)+(1*'MATERIALES (2)'!$C$194)+(3*'MATERIALES (2)'!$C$196)+(2*'MATERIALES (2)'!$C$178)+(2*'MATERIALES (2)'!$C$179)+(2*'MATERIALES (2)'!$C$180)+(20*'MATERIALES (2)'!$C$147)+(20*'MATERIALES (2)'!$C$148)+((M36+(2*N36))*'MATERIALES (2)'!$C$199)+((M36+(2*N36))*'MATERIALES (2)'!$C$198)+(((M36*10)+(N36*2))*'MATERIALES (2)'!$C$130)+(((((M36*10)+(N36*2))/0.1)*'MATERIALES (2)'!$C$181)*2)+(2*'MATERIALES (2)'!$C$176)+(((M36*5)*2)*'MATERIALES (2)'!$C$136)+(4*'MATERIALES (2)'!$C$137)</f>
        <v>64946</v>
      </c>
      <c r="Q36" s="75"/>
      <c r="R36" s="55">
        <f>(M36*N36)*'MATERIALES (2)'!$D$85</f>
        <v>11840</v>
      </c>
      <c r="S36" s="59">
        <f t="shared" si="10"/>
        <v>277895.52399999998</v>
      </c>
      <c r="T36" s="67">
        <f t="shared" si="11"/>
        <v>510738.08454553504</v>
      </c>
      <c r="AM36" s="32"/>
      <c r="AO36" s="295"/>
      <c r="AQ36" s="298"/>
      <c r="AT36" s="507"/>
      <c r="AU36" s="291"/>
    </row>
    <row r="37" spans="1:51" ht="15.75" customHeight="1" thickBot="1">
      <c r="A37" s="68">
        <v>0.9</v>
      </c>
      <c r="B37" s="69">
        <v>2</v>
      </c>
      <c r="C37" s="59">
        <f>(((A37+(2*B37))*'MATERIALES (2)'!$C$60)+((A37+(2*B37))*'MATERIALES (2)'!$C$58)+(A37*'MATERIALES (2)'!$C$62)+((((A37*2)+(B37*6))*'MATERIALES (2)'!$C$76)*2)+((B37*2)*'MATERIALES (2)'!$C$61))*'MATERIALES (2)'!$F$2</f>
        <v>222238.0545</v>
      </c>
      <c r="D37" s="59">
        <f>(1*'MATERIALES (2)'!$C$193)+(1*'MATERIALES (2)'!$C$194)+(3*'MATERIALES (2)'!$C$196)+(2*'MATERIALES (2)'!$C$178)+(2*'MATERIALES (2)'!$C$179)+(2*'MATERIALES (2)'!$C$180)+(12*'MATERIALES (2)'!$C$147)+(12*'MATERIALES (2)'!$C$148)+((A37+(2*B37))*'MATERIALES (2)'!$C$199)+((A37+(2*B37))*'MATERIALES (2)'!$C$198)+(((A37*2)+(B37*6))*'MATERIALES (2)'!$C$130)+(((((A37*2)+(B37*6))/0.1)*'MATERIALES (2)'!$C$181)*2)+(2*'MATERIALES (2)'!$C$176)+(((A37*5)*2)*'MATERIALES (2)'!$C$136)+(4*'MATERIALES (2)'!$C$137)</f>
        <v>65000</v>
      </c>
      <c r="E37" s="75"/>
      <c r="F37" s="55">
        <f>(A37*B37)*'MATERIALES (2)'!$D$85</f>
        <v>13320</v>
      </c>
      <c r="G37" s="59">
        <f t="shared" si="8"/>
        <v>300558.05449999997</v>
      </c>
      <c r="H37" s="67">
        <f t="shared" si="9"/>
        <v>552835.13263338932</v>
      </c>
      <c r="M37" s="68">
        <v>0.9</v>
      </c>
      <c r="N37" s="69">
        <v>2</v>
      </c>
      <c r="O37" s="59">
        <f>(((M37+(2*N37))*'MATERIALES (2)'!$C$60)+((M37+(2*N37))*'MATERIALES (2)'!$C$58)+(M37*'MATERIALES (2)'!$C$62)+((M37*4)*'MATERIALES (2)'!$C$61)+((((M37*10)+(N37*2))*'MATERIALES (2)'!$C$76)*2))*'MATERIALES (2)'!$F$2</f>
        <v>214081.0245</v>
      </c>
      <c r="P37" s="59">
        <f>(1*'MATERIALES (2)'!$C$193)+(1*'MATERIALES (2)'!$C$194)+(3*'MATERIALES (2)'!$C$196)+(2*'MATERIALES (2)'!$C$178)+(2*'MATERIALES (2)'!$C$179)+(2*'MATERIALES (2)'!$C$180)+(20*'MATERIALES (2)'!$C$147)+(20*'MATERIALES (2)'!$C$148)+((M37+(2*N37))*'MATERIALES (2)'!$C$199)+((M37+(2*N37))*'MATERIALES (2)'!$C$198)+(((M37*10)+(N37*2))*'MATERIALES (2)'!$C$130)+(((((M37*10)+(N37*2))/0.1)*'MATERIALES (2)'!$C$181)*2)+(2*'MATERIALES (2)'!$C$176)+(((M37*5)*2)*'MATERIALES (2)'!$C$136)+(4*'MATERIALES (2)'!$C$137)</f>
        <v>65848</v>
      </c>
      <c r="Q37" s="75"/>
      <c r="R37" s="55">
        <f>(M37*N37)*'MATERIALES (2)'!$D$85</f>
        <v>13320</v>
      </c>
      <c r="S37" s="59">
        <f t="shared" si="10"/>
        <v>293249.0245</v>
      </c>
      <c r="T37" s="67">
        <f t="shared" si="11"/>
        <v>539672.05382662697</v>
      </c>
      <c r="AM37" s="32"/>
      <c r="AO37" s="295"/>
      <c r="AQ37" s="298"/>
      <c r="AT37" s="507"/>
    </row>
    <row r="38" spans="1:51" ht="15.75" customHeight="1" thickBot="1">
      <c r="A38" s="68">
        <v>0.6</v>
      </c>
      <c r="B38" s="69">
        <v>2.1</v>
      </c>
      <c r="C38" s="59">
        <f>(((A38+(2*B38))*'MATERIALES (2)'!$C$60)+((A38+(2*B38))*'MATERIALES (2)'!$C$58)+(A38*'MATERIALES (2)'!$C$62)+((((A38*2)+(B38*6))*'MATERIALES (2)'!$C$76)*2)+((B38*2)*'MATERIALES (2)'!$C$61))*'MATERIALES (2)'!$F$2</f>
        <v>216740.03399999999</v>
      </c>
      <c r="D38" s="59">
        <f>(1*'MATERIALES (2)'!$C$193)+(1*'MATERIALES (2)'!$C$194)+(3*'MATERIALES (2)'!$C$196)+(2*'MATERIALES (2)'!$C$178)+(2*'MATERIALES (2)'!$C$179)+(2*'MATERIALES (2)'!$C$180)+(12*'MATERIALES (2)'!$C$147)+(12*'MATERIALES (2)'!$C$148)+((A38+(2*B38))*'MATERIALES (2)'!$C$199)+((A38+(2*B38))*'MATERIALES (2)'!$C$198)+(((A38*2)+(B38*6))*'MATERIALES (2)'!$C$130)+(((((A38*2)+(B38*6))/0.1)*'MATERIALES (2)'!$C$181)*2)+(2*'MATERIALES (2)'!$C$176)+(((A38*5)*2)*'MATERIALES (2)'!$C$136)+(4*'MATERIALES (2)'!$C$137)</f>
        <v>64938</v>
      </c>
      <c r="E38" s="75"/>
      <c r="F38" s="55">
        <f>(A38*B38)*'MATERIALES (2)'!$D$85</f>
        <v>9324</v>
      </c>
      <c r="G38" s="59">
        <f t="shared" si="8"/>
        <v>291002.03399999999</v>
      </c>
      <c r="H38" s="67">
        <f t="shared" si="9"/>
        <v>532160.37626424758</v>
      </c>
      <c r="M38" s="68">
        <v>0.6</v>
      </c>
      <c r="N38" s="69">
        <v>2.1</v>
      </c>
      <c r="O38" s="59">
        <f>(((M38+(2*N38))*'MATERIALES (2)'!$C$60)+((M38+(2*N38))*'MATERIALES (2)'!$C$58)+(M38*'MATERIALES (2)'!$C$62)+((M38*4)*'MATERIALES (2)'!$C$61)+((((M38*10)+(N38*2))*'MATERIALES (2)'!$C$76)*2))*'MATERIALES (2)'!$F$2</f>
        <v>180033.39899999998</v>
      </c>
      <c r="P38" s="59">
        <f>(1*'MATERIALES (2)'!$C$193)+(1*'MATERIALES (2)'!$C$194)+(3*'MATERIALES (2)'!$C$196)+(2*'MATERIALES (2)'!$C$178)+(2*'MATERIALES (2)'!$C$179)+(2*'MATERIALES (2)'!$C$180)+(20*'MATERIALES (2)'!$C$147)+(20*'MATERIALES (2)'!$C$148)+((M38+(2*N38))*'MATERIALES (2)'!$C$199)+((M38+(2*N38))*'MATERIALES (2)'!$C$198)+(((M38*10)+(N38*2))*'MATERIALES (2)'!$C$130)+(((((M38*10)+(N38*2))/0.1)*'MATERIALES (2)'!$C$181)*2)+(2*'MATERIALES (2)'!$C$176)+(((M38*5)*2)*'MATERIALES (2)'!$C$136)+(4*'MATERIALES (2)'!$C$137)</f>
        <v>63434</v>
      </c>
      <c r="Q38" s="75"/>
      <c r="R38" s="55">
        <f>(M38*N38)*'MATERIALES (2)'!$D$85</f>
        <v>9324</v>
      </c>
      <c r="S38" s="59">
        <f t="shared" si="10"/>
        <v>252791.39899999998</v>
      </c>
      <c r="T38" s="67">
        <f t="shared" si="11"/>
        <v>463345.5540838163</v>
      </c>
      <c r="AM38" s="32"/>
      <c r="AO38" s="312"/>
      <c r="AQ38" s="32"/>
      <c r="AT38" s="505"/>
    </row>
    <row r="39" spans="1:51" ht="15.75" thickBot="1">
      <c r="A39" s="68">
        <v>0.7</v>
      </c>
      <c r="B39" s="69">
        <v>2.1</v>
      </c>
      <c r="C39" s="59">
        <f>(((A39+(2*B39))*'MATERIALES (2)'!$C$60)+((A39+(2*B39))*'MATERIALES (2)'!$C$58)+(A39*'MATERIALES (2)'!$C$62)+((((A39*2)+(B39*6))*'MATERIALES (2)'!$C$76)*2)+((B39*2)*'MATERIALES (2)'!$C$61))*'MATERIALES (2)'!$F$2</f>
        <v>221554.50450000001</v>
      </c>
      <c r="D39" s="59">
        <f>(1*'MATERIALES (2)'!$C$193)+(1*'MATERIALES (2)'!$C$194)+(3*'MATERIALES (2)'!$C$196)+(2*'MATERIALES (2)'!$C$178)+(2*'MATERIALES (2)'!$C$179)+(2*'MATERIALES (2)'!$C$180)+(12*'MATERIALES (2)'!$C$147)+(12*'MATERIALES (2)'!$C$148)+((A39+(2*B39))*'MATERIALES (2)'!$C$199)+((A39+(2*B39))*'MATERIALES (2)'!$C$198)+(((A39*2)+(B39*6))*'MATERIALES (2)'!$C$130)+(((((A39*2)+(B39*6))/0.1)*'MATERIALES (2)'!$C$181)*2)+(2*'MATERIALES (2)'!$C$176)+(((A39*5)*2)*'MATERIALES (2)'!$C$136)+(4*'MATERIALES (2)'!$C$137)</f>
        <v>65168</v>
      </c>
      <c r="E39" s="75"/>
      <c r="F39" s="55">
        <f>(A39*B39)*'MATERIALES (2)'!$D$85</f>
        <v>10878</v>
      </c>
      <c r="G39" s="59">
        <f t="shared" si="8"/>
        <v>297600.50450000004</v>
      </c>
      <c r="H39" s="67">
        <f t="shared" si="9"/>
        <v>545391.28313857701</v>
      </c>
      <c r="M39" s="68">
        <v>0.7</v>
      </c>
      <c r="N39" s="69">
        <v>2.1</v>
      </c>
      <c r="O39" s="59">
        <f>(((M39+(2*N39))*'MATERIALES (2)'!$C$60)+((M39+(2*N39))*'MATERIALES (2)'!$C$58)+(M39*'MATERIALES (2)'!$C$62)+((M39*4)*'MATERIALES (2)'!$C$61)+((((M39*10)+(N39*2))*'MATERIALES (2)'!$C$76)*2))*'MATERIALES (2)'!$F$2</f>
        <v>193004.89949999997</v>
      </c>
      <c r="P39" s="59">
        <f>(1*'MATERIALES (2)'!$C$193)+(1*'MATERIALES (2)'!$C$194)+(3*'MATERIALES (2)'!$C$196)+(2*'MATERIALES (2)'!$C$178)+(2*'MATERIALES (2)'!$C$179)+(2*'MATERIALES (2)'!$C$180)+(20*'MATERIALES (2)'!$C$147)+(20*'MATERIALES (2)'!$C$148)+((M39+(2*N39))*'MATERIALES (2)'!$C$199)+((M39+(2*N39))*'MATERIALES (2)'!$C$198)+(((M39*10)+(N39*2))*'MATERIALES (2)'!$C$130)+(((((M39*10)+(N39*2))/0.1)*'MATERIALES (2)'!$C$181)*2)+(2*'MATERIALES (2)'!$C$176)+(((M39*5)*2)*'MATERIALES (2)'!$C$136)+(4*'MATERIALES (2)'!$C$137)</f>
        <v>64336</v>
      </c>
      <c r="Q39" s="75"/>
      <c r="R39" s="55">
        <f>(M39*N39)*'MATERIALES (2)'!$D$85</f>
        <v>10878</v>
      </c>
      <c r="S39" s="59">
        <f t="shared" si="10"/>
        <v>268218.89949999994</v>
      </c>
      <c r="T39" s="67">
        <f t="shared" si="11"/>
        <v>492476.95906490815</v>
      </c>
      <c r="AT39" s="505"/>
    </row>
    <row r="40" spans="1:51" ht="16.5" thickBot="1">
      <c r="A40" s="68">
        <v>0.8</v>
      </c>
      <c r="B40" s="69">
        <v>2.1</v>
      </c>
      <c r="C40" s="59">
        <f>(((A40+(2*B40))*'MATERIALES (2)'!$C$60)+((A40+(2*B40))*'MATERIALES (2)'!$C$58)+(A40*'MATERIALES (2)'!$C$62)+((((A40*2)+(B40*6))*'MATERIALES (2)'!$C$76)*2)+((B40*2)*'MATERIALES (2)'!$C$61))*'MATERIALES (2)'!$F$2</f>
        <v>226368.97500000001</v>
      </c>
      <c r="D40" s="59">
        <f>(1*'MATERIALES (2)'!$C$193)+(1*'MATERIALES (2)'!$C$194)+(3*'MATERIALES (2)'!$C$196)+(2*'MATERIALES (2)'!$C$178)+(2*'MATERIALES (2)'!$C$179)+(2*'MATERIALES (2)'!$C$180)+(12*'MATERIALES (2)'!$C$147)+(12*'MATERIALES (2)'!$C$148)+((A40+(2*B40))*'MATERIALES (2)'!$C$199)+((A40+(2*B40))*'MATERIALES (2)'!$C$198)+(((A40*2)+(B40*6))*'MATERIALES (2)'!$C$130)+(((((A40*2)+(B40*6))/0.1)*'MATERIALES (2)'!$C$181)*2)+(2*'MATERIALES (2)'!$C$176)+(((A40*5)*2)*'MATERIALES (2)'!$C$136)+(4*'MATERIALES (2)'!$C$137)</f>
        <v>65398</v>
      </c>
      <c r="E40" s="75"/>
      <c r="F40" s="55">
        <f>(A40*B40)*'MATERIALES (2)'!$D$85</f>
        <v>12432.000000000002</v>
      </c>
      <c r="G40" s="59">
        <f t="shared" si="8"/>
        <v>304198.97499999998</v>
      </c>
      <c r="H40" s="67">
        <f t="shared" si="9"/>
        <v>558622.19001290633</v>
      </c>
      <c r="M40" s="68">
        <v>0.8</v>
      </c>
      <c r="N40" s="69">
        <v>2.1</v>
      </c>
      <c r="O40" s="59">
        <f>(((M40+(2*N40))*'MATERIALES (2)'!$C$60)+((M40+(2*N40))*'MATERIALES (2)'!$C$58)+(M40*'MATERIALES (2)'!$C$62)+((M40*4)*'MATERIALES (2)'!$C$61)+((((M40*10)+(N40*2))*'MATERIALES (2)'!$C$76)*2))*'MATERIALES (2)'!$F$2</f>
        <v>205976.4</v>
      </c>
      <c r="P40" s="59">
        <f>(1*'MATERIALES (2)'!$C$193)+(1*'MATERIALES (2)'!$C$194)+(3*'MATERIALES (2)'!$C$196)+(2*'MATERIALES (2)'!$C$178)+(2*'MATERIALES (2)'!$C$179)+(2*'MATERIALES (2)'!$C$180)+(20*'MATERIALES (2)'!$C$147)+(20*'MATERIALES (2)'!$C$148)+((M40+(2*N40))*'MATERIALES (2)'!$C$199)+((M40+(2*N40))*'MATERIALES (2)'!$C$198)+(((M40*10)+(N40*2))*'MATERIALES (2)'!$C$130)+(((((M40*10)+(N40*2))/0.1)*'MATERIALES (2)'!$C$181)*2)+(2*'MATERIALES (2)'!$C$176)+(((M40*5)*2)*'MATERIALES (2)'!$C$136)+(4*'MATERIALES (2)'!$C$137)</f>
        <v>65238</v>
      </c>
      <c r="Q40" s="75"/>
      <c r="R40" s="55">
        <f>(M40*N40)*'MATERIALES (2)'!$D$85</f>
        <v>12432.000000000002</v>
      </c>
      <c r="S40" s="59">
        <f t="shared" si="10"/>
        <v>283646.40000000002</v>
      </c>
      <c r="T40" s="67">
        <f t="shared" si="11"/>
        <v>521608.36404600012</v>
      </c>
      <c r="AL40" s="313"/>
      <c r="AM40" s="288"/>
      <c r="AN40" s="314"/>
      <c r="AP40" s="315"/>
      <c r="AQ40" s="267"/>
      <c r="AR40" s="316"/>
      <c r="AS40" s="316"/>
      <c r="AT40" s="505"/>
      <c r="AY40" s="705"/>
    </row>
    <row r="41" spans="1:51" ht="15.75" customHeight="1" thickBot="1">
      <c r="A41" s="71">
        <v>0.9</v>
      </c>
      <c r="B41" s="72">
        <v>2.1</v>
      </c>
      <c r="C41" s="60">
        <f>(((A41+(2*B41))*'MATERIALES (2)'!$C$60)+((A41+(2*B41))*'MATERIALES (2)'!$C$58)+(A41*'MATERIALES (2)'!$C$62)+((((A41*2)+(B41*6))*'MATERIALES (2)'!$C$76)*2)+((B41*2)*'MATERIALES (2)'!$C$61))*'MATERIALES (2)'!$F$2</f>
        <v>231183.4455</v>
      </c>
      <c r="D41" s="60">
        <f>(1*'MATERIALES (2)'!$C$193)+(1*'MATERIALES (2)'!$C$194)+(3*'MATERIALES (2)'!$C$196)+(2*'MATERIALES (2)'!$C$178)+(2*'MATERIALES (2)'!$C$179)+(2*'MATERIALES (2)'!$C$180)+(12*'MATERIALES (2)'!$C$147)+(12*'MATERIALES (2)'!$C$148)+((A41+(2*B41))*'MATERIALES (2)'!$C$199)+((A41+(2*B41))*'MATERIALES (2)'!$C$198)+(((A41*2)+(B41*6))*'MATERIALES (2)'!$C$130)+(((((A41*2)+(B41*6))/0.1)*'MATERIALES (2)'!$C$181)*2)+(2*'MATERIALES (2)'!$C$176)+(((A41*5)*2)*'MATERIALES (2)'!$C$136)+(4*'MATERIALES (2)'!$C$137)</f>
        <v>65628</v>
      </c>
      <c r="E41" s="76"/>
      <c r="F41" s="56">
        <f>(A41*B41)*'MATERIALES (2)'!$D$85</f>
        <v>13986.000000000002</v>
      </c>
      <c r="G41" s="60">
        <f t="shared" si="8"/>
        <v>310797.44550000003</v>
      </c>
      <c r="H41" s="67">
        <f t="shared" si="9"/>
        <v>571853.09688723576</v>
      </c>
      <c r="M41" s="71">
        <v>0.9</v>
      </c>
      <c r="N41" s="72">
        <v>2.1</v>
      </c>
      <c r="O41" s="60">
        <f>(((M41+(2*N41))*'MATERIALES (2)'!$C$60)+((M41+(2*N41))*'MATERIALES (2)'!$C$58)+(M41*'MATERIALES (2)'!$C$62)+((M41*4)*'MATERIALES (2)'!$C$61)+((((M41*10)+(N41*2))*'MATERIALES (2)'!$C$76)*2))*'MATERIALES (2)'!$F$2</f>
        <v>218947.90050000002</v>
      </c>
      <c r="P41" s="60">
        <f>(1*'MATERIALES (2)'!$C$193)+(1*'MATERIALES (2)'!$C$194)+(3*'MATERIALES (2)'!$C$196)+(2*'MATERIALES (2)'!$C$178)+(2*'MATERIALES (2)'!$C$179)+(2*'MATERIALES (2)'!$C$180)+(20*'MATERIALES (2)'!$C$147)+(20*'MATERIALES (2)'!$C$148)+((M41+(2*N41))*'MATERIALES (2)'!$C$199)+((M41+(2*N41))*'MATERIALES (2)'!$C$198)+(((M41*10)+(N41*2))*'MATERIALES (2)'!$C$130)+(((((M41*10)+(N41*2))/0.1)*'MATERIALES (2)'!$C$181)*2)+(2*'MATERIALES (2)'!$C$176)+(((M41*5)*2)*'MATERIALES (2)'!$C$136)+(4*'MATERIALES (2)'!$C$137)</f>
        <v>66140</v>
      </c>
      <c r="Q41" s="76"/>
      <c r="R41" s="56">
        <f>(M41*N41)*'MATERIALES (2)'!$D$85</f>
        <v>13986.000000000002</v>
      </c>
      <c r="S41" s="60">
        <f t="shared" si="10"/>
        <v>299073.90049999999</v>
      </c>
      <c r="T41" s="67">
        <f t="shared" si="11"/>
        <v>550739.76902709191</v>
      </c>
      <c r="AH41" s="410"/>
      <c r="AI41" s="410"/>
      <c r="AL41" s="313"/>
      <c r="AM41" s="288"/>
      <c r="AN41" s="314"/>
      <c r="AP41" s="315"/>
      <c r="AQ41" s="267"/>
      <c r="AR41" s="316"/>
      <c r="AS41" s="316"/>
      <c r="AT41" s="505"/>
    </row>
    <row r="42" spans="1:51" ht="15.75" customHeight="1">
      <c r="AL42" s="313"/>
      <c r="AM42" s="288"/>
      <c r="AN42" s="314"/>
      <c r="AP42" s="315"/>
      <c r="AQ42" s="267"/>
      <c r="AR42" s="316"/>
      <c r="AS42" s="316"/>
      <c r="AT42" s="505"/>
      <c r="AU42" s="303"/>
    </row>
    <row r="43" spans="1:51" ht="15" customHeight="1" thickBot="1">
      <c r="C43" s="878" t="s">
        <v>221</v>
      </c>
      <c r="D43" s="878"/>
      <c r="E43" s="878"/>
      <c r="F43" s="878"/>
      <c r="G43" s="78"/>
      <c r="O43" s="878" t="s">
        <v>221</v>
      </c>
      <c r="P43" s="878"/>
      <c r="Q43" s="878"/>
      <c r="R43" s="878"/>
      <c r="Y43" s="878" t="s">
        <v>221</v>
      </c>
      <c r="Z43" s="878"/>
      <c r="AA43" s="878"/>
      <c r="AB43" s="878"/>
      <c r="AC43" s="78"/>
      <c r="AJ43" s="595">
        <f>+H78</f>
        <v>620012.59877576248</v>
      </c>
      <c r="AK43" s="496"/>
      <c r="AL43" s="597">
        <f>+T22</f>
        <v>476754.89624012256</v>
      </c>
      <c r="AM43" s="497"/>
      <c r="AN43" s="596">
        <f>+T36</f>
        <v>510738.08454553504</v>
      </c>
      <c r="AO43" s="496"/>
      <c r="AP43" s="596">
        <f>+T92</f>
        <v>404949.56800567498</v>
      </c>
      <c r="AQ43" s="498"/>
      <c r="AR43" s="596">
        <f>+T106</f>
        <v>520590.09075727488</v>
      </c>
      <c r="AS43" s="479"/>
      <c r="AT43" s="607" t="s">
        <v>921</v>
      </c>
      <c r="AU43" s="324"/>
    </row>
    <row r="44" spans="1:51" ht="17.25" customHeight="1" thickBot="1">
      <c r="A44" s="32"/>
      <c r="B44" s="32"/>
      <c r="C44" s="807">
        <v>1.35</v>
      </c>
      <c r="D44" s="808"/>
      <c r="E44" s="809"/>
      <c r="F44" s="545">
        <v>2</v>
      </c>
      <c r="G44" s="32"/>
      <c r="H44" s="46" t="s">
        <v>163</v>
      </c>
      <c r="M44" s="32"/>
      <c r="N44" s="32"/>
      <c r="O44" s="807">
        <v>1.35</v>
      </c>
      <c r="P44" s="808"/>
      <c r="Q44" s="808"/>
      <c r="R44" s="809"/>
      <c r="S44" s="32"/>
      <c r="T44" s="46" t="s">
        <v>163</v>
      </c>
      <c r="W44" s="32"/>
      <c r="X44" s="32"/>
      <c r="Y44" s="807">
        <v>1.35</v>
      </c>
      <c r="Z44" s="808"/>
      <c r="AA44" s="809"/>
      <c r="AB44" s="545">
        <v>2</v>
      </c>
      <c r="AC44" s="32"/>
      <c r="AD44" s="46" t="s">
        <v>163</v>
      </c>
      <c r="AJ44" s="602">
        <f>+H207</f>
        <v>656831.68877576257</v>
      </c>
      <c r="AK44" s="486"/>
      <c r="AL44" s="602">
        <f>+T151</f>
        <v>538120.04624012252</v>
      </c>
      <c r="AM44" s="488"/>
      <c r="AN44" s="602">
        <f>+T165</f>
        <v>633468.38454553497</v>
      </c>
      <c r="AO44" s="486"/>
      <c r="AP44" s="602">
        <f>+T221</f>
        <v>527679.86800567503</v>
      </c>
      <c r="AQ44" s="487"/>
      <c r="AR44" s="602">
        <f>+T235</f>
        <v>643320.39075727493</v>
      </c>
      <c r="AS44" s="494"/>
      <c r="AT44" s="607" t="s">
        <v>703</v>
      </c>
      <c r="AU44" s="480"/>
    </row>
    <row r="45" spans="1:51" ht="15.75" customHeight="1" thickBot="1">
      <c r="A45" s="792" t="s">
        <v>212</v>
      </c>
      <c r="B45" s="793"/>
      <c r="C45" s="793"/>
      <c r="D45" s="793"/>
      <c r="E45" s="793"/>
      <c r="F45" s="793"/>
      <c r="G45" s="793"/>
      <c r="H45" s="794"/>
      <c r="M45" s="792" t="s">
        <v>219</v>
      </c>
      <c r="N45" s="793"/>
      <c r="O45" s="793"/>
      <c r="P45" s="793"/>
      <c r="Q45" s="793"/>
      <c r="R45" s="793"/>
      <c r="S45" s="793"/>
      <c r="T45" s="794"/>
      <c r="W45" s="792" t="s">
        <v>410</v>
      </c>
      <c r="X45" s="793"/>
      <c r="Y45" s="793"/>
      <c r="Z45" s="793"/>
      <c r="AA45" s="793"/>
      <c r="AB45" s="793"/>
      <c r="AC45" s="793"/>
      <c r="AD45" s="794"/>
      <c r="AJ45" s="602">
        <f>+H335</f>
        <v>646190.21581826266</v>
      </c>
      <c r="AK45" s="486"/>
      <c r="AL45" s="602">
        <f>+T279</f>
        <v>515285.67371762253</v>
      </c>
      <c r="AM45" s="488"/>
      <c r="AN45" s="602">
        <f>+T293</f>
        <v>610743.26867053506</v>
      </c>
      <c r="AO45" s="486"/>
      <c r="AP45" s="495"/>
      <c r="AQ45" s="487"/>
      <c r="AR45" s="495"/>
      <c r="AS45" s="495"/>
      <c r="AT45" s="607" t="s">
        <v>692</v>
      </c>
      <c r="AU45" s="480"/>
    </row>
    <row r="46" spans="1:51" ht="15.75" customHeight="1" thickBot="1">
      <c r="A46" s="36" t="s">
        <v>116</v>
      </c>
      <c r="B46" s="36" t="s">
        <v>117</v>
      </c>
      <c r="C46" s="36" t="s">
        <v>162</v>
      </c>
      <c r="D46" s="36" t="s">
        <v>119</v>
      </c>
      <c r="E46" s="36" t="s">
        <v>120</v>
      </c>
      <c r="F46" s="36" t="s">
        <v>118</v>
      </c>
      <c r="G46" s="36" t="s">
        <v>121</v>
      </c>
      <c r="H46" s="36" t="s">
        <v>122</v>
      </c>
      <c r="M46" s="36" t="s">
        <v>116</v>
      </c>
      <c r="N46" s="36" t="s">
        <v>117</v>
      </c>
      <c r="O46" s="36" t="s">
        <v>162</v>
      </c>
      <c r="P46" s="36" t="s">
        <v>119</v>
      </c>
      <c r="Q46" s="36" t="s">
        <v>120</v>
      </c>
      <c r="R46" s="36" t="s">
        <v>217</v>
      </c>
      <c r="S46" s="36" t="s">
        <v>121</v>
      </c>
      <c r="T46" s="36" t="s">
        <v>122</v>
      </c>
      <c r="W46" s="36" t="s">
        <v>116</v>
      </c>
      <c r="X46" s="36" t="s">
        <v>117</v>
      </c>
      <c r="Y46" s="36" t="s">
        <v>162</v>
      </c>
      <c r="Z46" s="36" t="s">
        <v>119</v>
      </c>
      <c r="AA46" s="36" t="s">
        <v>120</v>
      </c>
      <c r="AB46" s="36" t="s">
        <v>118</v>
      </c>
      <c r="AC46" s="36" t="s">
        <v>121</v>
      </c>
      <c r="AD46" s="36" t="s">
        <v>122</v>
      </c>
      <c r="AL46" s="313"/>
      <c r="AM46" s="288"/>
      <c r="AN46" s="314"/>
      <c r="AP46" s="315"/>
      <c r="AQ46" s="267"/>
      <c r="AR46" s="316"/>
      <c r="AS46" s="316"/>
      <c r="AT46" s="508"/>
      <c r="AU46" s="292"/>
    </row>
    <row r="47" spans="1:51" ht="15.75" customHeight="1" thickBot="1">
      <c r="A47" s="795"/>
      <c r="B47" s="796"/>
      <c r="C47" s="796"/>
      <c r="D47" s="796"/>
      <c r="E47" s="796"/>
      <c r="F47" s="796"/>
      <c r="G47" s="796"/>
      <c r="H47" s="797"/>
      <c r="M47" s="795"/>
      <c r="N47" s="796"/>
      <c r="O47" s="796"/>
      <c r="P47" s="796"/>
      <c r="Q47" s="796"/>
      <c r="R47" s="796"/>
      <c r="S47" s="796"/>
      <c r="T47" s="797"/>
      <c r="W47" s="795"/>
      <c r="X47" s="796"/>
      <c r="Y47" s="796"/>
      <c r="Z47" s="796"/>
      <c r="AA47" s="796"/>
      <c r="AB47" s="796"/>
      <c r="AC47" s="796"/>
      <c r="AD47" s="797"/>
      <c r="AJ47" s="411" t="s">
        <v>641</v>
      </c>
      <c r="AK47" s="412"/>
      <c r="AL47" s="411" t="s">
        <v>642</v>
      </c>
      <c r="AM47" s="413"/>
      <c r="AN47" s="411"/>
      <c r="AO47" s="414"/>
      <c r="AP47" s="415"/>
      <c r="AQ47" s="293"/>
      <c r="AR47" s="318"/>
      <c r="AS47" s="318"/>
      <c r="AT47" s="508"/>
      <c r="AU47" s="292"/>
    </row>
    <row r="48" spans="1:51" ht="15.75" customHeight="1" thickBot="1">
      <c r="A48" s="158">
        <v>0.6</v>
      </c>
      <c r="B48" s="159">
        <v>2</v>
      </c>
      <c r="C48" s="74">
        <f>((((A48+(2*B48))*'MATERIALES (2)'!$C$60)+((A48+(2*B48))*'MATERIALES (2)'!$C$58)+(A48*'MATERIALES (2)'!$C$62)+((((A48*2)+(B48*4))*'MATERIALES (2)'!$C$76)*2))*'MATERIALES (2)'!$F$2)+(1*'MATERIALES (2)'!$D$233)</f>
        <v>145706.74300000002</v>
      </c>
      <c r="D48" s="74">
        <f>(1*'MATERIALES (2)'!$C$193)+(1*'MATERIALES (2)'!$C$194)+(3*'MATERIALES (2)'!$C$196)+(2*'MATERIALES (2)'!$C$178)+(2*'MATERIALES (2)'!$C$179)+(2*'MATERIALES (2)'!$C$180)+(8*'MATERIALES (2)'!$C$147)+(8*'MATERIALES (2)'!$C$148)+((A48+(2*B48))*'MATERIALES (2)'!$C$199)+((A48+(2*B48))*'MATERIALES (2)'!$C$198)+(((A48*2)+(B48*2))*'MATERIALES (2)'!$C$154)+(((A48*2)+(B48*2))*'MATERIALES (2)'!$C$130)+(0.5*'MATERIALES (2)'!$C$156)+(((((A48*2)+(B48*4))/0.1)*'MATERIALES (2)'!$C$181)*2)+(2*'MATERIALES (2)'!$C$176)+(((A48*5)*2)*'MATERIALES (2)'!$C$136)+(4*'MATERIALES (2)'!$C$137)</f>
        <v>64478</v>
      </c>
      <c r="E48" s="74"/>
      <c r="F48" s="111">
        <f>((A48/2)*B48)*'MATERIALES (2)'!$D$85</f>
        <v>4440</v>
      </c>
      <c r="G48" s="74">
        <f>SUM(C48:F48)</f>
        <v>214624.74300000002</v>
      </c>
      <c r="H48" s="160">
        <f>((((SUM(C48:E48)*$C$44)+(F48*$F$44))*1.21)*1.05)*1.05</f>
        <v>390374.93940377625</v>
      </c>
      <c r="I48" s="77"/>
      <c r="J48" s="77"/>
      <c r="K48" s="77"/>
      <c r="L48" s="77"/>
      <c r="M48" s="65">
        <v>0.6</v>
      </c>
      <c r="N48" s="66">
        <v>2</v>
      </c>
      <c r="O48" s="58">
        <f>(((M48+(2*N48))*'MATERIALES (2)'!$C$60)+((M48+(2*N48))*'MATERIALES (2)'!$C$58)+(M48*'MATERIALES (2)'!$C$62)+((((M48*2)+(N48*2))*'MATERIALES (2)'!$C$76)*2))*'MATERIALES (2)'!$F$2</f>
        <v>126224.34299999999</v>
      </c>
      <c r="P48" s="58">
        <f>(1*'MATERIALES (2)'!$C$193)+(1*'MATERIALES (2)'!$C$194)+(3*'MATERIALES (2)'!$C$196)+(2*'MATERIALES (2)'!$C$178)+(2*'MATERIALES (2)'!$C$179)+(2*'MATERIALES (2)'!$C$180)+(4*'MATERIALES (2)'!$C$147)+(4*'MATERIALES (2)'!$C$148)+((M48+(2*N48))*'MATERIALES (2)'!$C$199)+((M48+(2*N48))*'MATERIALES (2)'!$C$198)+(((M48*2)+(N48*2))*'MATERIALES (2)'!$C$154)+(0.5*'MATERIALES (2)'!$C$156)+(((((M48*2)+(N48*2))/0.1)*'MATERIALES (2)'!$C$181)*2)+(2*'MATERIALES (2)'!$C$176)+(((M48*5)*2)*'MATERIALES (2)'!$C$136)+(4*'MATERIALES (2)'!$C$137)</f>
        <v>60070</v>
      </c>
      <c r="Q48" s="74"/>
      <c r="R48" s="54">
        <f>(1*'MATERIALES (2)'!$D$233)</f>
        <v>4900</v>
      </c>
      <c r="S48" s="58">
        <f>SUM(O48:R48)</f>
        <v>191194.34299999999</v>
      </c>
      <c r="T48" s="67">
        <f>((((SUM(O48:R48)*$O$44))*1.21)*1.05)*1.05</f>
        <v>344328.34511777631</v>
      </c>
      <c r="U48" s="77"/>
      <c r="W48" s="65">
        <v>0.6</v>
      </c>
      <c r="X48" s="66">
        <v>2</v>
      </c>
      <c r="Y48" s="58">
        <f>(((W48+(2*X48))*'MATERIALES (2)'!$C$60)+((W48+(2*X48))*'MATERIALES (2)'!$C$58)+(W48*'MATERIALES (2)'!$C$62)+((((W48*2)+(X48*4))*'MATERIALES (2)'!$C$76)*2)+((((W48/2)-0.2)*'MATERIALES (2)'!$C$30)*(X48/0.12)))*'MATERIALES (2)'!$F$2</f>
        <v>159566.39300000001</v>
      </c>
      <c r="Z48" s="58">
        <f>(1*'MATERIALES (2)'!$C$193)+(1*'MATERIALES (2)'!$C$194)+(3*'MATERIALES (2)'!$C$196)+(2*'MATERIALES (2)'!$C$178)+(2*'MATERIALES (2)'!$C$179)+(2*'MATERIALES (2)'!$C$180)+(8*'MATERIALES (2)'!$C$147)+(8*'MATERIALES (2)'!$C$148)+((W48+(2*X48))*'MATERIALES (2)'!$C$199)+((W48+(2*X48))*'MATERIALES (2)'!$C$198)+(((W48*2)+(X48*2))*'MATERIALES (2)'!$C$154)+(((W48*2)+(X48*2))*'MATERIALES (2)'!$C$130)+(0.5*'MATERIALES (2)'!$C$156)+(((((W48*2)+(X48*4))/0.1)*'MATERIALES (2)'!$C$181)*2)+(2*'MATERIALES (2)'!$C$176)+(((W48*5)*2)*'MATERIALES (2)'!$C$136)+(4*'MATERIALES (2)'!$C$137)</f>
        <v>64478</v>
      </c>
      <c r="AA48" s="58">
        <f>(0.5*'MATERIALES (2)'!$D$244)</f>
        <v>0</v>
      </c>
      <c r="AB48" s="54">
        <f>((W48/2)*X48)*'MATERIALES (2)'!$D$85</f>
        <v>4440</v>
      </c>
      <c r="AC48" s="58">
        <f>SUM(Y48:AB48)</f>
        <v>228484.39300000001</v>
      </c>
      <c r="AD48" s="67">
        <f>((((SUM(Y48:AA48)*$Y$44)+(AB48*$AB$44))*1.21)*1.05)*1.05</f>
        <v>415335.25085196376</v>
      </c>
      <c r="AK48" s="291"/>
      <c r="AM48" s="293"/>
      <c r="AO48" s="295"/>
      <c r="AP48" s="317"/>
      <c r="AQ48" s="293"/>
      <c r="AR48" s="318"/>
      <c r="AS48" s="318"/>
      <c r="AT48" s="508"/>
      <c r="AU48" s="292"/>
    </row>
    <row r="49" spans="1:47" ht="15" customHeight="1" thickBot="1">
      <c r="A49" s="161">
        <v>0.7</v>
      </c>
      <c r="B49" s="162">
        <v>2</v>
      </c>
      <c r="C49" s="75">
        <f>((((A49+(2*B49))*'MATERIALES (2)'!$C$60)+((A49+(2*B49))*'MATERIALES (2)'!$C$58)+(A49*'MATERIALES (2)'!$C$62)+((((A49*2)+(B49*4))*'MATERIALES (2)'!$C$76)*2))*'MATERIALES (2)'!$F$2)+(1*'MATERIALES (2)'!$D$233)</f>
        <v>150521.21349999998</v>
      </c>
      <c r="D49" s="75">
        <f>(1*'MATERIALES (2)'!$C$193)+(1*'MATERIALES (2)'!$C$194)+(3*'MATERIALES (2)'!$C$196)+(2*'MATERIALES (2)'!$C$178)+(2*'MATERIALES (2)'!$C$179)+(2*'MATERIALES (2)'!$C$180)+(8*'MATERIALES (2)'!$C$147)+(8*'MATERIALES (2)'!$C$148)+((A49+(2*B49))*'MATERIALES (2)'!$C$199)+((A49+(2*B49))*'MATERIALES (2)'!$C$198)+(((A49*2)+(B49*2))*'MATERIALES (2)'!$C$154)+(((A49*2)+(B49*2))*'MATERIALES (2)'!$C$130)+(0.5*'MATERIALES (2)'!$C$156)+(((((A49*2)+(B49*4))/0.1)*'MATERIALES (2)'!$C$181)*2)+(2*'MATERIALES (2)'!$C$176)+(((A49*5)*2)*'MATERIALES (2)'!$C$136)+(4*'MATERIALES (2)'!$C$137)</f>
        <v>64756</v>
      </c>
      <c r="E49" s="75"/>
      <c r="F49" s="112">
        <f>((A49/2)*B49)*'MATERIALES (2)'!$D$85</f>
        <v>5180</v>
      </c>
      <c r="G49" s="75">
        <f t="shared" ref="G49:G55" si="12">SUM(C49:F49)</f>
        <v>220457.21349999998</v>
      </c>
      <c r="H49" s="160">
        <f t="shared" ref="H49:H55" si="13">((((SUM(C49:E49)*$C$44)+(F49*$F$44))*1.21)*1.05)*1.05</f>
        <v>401520.49839810556</v>
      </c>
      <c r="I49" s="77"/>
      <c r="J49" s="77"/>
      <c r="K49" s="77"/>
      <c r="L49" s="77"/>
      <c r="M49" s="68">
        <v>0.7</v>
      </c>
      <c r="N49" s="69">
        <v>2</v>
      </c>
      <c r="O49" s="59">
        <f>(((M49+(2*N49))*'MATERIALES (2)'!$C$60)+((M49+(2*N49))*'MATERIALES (2)'!$C$58)+(M49*'MATERIALES (2)'!$C$62)+((((M49*2)+(N49*2))*'MATERIALES (2)'!$C$76)*2))*'MATERIALES (2)'!$F$2</f>
        <v>131038.8135</v>
      </c>
      <c r="P49" s="59">
        <f>(1*'MATERIALES (2)'!$C$193)+(1*'MATERIALES (2)'!$C$194)+(3*'MATERIALES (2)'!$C$196)+(2*'MATERIALES (2)'!$C$178)+(2*'MATERIALES (2)'!$C$179)+(2*'MATERIALES (2)'!$C$180)+(4*'MATERIALES (2)'!$C$147)+(4*'MATERIALES (2)'!$C$148)+((M49+(2*N49))*'MATERIALES (2)'!$C$199)+((M49+(2*N49))*'MATERIALES (2)'!$C$198)+(((M49*2)+(N49*2))*'MATERIALES (2)'!$C$154)+(0.5*'MATERIALES (2)'!$C$156)+(((((M49*2)+(N49*2))/0.1)*'MATERIALES (2)'!$C$181)*2)+(2*'MATERIALES (2)'!$C$176)+(((M49*5)*2)*'MATERIALES (2)'!$C$136)+(4*'MATERIALES (2)'!$C$137)</f>
        <v>60300</v>
      </c>
      <c r="Q49" s="75"/>
      <c r="R49" s="55">
        <f>(1*'MATERIALES (2)'!$D$233)</f>
        <v>4900</v>
      </c>
      <c r="S49" s="59">
        <f t="shared" ref="S49:S55" si="14">SUM(O49:R49)</f>
        <v>196238.81349999999</v>
      </c>
      <c r="T49" s="67">
        <f t="shared" ref="T49:T55" si="15">((((SUM(O49:R49)*$O$44))*1.21)*1.05)*1.05</f>
        <v>353413.10229210567</v>
      </c>
      <c r="U49" s="77"/>
      <c r="W49" s="68">
        <v>0.7</v>
      </c>
      <c r="X49" s="69">
        <v>2</v>
      </c>
      <c r="Y49" s="59">
        <f>(((W49+(2*X49))*'MATERIALES (2)'!$C$60)+((W49+(2*X49))*'MATERIALES (2)'!$C$58)+(W49*'MATERIALES (2)'!$C$62)+((((W49*2)+(X49*4))*'MATERIALES (2)'!$C$76)*2)+((((W49/2)-0.2)*'MATERIALES (2)'!$C$30)*(X49/0.12)))*'MATERIALES (2)'!$F$2</f>
        <v>173760.68849999999</v>
      </c>
      <c r="Z49" s="59">
        <f>(1*'MATERIALES (2)'!$C$193)+(1*'MATERIALES (2)'!$C$194)+(3*'MATERIALES (2)'!$C$196)+(2*'MATERIALES (2)'!$C$178)+(2*'MATERIALES (2)'!$C$179)+(2*'MATERIALES (2)'!$C$180)+(8*'MATERIALES (2)'!$C$147)+(8*'MATERIALES (2)'!$C$148)+((W49+(2*X49))*'MATERIALES (2)'!$C$199)+((W49+(2*X49))*'MATERIALES (2)'!$C$198)+(((W49*2)+(X49*2))*'MATERIALES (2)'!$C$154)+(((W49*2)+(X49*2))*'MATERIALES (2)'!$C$130)+(0.5*'MATERIALES (2)'!$C$156)+(((((W49*2)+(X49*4))/0.1)*'MATERIALES (2)'!$C$181)*2)+(2*'MATERIALES (2)'!$C$176)+(((W49*5)*2)*'MATERIALES (2)'!$C$136)+(4*'MATERIALES (2)'!$C$137)</f>
        <v>64756</v>
      </c>
      <c r="AA49" s="59">
        <f>(0.5*'MATERIALES (2)'!$D$244)</f>
        <v>0</v>
      </c>
      <c r="AB49" s="55">
        <f>((W49/2)*X49)*'MATERIALES (2)'!$D$85</f>
        <v>5180</v>
      </c>
      <c r="AC49" s="59">
        <f t="shared" ref="AC49:AC55" si="16">SUM(Y49:AB49)</f>
        <v>243696.68849999999</v>
      </c>
      <c r="AD49" s="67">
        <f t="shared" ref="AD49:AD55" si="17">((((SUM(Y49:AA49)*$Y$44)+(AB49*$AB$44))*1.21)*1.05)*1.05</f>
        <v>443373.25325788691</v>
      </c>
      <c r="AK49" s="319"/>
      <c r="AM49" s="309"/>
      <c r="AO49" s="307"/>
      <c r="AP49" s="317"/>
      <c r="AQ49" s="309"/>
      <c r="AR49" s="320"/>
      <c r="AS49" s="320"/>
      <c r="AT49" s="508"/>
      <c r="AU49" s="4"/>
    </row>
    <row r="50" spans="1:47" ht="16.5" customHeight="1" thickBot="1">
      <c r="A50" s="161">
        <v>0.8</v>
      </c>
      <c r="B50" s="162">
        <v>2</v>
      </c>
      <c r="C50" s="75">
        <f>((((A50+(2*B50))*'MATERIALES (2)'!$C$60)+((A50+(2*B50))*'MATERIALES (2)'!$C$58)+(A50*'MATERIALES (2)'!$C$62)+((((A50*2)+(B50*4))*'MATERIALES (2)'!$C$76)*2))*'MATERIALES (2)'!$F$2)+(1*'MATERIALES (2)'!$D$233)</f>
        <v>155335.68399999998</v>
      </c>
      <c r="D50" s="75">
        <f>(1*'MATERIALES (2)'!$C$193)+(1*'MATERIALES (2)'!$C$194)+(3*'MATERIALES (2)'!$C$196)+(2*'MATERIALES (2)'!$C$178)+(2*'MATERIALES (2)'!$C$179)+(2*'MATERIALES (2)'!$C$180)+(8*'MATERIALES (2)'!$C$147)+(8*'MATERIALES (2)'!$C$148)+((A50+(2*B50))*'MATERIALES (2)'!$C$199)+((A50+(2*B50))*'MATERIALES (2)'!$C$198)+(((A50*2)+(B50*2))*'MATERIALES (2)'!$C$154)+(((A50*2)+(B50*2))*'MATERIALES (2)'!$C$130)+(0.5*'MATERIALES (2)'!$C$156)+(((((A50*2)+(B50*4))/0.1)*'MATERIALES (2)'!$C$181)*2)+(2*'MATERIALES (2)'!$C$176)+(((A50*5)*2)*'MATERIALES (2)'!$C$136)+(4*'MATERIALES (2)'!$C$137)</f>
        <v>65034</v>
      </c>
      <c r="E50" s="75"/>
      <c r="F50" s="112">
        <f>((A50/2)*B50)*'MATERIALES (2)'!$D$85</f>
        <v>5920</v>
      </c>
      <c r="G50" s="75">
        <f t="shared" si="12"/>
        <v>226289.68399999998</v>
      </c>
      <c r="H50" s="160">
        <f t="shared" si="13"/>
        <v>412666.05739243503</v>
      </c>
      <c r="I50" s="77"/>
      <c r="J50" s="77"/>
      <c r="K50" s="77"/>
      <c r="L50" s="77"/>
      <c r="M50" s="68">
        <v>0.8</v>
      </c>
      <c r="N50" s="69">
        <v>2</v>
      </c>
      <c r="O50" s="59">
        <f>(((M50+(2*N50))*'MATERIALES (2)'!$C$60)+((M50+(2*N50))*'MATERIALES (2)'!$C$58)+(M50*'MATERIALES (2)'!$C$62)+((((M50*2)+(N50*2))*'MATERIALES (2)'!$C$76)*2))*'MATERIALES (2)'!$F$2</f>
        <v>135853.28399999999</v>
      </c>
      <c r="P50" s="59">
        <f>(1*'MATERIALES (2)'!$C$193)+(1*'MATERIALES (2)'!$C$194)+(3*'MATERIALES (2)'!$C$196)+(2*'MATERIALES (2)'!$C$178)+(2*'MATERIALES (2)'!$C$179)+(2*'MATERIALES (2)'!$C$180)+(4*'MATERIALES (2)'!$C$147)+(4*'MATERIALES (2)'!$C$148)+((M50+(2*N50))*'MATERIALES (2)'!$C$199)+((M50+(2*N50))*'MATERIALES (2)'!$C$198)+(((M50*2)+(N50*2))*'MATERIALES (2)'!$C$154)+(0.5*'MATERIALES (2)'!$C$156)+(((((M50*2)+(N50*2))/0.1)*'MATERIALES (2)'!$C$181)*2)+(2*'MATERIALES (2)'!$C$176)+(((M50*5)*2)*'MATERIALES (2)'!$C$136)+(4*'MATERIALES (2)'!$C$137)</f>
        <v>60530</v>
      </c>
      <c r="Q50" s="75"/>
      <c r="R50" s="55">
        <f>(1*'MATERIALES (2)'!$D$233)</f>
        <v>4900</v>
      </c>
      <c r="S50" s="59">
        <f t="shared" si="14"/>
        <v>201283.28399999999</v>
      </c>
      <c r="T50" s="67">
        <f t="shared" si="15"/>
        <v>362497.85946643498</v>
      </c>
      <c r="U50" s="77"/>
      <c r="W50" s="68">
        <v>0.8</v>
      </c>
      <c r="X50" s="69">
        <v>2</v>
      </c>
      <c r="Y50" s="59">
        <f>(((W50+(2*X50))*'MATERIALES (2)'!$C$60)+((W50+(2*X50))*'MATERIALES (2)'!$C$58)+(W50*'MATERIALES (2)'!$C$62)+((((W50*2)+(X50*4))*'MATERIALES (2)'!$C$76)*2)+((((W50/2)-0.2)*'MATERIALES (2)'!$C$30)*(X50/0.12)))*'MATERIALES (2)'!$F$2</f>
        <v>187954.98399999997</v>
      </c>
      <c r="Z50" s="59">
        <f>(1*'MATERIALES (2)'!$C$193)+(1*'MATERIALES (2)'!$C$194)+(3*'MATERIALES (2)'!$C$196)+(2*'MATERIALES (2)'!$C$178)+(2*'MATERIALES (2)'!$C$179)+(2*'MATERIALES (2)'!$C$180)+(8*'MATERIALES (2)'!$C$147)+(8*'MATERIALES (2)'!$C$148)+((W50+(2*X50))*'MATERIALES (2)'!$C$199)+((W50+(2*X50))*'MATERIALES (2)'!$C$198)+(((W50*2)+(X50*2))*'MATERIALES (2)'!$C$154)+(((W50*2)+(X50*2))*'MATERIALES (2)'!$C$130)+(0.5*'MATERIALES (2)'!$C$156)+(((((W50*2)+(X50*4))/0.1)*'MATERIALES (2)'!$C$181)*2)+(2*'MATERIALES (2)'!$C$176)+(((W50*5)*2)*'MATERIALES (2)'!$C$136)+(4*'MATERIALES (2)'!$C$137)</f>
        <v>65034</v>
      </c>
      <c r="AA50" s="59">
        <f>(0.5*'MATERIALES (2)'!$D$244)</f>
        <v>0</v>
      </c>
      <c r="AB50" s="55">
        <f>((W50/2)*X50)*'MATERIALES (2)'!$D$85</f>
        <v>5920</v>
      </c>
      <c r="AC50" s="59">
        <f>SUM(Y50:AB50)</f>
        <v>258908.98399999997</v>
      </c>
      <c r="AD50" s="67">
        <f t="shared" si="17"/>
        <v>471411.25566380995</v>
      </c>
      <c r="AK50" s="319"/>
      <c r="AL50" s="311"/>
      <c r="AM50" s="309"/>
      <c r="AN50" s="311"/>
      <c r="AO50" s="307"/>
      <c r="AP50" s="317"/>
      <c r="AQ50" s="309"/>
      <c r="AR50" s="320"/>
      <c r="AS50" s="320"/>
      <c r="AT50" s="500"/>
      <c r="AU50" s="4"/>
    </row>
    <row r="51" spans="1:47" ht="15.75" customHeight="1" thickBot="1">
      <c r="A51" s="161">
        <v>0.9</v>
      </c>
      <c r="B51" s="162">
        <v>2</v>
      </c>
      <c r="C51" s="75">
        <f>((((A51+(2*B51))*'MATERIALES (2)'!$C$60)+((A51+(2*B51))*'MATERIALES (2)'!$C$58)+(A51*'MATERIALES (2)'!$C$62)+((((A51*2)+(B51*4))*'MATERIALES (2)'!$C$76)*2))*'MATERIALES (2)'!$F$2)+(1*'MATERIALES (2)'!$D$233)</f>
        <v>160150.1545</v>
      </c>
      <c r="D51" s="75">
        <f>(1*'MATERIALES (2)'!$C$193)+(1*'MATERIALES (2)'!$C$194)+(3*'MATERIALES (2)'!$C$196)+(2*'MATERIALES (2)'!$C$178)+(2*'MATERIALES (2)'!$C$179)+(2*'MATERIALES (2)'!$C$180)+(8*'MATERIALES (2)'!$C$147)+(8*'MATERIALES (2)'!$C$148)+((A51+(2*B51))*'MATERIALES (2)'!$C$199)+((A51+(2*B51))*'MATERIALES (2)'!$C$198)+(((A51*2)+(B51*2))*'MATERIALES (2)'!$C$154)+(((A51*2)+(B51*2))*'MATERIALES (2)'!$C$130)+(0.5*'MATERIALES (2)'!$C$156)+(((((A51*2)+(B51*4))/0.1)*'MATERIALES (2)'!$C$181)*2)+(2*'MATERIALES (2)'!$C$176)+(((A51*5)*2)*'MATERIALES (2)'!$C$136)+(4*'MATERIALES (2)'!$C$137)</f>
        <v>65312</v>
      </c>
      <c r="E51" s="75"/>
      <c r="F51" s="112">
        <f>((A51/2)*B51)*'MATERIALES (2)'!$D$85</f>
        <v>6660</v>
      </c>
      <c r="G51" s="75">
        <f t="shared" si="12"/>
        <v>232122.1545</v>
      </c>
      <c r="H51" s="160">
        <f t="shared" si="13"/>
        <v>423811.61638676445</v>
      </c>
      <c r="I51" s="77"/>
      <c r="J51" s="77"/>
      <c r="K51" s="77"/>
      <c r="L51" s="77"/>
      <c r="M51" s="68">
        <v>0.9</v>
      </c>
      <c r="N51" s="69">
        <v>2</v>
      </c>
      <c r="O51" s="59">
        <f>(((M51+(2*N51))*'MATERIALES (2)'!$C$60)+((M51+(2*N51))*'MATERIALES (2)'!$C$58)+(M51*'MATERIALES (2)'!$C$62)+((((M51*2)+(N51*2))*'MATERIALES (2)'!$C$76)*2))*'MATERIALES (2)'!$F$2</f>
        <v>140667.75450000001</v>
      </c>
      <c r="P51" s="59">
        <f>(1*'MATERIALES (2)'!$C$193)+(1*'MATERIALES (2)'!$C$194)+(3*'MATERIALES (2)'!$C$196)+(2*'MATERIALES (2)'!$C$178)+(2*'MATERIALES (2)'!$C$179)+(2*'MATERIALES (2)'!$C$180)+(4*'MATERIALES (2)'!$C$147)+(4*'MATERIALES (2)'!$C$148)+((M51+(2*N51))*'MATERIALES (2)'!$C$199)+((M51+(2*N51))*'MATERIALES (2)'!$C$198)+(((M51*2)+(N51*2))*'MATERIALES (2)'!$C$154)+(0.5*'MATERIALES (2)'!$C$156)+(((((M51*2)+(N51*2))/0.1)*'MATERIALES (2)'!$C$181)*2)+(2*'MATERIALES (2)'!$C$176)+(((M51*5)*2)*'MATERIALES (2)'!$C$136)+(4*'MATERIALES (2)'!$C$137)</f>
        <v>60760</v>
      </c>
      <c r="Q51" s="75"/>
      <c r="R51" s="55">
        <f>(1*'MATERIALES (2)'!$D$233)</f>
        <v>4900</v>
      </c>
      <c r="S51" s="59">
        <f t="shared" si="14"/>
        <v>206327.75450000001</v>
      </c>
      <c r="T51" s="67">
        <f t="shared" si="15"/>
        <v>371582.61664076441</v>
      </c>
      <c r="U51" s="77"/>
      <c r="W51" s="68">
        <v>0.9</v>
      </c>
      <c r="X51" s="69">
        <v>2</v>
      </c>
      <c r="Y51" s="59">
        <f>(((W51+(2*X51))*'MATERIALES (2)'!$C$60)+((W51+(2*X51))*'MATERIALES (2)'!$C$58)+(W51*'MATERIALES (2)'!$C$62)+((((W51*2)+(X51*4))*'MATERIALES (2)'!$C$76)*2)+((((W51/2)-0.2)*'MATERIALES (2)'!$C$30)*(X51/0.12)))*'MATERIALES (2)'!$F$2</f>
        <v>202149.27950000003</v>
      </c>
      <c r="Z51" s="59">
        <f>(1*'MATERIALES (2)'!$C$193)+(1*'MATERIALES (2)'!$C$194)+(3*'MATERIALES (2)'!$C$196)+(2*'MATERIALES (2)'!$C$178)+(2*'MATERIALES (2)'!$C$179)+(2*'MATERIALES (2)'!$C$180)+(8*'MATERIALES (2)'!$C$147)+(8*'MATERIALES (2)'!$C$148)+((W51+(2*X51))*'MATERIALES (2)'!$C$199)+((W51+(2*X51))*'MATERIALES (2)'!$C$198)+(((W51*2)+(X51*2))*'MATERIALES (2)'!$C$154)+(((W51*2)+(X51*2))*'MATERIALES (2)'!$C$130)+(0.5*'MATERIALES (2)'!$C$156)+(((((W51*2)+(X51*4))/0.1)*'MATERIALES (2)'!$C$181)*2)+(2*'MATERIALES (2)'!$C$176)+(((W51*5)*2)*'MATERIALES (2)'!$C$136)+(4*'MATERIALES (2)'!$C$137)</f>
        <v>65312</v>
      </c>
      <c r="AA51" s="59">
        <f>(0.5*'MATERIALES (2)'!$D$244)</f>
        <v>0</v>
      </c>
      <c r="AB51" s="55">
        <f>((W51/2)*X51)*'MATERIALES (2)'!$D$85</f>
        <v>6660</v>
      </c>
      <c r="AC51" s="59">
        <f t="shared" si="16"/>
        <v>274121.27950000006</v>
      </c>
      <c r="AD51" s="67">
        <f t="shared" si="17"/>
        <v>499449.25806973327</v>
      </c>
      <c r="AL51" s="296"/>
      <c r="AM51" s="293"/>
      <c r="AN51" s="297"/>
      <c r="AO51" s="295"/>
      <c r="AP51" s="317"/>
      <c r="AQ51" s="293"/>
      <c r="AR51" s="316"/>
      <c r="AS51" s="316"/>
      <c r="AT51" s="500"/>
      <c r="AU51" s="4"/>
    </row>
    <row r="52" spans="1:47" ht="15" customHeight="1" thickBot="1">
      <c r="A52" s="161">
        <v>0.6</v>
      </c>
      <c r="B52" s="162">
        <v>2.1</v>
      </c>
      <c r="C52" s="75">
        <f>((((A52+(2*B52))*'MATERIALES (2)'!$C$60)+((A52+(2*B52))*'MATERIALES (2)'!$C$58)+(A52*'MATERIALES (2)'!$C$62)+((((A52*2)+(B52*4))*'MATERIALES (2)'!$C$76)*2))*'MATERIALES (2)'!$F$2)+(1*'MATERIALES (2)'!$D$233)</f>
        <v>151302.739</v>
      </c>
      <c r="D52" s="75">
        <f>(1*'MATERIALES (2)'!$C$193)+(1*'MATERIALES (2)'!$C$194)+(3*'MATERIALES (2)'!$C$196)+(2*'MATERIALES (2)'!$C$178)+(2*'MATERIALES (2)'!$C$179)+(2*'MATERIALES (2)'!$C$180)+(8*'MATERIALES (2)'!$C$147)+(8*'MATERIALES (2)'!$C$148)+((A52+(2*B52))*'MATERIALES (2)'!$C$199)+((A52+(2*B52))*'MATERIALES (2)'!$C$198)+(((A52*2)+(B52*2))*'MATERIALES (2)'!$C$154)+(((A52*2)+(B52*2))*'MATERIALES (2)'!$C$130)+(0.5*'MATERIALES (2)'!$C$156)+(((((A52*2)+(B52*4))/0.1)*'MATERIALES (2)'!$C$181)*2)+(2*'MATERIALES (2)'!$C$176)+(((A52*5)*2)*'MATERIALES (2)'!$C$136)+(4*'MATERIALES (2)'!$C$137)</f>
        <v>64938</v>
      </c>
      <c r="E52" s="75"/>
      <c r="F52" s="112">
        <f>((A52/2)*B52)*'MATERIALES (2)'!$D$85</f>
        <v>4662</v>
      </c>
      <c r="G52" s="75">
        <f t="shared" si="12"/>
        <v>220902.739</v>
      </c>
      <c r="H52" s="160">
        <f t="shared" si="13"/>
        <v>401873.69409004133</v>
      </c>
      <c r="I52" s="77"/>
      <c r="J52" s="77"/>
      <c r="K52" s="77"/>
      <c r="L52" s="77"/>
      <c r="M52" s="68">
        <v>0.6</v>
      </c>
      <c r="N52" s="69">
        <v>2.1</v>
      </c>
      <c r="O52" s="59">
        <f>(((M52+(2*N52))*'MATERIALES (2)'!$C$60)+((M52+(2*N52))*'MATERIALES (2)'!$C$58)+(M52*'MATERIALES (2)'!$C$62)+((((M52*2)+(N52*2))*'MATERIALES (2)'!$C$76)*2))*'MATERIALES (2)'!$F$2</f>
        <v>131091.21899999998</v>
      </c>
      <c r="P52" s="59">
        <f>(1*'MATERIALES (2)'!$C$193)+(1*'MATERIALES (2)'!$C$194)+(3*'MATERIALES (2)'!$C$196)+(2*'MATERIALES (2)'!$C$178)+(2*'MATERIALES (2)'!$C$179)+(2*'MATERIALES (2)'!$C$180)+(4*'MATERIALES (2)'!$C$147)+(4*'MATERIALES (2)'!$C$148)+((M52+(2*N52))*'MATERIALES (2)'!$C$199)+((M52+(2*N52))*'MATERIALES (2)'!$C$198)+(((M52*2)+(N52*2))*'MATERIALES (2)'!$C$154)+(0.5*'MATERIALES (2)'!$C$156)+(((((M52*2)+(N52*2))/0.1)*'MATERIALES (2)'!$C$181)*2)+(2*'MATERIALES (2)'!$C$176)+(((M52*5)*2)*'MATERIALES (2)'!$C$136)+(4*'MATERIALES (2)'!$C$137)</f>
        <v>60362</v>
      </c>
      <c r="Q52" s="75"/>
      <c r="R52" s="55">
        <f>(1*'MATERIALES (2)'!$D$233)</f>
        <v>4900</v>
      </c>
      <c r="S52" s="59">
        <f t="shared" si="14"/>
        <v>196353.21899999998</v>
      </c>
      <c r="T52" s="67">
        <f t="shared" si="15"/>
        <v>353619.1390182412</v>
      </c>
      <c r="U52" s="77"/>
      <c r="W52" s="68">
        <v>0.6</v>
      </c>
      <c r="X52" s="69">
        <v>2.1</v>
      </c>
      <c r="Y52" s="59">
        <f>(((W52+(2*X52))*'MATERIALES (2)'!$C$60)+((W52+(2*X52))*'MATERIALES (2)'!$C$58)+(W52*'MATERIALES (2)'!$C$62)+((((W52*2)+(X52*4))*'MATERIALES (2)'!$C$76)*2)+((((W52/2)-0.2)*'MATERIALES (2)'!$C$30)*(X52/0.12)))*'MATERIALES (2)'!$F$2</f>
        <v>166100.37149999998</v>
      </c>
      <c r="Z52" s="59">
        <f>(1*'MATERIALES (2)'!$C$193)+(1*'MATERIALES (2)'!$C$194)+(3*'MATERIALES (2)'!$C$196)+(2*'MATERIALES (2)'!$C$178)+(2*'MATERIALES (2)'!$C$179)+(2*'MATERIALES (2)'!$C$180)+(8*'MATERIALES (2)'!$C$147)+(8*'MATERIALES (2)'!$C$148)+((W52+(2*X52))*'MATERIALES (2)'!$C$199)+((W52+(2*X52))*'MATERIALES (2)'!$C$198)+(((W52*2)+(X52*2))*'MATERIALES (2)'!$C$154)+(((W52*2)+(X52*2))*'MATERIALES (2)'!$C$130)+(0.5*'MATERIALES (2)'!$C$156)+(((((W52*2)+(X52*4))/0.1)*'MATERIALES (2)'!$C$181)*2)+(2*'MATERIALES (2)'!$C$176)+(((W52*5)*2)*'MATERIALES (2)'!$C$136)+(4*'MATERIALES (2)'!$C$137)</f>
        <v>64938</v>
      </c>
      <c r="AA52" s="59">
        <f>(0.5*'MATERIALES (2)'!$D$244)</f>
        <v>0</v>
      </c>
      <c r="AB52" s="55">
        <f>((W52/2)*X52)*'MATERIALES (2)'!$D$85</f>
        <v>4662</v>
      </c>
      <c r="AC52" s="59">
        <f t="shared" si="16"/>
        <v>235700.37149999998</v>
      </c>
      <c r="AD52" s="67">
        <f t="shared" si="17"/>
        <v>428523.2498793882</v>
      </c>
      <c r="AL52" s="287"/>
      <c r="AM52" s="293"/>
      <c r="AN52" s="290"/>
      <c r="AO52" s="295"/>
      <c r="AP52" s="317"/>
      <c r="AQ52" s="293"/>
      <c r="AR52" s="316"/>
      <c r="AS52" s="316"/>
      <c r="AT52" s="500"/>
      <c r="AU52" s="4"/>
    </row>
    <row r="53" spans="1:47" ht="15" customHeight="1" thickBot="1">
      <c r="A53" s="161">
        <v>0.7</v>
      </c>
      <c r="B53" s="162">
        <v>2.1</v>
      </c>
      <c r="C53" s="75">
        <f>((((A53+(2*B53))*'MATERIALES (2)'!$C$60)+((A53+(2*B53))*'MATERIALES (2)'!$C$58)+(A53*'MATERIALES (2)'!$C$62)+((((A53*2)+(B53*4))*'MATERIALES (2)'!$C$76)*2))*'MATERIALES (2)'!$F$2)+(1*'MATERIALES (2)'!$D$233)</f>
        <v>156117.2095</v>
      </c>
      <c r="D53" s="75">
        <f>(1*'MATERIALES (2)'!$C$193)+(1*'MATERIALES (2)'!$C$194)+(3*'MATERIALES (2)'!$C$196)+(2*'MATERIALES (2)'!$C$178)+(2*'MATERIALES (2)'!$C$179)+(2*'MATERIALES (2)'!$C$180)+(8*'MATERIALES (2)'!$C$147)+(8*'MATERIALES (2)'!$C$148)+((A53+(2*B53))*'MATERIALES (2)'!$C$199)+((A53+(2*B53))*'MATERIALES (2)'!$C$198)+(((A53*2)+(B53*2))*'MATERIALES (2)'!$C$154)+(((A53*2)+(B53*2))*'MATERIALES (2)'!$C$130)+(0.5*'MATERIALES (2)'!$C$156)+(((((A53*2)+(B53*4))/0.1)*'MATERIALES (2)'!$C$181)*2)+(2*'MATERIALES (2)'!$C$176)+(((A53*5)*2)*'MATERIALES (2)'!$C$136)+(4*'MATERIALES (2)'!$C$137)</f>
        <v>65216</v>
      </c>
      <c r="E53" s="75"/>
      <c r="F53" s="112">
        <f>((A53/2)*B53)*'MATERIALES (2)'!$D$85</f>
        <v>5439</v>
      </c>
      <c r="G53" s="75">
        <f t="shared" si="12"/>
        <v>226772.2095</v>
      </c>
      <c r="H53" s="160">
        <f t="shared" si="13"/>
        <v>413117.97093437065</v>
      </c>
      <c r="I53" s="77"/>
      <c r="J53" s="77"/>
      <c r="K53" s="77"/>
      <c r="L53" s="77"/>
      <c r="M53" s="68">
        <v>0.7</v>
      </c>
      <c r="N53" s="69">
        <v>2.1</v>
      </c>
      <c r="O53" s="59">
        <f>(((M53+(2*N53))*'MATERIALES (2)'!$C$60)+((M53+(2*N53))*'MATERIALES (2)'!$C$58)+(M53*'MATERIALES (2)'!$C$62)+((((M53*2)+(N53*2))*'MATERIALES (2)'!$C$76)*2))*'MATERIALES (2)'!$F$2</f>
        <v>135905.68949999998</v>
      </c>
      <c r="P53" s="59">
        <f>(1*'MATERIALES (2)'!$C$193)+(1*'MATERIALES (2)'!$C$194)+(3*'MATERIALES (2)'!$C$196)+(2*'MATERIALES (2)'!$C$178)+(2*'MATERIALES (2)'!$C$179)+(2*'MATERIALES (2)'!$C$180)+(4*'MATERIALES (2)'!$C$147)+(4*'MATERIALES (2)'!$C$148)+((M53+(2*N53))*'MATERIALES (2)'!$C$199)+((M53+(2*N53))*'MATERIALES (2)'!$C$198)+(((M53*2)+(N53*2))*'MATERIALES (2)'!$C$154)+(0.5*'MATERIALES (2)'!$C$156)+(((((M53*2)+(N53*2))/0.1)*'MATERIALES (2)'!$C$181)*2)+(2*'MATERIALES (2)'!$C$176)+(((M53*5)*2)*'MATERIALES (2)'!$C$136)+(4*'MATERIALES (2)'!$C$137)</f>
        <v>60592</v>
      </c>
      <c r="Q53" s="75"/>
      <c r="R53" s="55">
        <f>(1*'MATERIALES (2)'!$D$233)</f>
        <v>4900</v>
      </c>
      <c r="S53" s="59">
        <f t="shared" si="14"/>
        <v>201397.68949999998</v>
      </c>
      <c r="T53" s="67">
        <f t="shared" si="15"/>
        <v>362703.89619257062</v>
      </c>
      <c r="U53" s="77"/>
      <c r="W53" s="68">
        <v>0.7</v>
      </c>
      <c r="X53" s="69">
        <v>2.1</v>
      </c>
      <c r="Y53" s="59">
        <f>(((W53+(2*X53))*'MATERIALES (2)'!$C$60)+((W53+(2*X53))*'MATERIALES (2)'!$C$58)+(W53*'MATERIALES (2)'!$C$62)+((((W53*2)+(X53*4))*'MATERIALES (2)'!$C$76)*2)+((((W53/2)-0.2)*'MATERIALES (2)'!$C$30)*(X53/0.12)))*'MATERIALES (2)'!$F$2</f>
        <v>180763.65824999998</v>
      </c>
      <c r="Z53" s="59">
        <f>(1*'MATERIALES (2)'!$C$193)+(1*'MATERIALES (2)'!$C$194)+(3*'MATERIALES (2)'!$C$196)+(2*'MATERIALES (2)'!$C$178)+(2*'MATERIALES (2)'!$C$179)+(2*'MATERIALES (2)'!$C$180)+(8*'MATERIALES (2)'!$C$147)+(8*'MATERIALES (2)'!$C$148)+((W53+(2*X53))*'MATERIALES (2)'!$C$199)+((W53+(2*X53))*'MATERIALES (2)'!$C$198)+(((W53*2)+(X53*2))*'MATERIALES (2)'!$C$154)+(((W53*2)+(X53*2))*'MATERIALES (2)'!$C$130)+(0.5*'MATERIALES (2)'!$C$156)+(((((W53*2)+(X53*4))/0.1)*'MATERIALES (2)'!$C$181)*2)+(2*'MATERIALES (2)'!$C$176)+(((W53*5)*2)*'MATERIALES (2)'!$C$136)+(4*'MATERIALES (2)'!$C$137)</f>
        <v>65216</v>
      </c>
      <c r="AA53" s="59">
        <f>(0.5*'MATERIALES (2)'!$D$244)</f>
        <v>0</v>
      </c>
      <c r="AB53" s="55">
        <f>((W53/2)*X53)*'MATERIALES (2)'!$D$85</f>
        <v>5439</v>
      </c>
      <c r="AC53" s="59">
        <f t="shared" si="16"/>
        <v>251418.65824999998</v>
      </c>
      <c r="AD53" s="67">
        <f t="shared" si="17"/>
        <v>457504.59230589092</v>
      </c>
      <c r="AL53" s="296"/>
      <c r="AM53" s="298"/>
      <c r="AN53" s="297"/>
      <c r="AO53" s="295"/>
      <c r="AP53" s="317"/>
      <c r="AQ53" s="298"/>
      <c r="AR53" s="4"/>
      <c r="AS53" s="4"/>
      <c r="AT53" s="500"/>
    </row>
    <row r="54" spans="1:47" ht="15" customHeight="1" thickBot="1">
      <c r="A54" s="161">
        <v>0.8</v>
      </c>
      <c r="B54" s="162">
        <v>2.1</v>
      </c>
      <c r="C54" s="75">
        <f>((((A54+(2*B54))*'MATERIALES (2)'!$C$60)+((A54+(2*B54))*'MATERIALES (2)'!$C$58)+(A54*'MATERIALES (2)'!$C$62)+((((A54*2)+(B54*4))*'MATERIALES (2)'!$C$76)*2))*'MATERIALES (2)'!$F$2)+(1*'MATERIALES (2)'!$D$233)</f>
        <v>160931.68000000002</v>
      </c>
      <c r="D54" s="75">
        <f>(1*'MATERIALES (2)'!$C$193)+(1*'MATERIALES (2)'!$C$194)+(3*'MATERIALES (2)'!$C$196)+(2*'MATERIALES (2)'!$C$178)+(2*'MATERIALES (2)'!$C$179)+(2*'MATERIALES (2)'!$C$180)+(8*'MATERIALES (2)'!$C$147)+(8*'MATERIALES (2)'!$C$148)+((A54+(2*B54))*'MATERIALES (2)'!$C$199)+((A54+(2*B54))*'MATERIALES (2)'!$C$198)+(((A54*2)+(B54*2))*'MATERIALES (2)'!$C$154)+(((A54*2)+(B54*2))*'MATERIALES (2)'!$C$130)+(0.5*'MATERIALES (2)'!$C$156)+(((((A54*2)+(B54*4))/0.1)*'MATERIALES (2)'!$C$181)*2)+(2*'MATERIALES (2)'!$C$176)+(((A54*5)*2)*'MATERIALES (2)'!$C$136)+(4*'MATERIALES (2)'!$C$137)</f>
        <v>65494</v>
      </c>
      <c r="E54" s="75"/>
      <c r="F54" s="112">
        <f>((A54/2)*B54)*'MATERIALES (2)'!$D$85</f>
        <v>6216.0000000000009</v>
      </c>
      <c r="G54" s="75">
        <f t="shared" si="12"/>
        <v>232641.68000000002</v>
      </c>
      <c r="H54" s="160">
        <f t="shared" si="13"/>
        <v>424362.24777870014</v>
      </c>
      <c r="I54" s="77"/>
      <c r="J54" s="77"/>
      <c r="K54" s="77"/>
      <c r="L54" s="77"/>
      <c r="M54" s="68">
        <v>0.8</v>
      </c>
      <c r="N54" s="69">
        <v>2.1</v>
      </c>
      <c r="O54" s="59">
        <f>(((M54+(2*N54))*'MATERIALES (2)'!$C$60)+((M54+(2*N54))*'MATERIALES (2)'!$C$58)+(M54*'MATERIALES (2)'!$C$62)+((((M54*2)+(N54*2))*'MATERIALES (2)'!$C$76)*2))*'MATERIALES (2)'!$F$2</f>
        <v>140720.16</v>
      </c>
      <c r="P54" s="59">
        <f>(1*'MATERIALES (2)'!$C$193)+(1*'MATERIALES (2)'!$C$194)+(3*'MATERIALES (2)'!$C$196)+(2*'MATERIALES (2)'!$C$178)+(2*'MATERIALES (2)'!$C$179)+(2*'MATERIALES (2)'!$C$180)+(4*'MATERIALES (2)'!$C$147)+(4*'MATERIALES (2)'!$C$148)+((M54+(2*N54))*'MATERIALES (2)'!$C$199)+((M54+(2*N54))*'MATERIALES (2)'!$C$198)+(((M54*2)+(N54*2))*'MATERIALES (2)'!$C$154)+(0.5*'MATERIALES (2)'!$C$156)+(((((M54*2)+(N54*2))/0.1)*'MATERIALES (2)'!$C$181)*2)+(2*'MATERIALES (2)'!$C$176)+(((M54*5)*2)*'MATERIALES (2)'!$C$136)+(4*'MATERIALES (2)'!$C$137)</f>
        <v>60822</v>
      </c>
      <c r="Q54" s="75"/>
      <c r="R54" s="55">
        <f>(1*'MATERIALES (2)'!$D$233)</f>
        <v>4900</v>
      </c>
      <c r="S54" s="59">
        <f t="shared" si="14"/>
        <v>206442.16</v>
      </c>
      <c r="T54" s="67">
        <f t="shared" si="15"/>
        <v>371788.65336690011</v>
      </c>
      <c r="U54" s="77"/>
      <c r="W54" s="68">
        <v>0.8</v>
      </c>
      <c r="X54" s="69">
        <v>2.1</v>
      </c>
      <c r="Y54" s="59">
        <f>(((W54+(2*X54))*'MATERIALES (2)'!$C$60)+((W54+(2*X54))*'MATERIALES (2)'!$C$58)+(W54*'MATERIALES (2)'!$C$62)+((((W54*2)+(X54*4))*'MATERIALES (2)'!$C$76)*2)+((((W54/2)-0.2)*'MATERIALES (2)'!$C$30)*(X54/0.12)))*'MATERIALES (2)'!$F$2</f>
        <v>195426.94500000004</v>
      </c>
      <c r="Z54" s="59">
        <f>(1*'MATERIALES (2)'!$C$193)+(1*'MATERIALES (2)'!$C$194)+(3*'MATERIALES (2)'!$C$196)+(2*'MATERIALES (2)'!$C$178)+(2*'MATERIALES (2)'!$C$179)+(2*'MATERIALES (2)'!$C$180)+(8*'MATERIALES (2)'!$C$147)+(8*'MATERIALES (2)'!$C$148)+((W54+(2*X54))*'MATERIALES (2)'!$C$199)+((W54+(2*X54))*'MATERIALES (2)'!$C$198)+(((W54*2)+(X54*2))*'MATERIALES (2)'!$C$154)+(((W54*2)+(X54*2))*'MATERIALES (2)'!$C$130)+(0.5*'MATERIALES (2)'!$C$156)+(((((W54*2)+(X54*4))/0.1)*'MATERIALES (2)'!$C$181)*2)+(2*'MATERIALES (2)'!$C$176)+(((W54*5)*2)*'MATERIALES (2)'!$C$136)+(4*'MATERIALES (2)'!$C$137)</f>
        <v>65494</v>
      </c>
      <c r="AA54" s="59">
        <f>(0.5*'MATERIALES (2)'!$D$244)</f>
        <v>0</v>
      </c>
      <c r="AB54" s="55">
        <f>((W54/2)*X54)*'MATERIALES (2)'!$D$85</f>
        <v>6216.0000000000009</v>
      </c>
      <c r="AC54" s="59">
        <f t="shared" si="16"/>
        <v>267136.94500000007</v>
      </c>
      <c r="AD54" s="67">
        <f t="shared" si="17"/>
        <v>486485.93473239389</v>
      </c>
      <c r="AM54" s="298"/>
      <c r="AO54" s="295"/>
      <c r="AP54" s="317"/>
      <c r="AQ54" s="298"/>
      <c r="AR54" s="4"/>
      <c r="AS54" s="4"/>
      <c r="AT54" s="500"/>
    </row>
    <row r="55" spans="1:47" ht="15.75" thickBot="1">
      <c r="A55" s="164">
        <v>0.9</v>
      </c>
      <c r="B55" s="165">
        <v>2.1</v>
      </c>
      <c r="C55" s="76">
        <f>((((A55+(2*B55))*'MATERIALES (2)'!$C$60)+((A55+(2*B55))*'MATERIALES (2)'!$C$58)+(A55*'MATERIALES (2)'!$C$62)+((((A55*2)+(B55*4))*'MATERIALES (2)'!$C$76)*2))*'MATERIALES (2)'!$F$2)+(1*'MATERIALES (2)'!$D$233)</f>
        <v>165746.15050000002</v>
      </c>
      <c r="D55" s="76">
        <f>(1*'MATERIALES (2)'!$C$193)+(1*'MATERIALES (2)'!$C$194)+(3*'MATERIALES (2)'!$C$196)+(2*'MATERIALES (2)'!$C$178)+(2*'MATERIALES (2)'!$C$179)+(2*'MATERIALES (2)'!$C$180)+(8*'MATERIALES (2)'!$C$147)+(8*'MATERIALES (2)'!$C$148)+((A55+(2*B55))*'MATERIALES (2)'!$C$199)+((A55+(2*B55))*'MATERIALES (2)'!$C$198)+(((A55*2)+(B55*2))*'MATERIALES (2)'!$C$154)+(((A55*2)+(B55*2))*'MATERIALES (2)'!$C$130)+(0.5*'MATERIALES (2)'!$C$156)+(((((A55*2)+(B55*4))/0.1)*'MATERIALES (2)'!$C$181)*2)+(2*'MATERIALES (2)'!$C$176)+(((A55*5)*2)*'MATERIALES (2)'!$C$136)+(4*'MATERIALES (2)'!$C$137)</f>
        <v>65772</v>
      </c>
      <c r="E55" s="76"/>
      <c r="F55" s="113">
        <f>((A55/2)*B55)*'MATERIALES (2)'!$D$85</f>
        <v>6993.0000000000009</v>
      </c>
      <c r="G55" s="76">
        <f t="shared" si="12"/>
        <v>238511.15050000002</v>
      </c>
      <c r="H55" s="160">
        <f t="shared" si="13"/>
        <v>435606.5246230294</v>
      </c>
      <c r="I55" s="77"/>
      <c r="J55" s="77"/>
      <c r="K55" s="77"/>
      <c r="L55" s="77"/>
      <c r="M55" s="71">
        <v>0.9</v>
      </c>
      <c r="N55" s="72">
        <v>2.1</v>
      </c>
      <c r="O55" s="60">
        <f>(((M55+(2*N55))*'MATERIALES (2)'!$C$60)+((M55+(2*N55))*'MATERIALES (2)'!$C$58)+(M55*'MATERIALES (2)'!$C$62)+((((M55*2)+(N55*2))*'MATERIALES (2)'!$C$76)*2))*'MATERIALES (2)'!$F$2</f>
        <v>145534.63050000003</v>
      </c>
      <c r="P55" s="60">
        <f>(1*'MATERIALES (2)'!$C$193)+(1*'MATERIALES (2)'!$C$194)+(3*'MATERIALES (2)'!$C$196)+(2*'MATERIALES (2)'!$C$178)+(2*'MATERIALES (2)'!$C$179)+(2*'MATERIALES (2)'!$C$180)+(4*'MATERIALES (2)'!$C$147)+(4*'MATERIALES (2)'!$C$148)+((M55+(2*N55))*'MATERIALES (2)'!$C$199)+((M55+(2*N55))*'MATERIALES (2)'!$C$198)+(((M55*2)+(N55*2))*'MATERIALES (2)'!$C$154)+(0.5*'MATERIALES (2)'!$C$156)+(((((M55*2)+(N55*2))/0.1)*'MATERIALES (2)'!$C$181)*2)+(2*'MATERIALES (2)'!$C$176)+(((M55*5)*2)*'MATERIALES (2)'!$C$136)+(4*'MATERIALES (2)'!$C$137)</f>
        <v>61052</v>
      </c>
      <c r="Q55" s="76"/>
      <c r="R55" s="56">
        <f>(1*'MATERIALES (2)'!$D$233)</f>
        <v>4900</v>
      </c>
      <c r="S55" s="60">
        <f t="shared" si="14"/>
        <v>211486.63050000003</v>
      </c>
      <c r="T55" s="67">
        <f t="shared" si="15"/>
        <v>380873.41054122947</v>
      </c>
      <c r="U55" s="77"/>
      <c r="W55" s="71">
        <v>0.9</v>
      </c>
      <c r="X55" s="72">
        <v>2.1</v>
      </c>
      <c r="Y55" s="60">
        <f>(((W55+(2*X55))*'MATERIALES (2)'!$C$60)+((W55+(2*X55))*'MATERIALES (2)'!$C$58)+(W55*'MATERIALES (2)'!$C$62)+((((W55*2)+(X55*4))*'MATERIALES (2)'!$C$76)*2)+((((W55/2)-0.2)*'MATERIALES (2)'!$C$30)*(X55/0.12)))*'MATERIALES (2)'!$F$2</f>
        <v>210090.23174999998</v>
      </c>
      <c r="Z55" s="60">
        <f>(1*'MATERIALES (2)'!$C$193)+(1*'MATERIALES (2)'!$C$194)+(3*'MATERIALES (2)'!$C$196)+(2*'MATERIALES (2)'!$C$178)+(2*'MATERIALES (2)'!$C$179)+(2*'MATERIALES (2)'!$C$180)+(8*'MATERIALES (2)'!$C$147)+(8*'MATERIALES (2)'!$C$148)+((W55+(2*X55))*'MATERIALES (2)'!$C$199)+((W55+(2*X55))*'MATERIALES (2)'!$C$198)+(((W55*2)+(X55*2))*'MATERIALES (2)'!$C$154)+(((W55*2)+(X55*2))*'MATERIALES (2)'!$C$130)+(0.5*'MATERIALES (2)'!$C$156)+(((((W55*2)+(X55*4))/0.1)*'MATERIALES (2)'!$C$181)*2)+(2*'MATERIALES (2)'!$C$176)+(((W55*5)*2)*'MATERIALES (2)'!$C$136)+(4*'MATERIALES (2)'!$C$137)</f>
        <v>65772</v>
      </c>
      <c r="AA55" s="60">
        <f>(0.5*'MATERIALES (2)'!$D$244)</f>
        <v>0</v>
      </c>
      <c r="AB55" s="56">
        <f>((W55/2)*X55)*'MATERIALES (2)'!$D$85</f>
        <v>6993.0000000000009</v>
      </c>
      <c r="AC55" s="60">
        <f t="shared" si="16"/>
        <v>282855.23174999998</v>
      </c>
      <c r="AD55" s="67">
        <f t="shared" si="17"/>
        <v>515467.27715889656</v>
      </c>
      <c r="AM55" s="32"/>
      <c r="AO55" s="321"/>
      <c r="AQ55" s="32"/>
      <c r="AR55" s="4"/>
      <c r="AS55" s="4"/>
      <c r="AT55" s="500"/>
    </row>
    <row r="56" spans="1:47" ht="15" customHeight="1">
      <c r="U56" s="77"/>
      <c r="AQ56" s="322"/>
      <c r="AR56" s="323"/>
      <c r="AS56" s="323"/>
      <c r="AT56" s="500"/>
    </row>
    <row r="57" spans="1:47" ht="15" customHeight="1" thickBot="1">
      <c r="AK57" s="324"/>
      <c r="AL57" s="304"/>
      <c r="AM57" s="325"/>
      <c r="AN57" s="313"/>
      <c r="AO57" s="326"/>
      <c r="AP57" s="4"/>
      <c r="AQ57" s="327"/>
      <c r="AR57" s="324"/>
      <c r="AS57" s="324"/>
      <c r="AT57" s="500"/>
    </row>
    <row r="58" spans="1:47" ht="15.75" customHeight="1" thickBot="1">
      <c r="A58" s="32"/>
      <c r="B58" s="32"/>
      <c r="C58" s="807">
        <v>1.35</v>
      </c>
      <c r="D58" s="808"/>
      <c r="E58" s="809"/>
      <c r="F58" s="545">
        <v>2</v>
      </c>
      <c r="G58" s="32"/>
      <c r="H58" s="46" t="s">
        <v>163</v>
      </c>
      <c r="M58" s="32"/>
      <c r="N58" s="32"/>
      <c r="O58" s="807">
        <v>1.35</v>
      </c>
      <c r="P58" s="808"/>
      <c r="Q58" s="809"/>
      <c r="R58" s="545">
        <v>2</v>
      </c>
      <c r="S58" s="32"/>
      <c r="T58" s="46" t="s">
        <v>163</v>
      </c>
      <c r="AJ58" s="595">
        <f>+T120</f>
        <v>509503.06204311945</v>
      </c>
      <c r="AK58" s="499"/>
      <c r="AL58" s="595">
        <f>+H120</f>
        <v>576265.32374319574</v>
      </c>
      <c r="AM58" s="499"/>
      <c r="AN58" s="675"/>
      <c r="AO58" s="4"/>
      <c r="AP58" s="292"/>
      <c r="AQ58" s="267"/>
      <c r="AR58" s="328"/>
      <c r="AS58" s="328"/>
      <c r="AT58" s="607" t="s">
        <v>921</v>
      </c>
    </row>
    <row r="59" spans="1:47" ht="15" customHeight="1" thickBot="1">
      <c r="A59" s="792" t="s">
        <v>223</v>
      </c>
      <c r="B59" s="793"/>
      <c r="C59" s="793"/>
      <c r="D59" s="793"/>
      <c r="E59" s="793"/>
      <c r="F59" s="793"/>
      <c r="G59" s="793"/>
      <c r="H59" s="794"/>
      <c r="M59" s="792" t="s">
        <v>220</v>
      </c>
      <c r="N59" s="793"/>
      <c r="O59" s="793"/>
      <c r="P59" s="793"/>
      <c r="Q59" s="793"/>
      <c r="R59" s="793"/>
      <c r="S59" s="793"/>
      <c r="T59" s="794"/>
      <c r="AJ59" s="602">
        <f>+T249</f>
        <v>570868.21204311948</v>
      </c>
      <c r="AK59" s="486"/>
      <c r="AL59" s="602">
        <f>+H249</f>
        <v>613084.41374319559</v>
      </c>
      <c r="AM59" s="488"/>
      <c r="AN59" s="495"/>
      <c r="AO59" s="477"/>
      <c r="AP59" s="480"/>
      <c r="AQ59" s="478"/>
      <c r="AR59" s="480"/>
      <c r="AS59" s="480"/>
      <c r="AT59" s="607" t="s">
        <v>703</v>
      </c>
      <c r="AU59" s="480"/>
    </row>
    <row r="60" spans="1:47" ht="15" customHeight="1" thickBot="1">
      <c r="A60" s="36" t="s">
        <v>116</v>
      </c>
      <c r="B60" s="36" t="s">
        <v>117</v>
      </c>
      <c r="C60" s="36" t="s">
        <v>162</v>
      </c>
      <c r="D60" s="36" t="s">
        <v>119</v>
      </c>
      <c r="E60" s="36" t="s">
        <v>120</v>
      </c>
      <c r="F60" s="36" t="s">
        <v>118</v>
      </c>
      <c r="G60" s="36" t="s">
        <v>121</v>
      </c>
      <c r="H60" s="36" t="s">
        <v>122</v>
      </c>
      <c r="M60" s="36" t="s">
        <v>116</v>
      </c>
      <c r="N60" s="36" t="s">
        <v>117</v>
      </c>
      <c r="O60" s="36" t="s">
        <v>162</v>
      </c>
      <c r="P60" s="36" t="s">
        <v>119</v>
      </c>
      <c r="Q60" s="36" t="s">
        <v>120</v>
      </c>
      <c r="R60" s="36" t="s">
        <v>118</v>
      </c>
      <c r="S60" s="36" t="s">
        <v>121</v>
      </c>
      <c r="T60" s="36" t="s">
        <v>122</v>
      </c>
      <c r="AJ60" s="488"/>
      <c r="AK60" s="488"/>
      <c r="AL60" s="488"/>
      <c r="AM60" s="488"/>
      <c r="AN60" s="495"/>
      <c r="AO60" s="477"/>
      <c r="AP60" s="480"/>
      <c r="AQ60" s="478"/>
      <c r="AR60" s="480"/>
      <c r="AS60" s="480"/>
      <c r="AT60" s="607" t="s">
        <v>692</v>
      </c>
      <c r="AU60" s="480"/>
    </row>
    <row r="61" spans="1:47" ht="15.75" thickBot="1">
      <c r="A61" s="795"/>
      <c r="B61" s="796"/>
      <c r="C61" s="796"/>
      <c r="D61" s="796"/>
      <c r="E61" s="796"/>
      <c r="F61" s="796"/>
      <c r="G61" s="796"/>
      <c r="H61" s="797"/>
      <c r="M61" s="795"/>
      <c r="N61" s="796"/>
      <c r="O61" s="796"/>
      <c r="P61" s="796"/>
      <c r="Q61" s="796"/>
      <c r="R61" s="796"/>
      <c r="S61" s="796"/>
      <c r="T61" s="797"/>
      <c r="AT61" s="500"/>
    </row>
    <row r="62" spans="1:47" ht="15.75" thickBot="1">
      <c r="A62" s="65">
        <v>0.6</v>
      </c>
      <c r="B62" s="66">
        <v>2</v>
      </c>
      <c r="C62" s="58">
        <f>(((A62+(2*B62))*'MATERIALES (2)'!$C$60)+((A62+(2*B62))*'MATERIALES (2)'!$C$58)+(A62*'MATERIALES (2)'!$C$62)+((A62*3)*'MATERIALES (2)'!$C$61)+(((A62-0.2)*'MATERIALES (2)'!$C$30)*((B62/2)/0.12))+((((A62*8)+(B62*2))*'MATERIALES (2)'!$C$76)*2))*'MATERIALES (2)'!$F$2</f>
        <v>200450.27799999999</v>
      </c>
      <c r="D62" s="58">
        <f>(1*'MATERIALES (2)'!$C$193)+(1*'MATERIALES (2)'!$C$194)+(3*'MATERIALES (2)'!$C$196)+(2*'MATERIALES (2)'!$C$178)+(2*'MATERIALES (2)'!$C$179)+(2*'MATERIALES (2)'!$C$180)+(16*'MATERIALES (2)'!$C$147)+(16*'MATERIALES (2)'!$C$148)+((A62+(2*B62))*'MATERIALES (2)'!$C$199)+((A62+(2*B62))*'MATERIALES (2)'!$C$198)+(((A62*6)+(B62*1))*'MATERIALES (2)'!$C$130)+(((A62*2)+(B62*1))*'MATERIALES (2)'!$C$154)+(((((A62*8)+(B62*2))/0.1)*'MATERIALES (2)'!$C$181)*2)+(0.5*'MATERIALES (2)'!$C$156)+(2*'MATERIALES (2)'!$C$176)+(((A62*5)*2)*'MATERIALES (2)'!$C$136)+(4*'MATERIALES (2)'!$C$137)</f>
        <v>65374</v>
      </c>
      <c r="E62" s="74"/>
      <c r="F62" s="54">
        <f>(A62*(B62/2))*'MATERIALES (2)'!$D$85</f>
        <v>4440</v>
      </c>
      <c r="G62" s="58">
        <f>SUM(C62:F62)</f>
        <v>270264.27799999999</v>
      </c>
      <c r="H62" s="67">
        <f>((((SUM(C62:E62)*$C$58)+(F62*$F$58))*1.21)*1.05)*1.05</f>
        <v>490578.05581958254</v>
      </c>
      <c r="M62" s="65">
        <v>0.6</v>
      </c>
      <c r="N62" s="66">
        <v>2</v>
      </c>
      <c r="O62" s="58">
        <f>(((M62+(2*N62))*'MATERIALES (2)'!$C$60)+((M62+(2*N62))*'MATERIALES (2)'!$C$58)+(M62*'MATERIALES (2)'!$C$62)+((M62+N62)*'MATERIALES (2)'!$C$61)+(((M62-0.2)*'MATERIALES (2)'!$C$30)*((N62/2)/0.12))+((((M62*4)+(N62*6))*'MATERIALES (2)'!$C$76)*2))*'MATERIALES (2)'!$F$2</f>
        <v>231346.73800000001</v>
      </c>
      <c r="P62" s="58">
        <f>(1*'MATERIALES (2)'!$C$193)+(1*'MATERIALES (2)'!$C$194)+(3*'MATERIALES (2)'!$C$196)+(2*'MATERIALES (2)'!$C$178)+(2*'MATERIALES (2)'!$C$179)+(2*'MATERIALES (2)'!$C$180)+(16*'MATERIALES (2)'!$C$147)+(16*'MATERIALES (2)'!$C$148)+((M62+(2*N62))*'MATERIALES (2)'!$C$199)+((M62+(2*N62))*'MATERIALES (2)'!$C$198)+(((M62*2)+((N62/2)*6))*'MATERIALES (2)'!$C$130)+(((M62*2)+(N62*1))*'MATERIALES (2)'!$C$154)+(((((M62*4)+(N62*2)+((N62/2)*6))/0.1)*'MATERIALES (2)'!$C$181)*2)+(2*'MATERIALES (2)'!$C$176)+(0.5*'MATERIALES (2)'!$C$156)+(((M62*5)*2)*'MATERIALES (2)'!$C$136)+(4*'MATERIALES (2)'!$C$137)</f>
        <v>67918</v>
      </c>
      <c r="Q62" s="74"/>
      <c r="R62" s="54">
        <f>(M62*(N62/2))*'MATERIALES (2)'!$D$85</f>
        <v>4440</v>
      </c>
      <c r="S62" s="58">
        <f>SUM(O62:R62)</f>
        <v>303704.73800000001</v>
      </c>
      <c r="T62" s="67">
        <f>((((SUM(O62:Q62)*$O$58)+(R62*$R$58))*1.21)*1.05)*1.05</f>
        <v>550802.10884910764</v>
      </c>
      <c r="AT62" s="500"/>
    </row>
    <row r="63" spans="1:47" ht="15.75" thickBot="1">
      <c r="A63" s="68">
        <v>0.7</v>
      </c>
      <c r="B63" s="69">
        <v>2</v>
      </c>
      <c r="C63" s="59">
        <f>(((A63+(2*B63))*'MATERIALES (2)'!$C$60)+((A63+(2*B63))*'MATERIALES (2)'!$C$58)+(A63*'MATERIALES (2)'!$C$62)+((A63*3)*'MATERIALES (2)'!$C$61)+(((A63-0.2)*'MATERIALES (2)'!$C$30)*((B63/2)/0.12))+((((A63*8)+(B63*2))*'MATERIALES (2)'!$C$76)*2))*'MATERIALES (2)'!$F$2</f>
        <v>220762.34599999999</v>
      </c>
      <c r="D63" s="59">
        <f>(1*'MATERIALES (2)'!$C$193)+(1*'MATERIALES (2)'!$C$194)+(3*'MATERIALES (2)'!$C$196)+(2*'MATERIALES (2)'!$C$178)+(2*'MATERIALES (2)'!$C$179)+(2*'MATERIALES (2)'!$C$180)+(16*'MATERIALES (2)'!$C$147)+(16*'MATERIALES (2)'!$C$148)+((A63+(2*B63))*'MATERIALES (2)'!$C$199)+((A63+(2*B63))*'MATERIALES (2)'!$C$198)+(((A63*6)+(B63*1))*'MATERIALES (2)'!$C$130)+(((A63*2)+(B63*1))*'MATERIALES (2)'!$C$154)+(((((A63*8)+(B63*2))/0.1)*'MATERIALES (2)'!$C$181)*2)+(0.5*'MATERIALES (2)'!$C$156)+(2*'MATERIALES (2)'!$C$176)+(((A63*5)*2)*'MATERIALES (2)'!$C$136)+(4*'MATERIALES (2)'!$C$137)</f>
        <v>66108</v>
      </c>
      <c r="E63" s="75"/>
      <c r="F63" s="55">
        <f>(A63*(B63/2))*'MATERIALES (2)'!$D$85</f>
        <v>5180</v>
      </c>
      <c r="G63" s="59">
        <f t="shared" ref="G63:G69" si="18">SUM(C63:F63)</f>
        <v>292050.34600000002</v>
      </c>
      <c r="H63" s="67">
        <f t="shared" ref="H63:H68" si="19">((((SUM(C63:E63)*$C$58)+(F63*$F$58))*1.21)*1.05)*1.05</f>
        <v>530454.98698557762</v>
      </c>
      <c r="M63" s="68">
        <v>0.7</v>
      </c>
      <c r="N63" s="69">
        <v>2</v>
      </c>
      <c r="O63" s="59">
        <f>(((M63+(2*N63))*'MATERIALES (2)'!$C$60)+((M63+(2*N63))*'MATERIALES (2)'!$C$58)+(M63*'MATERIALES (2)'!$C$62)+((M63+N63)*'MATERIALES (2)'!$C$61)+(((M63-0.2)*'MATERIALES (2)'!$C$30)*((N63/2)/0.12))+((((M63*4)+(N63*6))*'MATERIALES (2)'!$C$76)*2))*'MATERIALES (2)'!$F$2</f>
        <v>247580.29100000003</v>
      </c>
      <c r="P63" s="59">
        <f>(1*'MATERIALES (2)'!$C$193)+(1*'MATERIALES (2)'!$C$194)+(3*'MATERIALES (2)'!$C$196)+(2*'MATERIALES (2)'!$C$178)+(2*'MATERIALES (2)'!$C$179)+(2*'MATERIALES (2)'!$C$180)+(16*'MATERIALES (2)'!$C$147)+(16*'MATERIALES (2)'!$C$148)+((M63+(2*N63))*'MATERIALES (2)'!$C$199)+((M63+(2*N63))*'MATERIALES (2)'!$C$198)+(((M63*2)+((N63/2)*6))*'MATERIALES (2)'!$C$130)+(((M63*2)+(N63*1))*'MATERIALES (2)'!$C$154)+(((((M63*4)+(N63*2)+((N63/2)*6))/0.1)*'MATERIALES (2)'!$C$181)*2)+(2*'MATERIALES (2)'!$C$176)+(0.5*'MATERIALES (2)'!$C$156)+(((M63*5)*2)*'MATERIALES (2)'!$C$136)+(4*'MATERIALES (2)'!$C$137)</f>
        <v>68316</v>
      </c>
      <c r="Q63" s="75"/>
      <c r="R63" s="55">
        <f>(M63*(N63/2))*'MATERIALES (2)'!$D$85</f>
        <v>5180</v>
      </c>
      <c r="S63" s="59">
        <f t="shared" ref="S63:S69" si="20">SUM(O63:R63)</f>
        <v>321076.29100000003</v>
      </c>
      <c r="T63" s="67">
        <f t="shared" ref="T63:T69" si="21">((((SUM(O63:Q63)*$O$58)+(R63*$R$58))*1.21)*1.05)*1.05</f>
        <v>582728.79096172133</v>
      </c>
      <c r="AT63" s="500"/>
    </row>
    <row r="64" spans="1:47" ht="15.75" thickBot="1">
      <c r="A64" s="68">
        <v>0.8</v>
      </c>
      <c r="B64" s="69">
        <v>2</v>
      </c>
      <c r="C64" s="59">
        <f>(((A64+(2*B64))*'MATERIALES (2)'!$C$60)+((A64+(2*B64))*'MATERIALES (2)'!$C$58)+(A64*'MATERIALES (2)'!$C$62)+((A64*3)*'MATERIALES (2)'!$C$61)+(((A64-0.2)*'MATERIALES (2)'!$C$30)*((B64/2)/0.12))+((((A64*8)+(B64*2))*'MATERIALES (2)'!$C$76)*2))*'MATERIALES (2)'!$F$2</f>
        <v>241074.41399999999</v>
      </c>
      <c r="D64" s="59">
        <f>(1*'MATERIALES (2)'!$C$193)+(1*'MATERIALES (2)'!$C$194)+(3*'MATERIALES (2)'!$C$196)+(2*'MATERIALES (2)'!$C$178)+(2*'MATERIALES (2)'!$C$179)+(2*'MATERIALES (2)'!$C$180)+(16*'MATERIALES (2)'!$C$147)+(16*'MATERIALES (2)'!$C$148)+((A64+(2*B64))*'MATERIALES (2)'!$C$199)+((A64+(2*B64))*'MATERIALES (2)'!$C$198)+(((A64*6)+(B64*1))*'MATERIALES (2)'!$C$130)+(((A64*2)+(B64*1))*'MATERIALES (2)'!$C$154)+(((((A64*8)+(B64*2))/0.1)*'MATERIALES (2)'!$C$181)*2)+(0.5*'MATERIALES (2)'!$C$156)+(2*'MATERIALES (2)'!$C$176)+(((A64*5)*2)*'MATERIALES (2)'!$C$136)+(4*'MATERIALES (2)'!$C$137)</f>
        <v>66842</v>
      </c>
      <c r="E64" s="75"/>
      <c r="F64" s="55">
        <f>(A64*(B64/2))*'MATERIALES (2)'!$D$85</f>
        <v>5920</v>
      </c>
      <c r="G64" s="59">
        <f t="shared" si="18"/>
        <v>313836.41399999999</v>
      </c>
      <c r="H64" s="67">
        <f t="shared" si="19"/>
        <v>570331.91815157258</v>
      </c>
      <c r="M64" s="68">
        <v>0.8</v>
      </c>
      <c r="N64" s="69">
        <v>2</v>
      </c>
      <c r="O64" s="59">
        <f>(((M64+(2*N64))*'MATERIALES (2)'!$C$60)+((M64+(2*N64))*'MATERIALES (2)'!$C$58)+(M64*'MATERIALES (2)'!$C$62)+((M64+N64)*'MATERIALES (2)'!$C$61)+(((M64-0.2)*'MATERIALES (2)'!$C$30)*((N64/2)/0.12))+((((M64*4)+(N64*6))*'MATERIALES (2)'!$C$76)*2))*'MATERIALES (2)'!$F$2</f>
        <v>263813.84399999998</v>
      </c>
      <c r="P64" s="59">
        <f>(1*'MATERIALES (2)'!$C$193)+(1*'MATERIALES (2)'!$C$194)+(3*'MATERIALES (2)'!$C$196)+(2*'MATERIALES (2)'!$C$178)+(2*'MATERIALES (2)'!$C$179)+(2*'MATERIALES (2)'!$C$180)+(16*'MATERIALES (2)'!$C$147)+(16*'MATERIALES (2)'!$C$148)+((M64+(2*N64))*'MATERIALES (2)'!$C$199)+((M64+(2*N64))*'MATERIALES (2)'!$C$198)+(((M64*2)+((N64/2)*6))*'MATERIALES (2)'!$C$130)+(((M64*2)+(N64*1))*'MATERIALES (2)'!$C$154)+(((((M64*4)+(N64*2)+((N64/2)*6))/0.1)*'MATERIALES (2)'!$C$181)*2)+(2*'MATERIALES (2)'!$C$176)+(0.5*'MATERIALES (2)'!$C$156)+(((M64*5)*2)*'MATERIALES (2)'!$C$136)+(4*'MATERIALES (2)'!$C$137)</f>
        <v>68714</v>
      </c>
      <c r="Q64" s="75"/>
      <c r="R64" s="55">
        <f>(M64*(N64/2))*'MATERIALES (2)'!$D$85</f>
        <v>5920</v>
      </c>
      <c r="S64" s="59">
        <f t="shared" si="20"/>
        <v>338447.84399999998</v>
      </c>
      <c r="T64" s="67">
        <f t="shared" si="21"/>
        <v>614655.47307433491</v>
      </c>
      <c r="AT64" s="500"/>
    </row>
    <row r="65" spans="1:46" ht="15.75" thickBot="1">
      <c r="A65" s="68">
        <v>0.9</v>
      </c>
      <c r="B65" s="69">
        <v>2</v>
      </c>
      <c r="C65" s="59">
        <f>(((A65+(2*B65))*'MATERIALES (2)'!$C$60)+((A65+(2*B65))*'MATERIALES (2)'!$C$58)+(A65*'MATERIALES (2)'!$C$62)+((A65*3)*'MATERIALES (2)'!$C$61)+(((A65-0.2)*'MATERIALES (2)'!$C$30)*((B65/2)/0.12))+((((A65*8)+(B65*2))*'MATERIALES (2)'!$C$76)*2))*'MATERIALES (2)'!$F$2</f>
        <v>261386.48200000002</v>
      </c>
      <c r="D65" s="59">
        <f>(1*'MATERIALES (2)'!$C$193)+(1*'MATERIALES (2)'!$C$194)+(3*'MATERIALES (2)'!$C$196)+(2*'MATERIALES (2)'!$C$178)+(2*'MATERIALES (2)'!$C$179)+(2*'MATERIALES (2)'!$C$180)+(16*'MATERIALES (2)'!$C$147)+(16*'MATERIALES (2)'!$C$148)+((A65+(2*B65))*'MATERIALES (2)'!$C$199)+((A65+(2*B65))*'MATERIALES (2)'!$C$198)+(((A65*6)+(B65*1))*'MATERIALES (2)'!$C$130)+(((A65*2)+(B65*1))*'MATERIALES (2)'!$C$154)+(((((A65*8)+(B65*2))/0.1)*'MATERIALES (2)'!$C$181)*2)+(0.5*'MATERIALES (2)'!$C$156)+(2*'MATERIALES (2)'!$C$176)+(((A65*5)*2)*'MATERIALES (2)'!$C$136)+(4*'MATERIALES (2)'!$C$137)</f>
        <v>67576</v>
      </c>
      <c r="E65" s="75"/>
      <c r="F65" s="55">
        <f>(A65*(B65/2))*'MATERIALES (2)'!$D$85</f>
        <v>6660</v>
      </c>
      <c r="G65" s="59">
        <f t="shared" si="18"/>
        <v>335622.48200000002</v>
      </c>
      <c r="H65" s="67">
        <f t="shared" si="19"/>
        <v>610208.84931756766</v>
      </c>
      <c r="M65" s="68">
        <v>0.9</v>
      </c>
      <c r="N65" s="69">
        <v>2</v>
      </c>
      <c r="O65" s="59">
        <f>(((M65+(2*N65))*'MATERIALES (2)'!$C$60)+((M65+(2*N65))*'MATERIALES (2)'!$C$58)+(M65*'MATERIALES (2)'!$C$62)+((M65+N65)*'MATERIALES (2)'!$C$61)+(((M65-0.2)*'MATERIALES (2)'!$C$30)*((N65/2)/0.12))+((((M65*4)+(N65*6))*'MATERIALES (2)'!$C$76)*2))*'MATERIALES (2)'!$F$2</f>
        <v>280047.39700000006</v>
      </c>
      <c r="P65" s="59">
        <f>(1*'MATERIALES (2)'!$C$193)+(1*'MATERIALES (2)'!$C$194)+(3*'MATERIALES (2)'!$C$196)+(2*'MATERIALES (2)'!$C$178)+(2*'MATERIALES (2)'!$C$179)+(2*'MATERIALES (2)'!$C$180)+(16*'MATERIALES (2)'!$C$147)+(16*'MATERIALES (2)'!$C$148)+((M65+(2*N65))*'MATERIALES (2)'!$C$199)+((M65+(2*N65))*'MATERIALES (2)'!$C$198)+(((M65*2)+((N65/2)*6))*'MATERIALES (2)'!$C$130)+(((M65*2)+(N65*1))*'MATERIALES (2)'!$C$154)+(((((M65*4)+(N65*2)+((N65/2)*6))/0.1)*'MATERIALES (2)'!$C$181)*2)+(2*'MATERIALES (2)'!$C$176)+(0.5*'MATERIALES (2)'!$C$156)+(((M65*5)*2)*'MATERIALES (2)'!$C$136)+(4*'MATERIALES (2)'!$C$137)</f>
        <v>69112</v>
      </c>
      <c r="Q65" s="75"/>
      <c r="R65" s="55">
        <f>(M65*(N65/2))*'MATERIALES (2)'!$D$85</f>
        <v>6660</v>
      </c>
      <c r="S65" s="59">
        <f t="shared" si="20"/>
        <v>355819.39700000006</v>
      </c>
      <c r="T65" s="67">
        <f t="shared" si="21"/>
        <v>646582.15518694906</v>
      </c>
      <c r="AT65" s="500"/>
    </row>
    <row r="66" spans="1:46" ht="15.75" thickBot="1">
      <c r="A66" s="68">
        <v>0.6</v>
      </c>
      <c r="B66" s="69">
        <v>2.1</v>
      </c>
      <c r="C66" s="59">
        <f>(((A66+(2*B66))*'MATERIALES (2)'!$C$60)+((A66+(2*B66))*'MATERIALES (2)'!$C$58)+(A66*'MATERIALES (2)'!$C$62)+((A66*3)*'MATERIALES (2)'!$C$61)+(((A66-0.2)*'MATERIALES (2)'!$C$30)*((B66/2)/0.12))+((((A66*8)+(B66*2))*'MATERIALES (2)'!$C$76)*2))*'MATERIALES (2)'!$F$2</f>
        <v>207193.11899999998</v>
      </c>
      <c r="D66" s="59">
        <f>(1*'MATERIALES (2)'!$C$193)+(1*'MATERIALES (2)'!$C$194)+(3*'MATERIALES (2)'!$C$196)+(2*'MATERIALES (2)'!$C$178)+(2*'MATERIALES (2)'!$C$179)+(2*'MATERIALES (2)'!$C$180)+(16*'MATERIALES (2)'!$C$147)+(16*'MATERIALES (2)'!$C$148)+((A66+(2*B66))*'MATERIALES (2)'!$C$199)+((A66+(2*B66))*'MATERIALES (2)'!$C$198)+(((A66*6)+(B66*1))*'MATERIALES (2)'!$C$130)+(((A66*2)+(B66*1))*'MATERIALES (2)'!$C$154)+(((((A66*8)+(B66*2))/0.1)*'MATERIALES (2)'!$C$181)*2)+(0.5*'MATERIALES (2)'!$C$156)+(2*'MATERIALES (2)'!$C$176)+(((A66*5)*2)*'MATERIALES (2)'!$C$136)+(4*'MATERIALES (2)'!$C$137)</f>
        <v>65666</v>
      </c>
      <c r="E66" s="75"/>
      <c r="F66" s="55">
        <f>(A66*(B66/2))*'MATERIALES (2)'!$D$85</f>
        <v>4662</v>
      </c>
      <c r="G66" s="59">
        <f t="shared" si="18"/>
        <v>277521.11899999995</v>
      </c>
      <c r="H66" s="67">
        <f t="shared" si="19"/>
        <v>503839.64550236624</v>
      </c>
      <c r="M66" s="68">
        <v>0.6</v>
      </c>
      <c r="N66" s="69">
        <v>2.1</v>
      </c>
      <c r="O66" s="59">
        <f>(((M66+(2*N66))*'MATERIALES (2)'!$C$60)+((M66+(2*N66))*'MATERIALES (2)'!$C$58)+(M66*'MATERIALES (2)'!$C$62)+((M66+N66)*'MATERIALES (2)'!$C$61)+(((M66-0.2)*'MATERIALES (2)'!$C$30)*((N66/2)/0.12))+((((M66*4)+(N66*6))*'MATERIALES (2)'!$C$76)*2))*'MATERIALES (2)'!$F$2</f>
        <v>240857.9565</v>
      </c>
      <c r="P66" s="59">
        <f>(1*'MATERIALES (2)'!$C$193)+(1*'MATERIALES (2)'!$C$194)+(3*'MATERIALES (2)'!$C$196)+(2*'MATERIALES (2)'!$C$178)+(2*'MATERIALES (2)'!$C$179)+(2*'MATERIALES (2)'!$C$180)+(16*'MATERIALES (2)'!$C$147)+(16*'MATERIALES (2)'!$C$148)+((M66+(2*N66))*'MATERIALES (2)'!$C$199)+((M66+(2*N66))*'MATERIALES (2)'!$C$198)+(((M66*2)+((N66/2)*6))*'MATERIALES (2)'!$C$130)+(((M66*2)+(N66*1))*'MATERIALES (2)'!$C$154)+(((((M66*4)+(N66*2)+((N66/2)*6))/0.1)*'MATERIALES (2)'!$C$181)*2)+(2*'MATERIALES (2)'!$C$176)+(0.5*'MATERIALES (2)'!$C$156)+(((M66*5)*2)*'MATERIALES (2)'!$C$136)+(4*'MATERIALES (2)'!$C$137)</f>
        <v>68438</v>
      </c>
      <c r="Q66" s="75"/>
      <c r="R66" s="55">
        <f>(M66*(N66/2))*'MATERIALES (2)'!$D$85</f>
        <v>4662</v>
      </c>
      <c r="S66" s="59">
        <f t="shared" si="20"/>
        <v>313957.95649999997</v>
      </c>
      <c r="T66" s="67">
        <f t="shared" si="21"/>
        <v>569459.97589938191</v>
      </c>
      <c r="AT66" s="500"/>
    </row>
    <row r="67" spans="1:46" ht="15.75" thickBot="1">
      <c r="A67" s="68">
        <v>0.7</v>
      </c>
      <c r="B67" s="69">
        <v>2.1</v>
      </c>
      <c r="C67" s="59">
        <f>(((A67+(2*B67))*'MATERIALES (2)'!$C$60)+((A67+(2*B67))*'MATERIALES (2)'!$C$58)+(A67*'MATERIALES (2)'!$C$62)+((A67*3)*'MATERIALES (2)'!$C$61)+(((A67-0.2)*'MATERIALES (2)'!$C$30)*((B67/2)/0.12))+((((A67*8)+(B67*2))*'MATERIALES (2)'!$C$76)*2))*'MATERIALES (2)'!$F$2</f>
        <v>227974.17824999994</v>
      </c>
      <c r="D67" s="59">
        <f>(1*'MATERIALES (2)'!$C$193)+(1*'MATERIALES (2)'!$C$194)+(3*'MATERIALES (2)'!$C$196)+(2*'MATERIALES (2)'!$C$178)+(2*'MATERIALES (2)'!$C$179)+(2*'MATERIALES (2)'!$C$180)+(16*'MATERIALES (2)'!$C$147)+(16*'MATERIALES (2)'!$C$148)+((A67+(2*B67))*'MATERIALES (2)'!$C$199)+((A67+(2*B67))*'MATERIALES (2)'!$C$198)+(((A67*6)+(B67*1))*'MATERIALES (2)'!$C$130)+(((A67*2)+(B67*1))*'MATERIALES (2)'!$C$154)+(((((A67*8)+(B67*2))/0.1)*'MATERIALES (2)'!$C$181)*2)+(0.5*'MATERIALES (2)'!$C$156)+(2*'MATERIALES (2)'!$C$176)+(((A67*5)*2)*'MATERIALES (2)'!$C$136)+(4*'MATERIALES (2)'!$C$137)</f>
        <v>66400</v>
      </c>
      <c r="E67" s="75"/>
      <c r="F67" s="55">
        <f>(A67*(B67/2))*'MATERIALES (2)'!$D$85</f>
        <v>5439</v>
      </c>
      <c r="G67" s="59">
        <f t="shared" si="18"/>
        <v>299813.17824999994</v>
      </c>
      <c r="H67" s="67">
        <f t="shared" si="19"/>
        <v>544659.91668894084</v>
      </c>
      <c r="M67" s="68">
        <v>0.7</v>
      </c>
      <c r="N67" s="69">
        <v>2.1</v>
      </c>
      <c r="O67" s="59">
        <f>(((M67+(2*N67))*'MATERIALES (2)'!$C$60)+((M67+(2*N67))*'MATERIALES (2)'!$C$58)+(M67*'MATERIALES (2)'!$C$62)+((M67+N67)*'MATERIALES (2)'!$C$61)+(((M67-0.2)*'MATERIALES (2)'!$C$30)*((N67/2)/0.12))+((((M67*4)+(N67*6))*'MATERIALES (2)'!$C$76)*2))*'MATERIALES (2)'!$F$2</f>
        <v>257560.50074999998</v>
      </c>
      <c r="P67" s="59">
        <f>(1*'MATERIALES (2)'!$C$193)+(1*'MATERIALES (2)'!$C$194)+(3*'MATERIALES (2)'!$C$196)+(2*'MATERIALES (2)'!$C$178)+(2*'MATERIALES (2)'!$C$179)+(2*'MATERIALES (2)'!$C$180)+(16*'MATERIALES (2)'!$C$147)+(16*'MATERIALES (2)'!$C$148)+((M67+(2*N67))*'MATERIALES (2)'!$C$199)+((M67+(2*N67))*'MATERIALES (2)'!$C$198)+(((M67*2)+((N67/2)*6))*'MATERIALES (2)'!$C$130)+(((M67*2)+(N67*1))*'MATERIALES (2)'!$C$154)+(((((M67*4)+(N67*2)+((N67/2)*6))/0.1)*'MATERIALES (2)'!$C$181)*2)+(2*'MATERIALES (2)'!$C$176)+(0.5*'MATERIALES (2)'!$C$156)+(((M67*5)*2)*'MATERIALES (2)'!$C$136)+(4*'MATERIALES (2)'!$C$137)</f>
        <v>68836</v>
      </c>
      <c r="Q67" s="75"/>
      <c r="R67" s="55">
        <f>(M67*(N67/2))*'MATERIALES (2)'!$D$85</f>
        <v>5439</v>
      </c>
      <c r="S67" s="59">
        <f t="shared" si="20"/>
        <v>331835.50075000001</v>
      </c>
      <c r="T67" s="67">
        <f t="shared" si="21"/>
        <v>602329.99803257547</v>
      </c>
      <c r="AT67" s="500"/>
    </row>
    <row r="68" spans="1:46" ht="15.75" thickBot="1">
      <c r="A68" s="68">
        <v>0.8</v>
      </c>
      <c r="B68" s="69">
        <v>2.1</v>
      </c>
      <c r="C68" s="59">
        <f>(((A68+(2*B68))*'MATERIALES (2)'!$C$60)+((A68+(2*B68))*'MATERIALES (2)'!$C$58)+(A68*'MATERIALES (2)'!$C$62)+((A68*3)*'MATERIALES (2)'!$C$61)+(((A68-0.2)*'MATERIALES (2)'!$C$30)*((B68/2)/0.12))+((((A68*8)+(B68*2))*'MATERIALES (2)'!$C$76)*2))*'MATERIALES (2)'!$F$2</f>
        <v>248755.23750000002</v>
      </c>
      <c r="D68" s="59">
        <f>(1*'MATERIALES (2)'!$C$193)+(1*'MATERIALES (2)'!$C$194)+(3*'MATERIALES (2)'!$C$196)+(2*'MATERIALES (2)'!$C$178)+(2*'MATERIALES (2)'!$C$179)+(2*'MATERIALES (2)'!$C$180)+(16*'MATERIALES (2)'!$C$147)+(16*'MATERIALES (2)'!$C$148)+((A68+(2*B68))*'MATERIALES (2)'!$C$199)+((A68+(2*B68))*'MATERIALES (2)'!$C$198)+(((A68*6)+(B68*1))*'MATERIALES (2)'!$C$130)+(((A68*2)+(B68*1))*'MATERIALES (2)'!$C$154)+(((((A68*8)+(B68*2))/0.1)*'MATERIALES (2)'!$C$181)*2)+(0.5*'MATERIALES (2)'!$C$156)+(2*'MATERIALES (2)'!$C$176)+(((A68*5)*2)*'MATERIALES (2)'!$C$136)+(4*'MATERIALES (2)'!$C$137)</f>
        <v>67134</v>
      </c>
      <c r="E68" s="75"/>
      <c r="F68" s="55">
        <f>(A68*(B68/2))*'MATERIALES (2)'!$D$85</f>
        <v>6216.0000000000009</v>
      </c>
      <c r="G68" s="59">
        <f t="shared" si="18"/>
        <v>322105.23750000005</v>
      </c>
      <c r="H68" s="67">
        <f t="shared" si="19"/>
        <v>585480.18787551566</v>
      </c>
      <c r="M68" s="68">
        <v>0.8</v>
      </c>
      <c r="N68" s="69">
        <v>2.1</v>
      </c>
      <c r="O68" s="59">
        <f>(((M68+(2*N68))*'MATERIALES (2)'!$C$60)+((M68+(2*N68))*'MATERIALES (2)'!$C$58)+(M68*'MATERIALES (2)'!$C$62)+((M68+N68)*'MATERIALES (2)'!$C$61)+(((M68-0.2)*'MATERIALES (2)'!$C$30)*((N68/2)/0.12))+((((M68*4)+(N68*6))*'MATERIALES (2)'!$C$76)*2))*'MATERIALES (2)'!$F$2</f>
        <v>274263.04500000004</v>
      </c>
      <c r="P68" s="59">
        <f>(1*'MATERIALES (2)'!$C$193)+(1*'MATERIALES (2)'!$C$194)+(3*'MATERIALES (2)'!$C$196)+(2*'MATERIALES (2)'!$C$178)+(2*'MATERIALES (2)'!$C$179)+(2*'MATERIALES (2)'!$C$180)+(16*'MATERIALES (2)'!$C$147)+(16*'MATERIALES (2)'!$C$148)+((M68+(2*N68))*'MATERIALES (2)'!$C$199)+((M68+(2*N68))*'MATERIALES (2)'!$C$198)+(((M68*2)+((N68/2)*6))*'MATERIALES (2)'!$C$130)+(((M68*2)+(N68*1))*'MATERIALES (2)'!$C$154)+(((((M68*4)+(N68*2)+((N68/2)*6))/0.1)*'MATERIALES (2)'!$C$181)*2)+(2*'MATERIALES (2)'!$C$176)+(0.5*'MATERIALES (2)'!$C$156)+(((M68*5)*2)*'MATERIALES (2)'!$C$136)+(4*'MATERIALES (2)'!$C$137)</f>
        <v>69234</v>
      </c>
      <c r="Q68" s="75"/>
      <c r="R68" s="55">
        <f>(M68*(N68/2))*'MATERIALES (2)'!$D$85</f>
        <v>6216.0000000000009</v>
      </c>
      <c r="S68" s="59">
        <f t="shared" si="20"/>
        <v>349713.04500000004</v>
      </c>
      <c r="T68" s="67">
        <f t="shared" si="21"/>
        <v>635200.02016576892</v>
      </c>
      <c r="AT68" s="500"/>
    </row>
    <row r="69" spans="1:46" ht="15.75" thickBot="1">
      <c r="A69" s="71">
        <v>0.9</v>
      </c>
      <c r="B69" s="72">
        <v>2.1</v>
      </c>
      <c r="C69" s="60">
        <f>(((A69+(2*B69))*'MATERIALES (2)'!$C$60)+((A69+(2*B69))*'MATERIALES (2)'!$C$58)+(A69*'MATERIALES (2)'!$C$62)+((A69*3)*'MATERIALES (2)'!$C$61)+(((A69-0.2)*'MATERIALES (2)'!$C$30)*((B69/2)/0.12))+((((A69*8)+(B69*2))*'MATERIALES (2)'!$C$76)*2))*'MATERIALES (2)'!$F$2</f>
        <v>269536.29675000004</v>
      </c>
      <c r="D69" s="60">
        <f>(1*'MATERIALES (2)'!$C$193)+(1*'MATERIALES (2)'!$C$194)+(3*'MATERIALES (2)'!$C$196)+(2*'MATERIALES (2)'!$C$178)+(2*'MATERIALES (2)'!$C$179)+(2*'MATERIALES (2)'!$C$180)+(16*'MATERIALES (2)'!$C$147)+(16*'MATERIALES (2)'!$C$148)+((A69+(2*B69))*'MATERIALES (2)'!$C$199)+((A69+(2*B69))*'MATERIALES (2)'!$C$198)+(((A69*6)+(B69*1))*'MATERIALES (2)'!$C$130)+(((A69*2)+(B69*1))*'MATERIALES (2)'!$C$154)+(((((A69*8)+(B69*2))/0.1)*'MATERIALES (2)'!$C$181)*2)+(0.5*'MATERIALES (2)'!$C$156)+(2*'MATERIALES (2)'!$C$176)+(((A69*5)*2)*'MATERIALES (2)'!$C$136)+(4*'MATERIALES (2)'!$C$137)</f>
        <v>67868</v>
      </c>
      <c r="E69" s="76"/>
      <c r="F69" s="56">
        <f>(A69*(B69/2))*'MATERIALES (2)'!$D$85</f>
        <v>6993.0000000000009</v>
      </c>
      <c r="G69" s="60">
        <f t="shared" si="18"/>
        <v>344397.29675000004</v>
      </c>
      <c r="H69" s="67">
        <f>((((SUM(C69:E69)*$C$58)+(F69*$F$58))*1.21)*1.05)*1.05</f>
        <v>626300.45906209049</v>
      </c>
      <c r="M69" s="71">
        <v>0.9</v>
      </c>
      <c r="N69" s="72">
        <v>2.1</v>
      </c>
      <c r="O69" s="60">
        <f>(((M69+(2*N69))*'MATERIALES (2)'!$C$60)+((M69+(2*N69))*'MATERIALES (2)'!$C$58)+(M69*'MATERIALES (2)'!$C$62)+((M69+N69)*'MATERIALES (2)'!$C$61)+(((M69-0.2)*'MATERIALES (2)'!$C$30)*((N69/2)/0.12))+((((M69*4)+(N69*6))*'MATERIALES (2)'!$C$76)*2))*'MATERIALES (2)'!$F$2</f>
        <v>290965.58925000002</v>
      </c>
      <c r="P69" s="60">
        <f>(1*'MATERIALES (2)'!$C$193)+(1*'MATERIALES (2)'!$C$194)+(3*'MATERIALES (2)'!$C$196)+(2*'MATERIALES (2)'!$C$178)+(2*'MATERIALES (2)'!$C$179)+(2*'MATERIALES (2)'!$C$180)+(16*'MATERIALES (2)'!$C$147)+(16*'MATERIALES (2)'!$C$148)+((M69+(2*N69))*'MATERIALES (2)'!$C$199)+((M69+(2*N69))*'MATERIALES (2)'!$C$198)+(((M69*2)+((N69/2)*6))*'MATERIALES (2)'!$C$130)+(((M69*2)+(N69*1))*'MATERIALES (2)'!$C$154)+(((((M69*4)+(N69*2)+((N69/2)*6))/0.1)*'MATERIALES (2)'!$C$181)*2)+(2*'MATERIALES (2)'!$C$176)+(0.5*'MATERIALES (2)'!$C$156)+(((M69*5)*2)*'MATERIALES (2)'!$C$136)+(4*'MATERIALES (2)'!$C$137)</f>
        <v>69632</v>
      </c>
      <c r="Q69" s="76"/>
      <c r="R69" s="56">
        <f>(M69*(N69/2))*'MATERIALES (2)'!$D$85</f>
        <v>6993.0000000000009</v>
      </c>
      <c r="S69" s="60">
        <f t="shared" si="20"/>
        <v>367590.58925000002</v>
      </c>
      <c r="T69" s="67">
        <f t="shared" si="21"/>
        <v>668070.04229896225</v>
      </c>
      <c r="AT69" s="500"/>
    </row>
    <row r="70" spans="1:46">
      <c r="AT70" s="500"/>
    </row>
    <row r="71" spans="1:46" ht="15.75" thickBot="1">
      <c r="AT71" s="500"/>
    </row>
    <row r="72" spans="1:46" ht="15.75" thickBot="1">
      <c r="A72" s="32"/>
      <c r="B72" s="32"/>
      <c r="C72" s="807">
        <v>1.35</v>
      </c>
      <c r="D72" s="808"/>
      <c r="E72" s="809"/>
      <c r="F72" s="545">
        <v>2</v>
      </c>
      <c r="G72" s="32"/>
      <c r="H72" s="46" t="s">
        <v>163</v>
      </c>
      <c r="M72" s="32"/>
      <c r="N72" s="32"/>
      <c r="O72" s="807">
        <v>1.35</v>
      </c>
      <c r="P72" s="808"/>
      <c r="Q72" s="809"/>
      <c r="R72" s="545">
        <v>2</v>
      </c>
      <c r="S72" s="32"/>
      <c r="T72" s="46" t="s">
        <v>163</v>
      </c>
      <c r="AT72" s="500"/>
    </row>
    <row r="73" spans="1:46" ht="15.75" thickBot="1">
      <c r="A73" s="792" t="s">
        <v>224</v>
      </c>
      <c r="B73" s="793"/>
      <c r="C73" s="793"/>
      <c r="D73" s="793"/>
      <c r="E73" s="793"/>
      <c r="F73" s="793"/>
      <c r="G73" s="793"/>
      <c r="H73" s="794"/>
      <c r="M73" s="792" t="s">
        <v>227</v>
      </c>
      <c r="N73" s="793"/>
      <c r="O73" s="793"/>
      <c r="P73" s="793"/>
      <c r="Q73" s="793"/>
      <c r="R73" s="793"/>
      <c r="S73" s="793"/>
      <c r="T73" s="794"/>
      <c r="AT73" s="500"/>
    </row>
    <row r="74" spans="1:46" ht="15.75" thickBot="1">
      <c r="A74" s="36" t="s">
        <v>116</v>
      </c>
      <c r="B74" s="36" t="s">
        <v>117</v>
      </c>
      <c r="C74" s="36" t="s">
        <v>162</v>
      </c>
      <c r="D74" s="36" t="s">
        <v>119</v>
      </c>
      <c r="E74" s="36" t="s">
        <v>120</v>
      </c>
      <c r="F74" s="36" t="s">
        <v>118</v>
      </c>
      <c r="G74" s="36" t="s">
        <v>121</v>
      </c>
      <c r="H74" s="36" t="s">
        <v>122</v>
      </c>
      <c r="M74" s="36" t="s">
        <v>116</v>
      </c>
      <c r="N74" s="36" t="s">
        <v>117</v>
      </c>
      <c r="O74" s="36" t="s">
        <v>162</v>
      </c>
      <c r="P74" s="36" t="s">
        <v>119</v>
      </c>
      <c r="Q74" s="36" t="s">
        <v>120</v>
      </c>
      <c r="R74" s="36" t="s">
        <v>118</v>
      </c>
      <c r="S74" s="36" t="s">
        <v>121</v>
      </c>
      <c r="T74" s="36" t="s">
        <v>122</v>
      </c>
      <c r="AT74" s="500"/>
    </row>
    <row r="75" spans="1:46" ht="15.75" thickBot="1">
      <c r="A75" s="795"/>
      <c r="B75" s="796"/>
      <c r="C75" s="796"/>
      <c r="D75" s="796"/>
      <c r="E75" s="796"/>
      <c r="F75" s="796"/>
      <c r="G75" s="796"/>
      <c r="H75" s="797"/>
      <c r="M75" s="795"/>
      <c r="N75" s="796"/>
      <c r="O75" s="796"/>
      <c r="P75" s="796"/>
      <c r="Q75" s="796"/>
      <c r="R75" s="796"/>
      <c r="S75" s="796"/>
      <c r="T75" s="797"/>
      <c r="AT75" s="500"/>
    </row>
    <row r="76" spans="1:46" ht="15.75" thickBot="1">
      <c r="A76" s="65">
        <v>0.6</v>
      </c>
      <c r="B76" s="66">
        <v>2</v>
      </c>
      <c r="C76" s="58">
        <f>(((A76+(2*B76))*'MATERIALES (2)'!$C$60)+((A76+(2*B76))*'MATERIALES (2)'!$C$58)+(A76*'MATERIALES (2)'!$C$62)+((A76*2)*'MATERIALES (2)'!$C$61)+((((A76*6)+(B76*2))*'MATERIALES (2)'!$C$76)*2)+(((A76-0.2)*'MATERIALES (2)'!$C$30)*((B76-0.12)/0.12)))*'MATERIALES (2)'!$F$2</f>
        <v>221231.717</v>
      </c>
      <c r="D76" s="58">
        <f>(1*'MATERIALES (2)'!$C$193)+(1*'MATERIALES (2)'!$C$194)+(3*'MATERIALES (2)'!$C$196)+(2*'MATERIALES (2)'!$C$178)+(2*'MATERIALES (2)'!$C$179)+(2*'MATERIALES (2)'!$C$180)+(12*'MATERIALES (2)'!$C$147)+(12*'MATERIALES (2)'!$C$148)+((A76+(2*B76))*'MATERIALES (2)'!$C$199)+((A76+(2*B76))*'MATERIALES (2)'!$C$198)+(((A76*2)*(0.6*2))*'MATERIALES (2)'!$C$130)+(((A76*4)+(B76*2))*'MATERIALES (2)'!$C$154)+(0.5*'MATERIALES (2)'!$C$156)+(((((A76*6)+(B76*2))/0.1)*'MATERIALES (2)'!$C$181)*2)+(2*'MATERIALES (2)'!$C$630)+(((A76*5)*2)*'MATERIALES (2)'!$C$136)+(4*'MATERIALES (2)'!$C$137)</f>
        <v>63573.599999999999</v>
      </c>
      <c r="E76" s="74"/>
      <c r="F76" s="54">
        <f>(A76*0.6)*'MATERIALES (2)'!$D$85</f>
        <v>2664</v>
      </c>
      <c r="G76" s="58">
        <f>SUM(C76:F76)</f>
        <v>287469.31699999998</v>
      </c>
      <c r="H76" s="67">
        <f>((((SUM(C76:E76)*$C$72)+(F76*$F$72))*1.21)*1.05)*1.05</f>
        <v>520023.19276474882</v>
      </c>
      <c r="M76" s="65">
        <v>0.6</v>
      </c>
      <c r="N76" s="66">
        <v>2</v>
      </c>
      <c r="O76" s="58">
        <f>(((M76+(2*N76))*'MATERIALES (2)'!$C$60)+((M76+(2*N76))*'MATERIALES (2)'!$C$58)+(M76*'MATERIALES (2)'!$C$62)+((M76+((N76/1.33)*2))*'MATERIALES (2)'!$C$61)+(((M76-0.2)*'MATERIALES (2)'!$C$30)*3)+((((M76*4)+(N76*6))*'MATERIALES (2)'!$C$76)*2))*'MATERIALES (2)'!$F$2</f>
        <v>220534.26757894736</v>
      </c>
      <c r="P76" s="58">
        <f>(1*'MATERIALES (2)'!$C$193)+(1*'MATERIALES (2)'!$C$194)+(3*'MATERIALES (2)'!$C$196)+(2*'MATERIALES (2)'!$C$178)+(2*'MATERIALES (2)'!$C$179)+(2*'MATERIALES (2)'!$C$180)+(16*'MATERIALES (2)'!$C$147)+(16*'MATERIALES (2)'!$C$148)+((M76+(2*N76))*'MATERIALES (2)'!$C$199)+((M76+(2*N76))*'MATERIALES (2)'!$C$198)+(((M76*2)+(N76*6))*'MATERIALES (2)'!$C$130)+((((((M76*4)+(N76*6))/0.1))*'MATERIALES (2)'!$C$181)*2)+(2*'MATERIALES (2)'!$C$176)+(((M76*2)+((N76/3)*2))*'MATERIALES (2)'!$C$154)+(0.25*'MATERIALES (2)'!$C$156)+(((M76*5)*2)*'MATERIALES (2)'!$C$136)+(4*'MATERIALES (2)'!$C$137)</f>
        <v>68398</v>
      </c>
      <c r="Q76" s="74"/>
      <c r="R76" s="54">
        <f>(M76*(N76/1.33))*'MATERIALES (2)'!$D$85</f>
        <v>6676.6917293233082</v>
      </c>
      <c r="S76" s="58">
        <f>SUM(O76:R76)</f>
        <v>295608.95930827066</v>
      </c>
      <c r="T76" s="67">
        <f>((((SUM(O76:Q76)*$O$72)+(R76*$R$72))*1.21)*1.05)*1.05</f>
        <v>538161.61951537814</v>
      </c>
      <c r="AT76" s="500"/>
    </row>
    <row r="77" spans="1:46" ht="15.75" thickBot="1">
      <c r="A77" s="68">
        <v>0.7</v>
      </c>
      <c r="B77" s="69">
        <v>2</v>
      </c>
      <c r="C77" s="59">
        <f>(((A77+(2*B77))*'MATERIALES (2)'!$C$60)+((A77+(2*B77))*'MATERIALES (2)'!$C$58)+(A77*'MATERIALES (2)'!$C$62)+((A77*2)*'MATERIALES (2)'!$C$61)+((((A77*6)+(B77*2))*'MATERIALES (2)'!$C$76)*2)+(((A77-0.2)*'MATERIALES (2)'!$C$30)*((B77-0.12)/0.12)))*'MATERIALES (2)'!$F$2</f>
        <v>247758.77349999995</v>
      </c>
      <c r="D77" s="59">
        <f>(1*'MATERIALES (2)'!$C$193)+(1*'MATERIALES (2)'!$C$194)+(3*'MATERIALES (2)'!$C$196)+(2*'MATERIALES (2)'!$C$178)+(2*'MATERIALES (2)'!$C$179)+(2*'MATERIALES (2)'!$C$180)+(12*'MATERIALES (2)'!$C$147)+(12*'MATERIALES (2)'!$C$148)+((A77+(2*B77))*'MATERIALES (2)'!$C$199)+((A77+(2*B77))*'MATERIALES (2)'!$C$198)+(((A77*2)*(0.6*2))*'MATERIALES (2)'!$C$130)+(((A77*4)+(B77*2))*'MATERIALES (2)'!$C$154)+(0.5*'MATERIALES (2)'!$C$156)+(((((A77*6)+(B77*2))/0.1)*'MATERIALES (2)'!$C$181)*2)+(2*'MATERIALES (2)'!$C$630)+(((A77*5)*2)*'MATERIALES (2)'!$C$136)+(4*'MATERIALES (2)'!$C$137)</f>
        <v>64149.2</v>
      </c>
      <c r="E77" s="75"/>
      <c r="F77" s="55">
        <f>(A77*0.6)*'MATERIALES (2)'!$D$85</f>
        <v>3108</v>
      </c>
      <c r="G77" s="59">
        <f t="shared" ref="G77:G83" si="22">SUM(C77:F77)</f>
        <v>315015.97349999996</v>
      </c>
      <c r="H77" s="67">
        <f t="shared" ref="H77:H83" si="23">((((SUM(C77:E77)*$C$72)+(F77*$F$72))*1.21)*1.05)*1.05</f>
        <v>570017.89577025571</v>
      </c>
      <c r="M77" s="68">
        <v>0.7</v>
      </c>
      <c r="N77" s="69">
        <v>2</v>
      </c>
      <c r="O77" s="59">
        <f>(((M77+(2*N77))*'MATERIALES (2)'!$C$60)+((M77+(2*N77))*'MATERIALES (2)'!$C$58)+(M77*'MATERIALES (2)'!$C$62)+((M77+((N77/1.33)*2))*'MATERIALES (2)'!$C$61)+(((M77-0.2)*'MATERIALES (2)'!$C$30)*3)+((((M77*4)+(N77*6))*'MATERIALES (2)'!$C$76)*2))*'MATERIALES (2)'!$F$2</f>
        <v>230764.73257894738</v>
      </c>
      <c r="P77" s="59">
        <f>(1*'MATERIALES (2)'!$C$193)+(1*'MATERIALES (2)'!$C$194)+(3*'MATERIALES (2)'!$C$196)+(2*'MATERIALES (2)'!$C$178)+(2*'MATERIALES (2)'!$C$179)+(2*'MATERIALES (2)'!$C$180)+(16*'MATERIALES (2)'!$C$147)+(16*'MATERIALES (2)'!$C$148)+((M77+(2*N77))*'MATERIALES (2)'!$C$199)+((M77+(2*N77))*'MATERIALES (2)'!$C$198)+(((M77*2)+(N77*6))*'MATERIALES (2)'!$C$130)+((((((M77*4)+(N77*6))/0.1))*'MATERIALES (2)'!$C$181)*2)+(2*'MATERIALES (2)'!$C$176)+(((M77*2)+((N77/3)*2))*'MATERIALES (2)'!$C$154)+(0.25*'MATERIALES (2)'!$C$156)+(((M77*5)*2)*'MATERIALES (2)'!$C$136)+(4*'MATERIALES (2)'!$C$137)</f>
        <v>68796</v>
      </c>
      <c r="Q77" s="75"/>
      <c r="R77" s="55">
        <f>(M77*(N77/1.33))*'MATERIALES (2)'!$D$85</f>
        <v>7789.4736842105258</v>
      </c>
      <c r="S77" s="59">
        <f t="shared" ref="S77:S83" si="24">SUM(O77:R77)</f>
        <v>307350.20626315789</v>
      </c>
      <c r="T77" s="67">
        <f t="shared" ref="T77:T83" si="25">((((SUM(O77:Q77)*$O$72)+(R77*$R$72))*1.21)*1.05)*1.05</f>
        <v>560271.7387393089</v>
      </c>
      <c r="AT77" s="500"/>
    </row>
    <row r="78" spans="1:46" ht="15.75" thickBot="1">
      <c r="A78" s="68">
        <v>0.8</v>
      </c>
      <c r="B78" s="69">
        <v>2</v>
      </c>
      <c r="C78" s="59">
        <f>(((A78+(2*B78))*'MATERIALES (2)'!$C$60)+((A78+(2*B78))*'MATERIALES (2)'!$C$58)+(A78*'MATERIALES (2)'!$C$62)+((A78*2)*'MATERIALES (2)'!$C$61)+((((A78*6)+(B78*2))*'MATERIALES (2)'!$C$76)*2)+(((A78-0.2)*'MATERIALES (2)'!$C$30)*((B78-0.12)/0.12)))*'MATERIALES (2)'!$F$2</f>
        <v>274285.83</v>
      </c>
      <c r="D78" s="59">
        <f>(1*'MATERIALES (2)'!$C$193)+(1*'MATERIALES (2)'!$C$194)+(3*'MATERIALES (2)'!$C$196)+(2*'MATERIALES (2)'!$C$178)+(2*'MATERIALES (2)'!$C$179)+(2*'MATERIALES (2)'!$C$180)+(12*'MATERIALES (2)'!$C$147)+(12*'MATERIALES (2)'!$C$148)+((A78+(2*B78))*'MATERIALES (2)'!$C$199)+((A78+(2*B78))*'MATERIALES (2)'!$C$198)+(((A78*2)*(0.6*2))*'MATERIALES (2)'!$C$130)+(((A78*4)+(B78*2))*'MATERIALES (2)'!$C$154)+(0.5*'MATERIALES (2)'!$C$156)+(((((A78*6)+(B78*2))/0.1)*'MATERIALES (2)'!$C$181)*2)+(2*'MATERIALES (2)'!$C$630)+(((A78*5)*2)*'MATERIALES (2)'!$C$136)+(4*'MATERIALES (2)'!$C$137)</f>
        <v>64724.800000000003</v>
      </c>
      <c r="E78" s="75"/>
      <c r="F78" s="55">
        <f>(A78*0.6)*'MATERIALES (2)'!$D$85</f>
        <v>3552</v>
      </c>
      <c r="G78" s="59">
        <f t="shared" si="22"/>
        <v>342562.63</v>
      </c>
      <c r="H78" s="67">
        <f t="shared" si="23"/>
        <v>620012.59877576248</v>
      </c>
      <c r="M78" s="68">
        <v>0.8</v>
      </c>
      <c r="N78" s="69">
        <v>2</v>
      </c>
      <c r="O78" s="59">
        <f>(((M78+(2*N78))*'MATERIALES (2)'!$C$60)+((M78+(2*N78))*'MATERIALES (2)'!$C$58)+(M78*'MATERIALES (2)'!$C$62)+((M78+((N78/1.33)*2))*'MATERIALES (2)'!$C$61)+(((M78-0.2)*'MATERIALES (2)'!$C$30)*3)+((((M78*4)+(N78*6))*'MATERIALES (2)'!$C$76)*2))*'MATERIALES (2)'!$F$2</f>
        <v>240995.19757894738</v>
      </c>
      <c r="P78" s="59">
        <f>(1*'MATERIALES (2)'!$C$193)+(1*'MATERIALES (2)'!$C$194)+(3*'MATERIALES (2)'!$C$196)+(2*'MATERIALES (2)'!$C$178)+(2*'MATERIALES (2)'!$C$179)+(2*'MATERIALES (2)'!$C$180)+(16*'MATERIALES (2)'!$C$147)+(16*'MATERIALES (2)'!$C$148)+((M78+(2*N78))*'MATERIALES (2)'!$C$199)+((M78+(2*N78))*'MATERIALES (2)'!$C$198)+(((M78*2)+(N78*6))*'MATERIALES (2)'!$C$130)+((((((M78*4)+(N78*6))/0.1))*'MATERIALES (2)'!$C$181)*2)+(2*'MATERIALES (2)'!$C$176)+(((M78*2)+((N78/3)*2))*'MATERIALES (2)'!$C$154)+(0.25*'MATERIALES (2)'!$C$156)+(((M78*5)*2)*'MATERIALES (2)'!$C$136)+(4*'MATERIALES (2)'!$C$137)</f>
        <v>69194</v>
      </c>
      <c r="Q78" s="75"/>
      <c r="R78" s="55">
        <f>(M78*(N78/1.33))*'MATERIALES (2)'!$D$85</f>
        <v>8902.2556390977443</v>
      </c>
      <c r="S78" s="59">
        <f t="shared" si="24"/>
        <v>319091.45321804518</v>
      </c>
      <c r="T78" s="67">
        <f t="shared" si="25"/>
        <v>582381.85796323954</v>
      </c>
      <c r="AT78" s="500"/>
    </row>
    <row r="79" spans="1:46" ht="15.75" thickBot="1">
      <c r="A79" s="68">
        <v>0.9</v>
      </c>
      <c r="B79" s="69">
        <v>2</v>
      </c>
      <c r="C79" s="59">
        <f>(((A79+(2*B79))*'MATERIALES (2)'!$C$60)+((A79+(2*B79))*'MATERIALES (2)'!$C$58)+(A79*'MATERIALES (2)'!$C$62)+((A79*2)*'MATERIALES (2)'!$C$61)+((((A79*6)+(B79*2))*'MATERIALES (2)'!$C$76)*2)+(((A79-0.2)*'MATERIALES (2)'!$C$30)*((B79-0.12)/0.12)))*'MATERIALES (2)'!$F$2</f>
        <v>300812.88650000002</v>
      </c>
      <c r="D79" s="59">
        <f>(1*'MATERIALES (2)'!$C$193)+(1*'MATERIALES (2)'!$C$194)+(3*'MATERIALES (2)'!$C$196)+(2*'MATERIALES (2)'!$C$178)+(2*'MATERIALES (2)'!$C$179)+(2*'MATERIALES (2)'!$C$180)+(12*'MATERIALES (2)'!$C$147)+(12*'MATERIALES (2)'!$C$148)+((A79+(2*B79))*'MATERIALES (2)'!$C$199)+((A79+(2*B79))*'MATERIALES (2)'!$C$198)+(((A79*2)*(0.6*2))*'MATERIALES (2)'!$C$130)+(((A79*4)+(B79*2))*'MATERIALES (2)'!$C$154)+(0.5*'MATERIALES (2)'!$C$156)+(((((A79*6)+(B79*2))/0.1)*'MATERIALES (2)'!$C$181)*2)+(2*'MATERIALES (2)'!$C$630)+(((A79*5)*2)*'MATERIALES (2)'!$C$136)+(4*'MATERIALES (2)'!$C$137)</f>
        <v>65300.4</v>
      </c>
      <c r="E79" s="75"/>
      <c r="F79" s="55">
        <f>(A79*0.6)*'MATERIALES (2)'!$D$85</f>
        <v>3996.0000000000005</v>
      </c>
      <c r="G79" s="59">
        <f t="shared" si="22"/>
        <v>370109.28650000005</v>
      </c>
      <c r="H79" s="67">
        <f t="shared" si="23"/>
        <v>670007.30178126949</v>
      </c>
      <c r="M79" s="68">
        <v>0.9</v>
      </c>
      <c r="N79" s="69">
        <v>2</v>
      </c>
      <c r="O79" s="59">
        <f>(((M79+(2*N79))*'MATERIALES (2)'!$C$60)+((M79+(2*N79))*'MATERIALES (2)'!$C$58)+(M79*'MATERIALES (2)'!$C$62)+((M79+((N79/1.33)*2))*'MATERIALES (2)'!$C$61)+(((M79-0.2)*'MATERIALES (2)'!$C$30)*3)+((((M79*4)+(N79*6))*'MATERIALES (2)'!$C$76)*2))*'MATERIALES (2)'!$F$2</f>
        <v>251225.66257894738</v>
      </c>
      <c r="P79" s="59">
        <f>(1*'MATERIALES (2)'!$C$193)+(1*'MATERIALES (2)'!$C$194)+(3*'MATERIALES (2)'!$C$196)+(2*'MATERIALES (2)'!$C$178)+(2*'MATERIALES (2)'!$C$179)+(2*'MATERIALES (2)'!$C$180)+(16*'MATERIALES (2)'!$C$147)+(16*'MATERIALES (2)'!$C$148)+((M79+(2*N79))*'MATERIALES (2)'!$C$199)+((M79+(2*N79))*'MATERIALES (2)'!$C$198)+(((M79*2)+(N79*6))*'MATERIALES (2)'!$C$130)+((((((M79*4)+(N79*6))/0.1))*'MATERIALES (2)'!$C$181)*2)+(2*'MATERIALES (2)'!$C$176)+(((M79*2)+((N79/3)*2))*'MATERIALES (2)'!$C$154)+(0.25*'MATERIALES (2)'!$C$156)+(((M79*5)*2)*'MATERIALES (2)'!$C$136)+(4*'MATERIALES (2)'!$C$137)</f>
        <v>69592</v>
      </c>
      <c r="Q79" s="75"/>
      <c r="R79" s="55">
        <f>(M79*(N79/1.33))*'MATERIALES (2)'!$D$85</f>
        <v>10015.037593984962</v>
      </c>
      <c r="S79" s="59">
        <f t="shared" si="24"/>
        <v>330832.70017293235</v>
      </c>
      <c r="T79" s="67">
        <f t="shared" si="25"/>
        <v>604491.97718716995</v>
      </c>
      <c r="AT79" s="500"/>
    </row>
    <row r="80" spans="1:46" ht="15.75" thickBot="1">
      <c r="A80" s="68">
        <v>0.6</v>
      </c>
      <c r="B80" s="69">
        <v>2.1</v>
      </c>
      <c r="C80" s="59">
        <f>(((A80+(2*B80))*'MATERIALES (2)'!$C$60)+((A80+(2*B80))*'MATERIALES (2)'!$C$58)+(A80*'MATERIALES (2)'!$C$62)+((A80*2)*'MATERIALES (2)'!$C$61)+((((A80*6)+(B80*2))*'MATERIALES (2)'!$C$76)*2)+(((A80-0.2)*'MATERIALES (2)'!$C$30)*((B80-0.12)/0.12)))*'MATERIALES (2)'!$F$2</f>
        <v>229850.52299999999</v>
      </c>
      <c r="D80" s="59">
        <f>(1*'MATERIALES (2)'!$C$193)+(1*'MATERIALES (2)'!$C$194)+(3*'MATERIALES (2)'!$C$196)+(2*'MATERIALES (2)'!$C$178)+(2*'MATERIALES (2)'!$C$179)+(2*'MATERIALES (2)'!$C$180)+(12*'MATERIALES (2)'!$C$147)+(12*'MATERIALES (2)'!$C$148)+((A80+(2*B80))*'MATERIALES (2)'!$C$199)+((A80+(2*B80))*'MATERIALES (2)'!$C$198)+(((A80*2)*(0.6*2))*'MATERIALES (2)'!$C$130)+(((A80*4)+(B80*2))*'MATERIALES (2)'!$C$154)+(0.5*'MATERIALES (2)'!$C$156)+(((((A80*6)+(B80*2))/0.1)*'MATERIALES (2)'!$C$181)*2)+(2*'MATERIALES (2)'!$C$630)+(((A80*5)*2)*'MATERIALES (2)'!$C$136)+(4*'MATERIALES (2)'!$C$137)</f>
        <v>63865.599999999999</v>
      </c>
      <c r="E80" s="75"/>
      <c r="F80" s="55">
        <f>(A80*0.6)*'MATERIALES (2)'!$D$85</f>
        <v>2664</v>
      </c>
      <c r="G80" s="59">
        <f t="shared" si="22"/>
        <v>296380.12299999996</v>
      </c>
      <c r="H80" s="67">
        <f t="shared" si="23"/>
        <v>536070.96402985125</v>
      </c>
      <c r="M80" s="68">
        <v>0.6</v>
      </c>
      <c r="N80" s="69">
        <v>2.1</v>
      </c>
      <c r="O80" s="59">
        <f>(((M80+(2*N80))*'MATERIALES (2)'!$C$60)+((M80+(2*N80))*'MATERIALES (2)'!$C$58)+(M80*'MATERIALES (2)'!$C$62)+((M80+((N80/1.33)*2))*'MATERIALES (2)'!$C$61)+(((M80-0.2)*'MATERIALES (2)'!$C$30)*3)+((((M80*4)+(N80*6))*'MATERIALES (2)'!$C$76)*2))*'MATERIALES (2)'!$F$2</f>
        <v>228829.5151578947</v>
      </c>
      <c r="P80" s="59">
        <f>(1*'MATERIALES (2)'!$C$193)+(1*'MATERIALES (2)'!$C$194)+(3*'MATERIALES (2)'!$C$196)+(2*'MATERIALES (2)'!$C$178)+(2*'MATERIALES (2)'!$C$179)+(2*'MATERIALES (2)'!$C$180)+(16*'MATERIALES (2)'!$C$147)+(16*'MATERIALES (2)'!$C$148)+((M80+(2*N80))*'MATERIALES (2)'!$C$199)+((M80+(2*N80))*'MATERIALES (2)'!$C$198)+(((M80*2)+(N80*6))*'MATERIALES (2)'!$C$130)+((((((M80*4)+(N80*6))/0.1))*'MATERIALES (2)'!$C$181)*2)+(2*'MATERIALES (2)'!$C$176)+(((M80*2)+((N80/3)*2))*'MATERIALES (2)'!$C$154)+(0.25*'MATERIALES (2)'!$C$156)+(((M80*5)*2)*'MATERIALES (2)'!$C$136)+(4*'MATERIALES (2)'!$C$137)</f>
        <v>69042</v>
      </c>
      <c r="Q80" s="75"/>
      <c r="R80" s="55">
        <f>(M80*(N80/1.33))*'MATERIALES (2)'!$D$85</f>
        <v>7010.5263157894733</v>
      </c>
      <c r="S80" s="59">
        <f t="shared" si="24"/>
        <v>304882.04147368419</v>
      </c>
      <c r="T80" s="67">
        <f t="shared" si="25"/>
        <v>555151.2995483313</v>
      </c>
      <c r="AT80" s="500"/>
    </row>
    <row r="81" spans="1:46" ht="15.75" thickBot="1">
      <c r="A81" s="68">
        <v>0.7</v>
      </c>
      <c r="B81" s="69">
        <v>2.1</v>
      </c>
      <c r="C81" s="59">
        <f>(((A81+(2*B81))*'MATERIALES (2)'!$C$60)+((A81+(2*B81))*'MATERIALES (2)'!$C$58)+(A81*'MATERIALES (2)'!$C$62)+((A81*2)*'MATERIALES (2)'!$C$61)+((((A81*6)+(B81*2))*'MATERIALES (2)'!$C$76)*2)+(((A81-0.2)*'MATERIALES (2)'!$C$30)*((B81-0.12)/0.12)))*'MATERIALES (2)'!$F$2</f>
        <v>257315.56199999998</v>
      </c>
      <c r="D81" s="59">
        <f>(1*'MATERIALES (2)'!$C$193)+(1*'MATERIALES (2)'!$C$194)+(3*'MATERIALES (2)'!$C$196)+(2*'MATERIALES (2)'!$C$178)+(2*'MATERIALES (2)'!$C$179)+(2*'MATERIALES (2)'!$C$180)+(12*'MATERIALES (2)'!$C$147)+(12*'MATERIALES (2)'!$C$148)+((A81+(2*B81))*'MATERIALES (2)'!$C$199)+((A81+(2*B81))*'MATERIALES (2)'!$C$198)+(((A81*2)*(0.6*2))*'MATERIALES (2)'!$C$130)+(((A81*4)+(B81*2))*'MATERIALES (2)'!$C$154)+(0.5*'MATERIALES (2)'!$C$156)+(((((A81*6)+(B81*2))/0.1)*'MATERIALES (2)'!$C$181)*2)+(2*'MATERIALES (2)'!$C$630)+(((A81*5)*2)*'MATERIALES (2)'!$C$136)+(4*'MATERIALES (2)'!$C$137)</f>
        <v>64441.2</v>
      </c>
      <c r="E81" s="75"/>
      <c r="F81" s="55">
        <f>(A81*0.6)*'MATERIALES (2)'!$D$85</f>
        <v>3108</v>
      </c>
      <c r="G81" s="59">
        <f t="shared" si="22"/>
        <v>324864.76199999999</v>
      </c>
      <c r="H81" s="67">
        <f t="shared" si="23"/>
        <v>587754.9113765175</v>
      </c>
      <c r="M81" s="68">
        <v>0.7</v>
      </c>
      <c r="N81" s="69">
        <v>2.1</v>
      </c>
      <c r="O81" s="59">
        <f>(((M81+(2*N81))*'MATERIALES (2)'!$C$60)+((M81+(2*N81))*'MATERIALES (2)'!$C$58)+(M81*'MATERIALES (2)'!$C$62)+((M81+((N81/1.33)*2))*'MATERIALES (2)'!$C$61)+(((M81-0.2)*'MATERIALES (2)'!$C$30)*3)+((((M81*4)+(N81*6))*'MATERIALES (2)'!$C$76)*2))*'MATERIALES (2)'!$F$2</f>
        <v>239059.98015789472</v>
      </c>
      <c r="P81" s="59">
        <f>(1*'MATERIALES (2)'!$C$193)+(1*'MATERIALES (2)'!$C$194)+(3*'MATERIALES (2)'!$C$196)+(2*'MATERIALES (2)'!$C$178)+(2*'MATERIALES (2)'!$C$179)+(2*'MATERIALES (2)'!$C$180)+(16*'MATERIALES (2)'!$C$147)+(16*'MATERIALES (2)'!$C$148)+((M81+(2*N81))*'MATERIALES (2)'!$C$199)+((M81+(2*N81))*'MATERIALES (2)'!$C$198)+(((M81*2)+(N81*6))*'MATERIALES (2)'!$C$130)+((((((M81*4)+(N81*6))/0.1))*'MATERIALES (2)'!$C$181)*2)+(2*'MATERIALES (2)'!$C$176)+(((M81*2)+((N81/3)*2))*'MATERIALES (2)'!$C$154)+(0.25*'MATERIALES (2)'!$C$156)+(((M81*5)*2)*'MATERIALES (2)'!$C$136)+(4*'MATERIALES (2)'!$C$137)</f>
        <v>69440</v>
      </c>
      <c r="Q81" s="75"/>
      <c r="R81" s="55">
        <f>(M81*(N81/1.33))*'MATERIALES (2)'!$D$85</f>
        <v>8178.9473684210516</v>
      </c>
      <c r="S81" s="59">
        <f t="shared" si="24"/>
        <v>316678.92752631579</v>
      </c>
      <c r="T81" s="67">
        <f t="shared" si="25"/>
        <v>577409.86666699883</v>
      </c>
      <c r="AT81" s="500"/>
    </row>
    <row r="82" spans="1:46" ht="15.75" thickBot="1">
      <c r="A82" s="68">
        <v>0.8</v>
      </c>
      <c r="B82" s="69">
        <v>2.1</v>
      </c>
      <c r="C82" s="59">
        <f>(((A82+(2*B82))*'MATERIALES (2)'!$C$60)+((A82+(2*B82))*'MATERIALES (2)'!$C$58)+(A82*'MATERIALES (2)'!$C$62)+((A82*2)*'MATERIALES (2)'!$C$61)+((((A82*6)+(B82*2))*'MATERIALES (2)'!$C$76)*2)+(((A82-0.2)*'MATERIALES (2)'!$C$30)*((B82-0.12)/0.12)))*'MATERIALES (2)'!$F$2</f>
        <v>284780.60100000002</v>
      </c>
      <c r="D82" s="59">
        <f>(1*'MATERIALES (2)'!$C$193)+(1*'MATERIALES (2)'!$C$194)+(3*'MATERIALES (2)'!$C$196)+(2*'MATERIALES (2)'!$C$178)+(2*'MATERIALES (2)'!$C$179)+(2*'MATERIALES (2)'!$C$180)+(12*'MATERIALES (2)'!$C$147)+(12*'MATERIALES (2)'!$C$148)+((A82+(2*B82))*'MATERIALES (2)'!$C$199)+((A82+(2*B82))*'MATERIALES (2)'!$C$198)+(((A82*2)*(0.6*2))*'MATERIALES (2)'!$C$130)+(((A82*4)+(B82*2))*'MATERIALES (2)'!$C$154)+(0.5*'MATERIALES (2)'!$C$156)+(((((A82*6)+(B82*2))/0.1)*'MATERIALES (2)'!$C$181)*2)+(2*'MATERIALES (2)'!$C$630)+(((A82*5)*2)*'MATERIALES (2)'!$C$136)+(4*'MATERIALES (2)'!$C$137)</f>
        <v>65016.800000000003</v>
      </c>
      <c r="E82" s="75"/>
      <c r="F82" s="55">
        <f>(A82*0.6)*'MATERIALES (2)'!$D$85</f>
        <v>3552</v>
      </c>
      <c r="G82" s="59">
        <f t="shared" si="22"/>
        <v>353349.40100000001</v>
      </c>
      <c r="H82" s="67">
        <f t="shared" si="23"/>
        <v>639438.85872318374</v>
      </c>
      <c r="M82" s="68">
        <v>0.8</v>
      </c>
      <c r="N82" s="69">
        <v>2.1</v>
      </c>
      <c r="O82" s="59">
        <f>(((M82+(2*N82))*'MATERIALES (2)'!$C$60)+((M82+(2*N82))*'MATERIALES (2)'!$C$58)+(M82*'MATERIALES (2)'!$C$62)+((M82+((N82/1.33)*2))*'MATERIALES (2)'!$C$61)+(((M82-0.2)*'MATERIALES (2)'!$C$30)*3)+((((M82*4)+(N82*6))*'MATERIALES (2)'!$C$76)*2))*'MATERIALES (2)'!$F$2</f>
        <v>249290.44515789478</v>
      </c>
      <c r="P82" s="59">
        <f>(1*'MATERIALES (2)'!$C$193)+(1*'MATERIALES (2)'!$C$194)+(3*'MATERIALES (2)'!$C$196)+(2*'MATERIALES (2)'!$C$178)+(2*'MATERIALES (2)'!$C$179)+(2*'MATERIALES (2)'!$C$180)+(16*'MATERIALES (2)'!$C$147)+(16*'MATERIALES (2)'!$C$148)+((M82+(2*N82))*'MATERIALES (2)'!$C$199)+((M82+(2*N82))*'MATERIALES (2)'!$C$198)+(((M82*2)+(N82*6))*'MATERIALES (2)'!$C$130)+((((((M82*4)+(N82*6))/0.1))*'MATERIALES (2)'!$C$181)*2)+(2*'MATERIALES (2)'!$C$176)+(((M82*2)+((N82/3)*2))*'MATERIALES (2)'!$C$154)+(0.25*'MATERIALES (2)'!$C$156)+(((M82*5)*2)*'MATERIALES (2)'!$C$136)+(4*'MATERIALES (2)'!$C$137)</f>
        <v>69838</v>
      </c>
      <c r="Q82" s="75"/>
      <c r="R82" s="55">
        <f>(M82*(N82/1.33))*'MATERIALES (2)'!$D$85</f>
        <v>9347.3684210526335</v>
      </c>
      <c r="S82" s="59">
        <f t="shared" si="24"/>
        <v>328475.81357894739</v>
      </c>
      <c r="T82" s="67">
        <f t="shared" si="25"/>
        <v>599668.43378566636</v>
      </c>
      <c r="AT82" s="500"/>
    </row>
    <row r="83" spans="1:46" ht="15.75" thickBot="1">
      <c r="A83" s="71">
        <v>0.9</v>
      </c>
      <c r="B83" s="72">
        <v>2.1</v>
      </c>
      <c r="C83" s="60">
        <f>(((A83+(2*B83))*'MATERIALES (2)'!$C$60)+((A83+(2*B83))*'MATERIALES (2)'!$C$58)+(A83*'MATERIALES (2)'!$C$62)+((A83*2)*'MATERIALES (2)'!$C$61)+((((A83*6)+(B83*2))*'MATERIALES (2)'!$C$76)*2)+(((A83-0.2)*'MATERIALES (2)'!$C$30)*((B83-0.12)/0.12)))*'MATERIALES (2)'!$F$2</f>
        <v>312245.64</v>
      </c>
      <c r="D83" s="60">
        <f>(1*'MATERIALES (2)'!$C$193)+(1*'MATERIALES (2)'!$C$194)+(3*'MATERIALES (2)'!$C$196)+(2*'MATERIALES (2)'!$C$178)+(2*'MATERIALES (2)'!$C$179)+(2*'MATERIALES (2)'!$C$180)+(12*'MATERIALES (2)'!$C$147)+(12*'MATERIALES (2)'!$C$148)+((A83+(2*B83))*'MATERIALES (2)'!$C$199)+((A83+(2*B83))*'MATERIALES (2)'!$C$198)+(((A83*2)*(0.6*2))*'MATERIALES (2)'!$C$130)+(((A83*4)+(B83*2))*'MATERIALES (2)'!$C$154)+(0.5*'MATERIALES (2)'!$C$156)+(((((A83*6)+(B83*2))/0.1)*'MATERIALES (2)'!$C$181)*2)+(2*'MATERIALES (2)'!$C$630)+(((A83*5)*2)*'MATERIALES (2)'!$C$136)+(4*'MATERIALES (2)'!$C$137)</f>
        <v>65592.400000000009</v>
      </c>
      <c r="E83" s="76"/>
      <c r="F83" s="56">
        <f>(A83*0.6)*'MATERIALES (2)'!$D$85</f>
        <v>3996.0000000000005</v>
      </c>
      <c r="G83" s="60">
        <f t="shared" si="22"/>
        <v>381834.04000000004</v>
      </c>
      <c r="H83" s="67">
        <f t="shared" si="23"/>
        <v>691122.80606985011</v>
      </c>
      <c r="M83" s="71">
        <v>0.9</v>
      </c>
      <c r="N83" s="72">
        <v>2.1</v>
      </c>
      <c r="O83" s="60">
        <f>(((M83+(2*N83))*'MATERIALES (2)'!$C$60)+((M83+(2*N83))*'MATERIALES (2)'!$C$58)+(M83*'MATERIALES (2)'!$C$62)+((M83+((N83/1.33)*2))*'MATERIALES (2)'!$C$61)+(((M83-0.2)*'MATERIALES (2)'!$C$30)*3)+((((M83*4)+(N83*6))*'MATERIALES (2)'!$C$76)*2))*'MATERIALES (2)'!$F$2</f>
        <v>259520.91015789477</v>
      </c>
      <c r="P83" s="60">
        <f>(1*'MATERIALES (2)'!$C$193)+(1*'MATERIALES (2)'!$C$194)+(3*'MATERIALES (2)'!$C$196)+(2*'MATERIALES (2)'!$C$178)+(2*'MATERIALES (2)'!$C$179)+(2*'MATERIALES (2)'!$C$180)+(16*'MATERIALES (2)'!$C$147)+(16*'MATERIALES (2)'!$C$148)+((M83+(2*N83))*'MATERIALES (2)'!$C$199)+((M83+(2*N83))*'MATERIALES (2)'!$C$198)+(((M83*2)+(N83*6))*'MATERIALES (2)'!$C$130)+((((((M83*4)+(N83*6))/0.1))*'MATERIALES (2)'!$C$181)*2)+(2*'MATERIALES (2)'!$C$176)+(((M83*2)+((N83/3)*2))*'MATERIALES (2)'!$C$154)+(0.25*'MATERIALES (2)'!$C$156)+(((M83*5)*2)*'MATERIALES (2)'!$C$136)+(4*'MATERIALES (2)'!$C$137)</f>
        <v>70236</v>
      </c>
      <c r="Q83" s="76"/>
      <c r="R83" s="56">
        <f>(M83*(N83/1.33))*'MATERIALES (2)'!$D$85</f>
        <v>10515.78947368421</v>
      </c>
      <c r="S83" s="60">
        <f t="shared" si="24"/>
        <v>340272.69963157899</v>
      </c>
      <c r="T83" s="67">
        <f t="shared" si="25"/>
        <v>621927.00090433378</v>
      </c>
      <c r="AT83" s="500"/>
    </row>
    <row r="84" spans="1:46">
      <c r="AT84" s="500"/>
    </row>
    <row r="85" spans="1:46" ht="15.75" thickBot="1">
      <c r="O85" s="78"/>
      <c r="AT85" s="500"/>
    </row>
    <row r="86" spans="1:46" ht="15.75" thickBot="1">
      <c r="A86" s="32"/>
      <c r="B86" s="32"/>
      <c r="C86" s="807">
        <v>1.35</v>
      </c>
      <c r="D86" s="808"/>
      <c r="E86" s="809"/>
      <c r="F86" s="545">
        <v>2</v>
      </c>
      <c r="G86" s="32"/>
      <c r="H86" s="46" t="s">
        <v>163</v>
      </c>
      <c r="M86" s="32"/>
      <c r="N86" s="32"/>
      <c r="O86" s="807">
        <v>1.4</v>
      </c>
      <c r="P86" s="808"/>
      <c r="Q86" s="809"/>
      <c r="R86" s="545">
        <v>2</v>
      </c>
      <c r="S86" s="32"/>
      <c r="T86" s="46" t="s">
        <v>163</v>
      </c>
      <c r="AT86" s="500"/>
    </row>
    <row r="87" spans="1:46" ht="15.75" customHeight="1" thickBot="1">
      <c r="A87" s="792" t="s">
        <v>225</v>
      </c>
      <c r="B87" s="793"/>
      <c r="C87" s="793"/>
      <c r="D87" s="793"/>
      <c r="E87" s="793"/>
      <c r="F87" s="793"/>
      <c r="G87" s="793"/>
      <c r="H87" s="794"/>
      <c r="M87" s="792" t="s">
        <v>222</v>
      </c>
      <c r="N87" s="793"/>
      <c r="O87" s="793"/>
      <c r="P87" s="793"/>
      <c r="Q87" s="793"/>
      <c r="R87" s="793"/>
      <c r="S87" s="793"/>
      <c r="T87" s="794"/>
      <c r="U87" s="882" t="s">
        <v>254</v>
      </c>
      <c r="AT87" s="500"/>
    </row>
    <row r="88" spans="1:46" ht="15.75" thickBot="1">
      <c r="A88" s="36" t="s">
        <v>116</v>
      </c>
      <c r="B88" s="36" t="s">
        <v>117</v>
      </c>
      <c r="C88" s="36" t="s">
        <v>162</v>
      </c>
      <c r="D88" s="36" t="s">
        <v>119</v>
      </c>
      <c r="E88" s="36" t="s">
        <v>120</v>
      </c>
      <c r="F88" s="36" t="s">
        <v>118</v>
      </c>
      <c r="G88" s="36" t="s">
        <v>121</v>
      </c>
      <c r="H88" s="36" t="s">
        <v>122</v>
      </c>
      <c r="M88" s="36" t="s">
        <v>116</v>
      </c>
      <c r="N88" s="36" t="s">
        <v>117</v>
      </c>
      <c r="O88" s="36" t="s">
        <v>162</v>
      </c>
      <c r="P88" s="36" t="s">
        <v>119</v>
      </c>
      <c r="Q88" s="36" t="s">
        <v>120</v>
      </c>
      <c r="R88" s="36" t="s">
        <v>118</v>
      </c>
      <c r="S88" s="36" t="s">
        <v>121</v>
      </c>
      <c r="T88" s="36" t="s">
        <v>122</v>
      </c>
      <c r="U88" s="883"/>
      <c r="AT88" s="500"/>
    </row>
    <row r="89" spans="1:46" ht="15.75" thickBot="1">
      <c r="A89" s="795"/>
      <c r="B89" s="796"/>
      <c r="C89" s="796"/>
      <c r="D89" s="796"/>
      <c r="E89" s="796"/>
      <c r="F89" s="796"/>
      <c r="G89" s="796"/>
      <c r="H89" s="797"/>
      <c r="M89" s="795"/>
      <c r="N89" s="796"/>
      <c r="O89" s="796"/>
      <c r="P89" s="796"/>
      <c r="Q89" s="796"/>
      <c r="R89" s="796"/>
      <c r="S89" s="796"/>
      <c r="T89" s="797"/>
      <c r="U89" s="883"/>
      <c r="AT89" s="500"/>
    </row>
    <row r="90" spans="1:46" ht="15.75" thickBot="1">
      <c r="A90" s="65">
        <v>0.6</v>
      </c>
      <c r="B90" s="66">
        <v>2</v>
      </c>
      <c r="C90" s="58">
        <f>(((A90+(2*B90))*'MATERIALES (2)'!$C$60)+((A90+(2*B90))*'MATERIALES (2)'!$C$58)+(A90*'MATERIALES (2)'!$C$62)+((A90*1)*'MATERIALES (2)'!$C$61)+((((A90*4)+(B90*2))*'MATERIALES (2)'!$C$76)*2)+(((A90-0.2)*'MATERIALES (2)'!$C$30)*((B90-0.36)/0.12)))*'MATERIALES (2)'!$F$2</f>
        <v>199991.53999999998</v>
      </c>
      <c r="D90" s="58">
        <f>(1*'MATERIALES (2)'!$C$193)+(1*'MATERIALES (2)'!$C$194)+(3*'MATERIALES (2)'!$C$196)+(2*'MATERIALES (2)'!$C$178)+(2*'MATERIALES (2)'!$C$179)+(2*'MATERIALES (2)'!$C$180)+(8*'MATERIALES (2)'!$C$147)+(8*'MATERIALES (2)'!$C$148)+((A90+(2*B90))*'MATERIALES (2)'!$C$199)+((A90+(2*B90))*'MATERIALES (2)'!$C$198)+(((A90*2)*(0.6*2))*'MATERIALES (2)'!$C$130)+(((A90*2)+(B90*2))*'MATERIALES (2)'!$C$154)+(0.5*'MATERIALES (2)'!$C$156)+(2*'MATERIALES (2)'!$C$176)+(((((A90*4)+(B90*2))/0.1)*'MATERIALES (2)'!$C$181)*2)+(((A90*5)*2)*'MATERIALES (2)'!$C$136)+(4*'MATERIALES (2)'!$C$137)</f>
        <v>61895.6</v>
      </c>
      <c r="E90" s="74"/>
      <c r="F90" s="54">
        <f>(A90*0.6)*'MATERIALES (2)'!$D$85</f>
        <v>2664</v>
      </c>
      <c r="G90" s="58">
        <f>SUM(C90:F90)</f>
        <v>264551.14</v>
      </c>
      <c r="H90" s="67">
        <f>((((SUM(C90:E90)*$C$86)+(F90*$F$86))*1.21)*1.05)*1.05</f>
        <v>478749.07431697508</v>
      </c>
      <c r="M90" s="65">
        <v>0.6</v>
      </c>
      <c r="N90" s="66">
        <v>2</v>
      </c>
      <c r="O90" s="58">
        <f>(((M90+(2*N90))*'MATERIALES (2)'!$C$60)+((M90+(2*N90))*'MATERIALES (2)'!$C$58)+(M90*'MATERIALES (2)'!$C$62)+(((M90*2)+(N90*2))*'MATERIALES (2)'!$C$31)+(((M90*2)+(N90))*'MATERIALES (2)'!$C$32))*'MATERIALES (2)'!$F$2</f>
        <v>134750.49</v>
      </c>
      <c r="P90" s="58">
        <f>(1*'MATERIALES (2)'!$C$193)+(1*'MATERIALES (2)'!$C$194)+(3*'MATERIALES (2)'!$C$196)+(2*'MATERIALES (2)'!$C$178)+(2*'MATERIALES (2)'!$C$179)+(2*'MATERIALES (2)'!$C$180)+(10*'MATERIALES (2)'!$C$147)+(10*'MATERIALES (2)'!$C$148)+((M90+(2*N90))*'MATERIALES (2)'!$C$199)+((M90+(2*N90))*'MATERIALES (2)'!$C$198)+(((M90*6)+(N90*4))*'MATERIALES (2)'!$C$155)+(2*'MATERIALES (2)'!$C$176)+(((M90*5)*2)*'MATERIALES (2)'!$C$136)+(4*'MATERIALES (2)'!$C$137)</f>
        <v>54002</v>
      </c>
      <c r="Q90" s="74"/>
      <c r="R90" s="54">
        <f>(M90*N90)*'MATERIALES (2)'!$D$85</f>
        <v>8880</v>
      </c>
      <c r="S90" s="58">
        <f>SUM(O90:R90)</f>
        <v>197632.49</v>
      </c>
      <c r="T90" s="67">
        <f>((((SUM(O90:Q90)*$O$86)+(R90*$R$86))*1.21)*1.05)*1.05</f>
        <v>376213.04066115001</v>
      </c>
      <c r="U90" s="787"/>
      <c r="AT90" s="500"/>
    </row>
    <row r="91" spans="1:46" ht="15.75" thickBot="1">
      <c r="A91" s="68">
        <v>0.7</v>
      </c>
      <c r="B91" s="69">
        <v>2</v>
      </c>
      <c r="C91" s="59">
        <f>(((A91+(2*B91))*'MATERIALES (2)'!$C$60)+((A91+(2*B91))*'MATERIALES (2)'!$C$58)+(A91*'MATERIALES (2)'!$C$62)+((A91*1)*'MATERIALES (2)'!$C$61)+((((A91*4)+(B91*2))*'MATERIALES (2)'!$C$76)*2)+(((A91-0.2)*'MATERIALES (2)'!$C$30)*((B91-0.36)/0.12)))*'MATERIALES (2)'!$F$2</f>
        <v>222228.18100000001</v>
      </c>
      <c r="D91" s="59">
        <f>(1*'MATERIALES (2)'!$C$193)+(1*'MATERIALES (2)'!$C$194)+(3*'MATERIALES (2)'!$C$196)+(2*'MATERIALES (2)'!$C$178)+(2*'MATERIALES (2)'!$C$179)+(2*'MATERIALES (2)'!$C$180)+(8*'MATERIALES (2)'!$C$147)+(8*'MATERIALES (2)'!$C$148)+((A91+(2*B91))*'MATERIALES (2)'!$C$199)+((A91+(2*B91))*'MATERIALES (2)'!$C$198)+(((A91*2)*(0.6*2))*'MATERIALES (2)'!$C$130)+(((A91*2)+(B91*2))*'MATERIALES (2)'!$C$154)+(0.5*'MATERIALES (2)'!$C$156)+(2*'MATERIALES (2)'!$C$176)+(((((A91*4)+(B91*2))/0.1)*'MATERIALES (2)'!$C$181)*2)+(((A91*5)*2)*'MATERIALES (2)'!$C$136)+(4*'MATERIALES (2)'!$C$137)</f>
        <v>62303.199999999997</v>
      </c>
      <c r="E91" s="75"/>
      <c r="F91" s="55">
        <f>(A91*0.6)*'MATERIALES (2)'!$D$85</f>
        <v>3108</v>
      </c>
      <c r="G91" s="59">
        <f t="shared" ref="G91:G97" si="26">SUM(C91:F91)</f>
        <v>287639.38099999999</v>
      </c>
      <c r="H91" s="67">
        <f t="shared" ref="H91:H97" si="27">((((SUM(C91:E91)*$C$86)+(F91*$F$86))*1.21)*1.05)*1.05</f>
        <v>520714.46637700882</v>
      </c>
      <c r="M91" s="68">
        <v>0.7</v>
      </c>
      <c r="N91" s="69">
        <v>2</v>
      </c>
      <c r="O91" s="59">
        <f>(((M91+(2*N91))*'MATERIALES (2)'!$C$60)+((M91+(2*N91))*'MATERIALES (2)'!$C$58)+(M91*'MATERIALES (2)'!$C$62)+(((M91*2)+(N91*2))*'MATERIALES (2)'!$C$31)+(((M91*2)+(N91))*'MATERIALES (2)'!$C$32))*'MATERIALES (2)'!$F$2</f>
        <v>140207.4975</v>
      </c>
      <c r="P91" s="59">
        <f>(1*'MATERIALES (2)'!$C$193)+(1*'MATERIALES (2)'!$C$194)+(3*'MATERIALES (2)'!$C$196)+(2*'MATERIALES (2)'!$C$178)+(2*'MATERIALES (2)'!$C$179)+(2*'MATERIALES (2)'!$C$180)+(10*'MATERIALES (2)'!$C$147)+(10*'MATERIALES (2)'!$C$148)+((M91+(2*N91))*'MATERIALES (2)'!$C$199)+((M91+(2*N91))*'MATERIALES (2)'!$C$198)+(((M91*6)+(N91*4))*'MATERIALES (2)'!$C$155)+(2*'MATERIALES (2)'!$C$176)+(((M91*5)*2)*'MATERIALES (2)'!$C$136)+(4*'MATERIALES (2)'!$C$137)</f>
        <v>54124</v>
      </c>
      <c r="Q91" s="75"/>
      <c r="R91" s="55">
        <f>(M91*N91)*'MATERIALES (2)'!$D$85</f>
        <v>10360</v>
      </c>
      <c r="S91" s="59">
        <f t="shared" ref="S91:S97" si="28">SUM(O91:R91)</f>
        <v>204691.4975</v>
      </c>
      <c r="T91" s="67">
        <f t="shared" ref="T91:T97" si="29">((((SUM(O91:Q91)*$O$86)+(R91*$R$86))*1.21)*1.05)*1.05</f>
        <v>390581.30433341255</v>
      </c>
      <c r="U91" s="787"/>
      <c r="AT91" s="500"/>
    </row>
    <row r="92" spans="1:46" ht="15.75" thickBot="1">
      <c r="A92" s="68">
        <v>0.8</v>
      </c>
      <c r="B92" s="69">
        <v>2</v>
      </c>
      <c r="C92" s="59">
        <f>(((A92+(2*B92))*'MATERIALES (2)'!$C$60)+((A92+(2*B92))*'MATERIALES (2)'!$C$58)+(A92*'MATERIALES (2)'!$C$62)+((A92*1)*'MATERIALES (2)'!$C$61)+((((A92*4)+(B92*2))*'MATERIALES (2)'!$C$76)*2)+(((A92-0.2)*'MATERIALES (2)'!$C$30)*((B92-0.36)/0.12)))*'MATERIALES (2)'!$F$2</f>
        <v>244464.82200000001</v>
      </c>
      <c r="D92" s="59">
        <f>(1*'MATERIALES (2)'!$C$193)+(1*'MATERIALES (2)'!$C$194)+(3*'MATERIALES (2)'!$C$196)+(2*'MATERIALES (2)'!$C$178)+(2*'MATERIALES (2)'!$C$179)+(2*'MATERIALES (2)'!$C$180)+(8*'MATERIALES (2)'!$C$147)+(8*'MATERIALES (2)'!$C$148)+((A92+(2*B92))*'MATERIALES (2)'!$C$199)+((A92+(2*B92))*'MATERIALES (2)'!$C$198)+(((A92*2)*(0.6*2))*'MATERIALES (2)'!$C$130)+(((A92*2)+(B92*2))*'MATERIALES (2)'!$C$154)+(0.5*'MATERIALES (2)'!$C$156)+(2*'MATERIALES (2)'!$C$176)+(((((A92*4)+(B92*2))/0.1)*'MATERIALES (2)'!$C$181)*2)+(((A92*5)*2)*'MATERIALES (2)'!$C$136)+(4*'MATERIALES (2)'!$C$137)</f>
        <v>62710.8</v>
      </c>
      <c r="E92" s="75"/>
      <c r="F92" s="55">
        <f>(A92*0.6)*'MATERIALES (2)'!$D$85</f>
        <v>3552</v>
      </c>
      <c r="G92" s="59">
        <f t="shared" si="26"/>
        <v>310727.62200000003</v>
      </c>
      <c r="H92" s="67">
        <f t="shared" si="27"/>
        <v>562679.85843704268</v>
      </c>
      <c r="M92" s="68">
        <v>0.8</v>
      </c>
      <c r="N92" s="69">
        <v>2</v>
      </c>
      <c r="O92" s="59">
        <f>(((M92+(2*N92))*'MATERIALES (2)'!$C$60)+((M92+(2*N92))*'MATERIALES (2)'!$C$58)+(M92*'MATERIALES (2)'!$C$62)+(((M92*2)+(N92*2))*'MATERIALES (2)'!$C$31)+(((M92*2)+(N92))*'MATERIALES (2)'!$C$32))*'MATERIALES (2)'!$F$2</f>
        <v>145664.505</v>
      </c>
      <c r="P92" s="59">
        <f>(1*'MATERIALES (2)'!$C$193)+(1*'MATERIALES (2)'!$C$194)+(3*'MATERIALES (2)'!$C$196)+(2*'MATERIALES (2)'!$C$178)+(2*'MATERIALES (2)'!$C$179)+(2*'MATERIALES (2)'!$C$180)+(10*'MATERIALES (2)'!$C$147)+(10*'MATERIALES (2)'!$C$148)+((M92+(2*N92))*'MATERIALES (2)'!$C$199)+((M92+(2*N92))*'MATERIALES (2)'!$C$198)+(((M92*6)+(N92*4))*'MATERIALES (2)'!$C$155)+(2*'MATERIALES (2)'!$C$176)+(((M92*5)*2)*'MATERIALES (2)'!$C$136)+(4*'MATERIALES (2)'!$C$137)</f>
        <v>54246</v>
      </c>
      <c r="Q92" s="75"/>
      <c r="R92" s="55">
        <f>(M92*N92)*'MATERIALES (2)'!$D$85</f>
        <v>11840</v>
      </c>
      <c r="S92" s="59">
        <f t="shared" si="28"/>
        <v>211750.505</v>
      </c>
      <c r="T92" s="67">
        <f t="shared" si="29"/>
        <v>404949.56800567498</v>
      </c>
      <c r="U92" s="787"/>
      <c r="AT92" s="500"/>
    </row>
    <row r="93" spans="1:46" ht="15.75" thickBot="1">
      <c r="A93" s="68">
        <v>0.9</v>
      </c>
      <c r="B93" s="69">
        <v>2</v>
      </c>
      <c r="C93" s="59">
        <f>(((A93+(2*B93))*'MATERIALES (2)'!$C$60)+((A93+(2*B93))*'MATERIALES (2)'!$C$58)+(A93*'MATERIALES (2)'!$C$62)+((A93*1)*'MATERIALES (2)'!$C$61)+((((A93*4)+(B93*2))*'MATERIALES (2)'!$C$76)*2)+(((A93-0.2)*'MATERIALES (2)'!$C$30)*((B93-0.36)/0.12)))*'MATERIALES (2)'!$F$2</f>
        <v>266701.46300000005</v>
      </c>
      <c r="D93" s="59">
        <f>(1*'MATERIALES (2)'!$C$193)+(1*'MATERIALES (2)'!$C$194)+(3*'MATERIALES (2)'!$C$196)+(2*'MATERIALES (2)'!$C$178)+(2*'MATERIALES (2)'!$C$179)+(2*'MATERIALES (2)'!$C$180)+(8*'MATERIALES (2)'!$C$147)+(8*'MATERIALES (2)'!$C$148)+((A93+(2*B93))*'MATERIALES (2)'!$C$199)+((A93+(2*B93))*'MATERIALES (2)'!$C$198)+(((A93*2)*(0.6*2))*'MATERIALES (2)'!$C$130)+(((A93*2)+(B93*2))*'MATERIALES (2)'!$C$154)+(0.5*'MATERIALES (2)'!$C$156)+(2*'MATERIALES (2)'!$C$176)+(((((A93*4)+(B93*2))/0.1)*'MATERIALES (2)'!$C$181)*2)+(((A93*5)*2)*'MATERIALES (2)'!$C$136)+(4*'MATERIALES (2)'!$C$137)</f>
        <v>63118.400000000001</v>
      </c>
      <c r="E93" s="75"/>
      <c r="F93" s="55">
        <f>(A93*0.6)*'MATERIALES (2)'!$D$85</f>
        <v>3996.0000000000005</v>
      </c>
      <c r="G93" s="59">
        <f t="shared" si="26"/>
        <v>333815.86300000007</v>
      </c>
      <c r="H93" s="67">
        <f t="shared" si="27"/>
        <v>604645.25049707654</v>
      </c>
      <c r="M93" s="68">
        <v>0.9</v>
      </c>
      <c r="N93" s="69">
        <v>2</v>
      </c>
      <c r="O93" s="59">
        <f>(((M93+(2*N93))*'MATERIALES (2)'!$C$60)+((M93+(2*N93))*'MATERIALES (2)'!$C$58)+(M93*'MATERIALES (2)'!$C$62)+(((M93*2)+(N93*2))*'MATERIALES (2)'!$C$31)+(((M93*2)+(N93))*'MATERIALES (2)'!$C$32))*'MATERIALES (2)'!$F$2</f>
        <v>151121.51250000001</v>
      </c>
      <c r="P93" s="59">
        <f>(1*'MATERIALES (2)'!$C$193)+(1*'MATERIALES (2)'!$C$194)+(3*'MATERIALES (2)'!$C$196)+(2*'MATERIALES (2)'!$C$178)+(2*'MATERIALES (2)'!$C$179)+(2*'MATERIALES (2)'!$C$180)+(10*'MATERIALES (2)'!$C$147)+(10*'MATERIALES (2)'!$C$148)+((M93+(2*N93))*'MATERIALES (2)'!$C$199)+((M93+(2*N93))*'MATERIALES (2)'!$C$198)+(((M93*6)+(N93*4))*'MATERIALES (2)'!$C$155)+(2*'MATERIALES (2)'!$C$176)+(((M93*5)*2)*'MATERIALES (2)'!$C$136)+(4*'MATERIALES (2)'!$C$137)</f>
        <v>54368</v>
      </c>
      <c r="Q93" s="75"/>
      <c r="R93" s="55">
        <f>(M93*N93)*'MATERIALES (2)'!$D$85</f>
        <v>13320</v>
      </c>
      <c r="S93" s="59">
        <f t="shared" si="28"/>
        <v>218809.51250000001</v>
      </c>
      <c r="T93" s="67">
        <f t="shared" si="29"/>
        <v>419317.83167793753</v>
      </c>
      <c r="U93" s="787"/>
      <c r="AT93" s="500"/>
    </row>
    <row r="94" spans="1:46" ht="15.75" thickBot="1">
      <c r="A94" s="68">
        <v>0.6</v>
      </c>
      <c r="B94" s="69">
        <v>2.1</v>
      </c>
      <c r="C94" s="59">
        <f>(((A94+(2*B94))*'MATERIALES (2)'!$C$60)+((A94+(2*B94))*'MATERIALES (2)'!$C$58)+(A94*'MATERIALES (2)'!$C$62)+((A94*1)*'MATERIALES (2)'!$C$61)+((((A94*4)+(B94*2))*'MATERIALES (2)'!$C$76)*2)+(((A94-0.2)*'MATERIALES (2)'!$C$30)*((B94-0.36)/0.12)))*'MATERIALES (2)'!$F$2</f>
        <v>208610.34599999999</v>
      </c>
      <c r="D94" s="59">
        <f>(1*'MATERIALES (2)'!$C$193)+(1*'MATERIALES (2)'!$C$194)+(3*'MATERIALES (2)'!$C$196)+(2*'MATERIALES (2)'!$C$178)+(2*'MATERIALES (2)'!$C$179)+(2*'MATERIALES (2)'!$C$180)+(8*'MATERIALES (2)'!$C$147)+(8*'MATERIALES (2)'!$C$148)+((A94+(2*B94))*'MATERIALES (2)'!$C$199)+((A94+(2*B94))*'MATERIALES (2)'!$C$198)+(((A94*2)*(0.6*2))*'MATERIALES (2)'!$C$130)+(((A94*2)+(B94*2))*'MATERIALES (2)'!$C$154)+(0.5*'MATERIALES (2)'!$C$156)+(2*'MATERIALES (2)'!$C$176)+(((((A94*4)+(B94*2))/0.1)*'MATERIALES (2)'!$C$181)*2)+(((A94*5)*2)*'MATERIALES (2)'!$C$136)+(4*'MATERIALES (2)'!$C$137)</f>
        <v>62187.6</v>
      </c>
      <c r="E94" s="75"/>
      <c r="F94" s="55">
        <f>(A94*0.6)*'MATERIALES (2)'!$D$85</f>
        <v>2664</v>
      </c>
      <c r="G94" s="59">
        <f t="shared" si="26"/>
        <v>273461.946</v>
      </c>
      <c r="H94" s="67">
        <f t="shared" si="27"/>
        <v>494796.84558207751</v>
      </c>
      <c r="M94" s="68">
        <v>0.6</v>
      </c>
      <c r="N94" s="69">
        <v>2.1</v>
      </c>
      <c r="O94" s="59">
        <f>(((M94+(2*N94))*'MATERIALES (2)'!$C$60)+((M94+(2*N94))*'MATERIALES (2)'!$C$58)+(M94*'MATERIALES (2)'!$C$62)+(((M94*2)+(N94*2))*'MATERIALES (2)'!$C$31)+(((M94*2)+(N94))*'MATERIALES (2)'!$C$32))*'MATERIALES (2)'!$F$2</f>
        <v>139850.91224999999</v>
      </c>
      <c r="P94" s="59">
        <f>(1*'MATERIALES (2)'!$C$193)+(1*'MATERIALES (2)'!$C$194)+(3*'MATERIALES (2)'!$C$196)+(2*'MATERIALES (2)'!$C$178)+(2*'MATERIALES (2)'!$C$179)+(2*'MATERIALES (2)'!$C$180)+(10*'MATERIALES (2)'!$C$147)+(10*'MATERIALES (2)'!$C$148)+((M94+(2*N94))*'MATERIALES (2)'!$C$199)+((M94+(2*N94))*'MATERIALES (2)'!$C$198)+(((M94*6)+(N94*4))*'MATERIALES (2)'!$C$155)+(2*'MATERIALES (2)'!$C$176)+(((M94*5)*2)*'MATERIALES (2)'!$C$136)+(4*'MATERIALES (2)'!$C$137)</f>
        <v>54166</v>
      </c>
      <c r="Q94" s="75"/>
      <c r="R94" s="55">
        <f>(M94*N94)*'MATERIALES (2)'!$D$85</f>
        <v>9324</v>
      </c>
      <c r="S94" s="59">
        <f t="shared" si="28"/>
        <v>203340.91224999999</v>
      </c>
      <c r="T94" s="67">
        <f t="shared" si="29"/>
        <v>387229.67411002878</v>
      </c>
      <c r="U94" s="787"/>
      <c r="AT94" s="500"/>
    </row>
    <row r="95" spans="1:46" ht="15.75" thickBot="1">
      <c r="A95" s="68">
        <v>0.7</v>
      </c>
      <c r="B95" s="69">
        <v>2.1</v>
      </c>
      <c r="C95" s="59">
        <f>(((A95+(2*B95))*'MATERIALES (2)'!$C$60)+((A95+(2*B95))*'MATERIALES (2)'!$C$58)+(A95*'MATERIALES (2)'!$C$62)+((A95*1)*'MATERIALES (2)'!$C$61)+((((A95*4)+(B95*2))*'MATERIALES (2)'!$C$76)*2)+(((A95-0.2)*'MATERIALES (2)'!$C$30)*((B95-0.36)/0.12)))*'MATERIALES (2)'!$F$2</f>
        <v>231784.96949999998</v>
      </c>
      <c r="D95" s="59">
        <f>(1*'MATERIALES (2)'!$C$193)+(1*'MATERIALES (2)'!$C$194)+(3*'MATERIALES (2)'!$C$196)+(2*'MATERIALES (2)'!$C$178)+(2*'MATERIALES (2)'!$C$179)+(2*'MATERIALES (2)'!$C$180)+(8*'MATERIALES (2)'!$C$147)+(8*'MATERIALES (2)'!$C$148)+((A95+(2*B95))*'MATERIALES (2)'!$C$199)+((A95+(2*B95))*'MATERIALES (2)'!$C$198)+(((A95*2)*(0.6*2))*'MATERIALES (2)'!$C$130)+(((A95*2)+(B95*2))*'MATERIALES (2)'!$C$154)+(0.5*'MATERIALES (2)'!$C$156)+(2*'MATERIALES (2)'!$C$176)+(((((A95*4)+(B95*2))/0.1)*'MATERIALES (2)'!$C$181)*2)+(((A95*5)*2)*'MATERIALES (2)'!$C$136)+(4*'MATERIALES (2)'!$C$137)</f>
        <v>62595.199999999997</v>
      </c>
      <c r="E95" s="75"/>
      <c r="F95" s="55">
        <f>(A95*0.6)*'MATERIALES (2)'!$D$85</f>
        <v>3108</v>
      </c>
      <c r="G95" s="59">
        <f t="shared" si="26"/>
        <v>297488.16949999996</v>
      </c>
      <c r="H95" s="67">
        <f t="shared" si="27"/>
        <v>538451.48198327061</v>
      </c>
      <c r="M95" s="68">
        <v>0.7</v>
      </c>
      <c r="N95" s="69">
        <v>2.1</v>
      </c>
      <c r="O95" s="59">
        <f>(((M95+(2*N95))*'MATERIALES (2)'!$C$60)+((M95+(2*N95))*'MATERIALES (2)'!$C$58)+(M95*'MATERIALES (2)'!$C$62)+(((M95*2)+(N95*2))*'MATERIALES (2)'!$C$31)+(((M95*2)+(N95))*'MATERIALES (2)'!$C$32))*'MATERIALES (2)'!$F$2</f>
        <v>145307.91975</v>
      </c>
      <c r="P95" s="59">
        <f>(1*'MATERIALES (2)'!$C$193)+(1*'MATERIALES (2)'!$C$194)+(3*'MATERIALES (2)'!$C$196)+(2*'MATERIALES (2)'!$C$178)+(2*'MATERIALES (2)'!$C$179)+(2*'MATERIALES (2)'!$C$180)+(10*'MATERIALES (2)'!$C$147)+(10*'MATERIALES (2)'!$C$148)+((M95+(2*N95))*'MATERIALES (2)'!$C$199)+((M95+(2*N95))*'MATERIALES (2)'!$C$198)+(((M95*6)+(N95*4))*'MATERIALES (2)'!$C$155)+(2*'MATERIALES (2)'!$C$176)+(((M95*5)*2)*'MATERIALES (2)'!$C$136)+(4*'MATERIALES (2)'!$C$137)</f>
        <v>54288</v>
      </c>
      <c r="Q95" s="75"/>
      <c r="R95" s="55">
        <f>(M95*N95)*'MATERIALES (2)'!$D$85</f>
        <v>10878</v>
      </c>
      <c r="S95" s="59">
        <f t="shared" si="28"/>
        <v>210473.91975</v>
      </c>
      <c r="T95" s="67">
        <f t="shared" si="29"/>
        <v>401795.37348229118</v>
      </c>
      <c r="U95" s="787"/>
      <c r="AT95" s="500"/>
    </row>
    <row r="96" spans="1:46" ht="15.75" thickBot="1">
      <c r="A96" s="68">
        <v>0.8</v>
      </c>
      <c r="B96" s="69">
        <v>2.1</v>
      </c>
      <c r="C96" s="59">
        <f>(((A96+(2*B96))*'MATERIALES (2)'!$C$60)+((A96+(2*B96))*'MATERIALES (2)'!$C$58)+(A96*'MATERIALES (2)'!$C$62)+((A96*1)*'MATERIALES (2)'!$C$61)+((((A96*4)+(B96*2))*'MATERIALES (2)'!$C$76)*2)+(((A96-0.2)*'MATERIALES (2)'!$C$30)*((B96-0.36)/0.12)))*'MATERIALES (2)'!$F$2</f>
        <v>254959.59300000005</v>
      </c>
      <c r="D96" s="59">
        <f>(1*'MATERIALES (2)'!$C$193)+(1*'MATERIALES (2)'!$C$194)+(3*'MATERIALES (2)'!$C$196)+(2*'MATERIALES (2)'!$C$178)+(2*'MATERIALES (2)'!$C$179)+(2*'MATERIALES (2)'!$C$180)+(8*'MATERIALES (2)'!$C$147)+(8*'MATERIALES (2)'!$C$148)+((A96+(2*B96))*'MATERIALES (2)'!$C$199)+((A96+(2*B96))*'MATERIALES (2)'!$C$198)+(((A96*2)*(0.6*2))*'MATERIALES (2)'!$C$130)+(((A96*2)+(B96*2))*'MATERIALES (2)'!$C$154)+(0.5*'MATERIALES (2)'!$C$156)+(2*'MATERIALES (2)'!$C$176)+(((((A96*4)+(B96*2))/0.1)*'MATERIALES (2)'!$C$181)*2)+(((A96*5)*2)*'MATERIALES (2)'!$C$136)+(4*'MATERIALES (2)'!$C$137)</f>
        <v>63002.8</v>
      </c>
      <c r="E96" s="75"/>
      <c r="F96" s="55">
        <f>(A96*0.6)*'MATERIALES (2)'!$D$85</f>
        <v>3552</v>
      </c>
      <c r="G96" s="59">
        <f t="shared" si="26"/>
        <v>321514.39300000004</v>
      </c>
      <c r="H96" s="67">
        <f t="shared" si="27"/>
        <v>582106.11838446383</v>
      </c>
      <c r="M96" s="68">
        <v>0.8</v>
      </c>
      <c r="N96" s="69">
        <v>2.1</v>
      </c>
      <c r="O96" s="59">
        <f>(((M96+(2*N96))*'MATERIALES (2)'!$C$60)+((M96+(2*N96))*'MATERIALES (2)'!$C$58)+(M96*'MATERIALES (2)'!$C$62)+(((M96*2)+(N96*2))*'MATERIALES (2)'!$C$31)+(((M96*2)+(N96))*'MATERIALES (2)'!$C$32))*'MATERIALES (2)'!$F$2</f>
        <v>150764.92725000001</v>
      </c>
      <c r="P96" s="59">
        <f>(1*'MATERIALES (2)'!$C$193)+(1*'MATERIALES (2)'!$C$194)+(3*'MATERIALES (2)'!$C$196)+(2*'MATERIALES (2)'!$C$178)+(2*'MATERIALES (2)'!$C$179)+(2*'MATERIALES (2)'!$C$180)+(10*'MATERIALES (2)'!$C$147)+(10*'MATERIALES (2)'!$C$148)+((M96+(2*N96))*'MATERIALES (2)'!$C$199)+((M96+(2*N96))*'MATERIALES (2)'!$C$198)+(((M96*6)+(N96*4))*'MATERIALES (2)'!$C$155)+(2*'MATERIALES (2)'!$C$176)+(((M96*5)*2)*'MATERIALES (2)'!$C$136)+(4*'MATERIALES (2)'!$C$137)</f>
        <v>54410</v>
      </c>
      <c r="Q96" s="75"/>
      <c r="R96" s="55">
        <f>(M96*N96)*'MATERIALES (2)'!$D$85</f>
        <v>12432.000000000002</v>
      </c>
      <c r="S96" s="59">
        <f t="shared" si="28"/>
        <v>217606.92725000001</v>
      </c>
      <c r="T96" s="67">
        <f t="shared" si="29"/>
        <v>416361.0728545537</v>
      </c>
      <c r="U96" s="787"/>
      <c r="AT96" s="500"/>
    </row>
    <row r="97" spans="1:46" ht="15.75" thickBot="1">
      <c r="A97" s="71">
        <v>0.9</v>
      </c>
      <c r="B97" s="72">
        <v>2.1</v>
      </c>
      <c r="C97" s="60">
        <f>(((A97+(2*B97))*'MATERIALES (2)'!$C$60)+((A97+(2*B97))*'MATERIALES (2)'!$C$58)+(A97*'MATERIALES (2)'!$C$62)+((A97*1)*'MATERIALES (2)'!$C$61)+((((A97*4)+(B97*2))*'MATERIALES (2)'!$C$76)*2)+(((A97-0.2)*'MATERIALES (2)'!$C$30)*((B97-0.36)/0.12)))*'MATERIALES (2)'!$F$2</f>
        <v>278134.21650000004</v>
      </c>
      <c r="D97" s="60">
        <f>(1*'MATERIALES (2)'!$C$193)+(1*'MATERIALES (2)'!$C$194)+(3*'MATERIALES (2)'!$C$196)+(2*'MATERIALES (2)'!$C$178)+(2*'MATERIALES (2)'!$C$179)+(2*'MATERIALES (2)'!$C$180)+(8*'MATERIALES (2)'!$C$147)+(8*'MATERIALES (2)'!$C$148)+((A97+(2*B97))*'MATERIALES (2)'!$C$199)+((A97+(2*B97))*'MATERIALES (2)'!$C$198)+(((A97*2)*(0.6*2))*'MATERIALES (2)'!$C$130)+(((A97*2)+(B97*2))*'MATERIALES (2)'!$C$154)+(0.5*'MATERIALES (2)'!$C$156)+(2*'MATERIALES (2)'!$C$176)+(((((A97*4)+(B97*2))/0.1)*'MATERIALES (2)'!$C$181)*2)+(((A97*5)*2)*'MATERIALES (2)'!$C$136)+(4*'MATERIALES (2)'!$C$137)</f>
        <v>63410.400000000001</v>
      </c>
      <c r="E97" s="76"/>
      <c r="F97" s="56">
        <f>(A97*0.6)*'MATERIALES (2)'!$D$85</f>
        <v>3996.0000000000005</v>
      </c>
      <c r="G97" s="60">
        <f t="shared" si="26"/>
        <v>345540.61650000006</v>
      </c>
      <c r="H97" s="67">
        <f t="shared" si="27"/>
        <v>625760.75478565705</v>
      </c>
      <c r="M97" s="71">
        <v>0.9</v>
      </c>
      <c r="N97" s="72">
        <v>2.1</v>
      </c>
      <c r="O97" s="60">
        <f>(((M97+(2*N97))*'MATERIALES (2)'!$C$60)+((M97+(2*N97))*'MATERIALES (2)'!$C$58)+(M97*'MATERIALES (2)'!$C$62)+(((M97*2)+(N97*2))*'MATERIALES (2)'!$C$31)+(((M97*2)+(N97))*'MATERIALES (2)'!$C$32))*'MATERIALES (2)'!$F$2</f>
        <v>156221.93475000001</v>
      </c>
      <c r="P97" s="60">
        <f>(1*'MATERIALES (2)'!$C$193)+(1*'MATERIALES (2)'!$C$194)+(3*'MATERIALES (2)'!$C$196)+(2*'MATERIALES (2)'!$C$178)+(2*'MATERIALES (2)'!$C$179)+(2*'MATERIALES (2)'!$C$180)+(10*'MATERIALES (2)'!$C$147)+(10*'MATERIALES (2)'!$C$148)+((M97+(2*N97))*'MATERIALES (2)'!$C$199)+((M97+(2*N97))*'MATERIALES (2)'!$C$198)+(((M97*6)+(N97*4))*'MATERIALES (2)'!$C$155)+(2*'MATERIALES (2)'!$C$176)+(((M97*5)*2)*'MATERIALES (2)'!$C$136)+(4*'MATERIALES (2)'!$C$137)</f>
        <v>54532</v>
      </c>
      <c r="Q97" s="76"/>
      <c r="R97" s="56">
        <f>(M97*N97)*'MATERIALES (2)'!$D$85</f>
        <v>13986.000000000002</v>
      </c>
      <c r="S97" s="60">
        <f t="shared" si="28"/>
        <v>224739.93475000001</v>
      </c>
      <c r="T97" s="67">
        <f t="shared" si="29"/>
        <v>430926.77222681628</v>
      </c>
      <c r="U97" s="788"/>
      <c r="AT97" s="500"/>
    </row>
    <row r="99" spans="1:46" ht="15.75" thickBot="1">
      <c r="O99" s="78"/>
    </row>
    <row r="100" spans="1:46" ht="15.75" thickBot="1">
      <c r="A100" s="32"/>
      <c r="B100" s="32"/>
      <c r="C100" s="807">
        <v>1.35</v>
      </c>
      <c r="D100" s="808"/>
      <c r="E100" s="809"/>
      <c r="F100" s="545">
        <v>2</v>
      </c>
      <c r="G100" s="32"/>
      <c r="H100" s="46" t="s">
        <v>163</v>
      </c>
      <c r="M100" s="32"/>
      <c r="N100" s="32"/>
      <c r="O100" s="807">
        <v>1.4</v>
      </c>
      <c r="P100" s="808"/>
      <c r="Q100" s="809"/>
      <c r="R100" s="545">
        <v>2</v>
      </c>
      <c r="S100" s="32"/>
      <c r="T100" s="46" t="s">
        <v>163</v>
      </c>
    </row>
    <row r="101" spans="1:46" ht="15.75" customHeight="1" thickBot="1">
      <c r="A101" s="792" t="s">
        <v>226</v>
      </c>
      <c r="B101" s="793"/>
      <c r="C101" s="793"/>
      <c r="D101" s="793"/>
      <c r="E101" s="793"/>
      <c r="F101" s="793"/>
      <c r="G101" s="793"/>
      <c r="H101" s="794"/>
      <c r="M101" s="792" t="s">
        <v>228</v>
      </c>
      <c r="N101" s="793"/>
      <c r="O101" s="793"/>
      <c r="P101" s="793"/>
      <c r="Q101" s="793"/>
      <c r="R101" s="793"/>
      <c r="S101" s="793"/>
      <c r="T101" s="794"/>
      <c r="U101" s="882" t="s">
        <v>254</v>
      </c>
    </row>
    <row r="102" spans="1:46" ht="15.75" thickBot="1">
      <c r="A102" s="36" t="s">
        <v>116</v>
      </c>
      <c r="B102" s="36" t="s">
        <v>117</v>
      </c>
      <c r="C102" s="36" t="s">
        <v>162</v>
      </c>
      <c r="D102" s="36" t="s">
        <v>119</v>
      </c>
      <c r="E102" s="36" t="s">
        <v>120</v>
      </c>
      <c r="F102" s="36" t="s">
        <v>118</v>
      </c>
      <c r="G102" s="36" t="s">
        <v>121</v>
      </c>
      <c r="H102" s="36" t="s">
        <v>122</v>
      </c>
      <c r="M102" s="36" t="s">
        <v>116</v>
      </c>
      <c r="N102" s="36" t="s">
        <v>117</v>
      </c>
      <c r="O102" s="36" t="s">
        <v>162</v>
      </c>
      <c r="P102" s="36" t="s">
        <v>119</v>
      </c>
      <c r="Q102" s="36" t="s">
        <v>120</v>
      </c>
      <c r="R102" s="36" t="s">
        <v>118</v>
      </c>
      <c r="S102" s="36" t="s">
        <v>121</v>
      </c>
      <c r="T102" s="36" t="s">
        <v>122</v>
      </c>
      <c r="U102" s="883"/>
    </row>
    <row r="103" spans="1:46" ht="15.75" thickBot="1">
      <c r="A103" s="795"/>
      <c r="B103" s="796"/>
      <c r="C103" s="796"/>
      <c r="D103" s="796"/>
      <c r="E103" s="796"/>
      <c r="F103" s="796"/>
      <c r="G103" s="796"/>
      <c r="H103" s="797"/>
      <c r="M103" s="795"/>
      <c r="N103" s="796"/>
      <c r="O103" s="796"/>
      <c r="P103" s="796"/>
      <c r="Q103" s="796"/>
      <c r="R103" s="796"/>
      <c r="S103" s="796"/>
      <c r="T103" s="797"/>
      <c r="U103" s="883"/>
    </row>
    <row r="104" spans="1:46" ht="15.75" thickBot="1">
      <c r="A104" s="65">
        <v>0.6</v>
      </c>
      <c r="B104" s="66">
        <v>2</v>
      </c>
      <c r="C104" s="58">
        <f>(((A104+(2*B104))*'MATERIALES (2)'!$C$60)+((A104+(2*B104))*'MATERIALES (2)'!$C$58)+(A104*'MATERIALES (2)'!$C$62)+(((A104*1)+(0.6*2))*'MATERIALES (2)'!$C$61)+((((A104*4)+(B104*2)+(0.6*4))*'MATERIALES (2)'!$C$76)*2)+(((A104-0.2)*'MATERIALES (2)'!$C$30)*((B104-0.36)/0.12)))*'MATERIALES (2)'!$F$2</f>
        <v>224462.62999999998</v>
      </c>
      <c r="D104" s="58">
        <f>(1*'MATERIALES (2)'!$C$193)+(1*'MATERIALES (2)'!$C$194)+(3*'MATERIALES (2)'!$C$196)+(2*'MATERIALES (2)'!$C$178)+(2*'MATERIALES (2)'!$C$179)+(2*'MATERIALES (2)'!$C$180)+(16*'MATERIALES (2)'!$C$147)+(16*'MATERIALES (2)'!$C$148)+((A104+(2*B104))*'MATERIALES (2)'!$C$199)+((A104+(2*B104))*'MATERIALES (2)'!$C$198)+(((A104*2)*(0.6*6))*'MATERIALES (2)'!$C$130)+(((A104*2)+(B104*2))*'MATERIALES (2)'!$C$154)+(0.5*'MATERIALES (2)'!$C$156)+(2*'MATERIALES (2)'!$C$176)+(((((A104*4)+(0.6*4)+(B104*2))/0.1)*'MATERIALES (2)'!$C$181)*2)+(((A104*5)*2)*'MATERIALES (2)'!$C$136)+(4*'MATERIALES (2)'!$C$137)</f>
        <v>65546.8</v>
      </c>
      <c r="E104" s="74"/>
      <c r="F104" s="54">
        <f>(A104*0.6)*'MATERIALES (2)'!$D$85</f>
        <v>2664</v>
      </c>
      <c r="G104" s="58">
        <f>SUM(C104:F104)</f>
        <v>292673.43</v>
      </c>
      <c r="H104" s="67">
        <f>((((SUM(C104:E104)*$C$100)+(F104*$F$100))*1.21)*1.05)*1.05</f>
        <v>529395.45550526259</v>
      </c>
      <c r="M104" s="65">
        <v>0.6</v>
      </c>
      <c r="N104" s="66">
        <v>2</v>
      </c>
      <c r="O104" s="58">
        <f>(((M104+(2*N104))*'MATERIALES (2)'!$C$60)+((M104+(2*N104))*'MATERIALES (2)'!$C$58)+(M104*'MATERIALES (2)'!$C$62)+(M104*'MATERIALES (2)'!$C$61)+(((M104*2)+(N104*2))*'MATERIALES (2)'!$C$31)+(((M104*2)+(N104))*'MATERIALES (2)'!$C$32)+(((M104-0.2)*'MATERIALES (2)'!$C$30)*((N104/3)/0.12))+((((M104*2)+((N104/3)*2))*'MATERIALES (2)'!$C$76)*2))*'MATERIALES (2)'!$F$2</f>
        <v>176859.70166666666</v>
      </c>
      <c r="P104" s="58">
        <f>(1*'MATERIALES (2)'!$C$193)+(1*'MATERIALES (2)'!$C$194)+(3*'MATERIALES (2)'!$C$196)+(2*'MATERIALES (2)'!$C$178)+(2*'MATERIALES (2)'!$C$179)+(2*'MATERIALES (2)'!$C$180)+(14*'MATERIALES (2)'!$C$147)+(14*'MATERIALES (2)'!$C$148)+((M104+(2*N104))*'MATERIALES (2)'!$C$199)+((M104+(2*N104))*'MATERIALES (2)'!$C$198)+(((M104*6)+(N104*4))*'MATERIALES (2)'!$C$155)+(((M104*2)+((N104/3)*2))*'MATERIALES (2)'!$C$154)+(2*'MATERIALES (2)'!$C$176)+(((((M104*2)+((N104/3)*2))/0.1)*'MATERIALES (2)'!$C$181)*2)+(((M104*5)*2)*'MATERIALES (2)'!$C$136)+(4*'MATERIALES (2)'!$C$137)</f>
        <v>56890</v>
      </c>
      <c r="Q104" s="74"/>
      <c r="R104" s="54">
        <f>(M104*N104)*'MATERIALES (2)'!$D$85</f>
        <v>8880</v>
      </c>
      <c r="S104" s="58">
        <f>SUM(O104:R104)</f>
        <v>242629.70166666666</v>
      </c>
      <c r="T104" s="67">
        <f>((((SUM(O104:Q104)*$O$100)+(R104*$R$100))*1.21)*1.05)*1.05</f>
        <v>460251.40807222505</v>
      </c>
      <c r="U104" s="787"/>
    </row>
    <row r="105" spans="1:46" ht="15.75" thickBot="1">
      <c r="A105" s="68">
        <v>0.7</v>
      </c>
      <c r="B105" s="69">
        <v>2</v>
      </c>
      <c r="C105" s="59">
        <f>(((A105+(2*B105))*'MATERIALES (2)'!$C$60)+((A105+(2*B105))*'MATERIALES (2)'!$C$58)+(A105*'MATERIALES (2)'!$C$62)+(((A105*1)+(0.6*2))*'MATERIALES (2)'!$C$61)+((((A105*4)+(B105*2)+(0.6*4))*'MATERIALES (2)'!$C$76)*2)+(((A105-0.2)*'MATERIALES (2)'!$C$30)*((B105-0.36)/0.12)))*'MATERIALES (2)'!$F$2</f>
        <v>246699.27100000001</v>
      </c>
      <c r="D105" s="59">
        <f>(1*'MATERIALES (2)'!$C$193)+(1*'MATERIALES (2)'!$C$194)+(3*'MATERIALES (2)'!$C$196)+(2*'MATERIALES (2)'!$C$178)+(2*'MATERIALES (2)'!$C$179)+(2*'MATERIALES (2)'!$C$180)+(16*'MATERIALES (2)'!$C$147)+(16*'MATERIALES (2)'!$C$148)+((A105+(2*B105))*'MATERIALES (2)'!$C$199)+((A105+(2*B105))*'MATERIALES (2)'!$C$198)+(((A105*2)*(0.6*6))*'MATERIALES (2)'!$C$130)+(((A105*2)+(B105*2))*'MATERIALES (2)'!$C$154)+(0.5*'MATERIALES (2)'!$C$156)+(2*'MATERIALES (2)'!$C$176)+(((((A105*4)+(0.6*4)+(B105*2))/0.1)*'MATERIALES (2)'!$C$181)*2)+(((A105*5)*2)*'MATERIALES (2)'!$C$136)+(4*'MATERIALES (2)'!$C$137)</f>
        <v>66069.599999999991</v>
      </c>
      <c r="E105" s="75"/>
      <c r="F105" s="55">
        <f>(A105*0.6)*'MATERIALES (2)'!$D$85</f>
        <v>3108</v>
      </c>
      <c r="G105" s="59">
        <f t="shared" ref="G105:G111" si="30">SUM(C105:F105)</f>
        <v>315876.87099999998</v>
      </c>
      <c r="H105" s="67">
        <f t="shared" ref="H105:H111" si="31">((((SUM(C105:E105)*$C$100)+(F105*$F$100))*1.21)*1.05)*1.05</f>
        <v>571568.31513329619</v>
      </c>
      <c r="M105" s="68">
        <v>0.7</v>
      </c>
      <c r="N105" s="69">
        <v>2</v>
      </c>
      <c r="O105" s="59">
        <f>(((M105+(2*N105))*'MATERIALES (2)'!$C$60)+((M105+(2*N105))*'MATERIALES (2)'!$C$58)+(M105*'MATERIALES (2)'!$C$62)+(M105*'MATERIALES (2)'!$C$61)+(((M105*2)+(N105*2))*'MATERIALES (2)'!$C$31)+(((M105*2)+(N105))*'MATERIALES (2)'!$C$32)+(((M105-0.2)*'MATERIALES (2)'!$C$30)*((N105/3)/0.12))+((((M105*2)+((N105/3)*2))*'MATERIALES (2)'!$C$76)*2))*'MATERIALES (2)'!$F$2</f>
        <v>190609.18333333335</v>
      </c>
      <c r="P105" s="59">
        <f>(1*'MATERIALES (2)'!$C$193)+(1*'MATERIALES (2)'!$C$194)+(3*'MATERIALES (2)'!$C$196)+(2*'MATERIALES (2)'!$C$178)+(2*'MATERIALES (2)'!$C$179)+(2*'MATERIALES (2)'!$C$180)+(14*'MATERIALES (2)'!$C$147)+(14*'MATERIALES (2)'!$C$148)+((M105+(2*N105))*'MATERIALES (2)'!$C$199)+((M105+(2*N105))*'MATERIALES (2)'!$C$198)+(((M105*6)+(N105*4))*'MATERIALES (2)'!$C$155)+(((M105*2)+((N105/3)*2))*'MATERIALES (2)'!$C$154)+(2*'MATERIALES (2)'!$C$176)+(((((M105*2)+((N105/3)*2))/0.1)*'MATERIALES (2)'!$C$181)*2)+(((M105*5)*2)*'MATERIALES (2)'!$C$136)+(4*'MATERIALES (2)'!$C$137)</f>
        <v>57180</v>
      </c>
      <c r="Q105" s="75"/>
      <c r="R105" s="55">
        <f>(M105*N105)*'MATERIALES (2)'!$D$85</f>
        <v>10360</v>
      </c>
      <c r="S105" s="59">
        <f t="shared" ref="S105:S111" si="32">SUM(O105:R105)</f>
        <v>258149.18333333335</v>
      </c>
      <c r="T105" s="67">
        <f t="shared" ref="T105:T111" si="33">((((SUM(O105:Q105)*$O$100)+(R105*$R$100))*1.21)*1.05)*1.05</f>
        <v>490420.74941475003</v>
      </c>
      <c r="U105" s="787"/>
    </row>
    <row r="106" spans="1:46" ht="15.75" thickBot="1">
      <c r="A106" s="68">
        <v>0.8</v>
      </c>
      <c r="B106" s="69">
        <v>2</v>
      </c>
      <c r="C106" s="59">
        <f>(((A106+(2*B106))*'MATERIALES (2)'!$C$60)+((A106+(2*B106))*'MATERIALES (2)'!$C$58)+(A106*'MATERIALES (2)'!$C$62)+(((A106*1)+(0.6*2))*'MATERIALES (2)'!$C$61)+((((A106*4)+(B106*2)+(0.6*4))*'MATERIALES (2)'!$C$76)*2)+(((A106-0.2)*'MATERIALES (2)'!$C$30)*((B106-0.36)/0.12)))*'MATERIALES (2)'!$F$2</f>
        <v>268935.91200000001</v>
      </c>
      <c r="D106" s="59">
        <f>(1*'MATERIALES (2)'!$C$193)+(1*'MATERIALES (2)'!$C$194)+(3*'MATERIALES (2)'!$C$196)+(2*'MATERIALES (2)'!$C$178)+(2*'MATERIALES (2)'!$C$179)+(2*'MATERIALES (2)'!$C$180)+(16*'MATERIALES (2)'!$C$147)+(16*'MATERIALES (2)'!$C$148)+((A106+(2*B106))*'MATERIALES (2)'!$C$199)+((A106+(2*B106))*'MATERIALES (2)'!$C$198)+(((A106*2)*(0.6*6))*'MATERIALES (2)'!$C$130)+(((A106*2)+(B106*2))*'MATERIALES (2)'!$C$154)+(0.5*'MATERIALES (2)'!$C$156)+(2*'MATERIALES (2)'!$C$176)+(((((A106*4)+(0.6*4)+(B106*2))/0.1)*'MATERIALES (2)'!$C$181)*2)+(((A106*5)*2)*'MATERIALES (2)'!$C$136)+(4*'MATERIALES (2)'!$C$137)</f>
        <v>66592.399999999994</v>
      </c>
      <c r="E106" s="75"/>
      <c r="F106" s="55">
        <f>(A106*0.6)*'MATERIALES (2)'!$D$85</f>
        <v>3552</v>
      </c>
      <c r="G106" s="59">
        <f t="shared" si="30"/>
        <v>339080.31200000003</v>
      </c>
      <c r="H106" s="67">
        <f t="shared" si="31"/>
        <v>613741.17476133024</v>
      </c>
      <c r="M106" s="68">
        <v>0.8</v>
      </c>
      <c r="N106" s="69">
        <v>2</v>
      </c>
      <c r="O106" s="59">
        <f>(((M106+(2*N106))*'MATERIALES (2)'!$C$60)+((M106+(2*N106))*'MATERIALES (2)'!$C$58)+(M106*'MATERIALES (2)'!$C$62)+(M106*'MATERIALES (2)'!$C$61)+(((M106*2)+(N106*2))*'MATERIALES (2)'!$C$31)+(((M106*2)+(N106))*'MATERIALES (2)'!$C$32)+(((M106-0.2)*'MATERIALES (2)'!$C$30)*((N106/3)/0.12))+((((M106*2)+((N106/3)*2))*'MATERIALES (2)'!$C$76)*2))*'MATERIALES (2)'!$F$2</f>
        <v>204358.66499999998</v>
      </c>
      <c r="P106" s="59">
        <f>(1*'MATERIALES (2)'!$C$193)+(1*'MATERIALES (2)'!$C$194)+(3*'MATERIALES (2)'!$C$196)+(2*'MATERIALES (2)'!$C$178)+(2*'MATERIALES (2)'!$C$179)+(2*'MATERIALES (2)'!$C$180)+(14*'MATERIALES (2)'!$C$147)+(14*'MATERIALES (2)'!$C$148)+((M106+(2*N106))*'MATERIALES (2)'!$C$199)+((M106+(2*N106))*'MATERIALES (2)'!$C$198)+(((M106*6)+(N106*4))*'MATERIALES (2)'!$C$155)+(((M106*2)+((N106/3)*2))*'MATERIALES (2)'!$C$154)+(2*'MATERIALES (2)'!$C$176)+(((((M106*2)+((N106/3)*2))/0.1)*'MATERIALES (2)'!$C$181)*2)+(((M106*5)*2)*'MATERIALES (2)'!$C$136)+(4*'MATERIALES (2)'!$C$137)</f>
        <v>57470</v>
      </c>
      <c r="Q106" s="75"/>
      <c r="R106" s="55">
        <f>(M106*N106)*'MATERIALES (2)'!$D$85</f>
        <v>11840</v>
      </c>
      <c r="S106" s="59">
        <f t="shared" si="32"/>
        <v>273668.66499999998</v>
      </c>
      <c r="T106" s="67">
        <f t="shared" si="33"/>
        <v>520590.09075727488</v>
      </c>
      <c r="U106" s="787"/>
    </row>
    <row r="107" spans="1:46" ht="15.75" thickBot="1">
      <c r="A107" s="68">
        <v>0.9</v>
      </c>
      <c r="B107" s="69">
        <v>2</v>
      </c>
      <c r="C107" s="59">
        <f>(((A107+(2*B107))*'MATERIALES (2)'!$C$60)+((A107+(2*B107))*'MATERIALES (2)'!$C$58)+(A107*'MATERIALES (2)'!$C$62)+(((A107*1)+(0.6*2))*'MATERIALES (2)'!$C$61)+((((A107*4)+(B107*2)+(0.6*4))*'MATERIALES (2)'!$C$76)*2)+(((A107-0.2)*'MATERIALES (2)'!$C$30)*((B107-0.36)/0.12)))*'MATERIALES (2)'!$F$2</f>
        <v>291172.55300000001</v>
      </c>
      <c r="D107" s="59">
        <f>(1*'MATERIALES (2)'!$C$193)+(1*'MATERIALES (2)'!$C$194)+(3*'MATERIALES (2)'!$C$196)+(2*'MATERIALES (2)'!$C$178)+(2*'MATERIALES (2)'!$C$179)+(2*'MATERIALES (2)'!$C$180)+(16*'MATERIALES (2)'!$C$147)+(16*'MATERIALES (2)'!$C$148)+((A107+(2*B107))*'MATERIALES (2)'!$C$199)+((A107+(2*B107))*'MATERIALES (2)'!$C$198)+(((A107*2)*(0.6*6))*'MATERIALES (2)'!$C$130)+(((A107*2)+(B107*2))*'MATERIALES (2)'!$C$154)+(0.5*'MATERIALES (2)'!$C$156)+(2*'MATERIALES (2)'!$C$176)+(((((A107*4)+(0.6*4)+(B107*2))/0.1)*'MATERIALES (2)'!$C$181)*2)+(((A107*5)*2)*'MATERIALES (2)'!$C$136)+(4*'MATERIALES (2)'!$C$137)</f>
        <v>67115.199999999997</v>
      </c>
      <c r="E107" s="75"/>
      <c r="F107" s="55">
        <f>(A107*0.6)*'MATERIALES (2)'!$D$85</f>
        <v>3996.0000000000005</v>
      </c>
      <c r="G107" s="59">
        <f t="shared" si="30"/>
        <v>362283.75300000003</v>
      </c>
      <c r="H107" s="67">
        <f t="shared" si="31"/>
        <v>655914.03438936395</v>
      </c>
      <c r="M107" s="68">
        <v>0.9</v>
      </c>
      <c r="N107" s="69">
        <v>2</v>
      </c>
      <c r="O107" s="59">
        <f>(((M107+(2*N107))*'MATERIALES (2)'!$C$60)+((M107+(2*N107))*'MATERIALES (2)'!$C$58)+(M107*'MATERIALES (2)'!$C$62)+(M107*'MATERIALES (2)'!$C$61)+(((M107*2)+(N107*2))*'MATERIALES (2)'!$C$31)+(((M107*2)+(N107))*'MATERIALES (2)'!$C$32)+(((M107-0.2)*'MATERIALES (2)'!$C$30)*((N107/3)/0.12))+((((M107*2)+((N107/3)*2))*'MATERIALES (2)'!$C$76)*2))*'MATERIALES (2)'!$F$2</f>
        <v>218108.14666666667</v>
      </c>
      <c r="P107" s="59">
        <f>(1*'MATERIALES (2)'!$C$193)+(1*'MATERIALES (2)'!$C$194)+(3*'MATERIALES (2)'!$C$196)+(2*'MATERIALES (2)'!$C$178)+(2*'MATERIALES (2)'!$C$179)+(2*'MATERIALES (2)'!$C$180)+(14*'MATERIALES (2)'!$C$147)+(14*'MATERIALES (2)'!$C$148)+((M107+(2*N107))*'MATERIALES (2)'!$C$199)+((M107+(2*N107))*'MATERIALES (2)'!$C$198)+(((M107*6)+(N107*4))*'MATERIALES (2)'!$C$155)+(((M107*2)+((N107/3)*2))*'MATERIALES (2)'!$C$154)+(2*'MATERIALES (2)'!$C$176)+(((((M107*2)+((N107/3)*2))/0.1)*'MATERIALES (2)'!$C$181)*2)+(((M107*5)*2)*'MATERIALES (2)'!$C$136)+(4*'MATERIALES (2)'!$C$137)</f>
        <v>57760</v>
      </c>
      <c r="Q107" s="75"/>
      <c r="R107" s="55">
        <f>(M107*N107)*'MATERIALES (2)'!$D$85</f>
        <v>13320</v>
      </c>
      <c r="S107" s="59">
        <f t="shared" si="32"/>
        <v>289188.14666666667</v>
      </c>
      <c r="T107" s="67">
        <f t="shared" si="33"/>
        <v>550759.43209980009</v>
      </c>
      <c r="U107" s="787"/>
    </row>
    <row r="108" spans="1:46" ht="15.75" thickBot="1">
      <c r="A108" s="68">
        <v>0.6</v>
      </c>
      <c r="B108" s="69">
        <v>2.1</v>
      </c>
      <c r="C108" s="59">
        <f>(((A108+(2*B108))*'MATERIALES (2)'!$C$60)+((A108+(2*B108))*'MATERIALES (2)'!$C$58)+(A108*'MATERIALES (2)'!$C$62)+(((A108*1)+(0.6*2))*'MATERIALES (2)'!$C$61)+((((A108*4)+(B108*2)+(0.6*4))*'MATERIALES (2)'!$C$76)*2)+(((A108-0.2)*'MATERIALES (2)'!$C$30)*((B108-0.36)/0.12)))*'MATERIALES (2)'!$F$2</f>
        <v>233081.43599999999</v>
      </c>
      <c r="D108" s="59">
        <f>(1*'MATERIALES (2)'!$C$193)+(1*'MATERIALES (2)'!$C$194)+(3*'MATERIALES (2)'!$C$196)+(2*'MATERIALES (2)'!$C$178)+(2*'MATERIALES (2)'!$C$179)+(2*'MATERIALES (2)'!$C$180)+(16*'MATERIALES (2)'!$C$147)+(16*'MATERIALES (2)'!$C$148)+((A108+(2*B108))*'MATERIALES (2)'!$C$199)+((A108+(2*B108))*'MATERIALES (2)'!$C$198)+(((A108*2)*(0.6*6))*'MATERIALES (2)'!$C$130)+(((A108*2)+(B108*2))*'MATERIALES (2)'!$C$154)+(0.5*'MATERIALES (2)'!$C$156)+(2*'MATERIALES (2)'!$C$176)+(((((A108*4)+(0.6*4)+(B108*2))/0.1)*'MATERIALES (2)'!$C$181)*2)+(((A108*5)*2)*'MATERIALES (2)'!$C$136)+(4*'MATERIALES (2)'!$C$137)</f>
        <v>65838.8</v>
      </c>
      <c r="E108" s="75"/>
      <c r="F108" s="55">
        <f>(A108*0.6)*'MATERIALES (2)'!$D$85</f>
        <v>2664</v>
      </c>
      <c r="G108" s="59">
        <f t="shared" si="30"/>
        <v>301584.23599999998</v>
      </c>
      <c r="H108" s="67">
        <f t="shared" si="31"/>
        <v>545443.22677036503</v>
      </c>
      <c r="M108" s="68">
        <v>0.6</v>
      </c>
      <c r="N108" s="69">
        <v>2.1</v>
      </c>
      <c r="O108" s="59">
        <f>(((M108+(2*N108))*'MATERIALES (2)'!$C$60)+((M108+(2*N108))*'MATERIALES (2)'!$C$58)+(M108*'MATERIALES (2)'!$C$62)+(M108*'MATERIALES (2)'!$C$61)+(((M108*2)+(N108*2))*'MATERIALES (2)'!$C$31)+(((M108*2)+(N108))*'MATERIALES (2)'!$C$32)+(((M108-0.2)*'MATERIALES (2)'!$C$30)*((N108/3)/0.12))+((((M108*2)+((N108/3)*2))*'MATERIALES (2)'!$C$76)*2))*'MATERIALES (2)'!$F$2</f>
        <v>183453.80724999998</v>
      </c>
      <c r="P108" s="59">
        <f>(1*'MATERIALES (2)'!$C$193)+(1*'MATERIALES (2)'!$C$194)+(3*'MATERIALES (2)'!$C$196)+(2*'MATERIALES (2)'!$C$178)+(2*'MATERIALES (2)'!$C$179)+(2*'MATERIALES (2)'!$C$180)+(14*'MATERIALES (2)'!$C$147)+(14*'MATERIALES (2)'!$C$148)+((M108+(2*N108))*'MATERIALES (2)'!$C$199)+((M108+(2*N108))*'MATERIALES (2)'!$C$198)+(((M108*6)+(N108*4))*'MATERIALES (2)'!$C$155)+(((M108*2)+((N108/3)*2))*'MATERIALES (2)'!$C$154)+(2*'MATERIALES (2)'!$C$176)+(((((M108*2)+((N108/3)*2))/0.1)*'MATERIALES (2)'!$C$181)*2)+(((M108*5)*2)*'MATERIALES (2)'!$C$136)+(4*'MATERIALES (2)'!$C$137)</f>
        <v>57110</v>
      </c>
      <c r="Q108" s="75"/>
      <c r="R108" s="55">
        <f>(M108*N108)*'MATERIALES (2)'!$D$85</f>
        <v>9324</v>
      </c>
      <c r="S108" s="59">
        <f t="shared" si="32"/>
        <v>249887.80724999998</v>
      </c>
      <c r="T108" s="67">
        <f t="shared" si="33"/>
        <v>474162.28435335372</v>
      </c>
      <c r="U108" s="787"/>
    </row>
    <row r="109" spans="1:46" ht="15.75" thickBot="1">
      <c r="A109" s="68">
        <v>0.7</v>
      </c>
      <c r="B109" s="69">
        <v>2.1</v>
      </c>
      <c r="C109" s="59">
        <f>(((A109+(2*B109))*'MATERIALES (2)'!$C$60)+((A109+(2*B109))*'MATERIALES (2)'!$C$58)+(A109*'MATERIALES (2)'!$C$62)+(((A109*1)+(0.6*2))*'MATERIALES (2)'!$C$61)+((((A109*4)+(B109*2)+(0.6*4))*'MATERIALES (2)'!$C$76)*2)+(((A109-0.2)*'MATERIALES (2)'!$C$30)*((B109-0.36)/0.12)))*'MATERIALES (2)'!$F$2</f>
        <v>256256.05949999997</v>
      </c>
      <c r="D109" s="59">
        <f>(1*'MATERIALES (2)'!$C$193)+(1*'MATERIALES (2)'!$C$194)+(3*'MATERIALES (2)'!$C$196)+(2*'MATERIALES (2)'!$C$178)+(2*'MATERIALES (2)'!$C$179)+(2*'MATERIALES (2)'!$C$180)+(16*'MATERIALES (2)'!$C$147)+(16*'MATERIALES (2)'!$C$148)+((A109+(2*B109))*'MATERIALES (2)'!$C$199)+((A109+(2*B109))*'MATERIALES (2)'!$C$198)+(((A109*2)*(0.6*6))*'MATERIALES (2)'!$C$130)+(((A109*2)+(B109*2))*'MATERIALES (2)'!$C$154)+(0.5*'MATERIALES (2)'!$C$156)+(2*'MATERIALES (2)'!$C$176)+(((((A109*4)+(0.6*4)+(B109*2))/0.1)*'MATERIALES (2)'!$C$181)*2)+(((A109*5)*2)*'MATERIALES (2)'!$C$136)+(4*'MATERIALES (2)'!$C$137)</f>
        <v>66361.599999999991</v>
      </c>
      <c r="E109" s="75"/>
      <c r="F109" s="55">
        <f>(A109*0.6)*'MATERIALES (2)'!$D$85</f>
        <v>3108</v>
      </c>
      <c r="G109" s="59">
        <f t="shared" si="30"/>
        <v>325725.65949999995</v>
      </c>
      <c r="H109" s="67">
        <f t="shared" si="31"/>
        <v>589305.33073955809</v>
      </c>
      <c r="M109" s="68">
        <v>0.7</v>
      </c>
      <c r="N109" s="69">
        <v>2.1</v>
      </c>
      <c r="O109" s="59">
        <f>(((M109+(2*N109))*'MATERIALES (2)'!$C$60)+((M109+(2*N109))*'MATERIALES (2)'!$C$58)+(M109*'MATERIALES (2)'!$C$62)+(M109*'MATERIALES (2)'!$C$61)+(((M109*2)+(N109*2))*'MATERIALES (2)'!$C$31)+(((M109*2)+(N109))*'MATERIALES (2)'!$C$32)+(((M109-0.2)*'MATERIALES (2)'!$C$30)*((N109/3)/0.12))+((((M109*2)+((N109/3)*2))*'MATERIALES (2)'!$C$76)*2))*'MATERIALES (2)'!$F$2</f>
        <v>197515.94975000003</v>
      </c>
      <c r="P109" s="59">
        <f>(1*'MATERIALES (2)'!$C$193)+(1*'MATERIALES (2)'!$C$194)+(3*'MATERIALES (2)'!$C$196)+(2*'MATERIALES (2)'!$C$178)+(2*'MATERIALES (2)'!$C$179)+(2*'MATERIALES (2)'!$C$180)+(14*'MATERIALES (2)'!$C$147)+(14*'MATERIALES (2)'!$C$148)+((M109+(2*N109))*'MATERIALES (2)'!$C$199)+((M109+(2*N109))*'MATERIALES (2)'!$C$198)+(((M109*6)+(N109*4))*'MATERIALES (2)'!$C$155)+(((M109*2)+((N109/3)*2))*'MATERIALES (2)'!$C$154)+(2*'MATERIALES (2)'!$C$176)+(((((M109*2)+((N109/3)*2))/0.1)*'MATERIALES (2)'!$C$181)*2)+(((M109*5)*2)*'MATERIALES (2)'!$C$136)+(4*'MATERIALES (2)'!$C$137)</f>
        <v>57400</v>
      </c>
      <c r="Q109" s="75"/>
      <c r="R109" s="55">
        <f>(M109*N109)*'MATERIALES (2)'!$D$85</f>
        <v>10878</v>
      </c>
      <c r="S109" s="59">
        <f t="shared" si="32"/>
        <v>265793.94975000003</v>
      </c>
      <c r="T109" s="67">
        <f t="shared" si="33"/>
        <v>505112.9977113413</v>
      </c>
      <c r="U109" s="787"/>
    </row>
    <row r="110" spans="1:46" ht="15.75" thickBot="1">
      <c r="A110" s="68">
        <v>0.8</v>
      </c>
      <c r="B110" s="69">
        <v>2.1</v>
      </c>
      <c r="C110" s="59">
        <f>(((A110+(2*B110))*'MATERIALES (2)'!$C$60)+((A110+(2*B110))*'MATERIALES (2)'!$C$58)+(A110*'MATERIALES (2)'!$C$62)+(((A110*1)+(0.6*2))*'MATERIALES (2)'!$C$61)+((((A110*4)+(B110*2)+(0.6*4))*'MATERIALES (2)'!$C$76)*2)+(((A110-0.2)*'MATERIALES (2)'!$C$30)*((B110-0.36)/0.12)))*'MATERIALES (2)'!$F$2</f>
        <v>279430.68300000002</v>
      </c>
      <c r="D110" s="59">
        <f>(1*'MATERIALES (2)'!$C$193)+(1*'MATERIALES (2)'!$C$194)+(3*'MATERIALES (2)'!$C$196)+(2*'MATERIALES (2)'!$C$178)+(2*'MATERIALES (2)'!$C$179)+(2*'MATERIALES (2)'!$C$180)+(16*'MATERIALES (2)'!$C$147)+(16*'MATERIALES (2)'!$C$148)+((A110+(2*B110))*'MATERIALES (2)'!$C$199)+((A110+(2*B110))*'MATERIALES (2)'!$C$198)+(((A110*2)*(0.6*6))*'MATERIALES (2)'!$C$130)+(((A110*2)+(B110*2))*'MATERIALES (2)'!$C$154)+(0.5*'MATERIALES (2)'!$C$156)+(2*'MATERIALES (2)'!$C$176)+(((((A110*4)+(0.6*4)+(B110*2))/0.1)*'MATERIALES (2)'!$C$181)*2)+(((A110*5)*2)*'MATERIALES (2)'!$C$136)+(4*'MATERIALES (2)'!$C$137)</f>
        <v>66884.399999999994</v>
      </c>
      <c r="E110" s="75"/>
      <c r="F110" s="55">
        <f>(A110*0.6)*'MATERIALES (2)'!$D$85</f>
        <v>3552</v>
      </c>
      <c r="G110" s="59">
        <f t="shared" si="30"/>
        <v>349867.08299999998</v>
      </c>
      <c r="H110" s="67">
        <f t="shared" si="31"/>
        <v>633167.43470875127</v>
      </c>
      <c r="M110" s="68">
        <v>0.8</v>
      </c>
      <c r="N110" s="69">
        <v>2.1</v>
      </c>
      <c r="O110" s="59">
        <f>(((M110+(2*N110))*'MATERIALES (2)'!$C$60)+((M110+(2*N110))*'MATERIALES (2)'!$C$58)+(M110*'MATERIALES (2)'!$C$62)+(M110*'MATERIALES (2)'!$C$61)+(((M110*2)+(N110*2))*'MATERIALES (2)'!$C$31)+(((M110*2)+(N110))*'MATERIALES (2)'!$C$32)+(((M110-0.2)*'MATERIALES (2)'!$C$30)*((N110/3)/0.12))+((((M110*2)+((N110/3)*2))*'MATERIALES (2)'!$C$76)*2))*'MATERIALES (2)'!$F$2</f>
        <v>211578.09225000005</v>
      </c>
      <c r="P110" s="59">
        <f>(1*'MATERIALES (2)'!$C$193)+(1*'MATERIALES (2)'!$C$194)+(3*'MATERIALES (2)'!$C$196)+(2*'MATERIALES (2)'!$C$178)+(2*'MATERIALES (2)'!$C$179)+(2*'MATERIALES (2)'!$C$180)+(14*'MATERIALES (2)'!$C$147)+(14*'MATERIALES (2)'!$C$148)+((M110+(2*N110))*'MATERIALES (2)'!$C$199)+((M110+(2*N110))*'MATERIALES (2)'!$C$198)+(((M110*6)+(N110*4))*'MATERIALES (2)'!$C$155)+(((M110*2)+((N110/3)*2))*'MATERIALES (2)'!$C$154)+(2*'MATERIALES (2)'!$C$176)+(((((M110*2)+((N110/3)*2))/0.1)*'MATERIALES (2)'!$C$181)*2)+(((M110*5)*2)*'MATERIALES (2)'!$C$136)+(4*'MATERIALES (2)'!$C$137)</f>
        <v>57690</v>
      </c>
      <c r="Q110" s="75"/>
      <c r="R110" s="55">
        <f>(M110*N110)*'MATERIALES (2)'!$D$85</f>
        <v>12432.000000000002</v>
      </c>
      <c r="S110" s="59">
        <f t="shared" si="32"/>
        <v>281700.09225000005</v>
      </c>
      <c r="T110" s="67">
        <f t="shared" si="33"/>
        <v>536063.71106932883</v>
      </c>
      <c r="U110" s="787"/>
    </row>
    <row r="111" spans="1:46" ht="15.75" thickBot="1">
      <c r="A111" s="71">
        <v>0.9</v>
      </c>
      <c r="B111" s="72">
        <v>2.1</v>
      </c>
      <c r="C111" s="60">
        <f>(((A111+(2*B111))*'MATERIALES (2)'!$C$60)+((A111+(2*B111))*'MATERIALES (2)'!$C$58)+(A111*'MATERIALES (2)'!$C$62)+(((A111*1)+(0.6*2))*'MATERIALES (2)'!$C$61)+((((A111*4)+(B111*2)+(0.6*4))*'MATERIALES (2)'!$C$76)*2)+(((A111-0.2)*'MATERIALES (2)'!$C$30)*((B111-0.36)/0.12)))*'MATERIALES (2)'!$F$2</f>
        <v>302605.30650000001</v>
      </c>
      <c r="D111" s="60">
        <f>(1*'MATERIALES (2)'!$C$193)+(1*'MATERIALES (2)'!$C$194)+(3*'MATERIALES (2)'!$C$196)+(2*'MATERIALES (2)'!$C$178)+(2*'MATERIALES (2)'!$C$179)+(2*'MATERIALES (2)'!$C$180)+(16*'MATERIALES (2)'!$C$147)+(16*'MATERIALES (2)'!$C$148)+((A111+(2*B111))*'MATERIALES (2)'!$C$199)+((A111+(2*B111))*'MATERIALES (2)'!$C$198)+(((A111*2)*(0.6*6))*'MATERIALES (2)'!$C$130)+(((A111*2)+(B111*2))*'MATERIALES (2)'!$C$154)+(0.5*'MATERIALES (2)'!$C$156)+(2*'MATERIALES (2)'!$C$176)+(((((A111*4)+(0.6*4)+(B111*2))/0.1)*'MATERIALES (2)'!$C$181)*2)+(((A111*5)*2)*'MATERIALES (2)'!$C$136)+(4*'MATERIALES (2)'!$C$137)</f>
        <v>67407.199999999997</v>
      </c>
      <c r="E111" s="76"/>
      <c r="F111" s="56">
        <f>(A111*0.6)*'MATERIALES (2)'!$D$85</f>
        <v>3996.0000000000005</v>
      </c>
      <c r="G111" s="60">
        <f t="shared" si="30"/>
        <v>374008.50650000002</v>
      </c>
      <c r="H111" s="67">
        <f t="shared" si="31"/>
        <v>677029.53867794445</v>
      </c>
      <c r="M111" s="71">
        <v>0.9</v>
      </c>
      <c r="N111" s="72">
        <v>2.1</v>
      </c>
      <c r="O111" s="60">
        <f>(((M111+(2*N111))*'MATERIALES (2)'!$C$60)+((M111+(2*N111))*'MATERIALES (2)'!$C$58)+(M111*'MATERIALES (2)'!$C$62)+(M111*'MATERIALES (2)'!$C$61)+(((M111*2)+(N111*2))*'MATERIALES (2)'!$C$31)+(((M111*2)+(N111))*'MATERIALES (2)'!$C$32)+(((M111-0.2)*'MATERIALES (2)'!$C$30)*((N111/3)/0.12))+((((M111*2)+((N111/3)*2))*'MATERIALES (2)'!$C$76)*2))*'MATERIALES (2)'!$F$2</f>
        <v>225640.23475000003</v>
      </c>
      <c r="P111" s="60">
        <f>(1*'MATERIALES (2)'!$C$193)+(1*'MATERIALES (2)'!$C$194)+(3*'MATERIALES (2)'!$C$196)+(2*'MATERIALES (2)'!$C$178)+(2*'MATERIALES (2)'!$C$179)+(2*'MATERIALES (2)'!$C$180)+(14*'MATERIALES (2)'!$C$147)+(14*'MATERIALES (2)'!$C$148)+((M111+(2*N111))*'MATERIALES (2)'!$C$199)+((M111+(2*N111))*'MATERIALES (2)'!$C$198)+(((M111*6)+(N111*4))*'MATERIALES (2)'!$C$155)+(((M111*2)+((N111/3)*2))*'MATERIALES (2)'!$C$154)+(2*'MATERIALES (2)'!$C$176)+(((((M111*2)+((N111/3)*2))/0.1)*'MATERIALES (2)'!$C$181)*2)+(((M111*5)*2)*'MATERIALES (2)'!$C$136)+(4*'MATERIALES (2)'!$C$137)</f>
        <v>57980</v>
      </c>
      <c r="Q111" s="76"/>
      <c r="R111" s="56">
        <f>(M111*N111)*'MATERIALES (2)'!$D$85</f>
        <v>13986.000000000002</v>
      </c>
      <c r="S111" s="60">
        <f t="shared" si="32"/>
        <v>297606.23475000006</v>
      </c>
      <c r="T111" s="67">
        <f t="shared" si="33"/>
        <v>567014.42442731641</v>
      </c>
      <c r="U111" s="788"/>
    </row>
    <row r="113" spans="1:46" ht="15.75" thickBot="1">
      <c r="C113" s="78"/>
      <c r="O113" s="78"/>
    </row>
    <row r="114" spans="1:46" ht="15.75" thickBot="1">
      <c r="A114" s="32"/>
      <c r="B114" s="32"/>
      <c r="C114" s="807">
        <v>1.35</v>
      </c>
      <c r="D114" s="808"/>
      <c r="E114" s="809"/>
      <c r="F114" s="545">
        <v>2</v>
      </c>
      <c r="G114" s="32"/>
      <c r="H114" s="46" t="s">
        <v>163</v>
      </c>
      <c r="M114" s="32"/>
      <c r="N114" s="32"/>
      <c r="O114" s="807">
        <v>1.35</v>
      </c>
      <c r="P114" s="808"/>
      <c r="Q114" s="809"/>
      <c r="R114" s="545">
        <v>2</v>
      </c>
      <c r="S114" s="32"/>
      <c r="T114" s="46" t="s">
        <v>163</v>
      </c>
    </row>
    <row r="115" spans="1:46" ht="15.75" customHeight="1" thickBot="1">
      <c r="A115" s="792" t="s">
        <v>230</v>
      </c>
      <c r="B115" s="793"/>
      <c r="C115" s="793"/>
      <c r="D115" s="793"/>
      <c r="E115" s="793"/>
      <c r="F115" s="793"/>
      <c r="G115" s="793"/>
      <c r="H115" s="794"/>
      <c r="I115" s="882" t="s">
        <v>255</v>
      </c>
      <c r="M115" s="792" t="s">
        <v>229</v>
      </c>
      <c r="N115" s="793"/>
      <c r="O115" s="793"/>
      <c r="P115" s="793"/>
      <c r="Q115" s="793"/>
      <c r="R115" s="793"/>
      <c r="S115" s="793"/>
      <c r="T115" s="794"/>
      <c r="U115" s="882" t="s">
        <v>255</v>
      </c>
    </row>
    <row r="116" spans="1:46" ht="15.75" thickBot="1">
      <c r="A116" s="36" t="s">
        <v>116</v>
      </c>
      <c r="B116" s="36" t="s">
        <v>117</v>
      </c>
      <c r="C116" s="36" t="s">
        <v>162</v>
      </c>
      <c r="D116" s="36" t="s">
        <v>119</v>
      </c>
      <c r="E116" s="36" t="s">
        <v>120</v>
      </c>
      <c r="F116" s="36" t="s">
        <v>118</v>
      </c>
      <c r="G116" s="36" t="s">
        <v>121</v>
      </c>
      <c r="H116" s="36" t="s">
        <v>122</v>
      </c>
      <c r="I116" s="883"/>
      <c r="M116" s="36" t="s">
        <v>116</v>
      </c>
      <c r="N116" s="36" t="s">
        <v>117</v>
      </c>
      <c r="O116" s="36" t="s">
        <v>162</v>
      </c>
      <c r="P116" s="36" t="s">
        <v>119</v>
      </c>
      <c r="Q116" s="36" t="s">
        <v>120</v>
      </c>
      <c r="R116" s="36" t="s">
        <v>118</v>
      </c>
      <c r="S116" s="36" t="s">
        <v>121</v>
      </c>
      <c r="T116" s="36" t="s">
        <v>122</v>
      </c>
      <c r="U116" s="883"/>
    </row>
    <row r="117" spans="1:46" ht="15.75" thickBot="1">
      <c r="A117" s="795"/>
      <c r="B117" s="796"/>
      <c r="C117" s="796"/>
      <c r="D117" s="796"/>
      <c r="E117" s="796"/>
      <c r="F117" s="796"/>
      <c r="G117" s="796"/>
      <c r="H117" s="797"/>
      <c r="I117" s="883"/>
      <c r="M117" s="795"/>
      <c r="N117" s="796"/>
      <c r="O117" s="796"/>
      <c r="P117" s="796"/>
      <c r="Q117" s="796"/>
      <c r="R117" s="796"/>
      <c r="S117" s="796"/>
      <c r="T117" s="797"/>
      <c r="U117" s="883"/>
    </row>
    <row r="118" spans="1:46" ht="15.75" thickBot="1">
      <c r="A118" s="65">
        <v>0.6</v>
      </c>
      <c r="B118" s="66">
        <v>2</v>
      </c>
      <c r="C118" s="58">
        <f>(((A118+(2*B118))*'MATERIALES (2)'!$C$60)+((A118+(2*B118))*'MATERIALES (2)'!$C$58)+(A118*'MATERIALES (2)'!$C$62)+((A118*1)*'MATERIALES (2)'!$C$61)+((((A118*2)+(B118*2))*'MATERIALES (2)'!$C$76)*2)+(((A118*2)+(0.6*2))*'MATERIALES (2)'!$C$31)+((A118+0.6)*'MATERIALES (2)'!$C$32)+(((A118-0.2)*'MATERIALES (2)'!$C$30)*((B118-0.36)/0.12)))*'MATERIALES (2)'!$F$2</f>
        <v>207168.81499999997</v>
      </c>
      <c r="D118" s="58">
        <f>(1*'MATERIALES (2)'!$C$193)+(1*'MATERIALES (2)'!$C$194)+(3*'MATERIALES (2)'!$C$196)+(2*'MATERIALES (2)'!$C$178)+(2*'MATERIALES (2)'!$C$179)+(2*'MATERIALES (2)'!$C$180)+(12*'MATERIALES (2)'!$C$147)+(12*'MATERIALES (2)'!$C$148)+((A118+(2*B118))*'MATERIALES (2)'!$C$199)+((A118+(2*B118))*'MATERIALES (2)'!$C$198)+(((A118*2)+(B118*2))*'MATERIALES (2)'!$C$154)+(((A118*4)+(0.6*4))*'MATERIALES (2)'!$C$155)+(0.5*'MATERIALES (2)'!$C$156)+(((((A118*2)+(B118*2))/0.1)*'MATERIALES (2)'!$C$181)*2)+(2*'MATERIALES (2)'!$C$176)+(((A118*5)*2)*'MATERIALES (2)'!$C$136)+(4*'MATERIALES (2)'!$C$137)</f>
        <v>62070</v>
      </c>
      <c r="E118" s="74"/>
      <c r="F118" s="54">
        <f>(A118*0.6)*'MATERIALES (2)'!$D$85</f>
        <v>2664</v>
      </c>
      <c r="G118" s="58">
        <f>SUM(C118:F118)</f>
        <v>271902.81499999994</v>
      </c>
      <c r="H118" s="67">
        <f>((((SUM(C118:E118)*$C$114)+(F118*$F$114))*1.21)*1.05)*1.05</f>
        <v>491988.95394350623</v>
      </c>
      <c r="I118" s="787"/>
      <c r="M118" s="65">
        <v>0.6</v>
      </c>
      <c r="N118" s="66">
        <v>2</v>
      </c>
      <c r="O118" s="58">
        <f>(((M118+(2*N118))*'MATERIALES (2)'!$C$60)+((M118+(2*N118))*'MATERIALES (2)'!$C$58)+(M118*'MATERIALES (2)'!$C$62)+(M118*'MATERIALES (2)'!$C$61)+(((M118-0.2)*'MATERIALES (2)'!$C$30)*((N118/2)/0.12))+((((M118*2)+(N118*1))*'MATERIALES (2)'!$C$76)*2)+(((M118*2)+(N118*1))*'MATERIALES (2)'!$C$31)+((M118+(N118/2))*'MATERIALES (2)'!$C$32))*'MATERIALES (2)'!$F$2</f>
        <v>179715.92799999999</v>
      </c>
      <c r="P118" s="58">
        <f>(1*'MATERIALES (2)'!$C$193)+(1*'MATERIALES (2)'!$C$194)+(3*'MATERIALES (2)'!$C$196)+(2*'MATERIALES (2)'!$C$178)+(2*'MATERIALES (2)'!$C$179)+(2*'MATERIALES (2)'!$C$180)+(12*'MATERIALES (2)'!$C$147)+(12*'MATERIALES (2)'!$C$148)+((M118+(2*N118))*'MATERIALES (2)'!$C$199)+((M118+(2*N118))*'MATERIALES (2)'!$C$198)+(((M118*2)+(N118*1))*'MATERIALES (2)'!$C$154)+(((M118*4)+(N118*4))*'MATERIALES (2)'!$C$155)+(((((M118*2)+(N118*1))/0.1)*'MATERIALES (2)'!$C$181)*2)+(2*'MATERIALES (2)'!$C$176)+(0.5*'MATERIALES (2)'!$C$156)+(((M118*5)*2)*'MATERIALES (2)'!$C$136)+(4*'MATERIALES (2)'!$C$137)</f>
        <v>60950</v>
      </c>
      <c r="Q118" s="74"/>
      <c r="R118" s="54">
        <f>(M118*(N118/2))*'MATERIALES (2)'!$D$85</f>
        <v>4440</v>
      </c>
      <c r="S118" s="58">
        <f>SUM(O118:R118)</f>
        <v>245105.92799999999</v>
      </c>
      <c r="T118" s="67">
        <f>((((SUM(O118:Q118)*$O$114)+(R118*$R$114))*1.21)*1.05)*1.05</f>
        <v>445269.53421026998</v>
      </c>
      <c r="U118" s="787"/>
    </row>
    <row r="119" spans="1:46" ht="15.75" thickBot="1">
      <c r="A119" s="68">
        <v>0.7</v>
      </c>
      <c r="B119" s="69">
        <v>2</v>
      </c>
      <c r="C119" s="59">
        <f>(((A119+(2*B119))*'MATERIALES (2)'!$C$60)+((A119+(2*B119))*'MATERIALES (2)'!$C$58)+(A119*'MATERIALES (2)'!$C$62)+((A119*1)*'MATERIALES (2)'!$C$61)+((((A119*2)+(B119*2))*'MATERIALES (2)'!$C$76)*2)+(((A119*2)+(0.6*2))*'MATERIALES (2)'!$C$31)+((A119+0.6)*'MATERIALES (2)'!$C$32)+(((A119-0.2)*'MATERIALES (2)'!$C$30)*((B119-0.36)/0.12)))*'MATERIALES (2)'!$F$2</f>
        <v>229639.00224999996</v>
      </c>
      <c r="D119" s="59">
        <f>(1*'MATERIALES (2)'!$C$193)+(1*'MATERIALES (2)'!$C$194)+(3*'MATERIALES (2)'!$C$196)+(2*'MATERIALES (2)'!$C$178)+(2*'MATERIALES (2)'!$C$179)+(2*'MATERIALES (2)'!$C$180)+(12*'MATERIALES (2)'!$C$147)+(12*'MATERIALES (2)'!$C$148)+((A119+(2*B119))*'MATERIALES (2)'!$C$199)+((A119+(2*B119))*'MATERIALES (2)'!$C$198)+(((A119*2)+(B119*2))*'MATERIALES (2)'!$C$154)+(((A119*4)+(0.6*4))*'MATERIALES (2)'!$C$155)+(0.5*'MATERIALES (2)'!$C$156)+(((((A119*2)+(B119*2))/0.1)*'MATERIALES (2)'!$C$181)*2)+(2*'MATERIALES (2)'!$C$176)+(((A119*5)*2)*'MATERIALES (2)'!$C$136)+(4*'MATERIALES (2)'!$C$137)</f>
        <v>62340</v>
      </c>
      <c r="E119" s="75"/>
      <c r="F119" s="55">
        <f>(A119*0.6)*'MATERIALES (2)'!$D$85</f>
        <v>3108</v>
      </c>
      <c r="G119" s="59">
        <f t="shared" ref="G119:G125" si="34">SUM(C119:F119)</f>
        <v>295087.00224999996</v>
      </c>
      <c r="H119" s="67">
        <f t="shared" ref="H119:H125" si="35">((((SUM(C119:E119)*$C$114)+(F119*$F$114))*1.21)*1.05)*1.05</f>
        <v>534127.13884335093</v>
      </c>
      <c r="I119" s="787"/>
      <c r="M119" s="68">
        <v>0.7</v>
      </c>
      <c r="N119" s="69">
        <v>2</v>
      </c>
      <c r="O119" s="59">
        <f>(((M119+(2*N119))*'MATERIALES (2)'!$C$60)+((M119+(2*N119))*'MATERIALES (2)'!$C$58)+(M119*'MATERIALES (2)'!$C$62)+(M119*'MATERIALES (2)'!$C$61)+(((M119-0.2)*'MATERIALES (2)'!$C$30)*((N119/2)/0.12))+((((M119*2)+(N119*1))*'MATERIALES (2)'!$C$76)*2)+(((M119*2)+(N119*1))*'MATERIALES (2)'!$C$31)+((M119+(N119/2))*'MATERIALES (2)'!$C$32))*'MATERIALES (2)'!$F$2</f>
        <v>196183.02725000001</v>
      </c>
      <c r="P119" s="59">
        <f>(1*'MATERIALES (2)'!$C$193)+(1*'MATERIALES (2)'!$C$194)+(3*'MATERIALES (2)'!$C$196)+(2*'MATERIALES (2)'!$C$178)+(2*'MATERIALES (2)'!$C$179)+(2*'MATERIALES (2)'!$C$180)+(12*'MATERIALES (2)'!$C$147)+(12*'MATERIALES (2)'!$C$148)+((M119+(2*N119))*'MATERIALES (2)'!$C$199)+((M119+(2*N119))*'MATERIALES (2)'!$C$198)+(((M119*2)+(N119*1))*'MATERIALES (2)'!$C$154)+(((M119*4)+(N119*4))*'MATERIALES (2)'!$C$155)+(((((M119*2)+(N119*1))/0.1)*'MATERIALES (2)'!$C$181)*2)+(2*'MATERIALES (2)'!$C$176)+(0.5*'MATERIALES (2)'!$C$156)+(((M119*5)*2)*'MATERIALES (2)'!$C$136)+(4*'MATERIALES (2)'!$C$137)</f>
        <v>61220</v>
      </c>
      <c r="Q119" s="75"/>
      <c r="R119" s="55">
        <f>(M119*(N119/2))*'MATERIALES (2)'!$D$85</f>
        <v>5180</v>
      </c>
      <c r="S119" s="59">
        <f t="shared" ref="S119:S125" si="36">SUM(O119:R119)</f>
        <v>262583.02725000004</v>
      </c>
      <c r="T119" s="67">
        <f t="shared" ref="T119:T125" si="37">((((SUM(O119:Q119)*$O$114)+(R119*$R$114))*1.21)*1.05)*1.05</f>
        <v>477386.2981266948</v>
      </c>
      <c r="U119" s="787"/>
    </row>
    <row r="120" spans="1:46" ht="15.75" thickBot="1">
      <c r="A120" s="68">
        <v>0.8</v>
      </c>
      <c r="B120" s="69">
        <v>2</v>
      </c>
      <c r="C120" s="59">
        <f>(((A120+(2*B120))*'MATERIALES (2)'!$C$60)+((A120+(2*B120))*'MATERIALES (2)'!$C$58)+(A120*'MATERIALES (2)'!$C$62)+((A120*1)*'MATERIALES (2)'!$C$61)+((((A120*2)+(B120*2))*'MATERIALES (2)'!$C$76)*2)+(((A120*2)+(0.6*2))*'MATERIALES (2)'!$C$31)+((A120+0.6)*'MATERIALES (2)'!$C$32)+(((A120-0.2)*'MATERIALES (2)'!$C$30)*((B120-0.36)/0.12)))*'MATERIALES (2)'!$F$2</f>
        <v>252109.18950000001</v>
      </c>
      <c r="D120" s="59">
        <f>(1*'MATERIALES (2)'!$C$193)+(1*'MATERIALES (2)'!$C$194)+(3*'MATERIALES (2)'!$C$196)+(2*'MATERIALES (2)'!$C$178)+(2*'MATERIALES (2)'!$C$179)+(2*'MATERIALES (2)'!$C$180)+(12*'MATERIALES (2)'!$C$147)+(12*'MATERIALES (2)'!$C$148)+((A120+(2*B120))*'MATERIALES (2)'!$C$199)+((A120+(2*B120))*'MATERIALES (2)'!$C$198)+(((A120*2)+(B120*2))*'MATERIALES (2)'!$C$154)+(((A120*4)+(0.6*4))*'MATERIALES (2)'!$C$155)+(0.5*'MATERIALES (2)'!$C$156)+(((((A120*2)+(B120*2))/0.1)*'MATERIALES (2)'!$C$181)*2)+(2*'MATERIALES (2)'!$C$176)+(((A120*5)*2)*'MATERIALES (2)'!$C$136)+(4*'MATERIALES (2)'!$C$137)</f>
        <v>62610</v>
      </c>
      <c r="E120" s="75"/>
      <c r="F120" s="55">
        <f>(A120*0.6)*'MATERIALES (2)'!$D$85</f>
        <v>3552</v>
      </c>
      <c r="G120" s="59">
        <f t="shared" si="34"/>
        <v>318271.18949999998</v>
      </c>
      <c r="H120" s="67">
        <f t="shared" si="35"/>
        <v>576265.32374319574</v>
      </c>
      <c r="I120" s="787"/>
      <c r="M120" s="68">
        <v>0.8</v>
      </c>
      <c r="N120" s="69">
        <v>2</v>
      </c>
      <c r="O120" s="59">
        <f>(((M120+(2*N120))*'MATERIALES (2)'!$C$60)+((M120+(2*N120))*'MATERIALES (2)'!$C$58)+(M120*'MATERIALES (2)'!$C$62)+(M120*'MATERIALES (2)'!$C$61)+(((M120-0.2)*'MATERIALES (2)'!$C$30)*((N120/2)/0.12))+((((M120*2)+(N120*1))*'MATERIALES (2)'!$C$76)*2)+(((M120*2)+(N120*1))*'MATERIALES (2)'!$C$31)+((M120+(N120/2))*'MATERIALES (2)'!$C$32))*'MATERIALES (2)'!$F$2</f>
        <v>212650.12650000001</v>
      </c>
      <c r="P120" s="59">
        <f>(1*'MATERIALES (2)'!$C$193)+(1*'MATERIALES (2)'!$C$194)+(3*'MATERIALES (2)'!$C$196)+(2*'MATERIALES (2)'!$C$178)+(2*'MATERIALES (2)'!$C$179)+(2*'MATERIALES (2)'!$C$180)+(12*'MATERIALES (2)'!$C$147)+(12*'MATERIALES (2)'!$C$148)+((M120+(2*N120))*'MATERIALES (2)'!$C$199)+((M120+(2*N120))*'MATERIALES (2)'!$C$198)+(((M120*2)+(N120*1))*'MATERIALES (2)'!$C$154)+(((M120*4)+(N120*4))*'MATERIALES (2)'!$C$155)+(((((M120*2)+(N120*1))/0.1)*'MATERIALES (2)'!$C$181)*2)+(2*'MATERIALES (2)'!$C$176)+(0.5*'MATERIALES (2)'!$C$156)+(((M120*5)*2)*'MATERIALES (2)'!$C$136)+(4*'MATERIALES (2)'!$C$137)</f>
        <v>61490</v>
      </c>
      <c r="Q120" s="75"/>
      <c r="R120" s="55">
        <f>(M120*(N120/2))*'MATERIALES (2)'!$D$85</f>
        <v>5920</v>
      </c>
      <c r="S120" s="59">
        <f t="shared" si="36"/>
        <v>280060.12650000001</v>
      </c>
      <c r="T120" s="67">
        <f t="shared" si="37"/>
        <v>509503.06204311945</v>
      </c>
      <c r="U120" s="787"/>
    </row>
    <row r="121" spans="1:46" ht="15" customHeight="1" thickBot="1">
      <c r="A121" s="68">
        <v>0.9</v>
      </c>
      <c r="B121" s="69">
        <v>2</v>
      </c>
      <c r="C121" s="59">
        <f>(((A121+(2*B121))*'MATERIALES (2)'!$C$60)+((A121+(2*B121))*'MATERIALES (2)'!$C$58)+(A121*'MATERIALES (2)'!$C$62)+((A121*1)*'MATERIALES (2)'!$C$61)+((((A121*2)+(B121*2))*'MATERIALES (2)'!$C$76)*2)+(((A121*2)+(0.6*2))*'MATERIALES (2)'!$C$31)+((A121+0.6)*'MATERIALES (2)'!$C$32)+(((A121-0.2)*'MATERIALES (2)'!$C$30)*((B121-0.36)/0.12)))*'MATERIALES (2)'!$F$2</f>
        <v>274579.37675</v>
      </c>
      <c r="D121" s="59">
        <f>(1*'MATERIALES (2)'!$C$193)+(1*'MATERIALES (2)'!$C$194)+(3*'MATERIALES (2)'!$C$196)+(2*'MATERIALES (2)'!$C$178)+(2*'MATERIALES (2)'!$C$179)+(2*'MATERIALES (2)'!$C$180)+(12*'MATERIALES (2)'!$C$147)+(12*'MATERIALES (2)'!$C$148)+((A121+(2*B121))*'MATERIALES (2)'!$C$199)+((A121+(2*B121))*'MATERIALES (2)'!$C$198)+(((A121*2)+(B121*2))*'MATERIALES (2)'!$C$154)+(((A121*4)+(0.6*4))*'MATERIALES (2)'!$C$155)+(0.5*'MATERIALES (2)'!$C$156)+(((((A121*2)+(B121*2))/0.1)*'MATERIALES (2)'!$C$181)*2)+(2*'MATERIALES (2)'!$C$176)+(((A121*5)*2)*'MATERIALES (2)'!$C$136)+(4*'MATERIALES (2)'!$C$137)</f>
        <v>62880</v>
      </c>
      <c r="E121" s="75"/>
      <c r="F121" s="55">
        <f>(A121*0.6)*'MATERIALES (2)'!$D$85</f>
        <v>3996.0000000000005</v>
      </c>
      <c r="G121" s="59">
        <f t="shared" si="34"/>
        <v>341455.37675</v>
      </c>
      <c r="H121" s="67">
        <f t="shared" si="35"/>
        <v>618403.50864304032</v>
      </c>
      <c r="I121" s="787"/>
      <c r="M121" s="68">
        <v>0.9</v>
      </c>
      <c r="N121" s="69">
        <v>2</v>
      </c>
      <c r="O121" s="59">
        <f>(((M121+(2*N121))*'MATERIALES (2)'!$C$60)+((M121+(2*N121))*'MATERIALES (2)'!$C$58)+(M121*'MATERIALES (2)'!$C$62)+(M121*'MATERIALES (2)'!$C$61)+(((M121-0.2)*'MATERIALES (2)'!$C$30)*((N121/2)/0.12))+((((M121*2)+(N121*1))*'MATERIALES (2)'!$C$76)*2)+(((M121*2)+(N121*1))*'MATERIALES (2)'!$C$31)+((M121+(N121/2))*'MATERIALES (2)'!$C$32))*'MATERIALES (2)'!$F$2</f>
        <v>229117.22575000001</v>
      </c>
      <c r="P121" s="59">
        <f>(1*'MATERIALES (2)'!$C$193)+(1*'MATERIALES (2)'!$C$194)+(3*'MATERIALES (2)'!$C$196)+(2*'MATERIALES (2)'!$C$178)+(2*'MATERIALES (2)'!$C$179)+(2*'MATERIALES (2)'!$C$180)+(12*'MATERIALES (2)'!$C$147)+(12*'MATERIALES (2)'!$C$148)+((M121+(2*N121))*'MATERIALES (2)'!$C$199)+((M121+(2*N121))*'MATERIALES (2)'!$C$198)+(((M121*2)+(N121*1))*'MATERIALES (2)'!$C$154)+(((M121*4)+(N121*4))*'MATERIALES (2)'!$C$155)+(((((M121*2)+(N121*1))/0.1)*'MATERIALES (2)'!$C$181)*2)+(2*'MATERIALES (2)'!$C$176)+(0.5*'MATERIALES (2)'!$C$156)+(((M121*5)*2)*'MATERIALES (2)'!$C$136)+(4*'MATERIALES (2)'!$C$137)</f>
        <v>61760</v>
      </c>
      <c r="Q121" s="75"/>
      <c r="R121" s="55">
        <f>(M121*(N121/2))*'MATERIALES (2)'!$D$85</f>
        <v>6660</v>
      </c>
      <c r="S121" s="59">
        <f t="shared" si="36"/>
        <v>297537.22574999998</v>
      </c>
      <c r="T121" s="67">
        <f t="shared" si="37"/>
        <v>541619.82595954405</v>
      </c>
      <c r="U121" s="787"/>
    </row>
    <row r="122" spans="1:46" ht="15.75" thickBot="1">
      <c r="A122" s="68">
        <v>0.6</v>
      </c>
      <c r="B122" s="69">
        <v>2.1</v>
      </c>
      <c r="C122" s="59">
        <f>(((A122+(2*B122))*'MATERIALES (2)'!$C$60)+((A122+(2*B122))*'MATERIALES (2)'!$C$58)+(A122*'MATERIALES (2)'!$C$62)+((A122*1)*'MATERIALES (2)'!$C$61)+((((A122*2)+(B122*2))*'MATERIALES (2)'!$C$76)*2)+(((A122*2)+(0.6*2))*'MATERIALES (2)'!$C$31)+((A122+0.6)*'MATERIALES (2)'!$C$32)+(((A122-0.2)*'MATERIALES (2)'!$C$30)*((B122-0.36)/0.12)))*'MATERIALES (2)'!$F$2</f>
        <v>215787.62099999996</v>
      </c>
      <c r="D122" s="59">
        <f>(1*'MATERIALES (2)'!$C$193)+(1*'MATERIALES (2)'!$C$194)+(3*'MATERIALES (2)'!$C$196)+(2*'MATERIALES (2)'!$C$178)+(2*'MATERIALES (2)'!$C$179)+(2*'MATERIALES (2)'!$C$180)+(12*'MATERIALES (2)'!$C$147)+(12*'MATERIALES (2)'!$C$148)+((A122+(2*B122))*'MATERIALES (2)'!$C$199)+((A122+(2*B122))*'MATERIALES (2)'!$C$198)+(((A122*2)+(B122*2))*'MATERIALES (2)'!$C$154)+(((A122*4)+(0.6*4))*'MATERIALES (2)'!$C$155)+(0.5*'MATERIALES (2)'!$C$156)+(((((A122*2)+(B122*2))/0.1)*'MATERIALES (2)'!$C$181)*2)+(2*'MATERIALES (2)'!$C$176)+(((A122*5)*2)*'MATERIALES (2)'!$C$136)+(4*'MATERIALES (2)'!$C$137)</f>
        <v>62362</v>
      </c>
      <c r="E122" s="75"/>
      <c r="F122" s="55">
        <f>(A122*0.6)*'MATERIALES (2)'!$D$85</f>
        <v>2664</v>
      </c>
      <c r="G122" s="59">
        <f t="shared" si="34"/>
        <v>280813.62099999993</v>
      </c>
      <c r="H122" s="67">
        <f t="shared" si="35"/>
        <v>508036.72520860872</v>
      </c>
      <c r="I122" s="787"/>
      <c r="M122" s="68">
        <v>0.6</v>
      </c>
      <c r="N122" s="69">
        <v>2.1</v>
      </c>
      <c r="O122" s="59">
        <f>(((M122+(2*N122))*'MATERIALES (2)'!$C$60)+((M122+(2*N122))*'MATERIALES (2)'!$C$58)+(M122*'MATERIALES (2)'!$C$62)+(M122*'MATERIALES (2)'!$C$61)+(((M122-0.2)*'MATERIALES (2)'!$C$30)*((N122/2)/0.12))+((((M122*2)+(N122*1))*'MATERIALES (2)'!$C$76)*2)+(((M122*2)+(N122*1))*'MATERIALES (2)'!$C$31)+((M122+(N122/2))*'MATERIALES (2)'!$C$32))*'MATERIALES (2)'!$F$2</f>
        <v>186575.54212499998</v>
      </c>
      <c r="P122" s="59">
        <f>(1*'MATERIALES (2)'!$C$193)+(1*'MATERIALES (2)'!$C$194)+(3*'MATERIALES (2)'!$C$196)+(2*'MATERIALES (2)'!$C$178)+(2*'MATERIALES (2)'!$C$179)+(2*'MATERIALES (2)'!$C$180)+(12*'MATERIALES (2)'!$C$147)+(12*'MATERIALES (2)'!$C$148)+((M122+(2*N122))*'MATERIALES (2)'!$C$199)+((M122+(2*N122))*'MATERIALES (2)'!$C$198)+(((M122*2)+(N122*1))*'MATERIALES (2)'!$C$154)+(((M122*4)+(N122*4))*'MATERIALES (2)'!$C$155)+(((((M122*2)+(N122*1))/0.1)*'MATERIALES (2)'!$C$181)*2)+(2*'MATERIALES (2)'!$C$176)+(0.5*'MATERIALES (2)'!$C$156)+(((M122*5)*2)*'MATERIALES (2)'!$C$136)+(4*'MATERIALES (2)'!$C$137)</f>
        <v>61198</v>
      </c>
      <c r="Q122" s="75"/>
      <c r="R122" s="55">
        <f>(M122*(N122/2))*'MATERIALES (2)'!$D$85</f>
        <v>4662</v>
      </c>
      <c r="S122" s="59">
        <f t="shared" si="36"/>
        <v>252435.54212499998</v>
      </c>
      <c r="T122" s="67">
        <f t="shared" si="37"/>
        <v>458662.18346995924</v>
      </c>
      <c r="U122" s="787"/>
    </row>
    <row r="123" spans="1:46" ht="15.75" thickBot="1">
      <c r="A123" s="68">
        <v>0.7</v>
      </c>
      <c r="B123" s="69">
        <v>2.1</v>
      </c>
      <c r="C123" s="59">
        <f>(((A123+(2*B123))*'MATERIALES (2)'!$C$60)+((A123+(2*B123))*'MATERIALES (2)'!$C$58)+(A123*'MATERIALES (2)'!$C$62)+((A123*1)*'MATERIALES (2)'!$C$61)+((((A123*2)+(B123*2))*'MATERIALES (2)'!$C$76)*2)+(((A123*2)+(0.6*2))*'MATERIALES (2)'!$C$31)+((A123+0.6)*'MATERIALES (2)'!$C$32)+(((A123-0.2)*'MATERIALES (2)'!$C$30)*((B123-0.36)/0.12)))*'MATERIALES (2)'!$F$2</f>
        <v>239195.79074999999</v>
      </c>
      <c r="D123" s="59">
        <f>(1*'MATERIALES (2)'!$C$193)+(1*'MATERIALES (2)'!$C$194)+(3*'MATERIALES (2)'!$C$196)+(2*'MATERIALES (2)'!$C$178)+(2*'MATERIALES (2)'!$C$179)+(2*'MATERIALES (2)'!$C$180)+(12*'MATERIALES (2)'!$C$147)+(12*'MATERIALES (2)'!$C$148)+((A123+(2*B123))*'MATERIALES (2)'!$C$199)+((A123+(2*B123))*'MATERIALES (2)'!$C$198)+(((A123*2)+(B123*2))*'MATERIALES (2)'!$C$154)+(((A123*4)+(0.6*4))*'MATERIALES (2)'!$C$155)+(0.5*'MATERIALES (2)'!$C$156)+(((((A123*2)+(B123*2))/0.1)*'MATERIALES (2)'!$C$181)*2)+(2*'MATERIALES (2)'!$C$176)+(((A123*5)*2)*'MATERIALES (2)'!$C$136)+(4*'MATERIALES (2)'!$C$137)</f>
        <v>62632</v>
      </c>
      <c r="E123" s="75"/>
      <c r="F123" s="55">
        <f>(A123*0.6)*'MATERIALES (2)'!$D$85</f>
        <v>3108</v>
      </c>
      <c r="G123" s="59">
        <f t="shared" si="34"/>
        <v>304935.79074999999</v>
      </c>
      <c r="H123" s="67">
        <f t="shared" si="35"/>
        <v>551864.15444961283</v>
      </c>
      <c r="I123" s="787"/>
      <c r="M123" s="68">
        <v>0.7</v>
      </c>
      <c r="N123" s="69">
        <v>2.1</v>
      </c>
      <c r="O123" s="59">
        <f>(((M123+(2*N123))*'MATERIALES (2)'!$C$60)+((M123+(2*N123))*'MATERIALES (2)'!$C$58)+(M123*'MATERIALES (2)'!$C$62)+(M123*'MATERIALES (2)'!$C$61)+(((M123-0.2)*'MATERIALES (2)'!$C$30)*((N123/2)/0.12))+((((M123*2)+(N123*1))*'MATERIALES (2)'!$C$76)*2)+(((M123*2)+(N123*1))*'MATERIALES (2)'!$C$31)+((M123+(N123/2))*'MATERIALES (2)'!$C$32))*'MATERIALES (2)'!$F$2</f>
        <v>203511.632625</v>
      </c>
      <c r="P123" s="59">
        <f>(1*'MATERIALES (2)'!$C$193)+(1*'MATERIALES (2)'!$C$194)+(3*'MATERIALES (2)'!$C$196)+(2*'MATERIALES (2)'!$C$178)+(2*'MATERIALES (2)'!$C$179)+(2*'MATERIALES (2)'!$C$180)+(12*'MATERIALES (2)'!$C$147)+(12*'MATERIALES (2)'!$C$148)+((M123+(2*N123))*'MATERIALES (2)'!$C$199)+((M123+(2*N123))*'MATERIALES (2)'!$C$198)+(((M123*2)+(N123*1))*'MATERIALES (2)'!$C$154)+(((M123*4)+(N123*4))*'MATERIALES (2)'!$C$155)+(((((M123*2)+(N123*1))/0.1)*'MATERIALES (2)'!$C$181)*2)+(2*'MATERIALES (2)'!$C$176)+(0.5*'MATERIALES (2)'!$C$156)+(((M123*5)*2)*'MATERIALES (2)'!$C$136)+(4*'MATERIALES (2)'!$C$137)</f>
        <v>61468</v>
      </c>
      <c r="Q123" s="75"/>
      <c r="R123" s="55">
        <f>(M123*(N123/2))*'MATERIALES (2)'!$D$85</f>
        <v>5439</v>
      </c>
      <c r="S123" s="59">
        <f t="shared" si="36"/>
        <v>270418.63262499997</v>
      </c>
      <c r="T123" s="67">
        <f t="shared" si="37"/>
        <v>491722.28740696365</v>
      </c>
      <c r="U123" s="787"/>
    </row>
    <row r="124" spans="1:46" ht="15.75" thickBot="1">
      <c r="A124" s="68">
        <v>0.8</v>
      </c>
      <c r="B124" s="69">
        <v>2.1</v>
      </c>
      <c r="C124" s="59">
        <f>(((A124+(2*B124))*'MATERIALES (2)'!$C$60)+((A124+(2*B124))*'MATERIALES (2)'!$C$58)+(A124*'MATERIALES (2)'!$C$62)+((A124*1)*'MATERIALES (2)'!$C$61)+((((A124*2)+(B124*2))*'MATERIALES (2)'!$C$76)*2)+(((A124*2)+(0.6*2))*'MATERIALES (2)'!$C$31)+((A124+0.6)*'MATERIALES (2)'!$C$32)+(((A124-0.2)*'MATERIALES (2)'!$C$30)*((B124-0.36)/0.12)))*'MATERIALES (2)'!$F$2</f>
        <v>262603.96050000004</v>
      </c>
      <c r="D124" s="59">
        <f>(1*'MATERIALES (2)'!$C$193)+(1*'MATERIALES (2)'!$C$194)+(3*'MATERIALES (2)'!$C$196)+(2*'MATERIALES (2)'!$C$178)+(2*'MATERIALES (2)'!$C$179)+(2*'MATERIALES (2)'!$C$180)+(12*'MATERIALES (2)'!$C$147)+(12*'MATERIALES (2)'!$C$148)+((A124+(2*B124))*'MATERIALES (2)'!$C$199)+((A124+(2*B124))*'MATERIALES (2)'!$C$198)+(((A124*2)+(B124*2))*'MATERIALES (2)'!$C$154)+(((A124*4)+(0.6*4))*'MATERIALES (2)'!$C$155)+(0.5*'MATERIALES (2)'!$C$156)+(((((A124*2)+(B124*2))/0.1)*'MATERIALES (2)'!$C$181)*2)+(2*'MATERIALES (2)'!$C$176)+(((A124*5)*2)*'MATERIALES (2)'!$C$136)+(4*'MATERIALES (2)'!$C$137)</f>
        <v>62902</v>
      </c>
      <c r="E124" s="75"/>
      <c r="F124" s="55">
        <f>(A124*0.6)*'MATERIALES (2)'!$D$85</f>
        <v>3552</v>
      </c>
      <c r="G124" s="59">
        <f t="shared" si="34"/>
        <v>329057.96050000004</v>
      </c>
      <c r="H124" s="67">
        <f t="shared" si="35"/>
        <v>595691.583690617</v>
      </c>
      <c r="I124" s="787"/>
      <c r="M124" s="68">
        <v>0.8</v>
      </c>
      <c r="N124" s="69">
        <v>2.1</v>
      </c>
      <c r="O124" s="59">
        <f>(((M124+(2*N124))*'MATERIALES (2)'!$C$60)+((M124+(2*N124))*'MATERIALES (2)'!$C$58)+(M124*'MATERIALES (2)'!$C$62)+(M124*'MATERIALES (2)'!$C$61)+(((M124-0.2)*'MATERIALES (2)'!$C$30)*((N124/2)/0.12))+((((M124*2)+(N124*1))*'MATERIALES (2)'!$C$76)*2)+(((M124*2)+(N124*1))*'MATERIALES (2)'!$C$31)+((M124+(N124/2))*'MATERIALES (2)'!$C$32))*'MATERIALES (2)'!$F$2</f>
        <v>220447.72312500002</v>
      </c>
      <c r="P124" s="59">
        <f>(1*'MATERIALES (2)'!$C$193)+(1*'MATERIALES (2)'!$C$194)+(3*'MATERIALES (2)'!$C$196)+(2*'MATERIALES (2)'!$C$178)+(2*'MATERIALES (2)'!$C$179)+(2*'MATERIALES (2)'!$C$180)+(12*'MATERIALES (2)'!$C$147)+(12*'MATERIALES (2)'!$C$148)+((M124+(2*N124))*'MATERIALES (2)'!$C$199)+((M124+(2*N124))*'MATERIALES (2)'!$C$198)+(((M124*2)+(N124*1))*'MATERIALES (2)'!$C$154)+(((M124*4)+(N124*4))*'MATERIALES (2)'!$C$155)+(((((M124*2)+(N124*1))/0.1)*'MATERIALES (2)'!$C$181)*2)+(2*'MATERIALES (2)'!$C$176)+(0.5*'MATERIALES (2)'!$C$156)+(((M124*5)*2)*'MATERIALES (2)'!$C$136)+(4*'MATERIALES (2)'!$C$137)</f>
        <v>61738</v>
      </c>
      <c r="Q124" s="75"/>
      <c r="R124" s="55">
        <f>(M124*(N124/2))*'MATERIALES (2)'!$D$85</f>
        <v>6216.0000000000009</v>
      </c>
      <c r="S124" s="59">
        <f t="shared" si="36"/>
        <v>288401.72312500002</v>
      </c>
      <c r="T124" s="67">
        <f t="shared" si="37"/>
        <v>524782.39134396811</v>
      </c>
      <c r="U124" s="787"/>
    </row>
    <row r="125" spans="1:46" ht="15.75" thickBot="1">
      <c r="A125" s="71">
        <v>0.9</v>
      </c>
      <c r="B125" s="72">
        <v>2.1</v>
      </c>
      <c r="C125" s="60">
        <f>(((A125+(2*B125))*'MATERIALES (2)'!$C$60)+((A125+(2*B125))*'MATERIALES (2)'!$C$58)+(A125*'MATERIALES (2)'!$C$62)+((A125*1)*'MATERIALES (2)'!$C$61)+((((A125*2)+(B125*2))*'MATERIALES (2)'!$C$76)*2)+(((A125*2)+(0.6*2))*'MATERIALES (2)'!$C$31)+((A125+0.6)*'MATERIALES (2)'!$C$32)+(((A125-0.2)*'MATERIALES (2)'!$C$30)*((B125-0.36)/0.12)))*'MATERIALES (2)'!$F$2</f>
        <v>286012.13025000005</v>
      </c>
      <c r="D125" s="60">
        <f>(1*'MATERIALES (2)'!$C$193)+(1*'MATERIALES (2)'!$C$194)+(3*'MATERIALES (2)'!$C$196)+(2*'MATERIALES (2)'!$C$178)+(2*'MATERIALES (2)'!$C$179)+(2*'MATERIALES (2)'!$C$180)+(12*'MATERIALES (2)'!$C$147)+(12*'MATERIALES (2)'!$C$148)+((A125+(2*B125))*'MATERIALES (2)'!$C$199)+((A125+(2*B125))*'MATERIALES (2)'!$C$198)+(((A125*2)+(B125*2))*'MATERIALES (2)'!$C$154)+(((A125*4)+(0.6*4))*'MATERIALES (2)'!$C$155)+(0.5*'MATERIALES (2)'!$C$156)+(((((A125*2)+(B125*2))/0.1)*'MATERIALES (2)'!$C$181)*2)+(2*'MATERIALES (2)'!$C$176)+(((A125*5)*2)*'MATERIALES (2)'!$C$136)+(4*'MATERIALES (2)'!$C$137)</f>
        <v>63172</v>
      </c>
      <c r="E125" s="76"/>
      <c r="F125" s="56">
        <f>(A125*0.6)*'MATERIALES (2)'!$D$85</f>
        <v>3996.0000000000005</v>
      </c>
      <c r="G125" s="60">
        <f t="shared" si="34"/>
        <v>353180.13025000005</v>
      </c>
      <c r="H125" s="67">
        <f t="shared" si="35"/>
        <v>639519.01293162105</v>
      </c>
      <c r="I125" s="788"/>
      <c r="M125" s="71">
        <v>0.9</v>
      </c>
      <c r="N125" s="72">
        <v>2.1</v>
      </c>
      <c r="O125" s="60">
        <f>(((M125+(2*N125))*'MATERIALES (2)'!$C$60)+((M125+(2*N125))*'MATERIALES (2)'!$C$58)+(M125*'MATERIALES (2)'!$C$62)+(M125*'MATERIALES (2)'!$C$61)+(((M125-0.2)*'MATERIALES (2)'!$C$30)*((N125/2)/0.12))+((((M125*2)+(N125*1))*'MATERIALES (2)'!$C$76)*2)+(((M125*2)+(N125*1))*'MATERIALES (2)'!$C$31)+((M125+(N125/2))*'MATERIALES (2)'!$C$32))*'MATERIALES (2)'!$F$2</f>
        <v>237383.81362500007</v>
      </c>
      <c r="P125" s="60">
        <f>(1*'MATERIALES (2)'!$C$193)+(1*'MATERIALES (2)'!$C$194)+(3*'MATERIALES (2)'!$C$196)+(2*'MATERIALES (2)'!$C$178)+(2*'MATERIALES (2)'!$C$179)+(2*'MATERIALES (2)'!$C$180)+(12*'MATERIALES (2)'!$C$147)+(12*'MATERIALES (2)'!$C$148)+((M125+(2*N125))*'MATERIALES (2)'!$C$199)+((M125+(2*N125))*'MATERIALES (2)'!$C$198)+(((M125*2)+(N125*1))*'MATERIALES (2)'!$C$154)+(((M125*4)+(N125*4))*'MATERIALES (2)'!$C$155)+(((((M125*2)+(N125*1))/0.1)*'MATERIALES (2)'!$C$181)*2)+(2*'MATERIALES (2)'!$C$176)+(0.5*'MATERIALES (2)'!$C$156)+(((M125*5)*2)*'MATERIALES (2)'!$C$136)+(4*'MATERIALES (2)'!$C$137)</f>
        <v>62008</v>
      </c>
      <c r="Q125" s="76"/>
      <c r="R125" s="56">
        <f>(M125*(N125/2))*'MATERIALES (2)'!$D$85</f>
        <v>6993.0000000000009</v>
      </c>
      <c r="S125" s="60">
        <f t="shared" si="36"/>
        <v>306384.81362500007</v>
      </c>
      <c r="T125" s="67">
        <f t="shared" si="37"/>
        <v>557842.49528097257</v>
      </c>
      <c r="U125" s="788"/>
    </row>
    <row r="126" spans="1:46">
      <c r="U126" s="95"/>
    </row>
    <row r="128" spans="1:46" s="492" customFormat="1">
      <c r="AJ128"/>
      <c r="AK128"/>
      <c r="AL128"/>
      <c r="AM128"/>
      <c r="AN128"/>
      <c r="AO128"/>
      <c r="AP128"/>
      <c r="AQ128"/>
      <c r="AR128"/>
      <c r="AS128"/>
      <c r="AT128"/>
    </row>
    <row r="130" spans="1:46" ht="15.75" thickBot="1"/>
    <row r="131" spans="1:46" ht="15.75" thickBot="1">
      <c r="A131" s="32"/>
      <c r="B131" s="32"/>
      <c r="C131" s="807">
        <v>1.35</v>
      </c>
      <c r="D131" s="808"/>
      <c r="E131" s="809"/>
      <c r="F131" s="545">
        <v>2</v>
      </c>
      <c r="G131" s="32"/>
      <c r="H131" s="46" t="s">
        <v>163</v>
      </c>
      <c r="M131" s="32"/>
      <c r="N131" s="32"/>
      <c r="O131" s="807">
        <v>1.35</v>
      </c>
      <c r="P131" s="808"/>
      <c r="Q131" s="808"/>
      <c r="R131" s="809"/>
      <c r="S131" s="32"/>
      <c r="T131" s="46" t="s">
        <v>163</v>
      </c>
    </row>
    <row r="132" spans="1:46" ht="15.75" thickBot="1">
      <c r="A132" s="792" t="s">
        <v>715</v>
      </c>
      <c r="B132" s="793"/>
      <c r="C132" s="793"/>
      <c r="D132" s="793"/>
      <c r="E132" s="793"/>
      <c r="F132" s="793"/>
      <c r="G132" s="793"/>
      <c r="H132" s="794"/>
      <c r="M132" s="792" t="s">
        <v>208</v>
      </c>
      <c r="N132" s="793"/>
      <c r="O132" s="793"/>
      <c r="P132" s="793"/>
      <c r="Q132" s="793"/>
      <c r="R132" s="793"/>
      <c r="S132" s="793"/>
      <c r="T132" s="794"/>
    </row>
    <row r="133" spans="1:46" ht="15.75" thickBot="1">
      <c r="A133" s="36" t="s">
        <v>116</v>
      </c>
      <c r="B133" s="36" t="s">
        <v>117</v>
      </c>
      <c r="C133" s="36" t="s">
        <v>162</v>
      </c>
      <c r="D133" s="36" t="s">
        <v>119</v>
      </c>
      <c r="E133" s="36" t="s">
        <v>120</v>
      </c>
      <c r="F133" s="36" t="s">
        <v>118</v>
      </c>
      <c r="G133" s="36" t="s">
        <v>121</v>
      </c>
      <c r="H133" s="36" t="s">
        <v>122</v>
      </c>
      <c r="M133" s="36" t="s">
        <v>116</v>
      </c>
      <c r="N133" s="36" t="s">
        <v>117</v>
      </c>
      <c r="O133" s="36" t="s">
        <v>162</v>
      </c>
      <c r="P133" s="36" t="s">
        <v>119</v>
      </c>
      <c r="Q133" s="36" t="s">
        <v>120</v>
      </c>
      <c r="R133" s="36" t="s">
        <v>207</v>
      </c>
      <c r="S133" s="36" t="s">
        <v>121</v>
      </c>
      <c r="T133" s="36" t="s">
        <v>122</v>
      </c>
    </row>
    <row r="134" spans="1:46" ht="15.75" thickBot="1">
      <c r="A134" s="795"/>
      <c r="B134" s="796"/>
      <c r="C134" s="796"/>
      <c r="D134" s="796"/>
      <c r="E134" s="796"/>
      <c r="F134" s="796"/>
      <c r="G134" s="796"/>
      <c r="H134" s="797"/>
      <c r="M134" s="795"/>
      <c r="N134" s="796"/>
      <c r="O134" s="796"/>
      <c r="P134" s="796"/>
      <c r="Q134" s="796"/>
      <c r="R134" s="796"/>
      <c r="S134" s="796"/>
      <c r="T134" s="797"/>
      <c r="AJ134" s="492"/>
      <c r="AK134" s="492"/>
      <c r="AL134" s="492"/>
      <c r="AM134" s="492"/>
      <c r="AN134" s="492"/>
      <c r="AO134" s="492"/>
      <c r="AP134" s="492"/>
      <c r="AQ134" s="492"/>
      <c r="AR134" s="492"/>
      <c r="AS134" s="492"/>
      <c r="AT134" s="492"/>
    </row>
    <row r="135" spans="1:46" ht="15.75" thickBot="1">
      <c r="A135" s="65">
        <v>0.6</v>
      </c>
      <c r="B135" s="66">
        <v>2</v>
      </c>
      <c r="C135" s="58">
        <f>(((A135+(2*B135))*'MATERIALES (2)'!$C$60)+((A135+(2*B135))*'MATERIALES (2)'!$C$58)+(A135*'MATERIALES (2)'!$C$62)+((((A135*2)+(B135*2))*'MATERIALES (2)'!$C$76)*2))*'MATERIALES (2)'!$F$2</f>
        <v>126224.34299999999</v>
      </c>
      <c r="D135" s="58">
        <f>(1*'MATERIALES (2)'!$C$193)+(1*'MATERIALES (2)'!$C$194)+(3*'MATERIALES (2)'!$C$196)+(2*'MATERIALES (2)'!$C$178)+(2*'MATERIALES (2)'!$C$179)+(2*'MATERIALES (2)'!$C$180)+(4*'MATERIALES (2)'!$C$147)+(4*'MATERIALES (2)'!$C$148)+((A135+(2*B135))*'MATERIALES (2)'!$C$199)+((A135+(2*B135))*'MATERIALES (2)'!$C$198)+(((A135*2)+(B135*2))*'MATERIALES (2)'!$C$130)+(((((A135*2)+(B135*2))/0.1)*'MATERIALES (2)'!$C$181)*2)+(2*'MATERIALES (2)'!$C$176)+(((A135*5)*2)*'MATERIALES (2)'!$C$136)+(4*'MATERIALES (2)'!$C$137)</f>
        <v>56070</v>
      </c>
      <c r="E135" s="74"/>
      <c r="F135" s="54">
        <f>(A135*B135)*'MATERIALES (2)'!$D$92</f>
        <v>43380</v>
      </c>
      <c r="G135" s="58">
        <f>SUM(C135:F135)</f>
        <v>225674.34299999999</v>
      </c>
      <c r="H135" s="67">
        <f>((((SUM(C135:E135)*$C$131)+(F135*$F$131))*1.21)*1.05)*1.05</f>
        <v>444040.04374277632</v>
      </c>
      <c r="M135" s="65">
        <v>0.6</v>
      </c>
      <c r="N135" s="66">
        <v>2</v>
      </c>
      <c r="O135" s="58">
        <f>(((M135+(2*N135))*'MATERIALES (2)'!$C$60)+((M135+(2*N135))*'MATERIALES (2)'!$C$58)+(M135*'MATERIALES (2)'!$C$62)+((((M135*2)+(N135*2))*'MATERIALES (2)'!$C$76)*2))*'MATERIALES (2)'!$F$2</f>
        <v>126224.34299999999</v>
      </c>
      <c r="P135" s="58">
        <f>(1*'MATERIALES (2)'!$C$193)+(1*'MATERIALES (2)'!$C$194)+(3*'MATERIALES (2)'!$C$196)+(2*'MATERIALES (2)'!$C$178)+(2*'MATERIALES (2)'!$C$179)+(2*'MATERIALES (2)'!$C$180)+(4*'MATERIALES (2)'!$C$147)+(4*'MATERIALES (2)'!$C$148)+((M135+(2*N135))*'MATERIALES (2)'!$C$199)+((M135+(2*N135))*'MATERIALES (2)'!$C$198)+(((M135*2)+(N135*2))*'MATERIALES (2)'!$C$154)+(0.5*'MATERIALES (2)'!$C$156)+(((((M135*2)+(N135*2))/0.1)*'MATERIALES (2)'!$C$181)*2)+(2*'MATERIALES (2)'!$C$176)+(((M135*5)*2)*'MATERIALES (2)'!$C$136)+(4*'MATERIALES (2)'!$C$137)</f>
        <v>60070</v>
      </c>
      <c r="Q135" s="74"/>
      <c r="R135" s="54">
        <f>(((M135-0.2)*'MATERIALES (2)'!$C$30)*(N135/0.12))*'MATERIALES (2)'!$F$2</f>
        <v>75038.599999999991</v>
      </c>
      <c r="S135" s="58">
        <f>SUM(O135:R135)</f>
        <v>261332.94299999997</v>
      </c>
      <c r="T135" s="67">
        <f>((((SUM(O135:R135)*$O$131))*1.21)*1.05)*1.05</f>
        <v>470643.31703552627</v>
      </c>
    </row>
    <row r="136" spans="1:46" ht="15.75" thickBot="1">
      <c r="A136" s="68">
        <v>0.7</v>
      </c>
      <c r="B136" s="69">
        <v>2</v>
      </c>
      <c r="C136" s="59">
        <f>(((A136+(2*B136))*'MATERIALES (2)'!$C$60)+((A136+(2*B136))*'MATERIALES (2)'!$C$58)+(A136*'MATERIALES (2)'!$C$62)+((((A136*2)+(B136*2))*'MATERIALES (2)'!$C$76)*2))*'MATERIALES (2)'!$F$2</f>
        <v>131038.8135</v>
      </c>
      <c r="D136" s="59">
        <f>(1*'MATERIALES (2)'!$C$193)+(1*'MATERIALES (2)'!$C$194)+(3*'MATERIALES (2)'!$C$196)+(2*'MATERIALES (2)'!$C$178)+(2*'MATERIALES (2)'!$C$179)+(2*'MATERIALES (2)'!$C$180)+(4*'MATERIALES (2)'!$C$147)+(4*'MATERIALES (2)'!$C$148)+((A136+(2*B136))*'MATERIALES (2)'!$C$199)+((A136+(2*B136))*'MATERIALES (2)'!$C$198)+(((A136*2)+(B136*2))*'MATERIALES (2)'!$C$130)+(((((A136*2)+(B136*2))/0.1)*'MATERIALES (2)'!$C$181)*2)+(2*'MATERIALES (2)'!$C$176)+(((A136*5)*2)*'MATERIALES (2)'!$C$136)+(4*'MATERIALES (2)'!$C$137)</f>
        <v>56300</v>
      </c>
      <c r="E136" s="75"/>
      <c r="F136" s="55">
        <f>(A136*B136)*'MATERIALES (2)'!$D$92</f>
        <v>50610</v>
      </c>
      <c r="G136" s="59">
        <f t="shared" ref="G136:G142" si="38">SUM(C136:F136)</f>
        <v>237948.81349999999</v>
      </c>
      <c r="H136" s="67">
        <f t="shared" ref="H136:H142" si="39">((((SUM(C136:E136)*$C$131)+(F136*$F$131))*1.21)*1.05)*1.05</f>
        <v>472414.80241710565</v>
      </c>
      <c r="M136" s="68">
        <v>0.7</v>
      </c>
      <c r="N136" s="69">
        <v>2</v>
      </c>
      <c r="O136" s="59">
        <f>(((M136+(2*N136))*'MATERIALES (2)'!$C$60)+((M136+(2*N136))*'MATERIALES (2)'!$C$58)+(M136*'MATERIALES (2)'!$C$62)+((((M136*2)+(N136*2))*'MATERIALES (2)'!$C$76)*2))*'MATERIALES (2)'!$F$2</f>
        <v>131038.8135</v>
      </c>
      <c r="P136" s="59">
        <f>(1*'MATERIALES (2)'!$C$193)+(1*'MATERIALES (2)'!$C$194)+(3*'MATERIALES (2)'!$C$196)+(2*'MATERIALES (2)'!$C$178)+(2*'MATERIALES (2)'!$C$179)+(2*'MATERIALES (2)'!$C$180)+(4*'MATERIALES (2)'!$C$147)+(4*'MATERIALES (2)'!$C$148)+((M136+(2*N136))*'MATERIALES (2)'!$C$199)+((M136+(2*N136))*'MATERIALES (2)'!$C$198)+(((M136*2)+(N136*2))*'MATERIALES (2)'!$C$154)+(0.5*'MATERIALES (2)'!$C$156)+(((((M136*2)+(N136*2))/0.1)*'MATERIALES (2)'!$C$181)*2)+(2*'MATERIALES (2)'!$C$176)+(((M136*5)*2)*'MATERIALES (2)'!$C$136)+(4*'MATERIALES (2)'!$C$137)</f>
        <v>60300</v>
      </c>
      <c r="Q136" s="75"/>
      <c r="R136" s="55">
        <f>(((M136-0.2)*'MATERIALES (2)'!$C$30)*(N136/0.12))*'MATERIALES (2)'!$F$2</f>
        <v>93798.249999999985</v>
      </c>
      <c r="S136" s="59">
        <f t="shared" ref="S136:S142" si="40">SUM(O136:R136)</f>
        <v>285137.06349999999</v>
      </c>
      <c r="T136" s="67">
        <f t="shared" ref="T136:T142" si="41">((((SUM(O136:R136)*$O$131))*1.21)*1.05)*1.05</f>
        <v>513512.96103304316</v>
      </c>
    </row>
    <row r="137" spans="1:46" ht="15.75" thickBot="1">
      <c r="A137" s="68">
        <v>0.8</v>
      </c>
      <c r="B137" s="69">
        <v>2</v>
      </c>
      <c r="C137" s="59">
        <f>(((A137+(2*B137))*'MATERIALES (2)'!$C$60)+((A137+(2*B137))*'MATERIALES (2)'!$C$58)+(A137*'MATERIALES (2)'!$C$62)+((((A137*2)+(B137*2))*'MATERIALES (2)'!$C$76)*2))*'MATERIALES (2)'!$F$2</f>
        <v>135853.28399999999</v>
      </c>
      <c r="D137" s="59">
        <f>(1*'MATERIALES (2)'!$C$193)+(1*'MATERIALES (2)'!$C$194)+(3*'MATERIALES (2)'!$C$196)+(2*'MATERIALES (2)'!$C$178)+(2*'MATERIALES (2)'!$C$179)+(2*'MATERIALES (2)'!$C$180)+(4*'MATERIALES (2)'!$C$147)+(4*'MATERIALES (2)'!$C$148)+((A137+(2*B137))*'MATERIALES (2)'!$C$199)+((A137+(2*B137))*'MATERIALES (2)'!$C$198)+(((A137*2)+(B137*2))*'MATERIALES (2)'!$C$130)+(((((A137*2)+(B137*2))/0.1)*'MATERIALES (2)'!$C$181)*2)+(2*'MATERIALES (2)'!$C$176)+(((A137*5)*2)*'MATERIALES (2)'!$C$136)+(4*'MATERIALES (2)'!$C$137)</f>
        <v>56530</v>
      </c>
      <c r="E137" s="75"/>
      <c r="F137" s="55">
        <f>(A137*B137)*'MATERIALES (2)'!$D$92</f>
        <v>57840</v>
      </c>
      <c r="G137" s="59">
        <f t="shared" si="38"/>
        <v>250223.28399999999</v>
      </c>
      <c r="H137" s="67">
        <f t="shared" si="39"/>
        <v>500789.56109143503</v>
      </c>
      <c r="M137" s="68">
        <v>0.8</v>
      </c>
      <c r="N137" s="69">
        <v>2</v>
      </c>
      <c r="O137" s="59">
        <f>(((M137+(2*N137))*'MATERIALES (2)'!$C$60)+((M137+(2*N137))*'MATERIALES (2)'!$C$58)+(M137*'MATERIALES (2)'!$C$62)+((((M137*2)+(N137*2))*'MATERIALES (2)'!$C$76)*2))*'MATERIALES (2)'!$F$2</f>
        <v>135853.28399999999</v>
      </c>
      <c r="P137" s="59">
        <f>(1*'MATERIALES (2)'!$C$193)+(1*'MATERIALES (2)'!$C$194)+(3*'MATERIALES (2)'!$C$196)+(2*'MATERIALES (2)'!$C$178)+(2*'MATERIALES (2)'!$C$179)+(2*'MATERIALES (2)'!$C$180)+(4*'MATERIALES (2)'!$C$147)+(4*'MATERIALES (2)'!$C$148)+((M137+(2*N137))*'MATERIALES (2)'!$C$199)+((M137+(2*N137))*'MATERIALES (2)'!$C$198)+(((M137*2)+(N137*2))*'MATERIALES (2)'!$C$154)+(0.5*'MATERIALES (2)'!$C$156)+(((((M137*2)+(N137*2))/0.1)*'MATERIALES (2)'!$C$181)*2)+(2*'MATERIALES (2)'!$C$176)+(((M137*5)*2)*'MATERIALES (2)'!$C$136)+(4*'MATERIALES (2)'!$C$137)</f>
        <v>60530</v>
      </c>
      <c r="Q137" s="75"/>
      <c r="R137" s="55">
        <f>(((M137-0.2)*'MATERIALES (2)'!$C$30)*(N137/0.12))*'MATERIALES (2)'!$F$2</f>
        <v>112557.90000000002</v>
      </c>
      <c r="S137" s="59">
        <f t="shared" si="40"/>
        <v>308941.18400000001</v>
      </c>
      <c r="T137" s="67">
        <f t="shared" si="41"/>
        <v>556382.60503056005</v>
      </c>
    </row>
    <row r="138" spans="1:46" ht="15.75" thickBot="1">
      <c r="A138" s="68">
        <v>0.9</v>
      </c>
      <c r="B138" s="69">
        <v>2</v>
      </c>
      <c r="C138" s="59">
        <f>(((A138+(2*B138))*'MATERIALES (2)'!$C$60)+((A138+(2*B138))*'MATERIALES (2)'!$C$58)+(A138*'MATERIALES (2)'!$C$62)+((((A138*2)+(B138*2))*'MATERIALES (2)'!$C$76)*2))*'MATERIALES (2)'!$F$2</f>
        <v>140667.75450000001</v>
      </c>
      <c r="D138" s="59">
        <f>(1*'MATERIALES (2)'!$C$193)+(1*'MATERIALES (2)'!$C$194)+(3*'MATERIALES (2)'!$C$196)+(2*'MATERIALES (2)'!$C$178)+(2*'MATERIALES (2)'!$C$179)+(2*'MATERIALES (2)'!$C$180)+(4*'MATERIALES (2)'!$C$147)+(4*'MATERIALES (2)'!$C$148)+((A138+(2*B138))*'MATERIALES (2)'!$C$199)+((A138+(2*B138))*'MATERIALES (2)'!$C$198)+(((A138*2)+(B138*2))*'MATERIALES (2)'!$C$130)+(((((A138*2)+(B138*2))/0.1)*'MATERIALES (2)'!$C$181)*2)+(2*'MATERIALES (2)'!$C$176)+(((A138*5)*2)*'MATERIALES (2)'!$C$136)+(4*'MATERIALES (2)'!$C$137)</f>
        <v>56760</v>
      </c>
      <c r="E138" s="75"/>
      <c r="F138" s="55">
        <f>(A138*B138)*'MATERIALES (2)'!$D$92</f>
        <v>65070</v>
      </c>
      <c r="G138" s="59">
        <f t="shared" si="38"/>
        <v>262497.75450000004</v>
      </c>
      <c r="H138" s="67">
        <f t="shared" si="39"/>
        <v>529164.31976576441</v>
      </c>
      <c r="M138" s="68">
        <v>0.9</v>
      </c>
      <c r="N138" s="69">
        <v>2</v>
      </c>
      <c r="O138" s="59">
        <f>(((M138+(2*N138))*'MATERIALES (2)'!$C$60)+((M138+(2*N138))*'MATERIALES (2)'!$C$58)+(M138*'MATERIALES (2)'!$C$62)+((((M138*2)+(N138*2))*'MATERIALES (2)'!$C$76)*2))*'MATERIALES (2)'!$F$2</f>
        <v>140667.75450000001</v>
      </c>
      <c r="P138" s="59">
        <f>(1*'MATERIALES (2)'!$C$193)+(1*'MATERIALES (2)'!$C$194)+(3*'MATERIALES (2)'!$C$196)+(2*'MATERIALES (2)'!$C$178)+(2*'MATERIALES (2)'!$C$179)+(2*'MATERIALES (2)'!$C$180)+(4*'MATERIALES (2)'!$C$147)+(4*'MATERIALES (2)'!$C$148)+((M138+(2*N138))*'MATERIALES (2)'!$C$199)+((M138+(2*N138))*'MATERIALES (2)'!$C$198)+(((M138*2)+(N138*2))*'MATERIALES (2)'!$C$154)+(0.5*'MATERIALES (2)'!$C$156)+(((((M138*2)+(N138*2))/0.1)*'MATERIALES (2)'!$C$181)*2)+(2*'MATERIALES (2)'!$C$176)+(((M138*5)*2)*'MATERIALES (2)'!$C$136)+(4*'MATERIALES (2)'!$C$137)</f>
        <v>60760</v>
      </c>
      <c r="Q138" s="75"/>
      <c r="R138" s="55">
        <f>(((M138-0.2)*'MATERIALES (2)'!$C$30)*(N138/0.12))*'MATERIALES (2)'!$F$2</f>
        <v>131317.55000000002</v>
      </c>
      <c r="S138" s="59">
        <f t="shared" si="40"/>
        <v>332745.30450000003</v>
      </c>
      <c r="T138" s="67">
        <f t="shared" si="41"/>
        <v>599252.249028077</v>
      </c>
    </row>
    <row r="139" spans="1:46" ht="15.75" thickBot="1">
      <c r="A139" s="68">
        <v>0.6</v>
      </c>
      <c r="B139" s="69">
        <v>2.1</v>
      </c>
      <c r="C139" s="59">
        <f>(((A139+(2*B139))*'MATERIALES (2)'!$C$60)+((A139+(2*B139))*'MATERIALES (2)'!$C$58)+(A139*'MATERIALES (2)'!$C$62)+((((A139*2)+(B139*2))*'MATERIALES (2)'!$C$76)*2))*'MATERIALES (2)'!$F$2</f>
        <v>131091.21899999998</v>
      </c>
      <c r="D139" s="59">
        <f>(1*'MATERIALES (2)'!$C$193)+(1*'MATERIALES (2)'!$C$194)+(3*'MATERIALES (2)'!$C$196)+(2*'MATERIALES (2)'!$C$178)+(2*'MATERIALES (2)'!$C$179)+(2*'MATERIALES (2)'!$C$180)+(4*'MATERIALES (2)'!$C$147)+(4*'MATERIALES (2)'!$C$148)+((A139+(2*B139))*'MATERIALES (2)'!$C$199)+((A139+(2*B139))*'MATERIALES (2)'!$C$198)+(((A139*2)+(B139*2))*'MATERIALES (2)'!$C$130)+(((((A139*2)+(B139*2))/0.1)*'MATERIALES (2)'!$C$181)*2)+(2*'MATERIALES (2)'!$C$176)+(((A139*5)*2)*'MATERIALES (2)'!$C$136)+(4*'MATERIALES (2)'!$C$137)</f>
        <v>56362</v>
      </c>
      <c r="E139" s="75"/>
      <c r="F139" s="55">
        <f>(A139*B139)*'MATERIALES (2)'!$D$92</f>
        <v>45549</v>
      </c>
      <c r="G139" s="59">
        <f t="shared" si="38"/>
        <v>233002.21899999998</v>
      </c>
      <c r="H139" s="67">
        <f t="shared" si="39"/>
        <v>459117.83809324139</v>
      </c>
      <c r="M139" s="68">
        <v>0.6</v>
      </c>
      <c r="N139" s="69">
        <v>2.1</v>
      </c>
      <c r="O139" s="59">
        <f>(((M139+(2*N139))*'MATERIALES (2)'!$C$60)+((M139+(2*N139))*'MATERIALES (2)'!$C$58)+(M139*'MATERIALES (2)'!$C$62)+((((M139*2)+(N139*2))*'MATERIALES (2)'!$C$76)*2))*'MATERIALES (2)'!$F$2</f>
        <v>131091.21899999998</v>
      </c>
      <c r="P139" s="59">
        <f>(1*'MATERIALES (2)'!$C$193)+(1*'MATERIALES (2)'!$C$194)+(3*'MATERIALES (2)'!$C$196)+(2*'MATERIALES (2)'!$C$178)+(2*'MATERIALES (2)'!$C$179)+(2*'MATERIALES (2)'!$C$180)+(4*'MATERIALES (2)'!$C$147)+(4*'MATERIALES (2)'!$C$148)+((M139+(2*N139))*'MATERIALES (2)'!$C$199)+((M139+(2*N139))*'MATERIALES (2)'!$C$198)+(((M139*2)+(N139*2))*'MATERIALES (2)'!$C$154)+(0.5*'MATERIALES (2)'!$C$156)+(((((M139*2)+(N139*2))/0.1)*'MATERIALES (2)'!$C$181)*2)+(2*'MATERIALES (2)'!$C$176)+(((M139*5)*2)*'MATERIALES (2)'!$C$136)+(4*'MATERIALES (2)'!$C$137)</f>
        <v>60362</v>
      </c>
      <c r="Q139" s="75"/>
      <c r="R139" s="55">
        <f>(((M139-0.2)*'MATERIALES (2)'!$C$30)*(N139/0.12))*'MATERIALES (2)'!$F$2</f>
        <v>78790.529999999984</v>
      </c>
      <c r="S139" s="59">
        <f t="shared" si="40"/>
        <v>270243.74899999995</v>
      </c>
      <c r="T139" s="67">
        <f t="shared" si="41"/>
        <v>486691.0883006287</v>
      </c>
    </row>
    <row r="140" spans="1:46" ht="15.75" thickBot="1">
      <c r="A140" s="68">
        <v>0.7</v>
      </c>
      <c r="B140" s="69">
        <v>2.1</v>
      </c>
      <c r="C140" s="59">
        <f>(((A140+(2*B140))*'MATERIALES (2)'!$C$60)+((A140+(2*B140))*'MATERIALES (2)'!$C$58)+(A140*'MATERIALES (2)'!$C$62)+((((A140*2)+(B140*2))*'MATERIALES (2)'!$C$76)*2))*'MATERIALES (2)'!$F$2</f>
        <v>135905.68949999998</v>
      </c>
      <c r="D140" s="59">
        <f>(1*'MATERIALES (2)'!$C$193)+(1*'MATERIALES (2)'!$C$194)+(3*'MATERIALES (2)'!$C$196)+(2*'MATERIALES (2)'!$C$178)+(2*'MATERIALES (2)'!$C$179)+(2*'MATERIALES (2)'!$C$180)+(4*'MATERIALES (2)'!$C$147)+(4*'MATERIALES (2)'!$C$148)+((A140+(2*B140))*'MATERIALES (2)'!$C$199)+((A140+(2*B140))*'MATERIALES (2)'!$C$198)+(((A140*2)+(B140*2))*'MATERIALES (2)'!$C$130)+(((((A140*2)+(B140*2))/0.1)*'MATERIALES (2)'!$C$181)*2)+(2*'MATERIALES (2)'!$C$176)+(((A140*5)*2)*'MATERIALES (2)'!$C$136)+(4*'MATERIALES (2)'!$C$137)</f>
        <v>56592</v>
      </c>
      <c r="E140" s="75"/>
      <c r="F140" s="55">
        <f>(A140*B140)*'MATERIALES (2)'!$D$92</f>
        <v>53140.5</v>
      </c>
      <c r="G140" s="59">
        <f t="shared" si="38"/>
        <v>245638.18949999998</v>
      </c>
      <c r="H140" s="67">
        <f t="shared" si="39"/>
        <v>488457.0968425707</v>
      </c>
      <c r="M140" s="68">
        <v>0.7</v>
      </c>
      <c r="N140" s="69">
        <v>2.1</v>
      </c>
      <c r="O140" s="59">
        <f>(((M140+(2*N140))*'MATERIALES (2)'!$C$60)+((M140+(2*N140))*'MATERIALES (2)'!$C$58)+(M140*'MATERIALES (2)'!$C$62)+((((M140*2)+(N140*2))*'MATERIALES (2)'!$C$76)*2))*'MATERIALES (2)'!$F$2</f>
        <v>135905.68949999998</v>
      </c>
      <c r="P140" s="59">
        <f>(1*'MATERIALES (2)'!$C$193)+(1*'MATERIALES (2)'!$C$194)+(3*'MATERIALES (2)'!$C$196)+(2*'MATERIALES (2)'!$C$178)+(2*'MATERIALES (2)'!$C$179)+(2*'MATERIALES (2)'!$C$180)+(4*'MATERIALES (2)'!$C$147)+(4*'MATERIALES (2)'!$C$148)+((M140+(2*N140))*'MATERIALES (2)'!$C$199)+((M140+(2*N140))*'MATERIALES (2)'!$C$198)+(((M140*2)+(N140*2))*'MATERIALES (2)'!$C$154)+(0.5*'MATERIALES (2)'!$C$156)+(((((M140*2)+(N140*2))/0.1)*'MATERIALES (2)'!$C$181)*2)+(2*'MATERIALES (2)'!$C$176)+(((M140*5)*2)*'MATERIALES (2)'!$C$136)+(4*'MATERIALES (2)'!$C$137)</f>
        <v>60592</v>
      </c>
      <c r="Q140" s="75"/>
      <c r="R140" s="55">
        <f>(((M140-0.2)*'MATERIALES (2)'!$C$30)*(N140/0.12))*'MATERIALES (2)'!$F$2</f>
        <v>98488.162499999991</v>
      </c>
      <c r="S140" s="59">
        <f t="shared" si="40"/>
        <v>294985.85199999996</v>
      </c>
      <c r="T140" s="67">
        <f t="shared" si="41"/>
        <v>531249.97663930501</v>
      </c>
    </row>
    <row r="141" spans="1:46" ht="15.75" thickBot="1">
      <c r="A141" s="68">
        <v>0.8</v>
      </c>
      <c r="B141" s="69">
        <v>2.1</v>
      </c>
      <c r="C141" s="59">
        <f>(((A141+(2*B141))*'MATERIALES (2)'!$C$60)+((A141+(2*B141))*'MATERIALES (2)'!$C$58)+(A141*'MATERIALES (2)'!$C$62)+((((A141*2)+(B141*2))*'MATERIALES (2)'!$C$76)*2))*'MATERIALES (2)'!$F$2</f>
        <v>140720.16</v>
      </c>
      <c r="D141" s="59">
        <f>(1*'MATERIALES (2)'!$C$193)+(1*'MATERIALES (2)'!$C$194)+(3*'MATERIALES (2)'!$C$196)+(2*'MATERIALES (2)'!$C$178)+(2*'MATERIALES (2)'!$C$179)+(2*'MATERIALES (2)'!$C$180)+(4*'MATERIALES (2)'!$C$147)+(4*'MATERIALES (2)'!$C$148)+((A141+(2*B141))*'MATERIALES (2)'!$C$199)+((A141+(2*B141))*'MATERIALES (2)'!$C$198)+(((A141*2)+(B141*2))*'MATERIALES (2)'!$C$130)+(((((A141*2)+(B141*2))/0.1)*'MATERIALES (2)'!$C$181)*2)+(2*'MATERIALES (2)'!$C$176)+(((A141*5)*2)*'MATERIALES (2)'!$C$136)+(4*'MATERIALES (2)'!$C$137)</f>
        <v>56822</v>
      </c>
      <c r="E141" s="75"/>
      <c r="F141" s="55">
        <f>(A141*B141)*'MATERIALES (2)'!$D$92</f>
        <v>60732.000000000007</v>
      </c>
      <c r="G141" s="59">
        <f t="shared" si="38"/>
        <v>258274.16</v>
      </c>
      <c r="H141" s="67">
        <f t="shared" si="39"/>
        <v>517796.35559190006</v>
      </c>
      <c r="M141" s="68">
        <v>0.8</v>
      </c>
      <c r="N141" s="69">
        <v>2.1</v>
      </c>
      <c r="O141" s="59">
        <f>(((M141+(2*N141))*'MATERIALES (2)'!$C$60)+((M141+(2*N141))*'MATERIALES (2)'!$C$58)+(M141*'MATERIALES (2)'!$C$62)+((((M141*2)+(N141*2))*'MATERIALES (2)'!$C$76)*2))*'MATERIALES (2)'!$F$2</f>
        <v>140720.16</v>
      </c>
      <c r="P141" s="59">
        <f>(1*'MATERIALES (2)'!$C$193)+(1*'MATERIALES (2)'!$C$194)+(3*'MATERIALES (2)'!$C$196)+(2*'MATERIALES (2)'!$C$178)+(2*'MATERIALES (2)'!$C$179)+(2*'MATERIALES (2)'!$C$180)+(4*'MATERIALES (2)'!$C$147)+(4*'MATERIALES (2)'!$C$148)+((M141+(2*N141))*'MATERIALES (2)'!$C$199)+((M141+(2*N141))*'MATERIALES (2)'!$C$198)+(((M141*2)+(N141*2))*'MATERIALES (2)'!$C$154)+(0.5*'MATERIALES (2)'!$C$156)+(((((M141*2)+(N141*2))/0.1)*'MATERIALES (2)'!$C$181)*2)+(2*'MATERIALES (2)'!$C$176)+(((M141*5)*2)*'MATERIALES (2)'!$C$136)+(4*'MATERIALES (2)'!$C$137)</f>
        <v>60822</v>
      </c>
      <c r="Q141" s="75"/>
      <c r="R141" s="55">
        <f>(((M141-0.2)*'MATERIALES (2)'!$C$30)*(N141/0.12))*'MATERIALES (2)'!$F$2</f>
        <v>118185.79500000003</v>
      </c>
      <c r="S141" s="59">
        <f t="shared" si="40"/>
        <v>319727.95500000002</v>
      </c>
      <c r="T141" s="67">
        <f t="shared" si="41"/>
        <v>575808.86497798131</v>
      </c>
    </row>
    <row r="142" spans="1:46" ht="15.75" thickBot="1">
      <c r="A142" s="71">
        <v>0.9</v>
      </c>
      <c r="B142" s="72">
        <v>2.1</v>
      </c>
      <c r="C142" s="60">
        <f>(((A142+(2*B142))*'MATERIALES (2)'!$C$60)+((A142+(2*B142))*'MATERIALES (2)'!$C$58)+(A142*'MATERIALES (2)'!$C$62)+((((A142*2)+(B142*2))*'MATERIALES (2)'!$C$76)*2))*'MATERIALES (2)'!$F$2</f>
        <v>145534.63050000003</v>
      </c>
      <c r="D142" s="60">
        <f>(1*'MATERIALES (2)'!$C$193)+(1*'MATERIALES (2)'!$C$194)+(3*'MATERIALES (2)'!$C$196)+(2*'MATERIALES (2)'!$C$178)+(2*'MATERIALES (2)'!$C$179)+(2*'MATERIALES (2)'!$C$180)+(4*'MATERIALES (2)'!$C$147)+(4*'MATERIALES (2)'!$C$148)+((A142+(2*B142))*'MATERIALES (2)'!$C$199)+((A142+(2*B142))*'MATERIALES (2)'!$C$198)+(((A142*2)+(B142*2))*'MATERIALES (2)'!$C$130)+(((((A142*2)+(B142*2))/0.1)*'MATERIALES (2)'!$C$181)*2)+(2*'MATERIALES (2)'!$C$176)+(((A142*5)*2)*'MATERIALES (2)'!$C$136)+(4*'MATERIALES (2)'!$C$137)</f>
        <v>57052</v>
      </c>
      <c r="E142" s="76"/>
      <c r="F142" s="56">
        <f>(A142*B142)*'MATERIALES (2)'!$D$92</f>
        <v>68323.5</v>
      </c>
      <c r="G142" s="60">
        <f t="shared" si="38"/>
        <v>270910.13050000003</v>
      </c>
      <c r="H142" s="67">
        <f t="shared" si="39"/>
        <v>547135.61434122943</v>
      </c>
      <c r="M142" s="71">
        <v>0.9</v>
      </c>
      <c r="N142" s="72">
        <v>2.1</v>
      </c>
      <c r="O142" s="60">
        <f>(((M142+(2*N142))*'MATERIALES (2)'!$C$60)+((M142+(2*N142))*'MATERIALES (2)'!$C$58)+(M142*'MATERIALES (2)'!$C$62)+((((M142*2)+(N142*2))*'MATERIALES (2)'!$C$76)*2))*'MATERIALES (2)'!$F$2</f>
        <v>145534.63050000003</v>
      </c>
      <c r="P142" s="60">
        <f>(1*'MATERIALES (2)'!$C$193)+(1*'MATERIALES (2)'!$C$194)+(3*'MATERIALES (2)'!$C$196)+(2*'MATERIALES (2)'!$C$178)+(2*'MATERIALES (2)'!$C$179)+(2*'MATERIALES (2)'!$C$180)+(4*'MATERIALES (2)'!$C$147)+(4*'MATERIALES (2)'!$C$148)+((M142+(2*N142))*'MATERIALES (2)'!$C$199)+((M142+(2*N142))*'MATERIALES (2)'!$C$198)+(((M142*2)+(N142*2))*'MATERIALES (2)'!$C$154)+(0.5*'MATERIALES (2)'!$C$156)+(((((M142*2)+(N142*2))/0.1)*'MATERIALES (2)'!$C$181)*2)+(2*'MATERIALES (2)'!$C$176)+(((M142*5)*2)*'MATERIALES (2)'!$C$136)+(4*'MATERIALES (2)'!$C$137)</f>
        <v>61052</v>
      </c>
      <c r="Q142" s="76"/>
      <c r="R142" s="56">
        <f>(((M142-0.2)*'MATERIALES (2)'!$C$30)*(N142/0.12))*'MATERIALES (2)'!$F$2</f>
        <v>137883.42749999999</v>
      </c>
      <c r="S142" s="60">
        <f t="shared" si="40"/>
        <v>344470.05800000002</v>
      </c>
      <c r="T142" s="67">
        <f t="shared" si="41"/>
        <v>620367.7533166575</v>
      </c>
    </row>
    <row r="144" spans="1:46" ht="15.75" thickBot="1"/>
    <row r="145" spans="1:21" ht="15.75" thickBot="1">
      <c r="A145" s="32"/>
      <c r="B145" s="32"/>
      <c r="C145" s="807">
        <v>1.35</v>
      </c>
      <c r="D145" s="808"/>
      <c r="E145" s="809"/>
      <c r="F145" s="545">
        <v>2</v>
      </c>
      <c r="G145" s="32"/>
      <c r="H145" s="46" t="s">
        <v>163</v>
      </c>
      <c r="M145" s="32"/>
      <c r="N145" s="32"/>
      <c r="O145" s="807">
        <v>1.35</v>
      </c>
      <c r="P145" s="808"/>
      <c r="Q145" s="809"/>
      <c r="R145" s="545">
        <v>2</v>
      </c>
      <c r="S145" s="32"/>
      <c r="T145" s="46" t="s">
        <v>163</v>
      </c>
    </row>
    <row r="146" spans="1:21" ht="15.75" thickBot="1">
      <c r="A146" s="792" t="s">
        <v>716</v>
      </c>
      <c r="B146" s="793"/>
      <c r="C146" s="793"/>
      <c r="D146" s="793"/>
      <c r="E146" s="793"/>
      <c r="F146" s="793"/>
      <c r="G146" s="793"/>
      <c r="H146" s="794"/>
      <c r="M146" s="792" t="s">
        <v>717</v>
      </c>
      <c r="N146" s="793"/>
      <c r="O146" s="793"/>
      <c r="P146" s="793"/>
      <c r="Q146" s="793"/>
      <c r="R146" s="793"/>
      <c r="S146" s="793"/>
      <c r="T146" s="794"/>
    </row>
    <row r="147" spans="1:21" ht="15.75" thickBot="1">
      <c r="A147" s="36" t="s">
        <v>116</v>
      </c>
      <c r="B147" s="36" t="s">
        <v>117</v>
      </c>
      <c r="C147" s="36" t="s">
        <v>162</v>
      </c>
      <c r="D147" s="36" t="s">
        <v>119</v>
      </c>
      <c r="E147" s="36" t="s">
        <v>120</v>
      </c>
      <c r="F147" s="36" t="s">
        <v>118</v>
      </c>
      <c r="G147" s="36" t="s">
        <v>121</v>
      </c>
      <c r="H147" s="36" t="s">
        <v>122</v>
      </c>
      <c r="M147" s="36" t="s">
        <v>116</v>
      </c>
      <c r="N147" s="36" t="s">
        <v>117</v>
      </c>
      <c r="O147" s="36" t="s">
        <v>162</v>
      </c>
      <c r="P147" s="36" t="s">
        <v>119</v>
      </c>
      <c r="Q147" s="36" t="s">
        <v>120</v>
      </c>
      <c r="R147" s="36" t="s">
        <v>118</v>
      </c>
      <c r="S147" s="36" t="s">
        <v>121</v>
      </c>
      <c r="T147" s="36" t="s">
        <v>122</v>
      </c>
    </row>
    <row r="148" spans="1:21" ht="15.75" thickBot="1">
      <c r="A148" s="795"/>
      <c r="B148" s="796"/>
      <c r="C148" s="796"/>
      <c r="D148" s="796"/>
      <c r="E148" s="796"/>
      <c r="F148" s="796"/>
      <c r="G148" s="796"/>
      <c r="H148" s="797"/>
      <c r="M148" s="795"/>
      <c r="N148" s="796"/>
      <c r="O148" s="796"/>
      <c r="P148" s="796"/>
      <c r="Q148" s="796"/>
      <c r="R148" s="796"/>
      <c r="S148" s="796"/>
      <c r="T148" s="797"/>
    </row>
    <row r="149" spans="1:21" ht="15.75" thickBot="1">
      <c r="A149" s="65">
        <v>0.6</v>
      </c>
      <c r="B149" s="66">
        <v>2</v>
      </c>
      <c r="C149" s="58">
        <f>(((A149+(2*B149))*'MATERIALES (2)'!$C$60)+((A149+(2*B149))*'MATERIALES (2)'!$C$58)+(A149*'MATERIALES (2)'!$C$62)+((((A149*4)+(B149*2))*'MATERIALES (2)'!$C$76)*2)+(A149*'MATERIALES (2)'!$C$61))*'MATERIALES (2)'!$F$2</f>
        <v>138459.88799999998</v>
      </c>
      <c r="D149" s="58">
        <f>(1*'MATERIALES (2)'!$C$193)+(1*'MATERIALES (2)'!$C$194)+(3*'MATERIALES (2)'!$C$196)+(2*'MATERIALES (2)'!$C$178)+(2*'MATERIALES (2)'!$C$179)+(2*'MATERIALES (2)'!$C$180)+(8*'MATERIALES (2)'!$C$147)+(8*'MATERIALES (2)'!$C$148)+((A149+(2*B149))*'MATERIALES (2)'!$C$199)+((A149+(2*B149))*'MATERIALES (2)'!$C$198)+(((A149*4)+(B149*2))*'MATERIALES (2)'!$C$130)+(((((A149*4)+(B149*2))/0.1)*'MATERIALES (2)'!$C$181)*2)+(2*'MATERIALES (2)'!$C$176)+(((A149*5)*2)*'MATERIALES (2)'!$C$136)+(4*'MATERIALES (2)'!$C$137)</f>
        <v>57838</v>
      </c>
      <c r="E149" s="74"/>
      <c r="F149" s="54">
        <f>(A149*B149)*'MATERIALES (2)'!$D$92</f>
        <v>43380</v>
      </c>
      <c r="G149" s="58">
        <f>SUM(C149:F149)</f>
        <v>239677.88799999998</v>
      </c>
      <c r="H149" s="67">
        <f>((((SUM(C149:E149)*$C$145)+(F149*$F$145))*1.21)*1.05)*1.05</f>
        <v>469259.50055291998</v>
      </c>
      <c r="M149" s="65">
        <v>0.6</v>
      </c>
      <c r="N149" s="66">
        <v>2</v>
      </c>
      <c r="O149" s="58">
        <f>(((M149+(2*N149))*'MATERIALES (2)'!$C$60)+((M149+(2*N149))*'MATERIALES (2)'!$C$58)+(M149*'MATERIALES (2)'!$C$62)+(M149*'MATERIALES (2)'!$C$61)+(((M149-0.2)*'MATERIALES (2)'!$C$30)*((N149/2)/0.12))+((((M149*2)+(N149*1))*'MATERIALES (2)'!$C$76)*2))*'MATERIALES (2)'!$F$2</f>
        <v>164313.26799999998</v>
      </c>
      <c r="P149" s="58">
        <f>(1*'MATERIALES (2)'!$C$193)+(1*'MATERIALES (2)'!$C$194)+(3*'MATERIALES (2)'!$C$196)+(2*'MATERIALES (2)'!$C$178)+(2*'MATERIALES (2)'!$C$179)+(2*'MATERIALES (2)'!$C$180)+(8*'MATERIALES (2)'!$C$147)+(8*'MATERIALES (2)'!$C$148)+((M149+(2*N149))*'MATERIALES (2)'!$C$199)+((M149+(2*N149))*'MATERIALES (2)'!$C$198)+(((M149*2)+(N149*1))*'MATERIALES (2)'!$C$130)+(((M149*2)+(N149*1))*'MATERIALES (2)'!$C$154)+(((((M149*4)+(N149*2))/0.1)*'MATERIALES (2)'!$C$181)*2)+(0.25*'MATERIALES (2)'!$C$156)+(2*'MATERIALES (2)'!$C$176)+(((M149*5)*2)*'MATERIALES (2)'!$C$136)+(4*'MATERIALES (2)'!$C$137)</f>
        <v>59838</v>
      </c>
      <c r="Q149" s="74"/>
      <c r="R149" s="54">
        <f>(M149*(N149/2))*'MATERIALES (2)'!$D$92</f>
        <v>21690</v>
      </c>
      <c r="S149" s="58">
        <f>SUM(O149:R149)</f>
        <v>245841.26799999998</v>
      </c>
      <c r="T149" s="67">
        <f>((((SUM(O149:Q149)*$O$145)+(R149*$R$145))*1.21)*1.05)*1.05</f>
        <v>461551.58814649499</v>
      </c>
    </row>
    <row r="150" spans="1:21" ht="15.75" thickBot="1">
      <c r="A150" s="68">
        <v>0.7</v>
      </c>
      <c r="B150" s="69">
        <v>2</v>
      </c>
      <c r="C150" s="59">
        <f>(((A150+(2*B150))*'MATERIALES (2)'!$C$60)+((A150+(2*B150))*'MATERIALES (2)'!$C$58)+(A150*'MATERIALES (2)'!$C$62)+((((A150*4)+(B150*2))*'MATERIALES (2)'!$C$76)*2)+(A150*'MATERIALES (2)'!$C$61))*'MATERIALES (2)'!$F$2</f>
        <v>145313.61600000001</v>
      </c>
      <c r="D150" s="59">
        <f>(1*'MATERIALES (2)'!$C$193)+(1*'MATERIALES (2)'!$C$194)+(3*'MATERIALES (2)'!$C$196)+(2*'MATERIALES (2)'!$C$178)+(2*'MATERIALES (2)'!$C$179)+(2*'MATERIALES (2)'!$C$180)+(8*'MATERIALES (2)'!$C$147)+(8*'MATERIALES (2)'!$C$148)+((A150+(2*B150))*'MATERIALES (2)'!$C$199)+((A150+(2*B150))*'MATERIALES (2)'!$C$198)+(((A150*4)+(B150*2))*'MATERIALES (2)'!$C$130)+(((((A150*4)+(B150*2))/0.1)*'MATERIALES (2)'!$C$181)*2)+(2*'MATERIALES (2)'!$C$176)+(((A150*5)*2)*'MATERIALES (2)'!$C$136)+(4*'MATERIALES (2)'!$C$137)</f>
        <v>58236</v>
      </c>
      <c r="E150" s="75"/>
      <c r="F150" s="55">
        <f>(A150*B150)*'MATERIALES (2)'!$D$92</f>
        <v>50610</v>
      </c>
      <c r="G150" s="59">
        <f t="shared" ref="G150:G156" si="42">SUM(C150:F150)</f>
        <v>254159.61600000001</v>
      </c>
      <c r="H150" s="67">
        <f t="shared" ref="H150:H156" si="43">((((SUM(C150:E150)*$C$145)+(F150*$F$145))*1.21)*1.05)*1.05</f>
        <v>501609.38375394011</v>
      </c>
      <c r="M150" s="68">
        <v>0.7</v>
      </c>
      <c r="N150" s="69">
        <v>2</v>
      </c>
      <c r="O150" s="59">
        <f>(((M150+(2*N150))*'MATERIALES (2)'!$C$60)+((M150+(2*N150))*'MATERIALES (2)'!$C$58)+(M150*'MATERIALES (2)'!$C$62)+(M150*'MATERIALES (2)'!$C$61)+(((M150-0.2)*'MATERIALES (2)'!$C$30)*((N150/2)/0.12))+((((M150*2)+(N150*1))*'MATERIALES (2)'!$C$76)*2))*'MATERIALES (2)'!$F$2</f>
        <v>179817.70100000003</v>
      </c>
      <c r="P150" s="59">
        <f>(1*'MATERIALES (2)'!$C$193)+(1*'MATERIALES (2)'!$C$194)+(3*'MATERIALES (2)'!$C$196)+(2*'MATERIALES (2)'!$C$178)+(2*'MATERIALES (2)'!$C$179)+(2*'MATERIALES (2)'!$C$180)+(8*'MATERIALES (2)'!$C$147)+(8*'MATERIALES (2)'!$C$148)+((M150+(2*N150))*'MATERIALES (2)'!$C$199)+((M150+(2*N150))*'MATERIALES (2)'!$C$198)+(((M150*2)+(N150*1))*'MATERIALES (2)'!$C$130)+(((M150*2)+(N150*1))*'MATERIALES (2)'!$C$154)+(((((M150*4)+(N150*2))/0.1)*'MATERIALES (2)'!$C$181)*2)+(0.25*'MATERIALES (2)'!$C$156)+(2*'MATERIALES (2)'!$C$176)+(((M150*5)*2)*'MATERIALES (2)'!$C$136)+(4*'MATERIALES (2)'!$C$137)</f>
        <v>60236</v>
      </c>
      <c r="Q150" s="75"/>
      <c r="R150" s="55">
        <f>(M150*(N150/2))*'MATERIALES (2)'!$D$92</f>
        <v>25305</v>
      </c>
      <c r="S150" s="59">
        <f t="shared" ref="S150:S156" si="44">SUM(O150:R150)</f>
        <v>265358.701</v>
      </c>
      <c r="T150" s="67">
        <f t="shared" ref="T150:T156" si="45">((((SUM(O150:Q150)*$O$145)+(R150*$R$145))*1.21)*1.05)*1.05</f>
        <v>499835.8171933089</v>
      </c>
    </row>
    <row r="151" spans="1:21" ht="15.75" thickBot="1">
      <c r="A151" s="68">
        <v>0.8</v>
      </c>
      <c r="B151" s="69">
        <v>2</v>
      </c>
      <c r="C151" s="59">
        <f>(((A151+(2*B151))*'MATERIALES (2)'!$C$60)+((A151+(2*B151))*'MATERIALES (2)'!$C$58)+(A151*'MATERIALES (2)'!$C$62)+((((A151*4)+(B151*2))*'MATERIALES (2)'!$C$76)*2)+(A151*'MATERIALES (2)'!$C$61))*'MATERIALES (2)'!$F$2</f>
        <v>152167.34400000001</v>
      </c>
      <c r="D151" s="59">
        <f>(1*'MATERIALES (2)'!$C$193)+(1*'MATERIALES (2)'!$C$194)+(3*'MATERIALES (2)'!$C$196)+(2*'MATERIALES (2)'!$C$178)+(2*'MATERIALES (2)'!$C$179)+(2*'MATERIALES (2)'!$C$180)+(8*'MATERIALES (2)'!$C$147)+(8*'MATERIALES (2)'!$C$148)+((A151+(2*B151))*'MATERIALES (2)'!$C$199)+((A151+(2*B151))*'MATERIALES (2)'!$C$198)+(((A151*4)+(B151*2))*'MATERIALES (2)'!$C$130)+(((((A151*4)+(B151*2))/0.1)*'MATERIALES (2)'!$C$181)*2)+(2*'MATERIALES (2)'!$C$176)+(((A151*5)*2)*'MATERIALES (2)'!$C$136)+(4*'MATERIALES (2)'!$C$137)</f>
        <v>58634</v>
      </c>
      <c r="E151" s="75"/>
      <c r="F151" s="55">
        <f>(A151*B151)*'MATERIALES (2)'!$D$92</f>
        <v>57840</v>
      </c>
      <c r="G151" s="59">
        <f t="shared" si="42"/>
        <v>268641.34400000004</v>
      </c>
      <c r="H151" s="67">
        <f t="shared" si="43"/>
        <v>533959.26695496007</v>
      </c>
      <c r="M151" s="68">
        <v>0.8</v>
      </c>
      <c r="N151" s="69">
        <v>2</v>
      </c>
      <c r="O151" s="59">
        <f>(((M151+(2*N151))*'MATERIALES (2)'!$C$60)+((M151+(2*N151))*'MATERIALES (2)'!$C$58)+(M151*'MATERIALES (2)'!$C$62)+(M151*'MATERIALES (2)'!$C$61)+(((M151-0.2)*'MATERIALES (2)'!$C$30)*((N151/2)/0.12))+((((M151*2)+(N151*1))*'MATERIALES (2)'!$C$76)*2))*'MATERIALES (2)'!$F$2</f>
        <v>195322.13399999999</v>
      </c>
      <c r="P151" s="59">
        <f>(1*'MATERIALES (2)'!$C$193)+(1*'MATERIALES (2)'!$C$194)+(3*'MATERIALES (2)'!$C$196)+(2*'MATERIALES (2)'!$C$178)+(2*'MATERIALES (2)'!$C$179)+(2*'MATERIALES (2)'!$C$180)+(8*'MATERIALES (2)'!$C$147)+(8*'MATERIALES (2)'!$C$148)+((M151+(2*N151))*'MATERIALES (2)'!$C$199)+((M151+(2*N151))*'MATERIALES (2)'!$C$198)+(((M151*2)+(N151*1))*'MATERIALES (2)'!$C$130)+(((M151*2)+(N151*1))*'MATERIALES (2)'!$C$154)+(((((M151*4)+(N151*2))/0.1)*'MATERIALES (2)'!$C$181)*2)+(0.25*'MATERIALES (2)'!$C$156)+(2*'MATERIALES (2)'!$C$176)+(((M151*5)*2)*'MATERIALES (2)'!$C$136)+(4*'MATERIALES (2)'!$C$137)</f>
        <v>60634</v>
      </c>
      <c r="Q151" s="75"/>
      <c r="R151" s="55">
        <f>(M151*(N151/2))*'MATERIALES (2)'!$D$92</f>
        <v>28920</v>
      </c>
      <c r="S151" s="59">
        <f t="shared" si="44"/>
        <v>284876.13399999996</v>
      </c>
      <c r="T151" s="67">
        <f t="shared" si="45"/>
        <v>538120.04624012252</v>
      </c>
    </row>
    <row r="152" spans="1:21" ht="15.75" thickBot="1">
      <c r="A152" s="68">
        <v>0.9</v>
      </c>
      <c r="B152" s="69">
        <v>2</v>
      </c>
      <c r="C152" s="59">
        <f>(((A152+(2*B152))*'MATERIALES (2)'!$C$60)+((A152+(2*B152))*'MATERIALES (2)'!$C$58)+(A152*'MATERIALES (2)'!$C$62)+((((A152*4)+(B152*2))*'MATERIALES (2)'!$C$76)*2)+(A152*'MATERIALES (2)'!$C$61))*'MATERIALES (2)'!$F$2</f>
        <v>159021.07200000001</v>
      </c>
      <c r="D152" s="59">
        <f>(1*'MATERIALES (2)'!$C$193)+(1*'MATERIALES (2)'!$C$194)+(3*'MATERIALES (2)'!$C$196)+(2*'MATERIALES (2)'!$C$178)+(2*'MATERIALES (2)'!$C$179)+(2*'MATERIALES (2)'!$C$180)+(8*'MATERIALES (2)'!$C$147)+(8*'MATERIALES (2)'!$C$148)+((A152+(2*B152))*'MATERIALES (2)'!$C$199)+((A152+(2*B152))*'MATERIALES (2)'!$C$198)+(((A152*4)+(B152*2))*'MATERIALES (2)'!$C$130)+(((((A152*4)+(B152*2))/0.1)*'MATERIALES (2)'!$C$181)*2)+(2*'MATERIALES (2)'!$C$176)+(((A152*5)*2)*'MATERIALES (2)'!$C$136)+(4*'MATERIALES (2)'!$C$137)</f>
        <v>59032</v>
      </c>
      <c r="E152" s="75"/>
      <c r="F152" s="55">
        <f>(A152*B152)*'MATERIALES (2)'!$D$92</f>
        <v>65070</v>
      </c>
      <c r="G152" s="59">
        <f t="shared" si="42"/>
        <v>283123.07200000004</v>
      </c>
      <c r="H152" s="67">
        <f t="shared" si="43"/>
        <v>566309.15015598014</v>
      </c>
      <c r="M152" s="68">
        <v>0.9</v>
      </c>
      <c r="N152" s="69">
        <v>2</v>
      </c>
      <c r="O152" s="59">
        <f>(((M152+(2*N152))*'MATERIALES (2)'!$C$60)+((M152+(2*N152))*'MATERIALES (2)'!$C$58)+(M152*'MATERIALES (2)'!$C$62)+(M152*'MATERIALES (2)'!$C$61)+(((M152-0.2)*'MATERIALES (2)'!$C$30)*((N152/2)/0.12))+((((M152*2)+(N152*1))*'MATERIALES (2)'!$C$76)*2))*'MATERIALES (2)'!$F$2</f>
        <v>210826.56700000001</v>
      </c>
      <c r="P152" s="59">
        <f>(1*'MATERIALES (2)'!$C$193)+(1*'MATERIALES (2)'!$C$194)+(3*'MATERIALES (2)'!$C$196)+(2*'MATERIALES (2)'!$C$178)+(2*'MATERIALES (2)'!$C$179)+(2*'MATERIALES (2)'!$C$180)+(8*'MATERIALES (2)'!$C$147)+(8*'MATERIALES (2)'!$C$148)+((M152+(2*N152))*'MATERIALES (2)'!$C$199)+((M152+(2*N152))*'MATERIALES (2)'!$C$198)+(((M152*2)+(N152*1))*'MATERIALES (2)'!$C$130)+(((M152*2)+(N152*1))*'MATERIALES (2)'!$C$154)+(((((M152*4)+(N152*2))/0.1)*'MATERIALES (2)'!$C$181)*2)+(0.25*'MATERIALES (2)'!$C$156)+(2*'MATERIALES (2)'!$C$176)+(((M152*5)*2)*'MATERIALES (2)'!$C$136)+(4*'MATERIALES (2)'!$C$137)</f>
        <v>61032</v>
      </c>
      <c r="Q152" s="75"/>
      <c r="R152" s="55">
        <f>(M152*(N152/2))*'MATERIALES (2)'!$D$92</f>
        <v>32535</v>
      </c>
      <c r="S152" s="59">
        <f t="shared" si="44"/>
        <v>304393.56700000004</v>
      </c>
      <c r="T152" s="67">
        <f t="shared" si="45"/>
        <v>576404.27528693632</v>
      </c>
    </row>
    <row r="153" spans="1:21" ht="15.75" thickBot="1">
      <c r="A153" s="68">
        <v>0.6</v>
      </c>
      <c r="B153" s="69">
        <v>2.1</v>
      </c>
      <c r="C153" s="59">
        <f>(((A153+(2*B153))*'MATERIALES (2)'!$C$60)+((A153+(2*B153))*'MATERIALES (2)'!$C$58)+(A153*'MATERIALES (2)'!$C$62)+((((A153*4)+(B153*2))*'MATERIALES (2)'!$C$76)*2)+(A153*'MATERIALES (2)'!$C$61))*'MATERIALES (2)'!$F$2</f>
        <v>143326.76399999997</v>
      </c>
      <c r="D153" s="59">
        <f>(1*'MATERIALES (2)'!$C$193)+(1*'MATERIALES (2)'!$C$194)+(3*'MATERIALES (2)'!$C$196)+(2*'MATERIALES (2)'!$C$178)+(2*'MATERIALES (2)'!$C$179)+(2*'MATERIALES (2)'!$C$180)+(8*'MATERIALES (2)'!$C$147)+(8*'MATERIALES (2)'!$C$148)+((A153+(2*B153))*'MATERIALES (2)'!$C$199)+((A153+(2*B153))*'MATERIALES (2)'!$C$198)+(((A153*4)+(B153*2))*'MATERIALES (2)'!$C$130)+(((((A153*4)+(B153*2))/0.1)*'MATERIALES (2)'!$C$181)*2)+(2*'MATERIALES (2)'!$C$176)+(((A153*5)*2)*'MATERIALES (2)'!$C$136)+(4*'MATERIALES (2)'!$C$137)</f>
        <v>58130</v>
      </c>
      <c r="E153" s="75"/>
      <c r="F153" s="55">
        <f>(A153*B153)*'MATERIALES (2)'!$D$92</f>
        <v>45549</v>
      </c>
      <c r="G153" s="59">
        <f t="shared" si="42"/>
        <v>247005.76399999997</v>
      </c>
      <c r="H153" s="67">
        <f t="shared" si="43"/>
        <v>484337.29490338499</v>
      </c>
      <c r="M153" s="68">
        <v>0.6</v>
      </c>
      <c r="N153" s="69">
        <v>2.1</v>
      </c>
      <c r="O153" s="59">
        <f>(((M153+(2*N153))*'MATERIALES (2)'!$C$60)+((M153+(2*N153))*'MATERIALES (2)'!$C$58)+(M153*'MATERIALES (2)'!$C$62)+(M153*'MATERIALES (2)'!$C$61)+(((M153-0.2)*'MATERIALES (2)'!$C$30)*((N153/2)/0.12))+((((M153*2)+(N153*1))*'MATERIALES (2)'!$C$76)*2))*'MATERIALES (2)'!$F$2</f>
        <v>170691.54899999997</v>
      </c>
      <c r="P153" s="59">
        <f>(1*'MATERIALES (2)'!$C$193)+(1*'MATERIALES (2)'!$C$194)+(3*'MATERIALES (2)'!$C$196)+(2*'MATERIALES (2)'!$C$178)+(2*'MATERIALES (2)'!$C$179)+(2*'MATERIALES (2)'!$C$180)+(8*'MATERIALES (2)'!$C$147)+(8*'MATERIALES (2)'!$C$148)+((M153+(2*N153))*'MATERIALES (2)'!$C$199)+((M153+(2*N153))*'MATERIALES (2)'!$C$198)+(((M153*2)+(N153*1))*'MATERIALES (2)'!$C$130)+(((M153*2)+(N153*1))*'MATERIALES (2)'!$C$154)+(((((M153*4)+(N153*2))/0.1)*'MATERIALES (2)'!$C$181)*2)+(0.25*'MATERIALES (2)'!$C$156)+(2*'MATERIALES (2)'!$C$176)+(((M153*5)*2)*'MATERIALES (2)'!$C$136)+(4*'MATERIALES (2)'!$C$137)</f>
        <v>60130</v>
      </c>
      <c r="Q153" s="75"/>
      <c r="R153" s="55">
        <f>(M153*(N153/2))*'MATERIALES (2)'!$D$92</f>
        <v>22774.5</v>
      </c>
      <c r="S153" s="59">
        <f t="shared" si="44"/>
        <v>253596.04899999997</v>
      </c>
      <c r="T153" s="67">
        <f t="shared" si="45"/>
        <v>476457.82254637877</v>
      </c>
    </row>
    <row r="154" spans="1:21" ht="15.75" thickBot="1">
      <c r="A154" s="68">
        <v>0.7</v>
      </c>
      <c r="B154" s="69">
        <v>2.1</v>
      </c>
      <c r="C154" s="59">
        <f>(((A154+(2*B154))*'MATERIALES (2)'!$C$60)+((A154+(2*B154))*'MATERIALES (2)'!$C$58)+(A154*'MATERIALES (2)'!$C$62)+((((A154*4)+(B154*2))*'MATERIALES (2)'!$C$76)*2)+(A154*'MATERIALES (2)'!$C$61))*'MATERIALES (2)'!$F$2</f>
        <v>150180.492</v>
      </c>
      <c r="D154" s="59">
        <f>(1*'MATERIALES (2)'!$C$193)+(1*'MATERIALES (2)'!$C$194)+(3*'MATERIALES (2)'!$C$196)+(2*'MATERIALES (2)'!$C$178)+(2*'MATERIALES (2)'!$C$179)+(2*'MATERIALES (2)'!$C$180)+(8*'MATERIALES (2)'!$C$147)+(8*'MATERIALES (2)'!$C$148)+((A154+(2*B154))*'MATERIALES (2)'!$C$199)+((A154+(2*B154))*'MATERIALES (2)'!$C$198)+(((A154*4)+(B154*2))*'MATERIALES (2)'!$C$130)+(((((A154*4)+(B154*2))/0.1)*'MATERIALES (2)'!$C$181)*2)+(2*'MATERIALES (2)'!$C$176)+(((A154*5)*2)*'MATERIALES (2)'!$C$136)+(4*'MATERIALES (2)'!$C$137)</f>
        <v>58528</v>
      </c>
      <c r="E154" s="75"/>
      <c r="F154" s="55">
        <f>(A154*B154)*'MATERIALES (2)'!$D$92</f>
        <v>53140.5</v>
      </c>
      <c r="G154" s="59">
        <f t="shared" si="42"/>
        <v>261848.992</v>
      </c>
      <c r="H154" s="67">
        <f t="shared" si="43"/>
        <v>517651.67817940499</v>
      </c>
      <c r="M154" s="68">
        <v>0.7</v>
      </c>
      <c r="N154" s="69">
        <v>2.1</v>
      </c>
      <c r="O154" s="59">
        <f>(((M154+(2*N154))*'MATERIALES (2)'!$C$60)+((M154+(2*N154))*'MATERIALES (2)'!$C$58)+(M154*'MATERIALES (2)'!$C$62)+(M154*'MATERIALES (2)'!$C$61)+(((M154-0.2)*'MATERIALES (2)'!$C$30)*((N154/2)/0.12))+((((M154*2)+(N154*1))*'MATERIALES (2)'!$C$76)*2))*'MATERIALES (2)'!$F$2</f>
        <v>186664.97324999998</v>
      </c>
      <c r="P154" s="59">
        <f>(1*'MATERIALES (2)'!$C$193)+(1*'MATERIALES (2)'!$C$194)+(3*'MATERIALES (2)'!$C$196)+(2*'MATERIALES (2)'!$C$178)+(2*'MATERIALES (2)'!$C$179)+(2*'MATERIALES (2)'!$C$180)+(8*'MATERIALES (2)'!$C$147)+(8*'MATERIALES (2)'!$C$148)+((M154+(2*N154))*'MATERIALES (2)'!$C$199)+((M154+(2*N154))*'MATERIALES (2)'!$C$198)+(((M154*2)+(N154*1))*'MATERIALES (2)'!$C$130)+(((M154*2)+(N154*1))*'MATERIALES (2)'!$C$154)+(((((M154*4)+(N154*2))/0.1)*'MATERIALES (2)'!$C$181)*2)+(0.25*'MATERIALES (2)'!$C$156)+(2*'MATERIALES (2)'!$C$176)+(((M154*5)*2)*'MATERIALES (2)'!$C$136)+(4*'MATERIALES (2)'!$C$137)</f>
        <v>60528</v>
      </c>
      <c r="Q154" s="75"/>
      <c r="R154" s="55">
        <f>(M154*(N154/2))*'MATERIALES (2)'!$D$92</f>
        <v>26570.25</v>
      </c>
      <c r="S154" s="59">
        <f t="shared" si="44"/>
        <v>273763.22324999998</v>
      </c>
      <c r="T154" s="67">
        <f t="shared" si="45"/>
        <v>516068.92380127218</v>
      </c>
    </row>
    <row r="155" spans="1:21" ht="15.75" thickBot="1">
      <c r="A155" s="68">
        <v>0.8</v>
      </c>
      <c r="B155" s="69">
        <v>2.1</v>
      </c>
      <c r="C155" s="59">
        <f>(((A155+(2*B155))*'MATERIALES (2)'!$C$60)+((A155+(2*B155))*'MATERIALES (2)'!$C$58)+(A155*'MATERIALES (2)'!$C$62)+((((A155*4)+(B155*2))*'MATERIALES (2)'!$C$76)*2)+(A155*'MATERIALES (2)'!$C$61))*'MATERIALES (2)'!$F$2</f>
        <v>157034.22</v>
      </c>
      <c r="D155" s="59">
        <f>(1*'MATERIALES (2)'!$C$193)+(1*'MATERIALES (2)'!$C$194)+(3*'MATERIALES (2)'!$C$196)+(2*'MATERIALES (2)'!$C$178)+(2*'MATERIALES (2)'!$C$179)+(2*'MATERIALES (2)'!$C$180)+(8*'MATERIALES (2)'!$C$147)+(8*'MATERIALES (2)'!$C$148)+((A155+(2*B155))*'MATERIALES (2)'!$C$199)+((A155+(2*B155))*'MATERIALES (2)'!$C$198)+(((A155*4)+(B155*2))*'MATERIALES (2)'!$C$130)+(((((A155*4)+(B155*2))/0.1)*'MATERIALES (2)'!$C$181)*2)+(2*'MATERIALES (2)'!$C$176)+(((A155*5)*2)*'MATERIALES (2)'!$C$136)+(4*'MATERIALES (2)'!$C$137)</f>
        <v>58926</v>
      </c>
      <c r="E155" s="75"/>
      <c r="F155" s="55">
        <f>(A155*B155)*'MATERIALES (2)'!$D$92</f>
        <v>60732.000000000007</v>
      </c>
      <c r="G155" s="59">
        <f t="shared" si="42"/>
        <v>276692.22000000003</v>
      </c>
      <c r="H155" s="67">
        <f t="shared" si="43"/>
        <v>550966.06145542511</v>
      </c>
      <c r="M155" s="68">
        <v>0.8</v>
      </c>
      <c r="N155" s="69">
        <v>2.1</v>
      </c>
      <c r="O155" s="59">
        <f>(((M155+(2*N155))*'MATERIALES (2)'!$C$60)+((M155+(2*N155))*'MATERIALES (2)'!$C$58)+(M155*'MATERIALES (2)'!$C$62)+(M155*'MATERIALES (2)'!$C$61)+(((M155-0.2)*'MATERIALES (2)'!$C$30)*((N155/2)/0.12))+((((M155*2)+(N155*1))*'MATERIALES (2)'!$C$76)*2))*'MATERIALES (2)'!$F$2</f>
        <v>202638.39750000002</v>
      </c>
      <c r="P155" s="59">
        <f>(1*'MATERIALES (2)'!$C$193)+(1*'MATERIALES (2)'!$C$194)+(3*'MATERIALES (2)'!$C$196)+(2*'MATERIALES (2)'!$C$178)+(2*'MATERIALES (2)'!$C$179)+(2*'MATERIALES (2)'!$C$180)+(8*'MATERIALES (2)'!$C$147)+(8*'MATERIALES (2)'!$C$148)+((M155+(2*N155))*'MATERIALES (2)'!$C$199)+((M155+(2*N155))*'MATERIALES (2)'!$C$198)+(((M155*2)+(N155*1))*'MATERIALES (2)'!$C$130)+(((M155*2)+(N155*1))*'MATERIALES (2)'!$C$154)+(((((M155*4)+(N155*2))/0.1)*'MATERIALES (2)'!$C$181)*2)+(0.25*'MATERIALES (2)'!$C$156)+(2*'MATERIALES (2)'!$C$176)+(((M155*5)*2)*'MATERIALES (2)'!$C$136)+(4*'MATERIALES (2)'!$C$137)</f>
        <v>60926</v>
      </c>
      <c r="Q155" s="75"/>
      <c r="R155" s="55">
        <f>(M155*(N155/2))*'MATERIALES (2)'!$D$92</f>
        <v>30366.000000000004</v>
      </c>
      <c r="S155" s="59">
        <f t="shared" si="44"/>
        <v>293930.39750000002</v>
      </c>
      <c r="T155" s="67">
        <f t="shared" si="45"/>
        <v>555680.02505616576</v>
      </c>
    </row>
    <row r="156" spans="1:21" ht="15.75" thickBot="1">
      <c r="A156" s="71">
        <v>0.9</v>
      </c>
      <c r="B156" s="72">
        <v>2.1</v>
      </c>
      <c r="C156" s="60">
        <f>(((A156+(2*B156))*'MATERIALES (2)'!$C$60)+((A156+(2*B156))*'MATERIALES (2)'!$C$58)+(A156*'MATERIALES (2)'!$C$62)+((((A156*4)+(B156*2))*'MATERIALES (2)'!$C$76)*2)+(A156*'MATERIALES (2)'!$C$61))*'MATERIALES (2)'!$F$2</f>
        <v>163887.94800000003</v>
      </c>
      <c r="D156" s="60">
        <f>(1*'MATERIALES (2)'!$C$193)+(1*'MATERIALES (2)'!$C$194)+(3*'MATERIALES (2)'!$C$196)+(2*'MATERIALES (2)'!$C$178)+(2*'MATERIALES (2)'!$C$179)+(2*'MATERIALES (2)'!$C$180)+(8*'MATERIALES (2)'!$C$147)+(8*'MATERIALES (2)'!$C$148)+((A156+(2*B156))*'MATERIALES (2)'!$C$199)+((A156+(2*B156))*'MATERIALES (2)'!$C$198)+(((A156*4)+(B156*2))*'MATERIALES (2)'!$C$130)+(((((A156*4)+(B156*2))/0.1)*'MATERIALES (2)'!$C$181)*2)+(2*'MATERIALES (2)'!$C$176)+(((A156*5)*2)*'MATERIALES (2)'!$C$136)+(4*'MATERIALES (2)'!$C$137)</f>
        <v>59324</v>
      </c>
      <c r="E156" s="76"/>
      <c r="F156" s="56">
        <f>(A156*B156)*'MATERIALES (2)'!$D$92</f>
        <v>68323.5</v>
      </c>
      <c r="G156" s="60">
        <f t="shared" si="42"/>
        <v>291535.44800000003</v>
      </c>
      <c r="H156" s="67">
        <f t="shared" si="43"/>
        <v>584280.44473144517</v>
      </c>
      <c r="M156" s="71">
        <v>0.9</v>
      </c>
      <c r="N156" s="72">
        <v>2.1</v>
      </c>
      <c r="O156" s="60">
        <f>(((M156+(2*N156))*'MATERIALES (2)'!$C$60)+((M156+(2*N156))*'MATERIALES (2)'!$C$58)+(M156*'MATERIALES (2)'!$C$62)+(M156*'MATERIALES (2)'!$C$61)+(((M156-0.2)*'MATERIALES (2)'!$C$30)*((N156/2)/0.12))+((((M156*2)+(N156*1))*'MATERIALES (2)'!$C$76)*2))*'MATERIALES (2)'!$F$2</f>
        <v>218611.82175000003</v>
      </c>
      <c r="P156" s="60">
        <f>(1*'MATERIALES (2)'!$C$193)+(1*'MATERIALES (2)'!$C$194)+(3*'MATERIALES (2)'!$C$196)+(2*'MATERIALES (2)'!$C$178)+(2*'MATERIALES (2)'!$C$179)+(2*'MATERIALES (2)'!$C$180)+(8*'MATERIALES (2)'!$C$147)+(8*'MATERIALES (2)'!$C$148)+((M156+(2*N156))*'MATERIALES (2)'!$C$199)+((M156+(2*N156))*'MATERIALES (2)'!$C$198)+(((M156*2)+(N156*1))*'MATERIALES (2)'!$C$130)+(((M156*2)+(N156*1))*'MATERIALES (2)'!$C$154)+(((((M156*4)+(N156*2))/0.1)*'MATERIALES (2)'!$C$181)*2)+(0.25*'MATERIALES (2)'!$C$156)+(2*'MATERIALES (2)'!$C$176)+(((M156*5)*2)*'MATERIALES (2)'!$C$136)+(4*'MATERIALES (2)'!$C$137)</f>
        <v>61324</v>
      </c>
      <c r="Q156" s="76"/>
      <c r="R156" s="56">
        <f>(M156*(N156/2))*'MATERIALES (2)'!$D$92</f>
        <v>34161.75</v>
      </c>
      <c r="S156" s="60">
        <f t="shared" si="44"/>
        <v>314097.57175</v>
      </c>
      <c r="T156" s="67">
        <f t="shared" si="45"/>
        <v>595291.12631105911</v>
      </c>
    </row>
    <row r="158" spans="1:21" ht="15.75" thickBot="1"/>
    <row r="159" spans="1:21" ht="15.75" thickBot="1">
      <c r="A159" s="32"/>
      <c r="B159" s="32"/>
      <c r="C159" s="807">
        <v>1.35</v>
      </c>
      <c r="D159" s="808"/>
      <c r="E159" s="809"/>
      <c r="F159" s="545">
        <v>2</v>
      </c>
      <c r="G159" s="32"/>
      <c r="H159" s="46" t="s">
        <v>163</v>
      </c>
      <c r="M159" s="32"/>
      <c r="N159" s="32"/>
      <c r="O159" s="807">
        <v>1.35</v>
      </c>
      <c r="P159" s="808"/>
      <c r="Q159" s="809"/>
      <c r="R159" s="545">
        <v>2</v>
      </c>
      <c r="S159" s="32"/>
      <c r="T159" s="46" t="s">
        <v>163</v>
      </c>
    </row>
    <row r="160" spans="1:21" ht="15.75" thickBot="1">
      <c r="A160" s="792" t="s">
        <v>718</v>
      </c>
      <c r="B160" s="793"/>
      <c r="C160" s="793"/>
      <c r="D160" s="793"/>
      <c r="E160" s="793"/>
      <c r="F160" s="793"/>
      <c r="G160" s="793"/>
      <c r="H160" s="794"/>
      <c r="M160" s="792" t="s">
        <v>719</v>
      </c>
      <c r="N160" s="793"/>
      <c r="O160" s="793"/>
      <c r="P160" s="793"/>
      <c r="Q160" s="793"/>
      <c r="R160" s="793"/>
      <c r="S160" s="793"/>
      <c r="T160" s="794"/>
      <c r="U160" s="64" t="s">
        <v>381</v>
      </c>
    </row>
    <row r="161" spans="1:30" ht="15.75" thickBot="1">
      <c r="A161" s="36" t="s">
        <v>116</v>
      </c>
      <c r="B161" s="36" t="s">
        <v>117</v>
      </c>
      <c r="C161" s="36" t="s">
        <v>162</v>
      </c>
      <c r="D161" s="36" t="s">
        <v>119</v>
      </c>
      <c r="E161" s="36" t="s">
        <v>120</v>
      </c>
      <c r="F161" s="36" t="s">
        <v>118</v>
      </c>
      <c r="G161" s="36" t="s">
        <v>121</v>
      </c>
      <c r="H161" s="36" t="s">
        <v>122</v>
      </c>
      <c r="M161" s="36" t="s">
        <v>116</v>
      </c>
      <c r="N161" s="36" t="s">
        <v>117</v>
      </c>
      <c r="O161" s="36" t="s">
        <v>162</v>
      </c>
      <c r="P161" s="36" t="s">
        <v>119</v>
      </c>
      <c r="Q161" s="36" t="s">
        <v>120</v>
      </c>
      <c r="R161" s="36" t="s">
        <v>118</v>
      </c>
      <c r="S161" s="36" t="s">
        <v>121</v>
      </c>
      <c r="T161" s="36" t="s">
        <v>122</v>
      </c>
    </row>
    <row r="162" spans="1:30" ht="15.75" thickBot="1">
      <c r="A162" s="795"/>
      <c r="B162" s="796"/>
      <c r="C162" s="796"/>
      <c r="D162" s="796"/>
      <c r="E162" s="796"/>
      <c r="F162" s="796"/>
      <c r="G162" s="796"/>
      <c r="H162" s="797"/>
      <c r="M162" s="795"/>
      <c r="N162" s="796"/>
      <c r="O162" s="796"/>
      <c r="P162" s="796"/>
      <c r="Q162" s="796"/>
      <c r="R162" s="796"/>
      <c r="S162" s="796"/>
      <c r="T162" s="797"/>
    </row>
    <row r="163" spans="1:30" ht="15.75" thickBot="1">
      <c r="A163" s="65">
        <v>0.6</v>
      </c>
      <c r="B163" s="66">
        <v>2</v>
      </c>
      <c r="C163" s="58">
        <f>(((A163+(2*B163))*'MATERIALES (2)'!$C$60)+((A163+(2*B163))*'MATERIALES (2)'!$C$58)+(A163*'MATERIALES (2)'!$C$62)+((((A163*2)+(B163*6))*'MATERIALES (2)'!$C$76)*2)+((B163*2)*'MATERIALES (2)'!$C$61))*'MATERIALES (2)'!$F$2</f>
        <v>207794.64299999998</v>
      </c>
      <c r="D163" s="58">
        <f>(1*'MATERIALES (2)'!$C$193)+(1*'MATERIALES (2)'!$C$194)+(3*'MATERIALES (2)'!$C$196)+(2*'MATERIALES (2)'!$C$178)+(2*'MATERIALES (2)'!$C$179)+(2*'MATERIALES (2)'!$C$180)+(12*'MATERIALES (2)'!$C$147)+(12*'MATERIALES (2)'!$C$148)+((A163+(2*B163))*'MATERIALES (2)'!$C$199)+((A163+(2*B163))*'MATERIALES (2)'!$C$198)+(((A163*2)+(B163*6))*'MATERIALES (2)'!$C$130)+(((((A163*2)+(B163*6))/0.1)*'MATERIALES (2)'!$C$181)*2)+(2*'MATERIALES (2)'!$C$176)+(((A163*5)*2)*'MATERIALES (2)'!$C$136)+(4*'MATERIALES (2)'!$C$137)</f>
        <v>64310</v>
      </c>
      <c r="E163" s="74"/>
      <c r="F163" s="54">
        <f>((A163/1.3)*B163)*'MATERIALES (2)'!$D$92</f>
        <v>33369.230769230766</v>
      </c>
      <c r="G163" s="58">
        <f>SUM(C163:F163)</f>
        <v>305473.87376923073</v>
      </c>
      <c r="H163" s="67">
        <f>((((SUM(C163:E163)*$C$159)+(F163*$F$159))*1.21)*1.05)*1.05</f>
        <v>579073.21126424754</v>
      </c>
      <c r="M163" s="65">
        <v>0.6</v>
      </c>
      <c r="N163" s="66">
        <v>2</v>
      </c>
      <c r="O163" s="58">
        <f>(((M163+(2*N163))*'MATERIALES (2)'!$C$60)+((M163+(2*N163))*'MATERIALES (2)'!$C$58)+(M163*'MATERIALES (2)'!$C$62)+((M163*4)*'MATERIALES (2)'!$C$61)+((((M163*10)+(N163*2))*'MATERIALES (2)'!$C$76)*2))*'MATERIALES (2)'!$F$2</f>
        <v>175166.52299999999</v>
      </c>
      <c r="P163" s="58">
        <f>(1*'MATERIALES (2)'!$C$193)+(1*'MATERIALES (2)'!$C$194)+(3*'MATERIALES (2)'!$C$196)+(2*'MATERIALES (2)'!$C$178)+(2*'MATERIALES (2)'!$C$179)+(2*'MATERIALES (2)'!$C$180)+(20*'MATERIALES (2)'!$C$147)+(20*'MATERIALES (2)'!$C$148)+((M163+(2*N163))*'MATERIALES (2)'!$C$199)+((M163+(2*N163))*'MATERIALES (2)'!$C$198)+(((M163*10)+(N163*2))*'MATERIALES (2)'!$C$130)+(((((M163*10)+(N163*2))/0.1)*'MATERIALES (2)'!$C$181)*2)+(2*'MATERIALES (2)'!$C$176)+(((M163*5)*2)*'MATERIALES (2)'!$C$136)+(4*'MATERIALES (2)'!$C$137)</f>
        <v>63142</v>
      </c>
      <c r="Q163" s="74"/>
      <c r="R163" s="54">
        <f>(M163*N163)*'MATERIALES (2)'!$D$92</f>
        <v>43380</v>
      </c>
      <c r="S163" s="58">
        <f>SUM(O163:R163)</f>
        <v>281688.52299999999</v>
      </c>
      <c r="T163" s="67">
        <f>((((SUM(O163:Q163)*$O$159)+(R163*$R$159))*1.21)*1.05)*1.05</f>
        <v>544917.87098335137</v>
      </c>
    </row>
    <row r="164" spans="1:30" ht="15.75" thickBot="1">
      <c r="A164" s="68">
        <v>0.7</v>
      </c>
      <c r="B164" s="69">
        <v>2</v>
      </c>
      <c r="C164" s="59">
        <f>(((A164+(2*B164))*'MATERIALES (2)'!$C$60)+((A164+(2*B164))*'MATERIALES (2)'!$C$58)+(A164*'MATERIALES (2)'!$C$62)+((((A164*2)+(B164*6))*'MATERIALES (2)'!$C$76)*2)+((B164*2)*'MATERIALES (2)'!$C$61))*'MATERIALES (2)'!$F$2</f>
        <v>212609.11349999998</v>
      </c>
      <c r="D164" s="59">
        <f>(1*'MATERIALES (2)'!$C$193)+(1*'MATERIALES (2)'!$C$194)+(3*'MATERIALES (2)'!$C$196)+(2*'MATERIALES (2)'!$C$178)+(2*'MATERIALES (2)'!$C$179)+(2*'MATERIALES (2)'!$C$180)+(12*'MATERIALES (2)'!$C$147)+(12*'MATERIALES (2)'!$C$148)+((A164+(2*B164))*'MATERIALES (2)'!$C$199)+((A164+(2*B164))*'MATERIALES (2)'!$C$198)+(((A164*2)+(B164*6))*'MATERIALES (2)'!$C$130)+(((((A164*2)+(B164*6))/0.1)*'MATERIALES (2)'!$C$181)*2)+(2*'MATERIALES (2)'!$C$176)+(((A164*5)*2)*'MATERIALES (2)'!$C$136)+(4*'MATERIALES (2)'!$C$137)</f>
        <v>64540</v>
      </c>
      <c r="E164" s="75"/>
      <c r="F164" s="55">
        <f>((A164/1.3)*B164)*'MATERIALES (2)'!$D$92</f>
        <v>38930.769230769227</v>
      </c>
      <c r="G164" s="59">
        <f t="shared" ref="G164:G170" si="46">SUM(C164:F164)</f>
        <v>316079.88273076923</v>
      </c>
      <c r="H164" s="67">
        <f t="shared" ref="H164:H170" si="47">((((SUM(C164:E164)*$C$159)+(F164*$F$159))*1.21)*1.05)*1.05</f>
        <v>602996.43113088445</v>
      </c>
      <c r="M164" s="68">
        <v>0.7</v>
      </c>
      <c r="N164" s="69">
        <v>2</v>
      </c>
      <c r="O164" s="59">
        <f>(((M164+(2*N164))*'MATERIALES (2)'!$C$60)+((M164+(2*N164))*'MATERIALES (2)'!$C$58)+(M164*'MATERIALES (2)'!$C$62)+((M164*4)*'MATERIALES (2)'!$C$61)+((((M164*10)+(N164*2))*'MATERIALES (2)'!$C$76)*2))*'MATERIALES (2)'!$F$2</f>
        <v>188138.02349999998</v>
      </c>
      <c r="P164" s="59">
        <f>(1*'MATERIALES (2)'!$C$193)+(1*'MATERIALES (2)'!$C$194)+(3*'MATERIALES (2)'!$C$196)+(2*'MATERIALES (2)'!$C$178)+(2*'MATERIALES (2)'!$C$179)+(2*'MATERIALES (2)'!$C$180)+(20*'MATERIALES (2)'!$C$147)+(20*'MATERIALES (2)'!$C$148)+((M164+(2*N164))*'MATERIALES (2)'!$C$199)+((M164+(2*N164))*'MATERIALES (2)'!$C$198)+(((M164*10)+(N164*2))*'MATERIALES (2)'!$C$130)+(((((M164*10)+(N164*2))/0.1)*'MATERIALES (2)'!$C$181)*2)+(2*'MATERIALES (2)'!$C$176)+(((M164*5)*2)*'MATERIALES (2)'!$C$136)+(4*'MATERIALES (2)'!$C$137)</f>
        <v>64044</v>
      </c>
      <c r="Q164" s="75"/>
      <c r="R164" s="55">
        <f>(M164*N164)*'MATERIALES (2)'!$D$92</f>
        <v>50610</v>
      </c>
      <c r="S164" s="59">
        <f t="shared" ref="S164:S170" si="48">SUM(O164:R164)</f>
        <v>302792.02350000001</v>
      </c>
      <c r="T164" s="67">
        <f t="shared" ref="T164:T170" si="49">((((SUM(O164:Q164)*$O$159)+(R164*$R$159))*1.21)*1.05)*1.05</f>
        <v>589193.12776444317</v>
      </c>
    </row>
    <row r="165" spans="1:30" ht="15.75" thickBot="1">
      <c r="A165" s="68">
        <v>0.8</v>
      </c>
      <c r="B165" s="69">
        <v>2</v>
      </c>
      <c r="C165" s="59">
        <f>(((A165+(2*B165))*'MATERIALES (2)'!$C$60)+((A165+(2*B165))*'MATERIALES (2)'!$C$58)+(A165*'MATERIALES (2)'!$C$62)+((((A165*2)+(B165*6))*'MATERIALES (2)'!$C$76)*2)+((B165*2)*'MATERIALES (2)'!$C$61))*'MATERIALES (2)'!$F$2</f>
        <v>217423.584</v>
      </c>
      <c r="D165" s="59">
        <f>(1*'MATERIALES (2)'!$C$193)+(1*'MATERIALES (2)'!$C$194)+(3*'MATERIALES (2)'!$C$196)+(2*'MATERIALES (2)'!$C$178)+(2*'MATERIALES (2)'!$C$179)+(2*'MATERIALES (2)'!$C$180)+(12*'MATERIALES (2)'!$C$147)+(12*'MATERIALES (2)'!$C$148)+((A165+(2*B165))*'MATERIALES (2)'!$C$199)+((A165+(2*B165))*'MATERIALES (2)'!$C$198)+(((A165*2)+(B165*6))*'MATERIALES (2)'!$C$130)+(((((A165*2)+(B165*6))/0.1)*'MATERIALES (2)'!$C$181)*2)+(2*'MATERIALES (2)'!$C$176)+(((A165*5)*2)*'MATERIALES (2)'!$C$136)+(4*'MATERIALES (2)'!$C$137)</f>
        <v>64770</v>
      </c>
      <c r="E165" s="75"/>
      <c r="F165" s="55">
        <f>((A165/1.3)*B165)*'MATERIALES (2)'!$D$92</f>
        <v>44492.307692307695</v>
      </c>
      <c r="G165" s="59">
        <f t="shared" si="46"/>
        <v>326685.89169230772</v>
      </c>
      <c r="H165" s="67">
        <f t="shared" si="47"/>
        <v>626919.6509975217</v>
      </c>
      <c r="M165" s="68">
        <v>0.8</v>
      </c>
      <c r="N165" s="69">
        <v>2</v>
      </c>
      <c r="O165" s="59">
        <f>(((M165+(2*N165))*'MATERIALES (2)'!$C$60)+((M165+(2*N165))*'MATERIALES (2)'!$C$58)+(M165*'MATERIALES (2)'!$C$62)+((M165*4)*'MATERIALES (2)'!$C$61)+((((M165*10)+(N165*2))*'MATERIALES (2)'!$C$76)*2))*'MATERIALES (2)'!$F$2</f>
        <v>201109.524</v>
      </c>
      <c r="P165" s="59">
        <f>(1*'MATERIALES (2)'!$C$193)+(1*'MATERIALES (2)'!$C$194)+(3*'MATERIALES (2)'!$C$196)+(2*'MATERIALES (2)'!$C$178)+(2*'MATERIALES (2)'!$C$179)+(2*'MATERIALES (2)'!$C$180)+(20*'MATERIALES (2)'!$C$147)+(20*'MATERIALES (2)'!$C$148)+((M165+(2*N165))*'MATERIALES (2)'!$C$199)+((M165+(2*N165))*'MATERIALES (2)'!$C$198)+(((M165*10)+(N165*2))*'MATERIALES (2)'!$C$130)+(((((M165*10)+(N165*2))/0.1)*'MATERIALES (2)'!$C$181)*2)+(2*'MATERIALES (2)'!$C$176)+(((M165*5)*2)*'MATERIALES (2)'!$C$136)+(4*'MATERIALES (2)'!$C$137)</f>
        <v>64946</v>
      </c>
      <c r="Q165" s="75"/>
      <c r="R165" s="55">
        <f>(M165*N165)*'MATERIALES (2)'!$D$92</f>
        <v>57840</v>
      </c>
      <c r="S165" s="59">
        <f t="shared" si="48"/>
        <v>323895.52399999998</v>
      </c>
      <c r="T165" s="67">
        <f t="shared" si="49"/>
        <v>633468.38454553497</v>
      </c>
    </row>
    <row r="166" spans="1:30" ht="15.75" thickBot="1">
      <c r="A166" s="68">
        <v>0.9</v>
      </c>
      <c r="B166" s="69">
        <v>2</v>
      </c>
      <c r="C166" s="59">
        <f>(((A166+(2*B166))*'MATERIALES (2)'!$C$60)+((A166+(2*B166))*'MATERIALES (2)'!$C$58)+(A166*'MATERIALES (2)'!$C$62)+((((A166*2)+(B166*6))*'MATERIALES (2)'!$C$76)*2)+((B166*2)*'MATERIALES (2)'!$C$61))*'MATERIALES (2)'!$F$2</f>
        <v>222238.0545</v>
      </c>
      <c r="D166" s="59">
        <f>(1*'MATERIALES (2)'!$C$193)+(1*'MATERIALES (2)'!$C$194)+(3*'MATERIALES (2)'!$C$196)+(2*'MATERIALES (2)'!$C$178)+(2*'MATERIALES (2)'!$C$179)+(2*'MATERIALES (2)'!$C$180)+(12*'MATERIALES (2)'!$C$147)+(12*'MATERIALES (2)'!$C$148)+((A166+(2*B166))*'MATERIALES (2)'!$C$199)+((A166+(2*B166))*'MATERIALES (2)'!$C$198)+(((A166*2)+(B166*6))*'MATERIALES (2)'!$C$130)+(((((A166*2)+(B166*6))/0.1)*'MATERIALES (2)'!$C$181)*2)+(2*'MATERIALES (2)'!$C$176)+(((A166*5)*2)*'MATERIALES (2)'!$C$136)+(4*'MATERIALES (2)'!$C$137)</f>
        <v>65000</v>
      </c>
      <c r="E166" s="75"/>
      <c r="F166" s="55">
        <f>((A166/1.3)*B166)*'MATERIALES (2)'!$D$92</f>
        <v>50053.846153846156</v>
      </c>
      <c r="G166" s="59">
        <f t="shared" si="46"/>
        <v>337291.9006538461</v>
      </c>
      <c r="H166" s="67">
        <f t="shared" si="47"/>
        <v>650842.87086415861</v>
      </c>
      <c r="M166" s="68">
        <v>0.9</v>
      </c>
      <c r="N166" s="69">
        <v>2</v>
      </c>
      <c r="O166" s="59">
        <f>(((M166+(2*N166))*'MATERIALES (2)'!$C$60)+((M166+(2*N166))*'MATERIALES (2)'!$C$58)+(M166*'MATERIALES (2)'!$C$62)+((M166*4)*'MATERIALES (2)'!$C$61)+((((M166*10)+(N166*2))*'MATERIALES (2)'!$C$76)*2))*'MATERIALES (2)'!$F$2</f>
        <v>214081.0245</v>
      </c>
      <c r="P166" s="59">
        <f>(1*'MATERIALES (2)'!$C$193)+(1*'MATERIALES (2)'!$C$194)+(3*'MATERIALES (2)'!$C$196)+(2*'MATERIALES (2)'!$C$178)+(2*'MATERIALES (2)'!$C$179)+(2*'MATERIALES (2)'!$C$180)+(20*'MATERIALES (2)'!$C$147)+(20*'MATERIALES (2)'!$C$148)+((M166+(2*N166))*'MATERIALES (2)'!$C$199)+((M166+(2*N166))*'MATERIALES (2)'!$C$198)+(((M166*10)+(N166*2))*'MATERIALES (2)'!$C$130)+(((((M166*10)+(N166*2))/0.1)*'MATERIALES (2)'!$C$181)*2)+(2*'MATERIALES (2)'!$C$176)+(((M166*5)*2)*'MATERIALES (2)'!$C$136)+(4*'MATERIALES (2)'!$C$137)</f>
        <v>65848</v>
      </c>
      <c r="Q166" s="75"/>
      <c r="R166" s="55">
        <f>(M166*N166)*'MATERIALES (2)'!$D$92</f>
        <v>65070</v>
      </c>
      <c r="S166" s="59">
        <f t="shared" si="48"/>
        <v>344999.0245</v>
      </c>
      <c r="T166" s="67">
        <f t="shared" si="49"/>
        <v>677743.64132662688</v>
      </c>
    </row>
    <row r="167" spans="1:30" ht="15.75" thickBot="1">
      <c r="A167" s="68">
        <v>0.6</v>
      </c>
      <c r="B167" s="69">
        <v>2.1</v>
      </c>
      <c r="C167" s="59">
        <f>(((A167+(2*B167))*'MATERIALES (2)'!$C$60)+((A167+(2*B167))*'MATERIALES (2)'!$C$58)+(A167*'MATERIALES (2)'!$C$62)+((((A167*2)+(B167*6))*'MATERIALES (2)'!$C$76)*2)+((B167*2)*'MATERIALES (2)'!$C$61))*'MATERIALES (2)'!$F$2</f>
        <v>216740.03399999999</v>
      </c>
      <c r="D167" s="59">
        <f>(1*'MATERIALES (2)'!$C$193)+(1*'MATERIALES (2)'!$C$194)+(3*'MATERIALES (2)'!$C$196)+(2*'MATERIALES (2)'!$C$178)+(2*'MATERIALES (2)'!$C$179)+(2*'MATERIALES (2)'!$C$180)+(12*'MATERIALES (2)'!$C$147)+(12*'MATERIALES (2)'!$C$148)+((A167+(2*B167))*'MATERIALES (2)'!$C$199)+((A167+(2*B167))*'MATERIALES (2)'!$C$198)+(((A167*2)+(B167*6))*'MATERIALES (2)'!$C$130)+(((((A167*2)+(B167*6))/0.1)*'MATERIALES (2)'!$C$181)*2)+(2*'MATERIALES (2)'!$C$176)+(((A167*5)*2)*'MATERIALES (2)'!$C$136)+(4*'MATERIALES (2)'!$C$137)</f>
        <v>64938</v>
      </c>
      <c r="E167" s="75"/>
      <c r="F167" s="55">
        <f>((A167/1.3)*B167)*'MATERIALES (2)'!$D$92</f>
        <v>35037.692307692305</v>
      </c>
      <c r="G167" s="59">
        <f t="shared" si="46"/>
        <v>316715.7263076923</v>
      </c>
      <c r="H167" s="67">
        <f t="shared" si="47"/>
        <v>600765.79302578606</v>
      </c>
      <c r="M167" s="68">
        <v>0.6</v>
      </c>
      <c r="N167" s="69">
        <v>2.1</v>
      </c>
      <c r="O167" s="59">
        <f>(((M167+(2*N167))*'MATERIALES (2)'!$C$60)+((M167+(2*N167))*'MATERIALES (2)'!$C$58)+(M167*'MATERIALES (2)'!$C$62)+((M167*4)*'MATERIALES (2)'!$C$61)+((((M167*10)+(N167*2))*'MATERIALES (2)'!$C$76)*2))*'MATERIALES (2)'!$F$2</f>
        <v>180033.39899999998</v>
      </c>
      <c r="P167" s="59">
        <f>(1*'MATERIALES (2)'!$C$193)+(1*'MATERIALES (2)'!$C$194)+(3*'MATERIALES (2)'!$C$196)+(2*'MATERIALES (2)'!$C$178)+(2*'MATERIALES (2)'!$C$179)+(2*'MATERIALES (2)'!$C$180)+(20*'MATERIALES (2)'!$C$147)+(20*'MATERIALES (2)'!$C$148)+((M167+(2*N167))*'MATERIALES (2)'!$C$199)+((M167+(2*N167))*'MATERIALES (2)'!$C$198)+(((M167*10)+(N167*2))*'MATERIALES (2)'!$C$130)+(((((M167*10)+(N167*2))/0.1)*'MATERIALES (2)'!$C$181)*2)+(2*'MATERIALES (2)'!$C$176)+(((M167*5)*2)*'MATERIALES (2)'!$C$136)+(4*'MATERIALES (2)'!$C$137)</f>
        <v>63434</v>
      </c>
      <c r="Q167" s="75"/>
      <c r="R167" s="55">
        <f>(M167*N167)*'MATERIALES (2)'!$D$92</f>
        <v>45549</v>
      </c>
      <c r="S167" s="59">
        <f t="shared" si="48"/>
        <v>289016.39899999998</v>
      </c>
      <c r="T167" s="67">
        <f t="shared" si="49"/>
        <v>559995.66533381632</v>
      </c>
    </row>
    <row r="168" spans="1:30" ht="15.75" thickBot="1">
      <c r="A168" s="68">
        <v>0.7</v>
      </c>
      <c r="B168" s="69">
        <v>2.1</v>
      </c>
      <c r="C168" s="59">
        <f>(((A168+(2*B168))*'MATERIALES (2)'!$C$60)+((A168+(2*B168))*'MATERIALES (2)'!$C$58)+(A168*'MATERIALES (2)'!$C$62)+((((A168*2)+(B168*6))*'MATERIALES (2)'!$C$76)*2)+((B168*2)*'MATERIALES (2)'!$C$61))*'MATERIALES (2)'!$F$2</f>
        <v>221554.50450000001</v>
      </c>
      <c r="D168" s="59">
        <f>(1*'MATERIALES (2)'!$C$193)+(1*'MATERIALES (2)'!$C$194)+(3*'MATERIALES (2)'!$C$196)+(2*'MATERIALES (2)'!$C$178)+(2*'MATERIALES (2)'!$C$179)+(2*'MATERIALES (2)'!$C$180)+(12*'MATERIALES (2)'!$C$147)+(12*'MATERIALES (2)'!$C$148)+((A168+(2*B168))*'MATERIALES (2)'!$C$199)+((A168+(2*B168))*'MATERIALES (2)'!$C$198)+(((A168*2)+(B168*6))*'MATERIALES (2)'!$C$130)+(((((A168*2)+(B168*6))/0.1)*'MATERIALES (2)'!$C$181)*2)+(2*'MATERIALES (2)'!$C$176)+(((A168*5)*2)*'MATERIALES (2)'!$C$136)+(4*'MATERIALES (2)'!$C$137)</f>
        <v>65168</v>
      </c>
      <c r="E168" s="75"/>
      <c r="F168" s="55">
        <f>((A168/1.3)*B168)*'MATERIALES (2)'!$D$92</f>
        <v>40877.307692307695</v>
      </c>
      <c r="G168" s="59">
        <f t="shared" si="46"/>
        <v>327599.81219230773</v>
      </c>
      <c r="H168" s="67">
        <f t="shared" si="47"/>
        <v>625430.93602703849</v>
      </c>
      <c r="M168" s="68">
        <v>0.7</v>
      </c>
      <c r="N168" s="69">
        <v>2.1</v>
      </c>
      <c r="O168" s="59">
        <f>(((M168+(2*N168))*'MATERIALES (2)'!$C$60)+((M168+(2*N168))*'MATERIALES (2)'!$C$58)+(M168*'MATERIALES (2)'!$C$62)+((M168*4)*'MATERIALES (2)'!$C$61)+((((M168*10)+(N168*2))*'MATERIALES (2)'!$C$76)*2))*'MATERIALES (2)'!$F$2</f>
        <v>193004.89949999997</v>
      </c>
      <c r="P168" s="59">
        <f>(1*'MATERIALES (2)'!$C$193)+(1*'MATERIALES (2)'!$C$194)+(3*'MATERIALES (2)'!$C$196)+(2*'MATERIALES (2)'!$C$178)+(2*'MATERIALES (2)'!$C$179)+(2*'MATERIALES (2)'!$C$180)+(20*'MATERIALES (2)'!$C$147)+(20*'MATERIALES (2)'!$C$148)+((M168+(2*N168))*'MATERIALES (2)'!$C$199)+((M168+(2*N168))*'MATERIALES (2)'!$C$198)+(((M168*10)+(N168*2))*'MATERIALES (2)'!$C$130)+(((((M168*10)+(N168*2))/0.1)*'MATERIALES (2)'!$C$181)*2)+(2*'MATERIALES (2)'!$C$176)+(((M168*5)*2)*'MATERIALES (2)'!$C$136)+(4*'MATERIALES (2)'!$C$137)</f>
        <v>64336</v>
      </c>
      <c r="Q168" s="75"/>
      <c r="R168" s="55">
        <f>(M168*N168)*'MATERIALES (2)'!$D$92</f>
        <v>53140.5</v>
      </c>
      <c r="S168" s="59">
        <f t="shared" si="48"/>
        <v>310481.39949999994</v>
      </c>
      <c r="T168" s="67">
        <f t="shared" si="49"/>
        <v>605235.42218990822</v>
      </c>
    </row>
    <row r="169" spans="1:30" ht="15.75" thickBot="1">
      <c r="A169" s="68">
        <v>0.8</v>
      </c>
      <c r="B169" s="69">
        <v>2.1</v>
      </c>
      <c r="C169" s="59">
        <f>(((A169+(2*B169))*'MATERIALES (2)'!$C$60)+((A169+(2*B169))*'MATERIALES (2)'!$C$58)+(A169*'MATERIALES (2)'!$C$62)+((((A169*2)+(B169*6))*'MATERIALES (2)'!$C$76)*2)+((B169*2)*'MATERIALES (2)'!$C$61))*'MATERIALES (2)'!$F$2</f>
        <v>226368.97500000001</v>
      </c>
      <c r="D169" s="59">
        <f>(1*'MATERIALES (2)'!$C$193)+(1*'MATERIALES (2)'!$C$194)+(3*'MATERIALES (2)'!$C$196)+(2*'MATERIALES (2)'!$C$178)+(2*'MATERIALES (2)'!$C$179)+(2*'MATERIALES (2)'!$C$180)+(12*'MATERIALES (2)'!$C$147)+(12*'MATERIALES (2)'!$C$148)+((A169+(2*B169))*'MATERIALES (2)'!$C$199)+((A169+(2*B169))*'MATERIALES (2)'!$C$198)+(((A169*2)+(B169*6))*'MATERIALES (2)'!$C$130)+(((((A169*2)+(B169*6))/0.1)*'MATERIALES (2)'!$C$181)*2)+(2*'MATERIALES (2)'!$C$176)+(((A169*5)*2)*'MATERIALES (2)'!$C$136)+(4*'MATERIALES (2)'!$C$137)</f>
        <v>65398</v>
      </c>
      <c r="E169" s="75"/>
      <c r="F169" s="55">
        <f>((A169/1.3)*B169)*'MATERIALES (2)'!$D$92</f>
        <v>46716.923076923078</v>
      </c>
      <c r="G169" s="59">
        <f t="shared" si="46"/>
        <v>338483.89807692304</v>
      </c>
      <c r="H169" s="67">
        <f t="shared" si="47"/>
        <v>650096.07902829093</v>
      </c>
      <c r="M169" s="68">
        <v>0.8</v>
      </c>
      <c r="N169" s="69">
        <v>2.1</v>
      </c>
      <c r="O169" s="59">
        <f>(((M169+(2*N169))*'MATERIALES (2)'!$C$60)+((M169+(2*N169))*'MATERIALES (2)'!$C$58)+(M169*'MATERIALES (2)'!$C$62)+((M169*4)*'MATERIALES (2)'!$C$61)+((((M169*10)+(N169*2))*'MATERIALES (2)'!$C$76)*2))*'MATERIALES (2)'!$F$2</f>
        <v>205976.4</v>
      </c>
      <c r="P169" s="59">
        <f>(1*'MATERIALES (2)'!$C$193)+(1*'MATERIALES (2)'!$C$194)+(3*'MATERIALES (2)'!$C$196)+(2*'MATERIALES (2)'!$C$178)+(2*'MATERIALES (2)'!$C$179)+(2*'MATERIALES (2)'!$C$180)+(20*'MATERIALES (2)'!$C$147)+(20*'MATERIALES (2)'!$C$148)+((M169+(2*N169))*'MATERIALES (2)'!$C$199)+((M169+(2*N169))*'MATERIALES (2)'!$C$198)+(((M169*10)+(N169*2))*'MATERIALES (2)'!$C$130)+(((((M169*10)+(N169*2))/0.1)*'MATERIALES (2)'!$C$181)*2)+(2*'MATERIALES (2)'!$C$176)+(((M169*5)*2)*'MATERIALES (2)'!$C$136)+(4*'MATERIALES (2)'!$C$137)</f>
        <v>65238</v>
      </c>
      <c r="Q169" s="75"/>
      <c r="R169" s="55">
        <f>(M169*N169)*'MATERIALES (2)'!$D$92</f>
        <v>60732.000000000007</v>
      </c>
      <c r="S169" s="59">
        <f t="shared" si="48"/>
        <v>331946.40000000002</v>
      </c>
      <c r="T169" s="67">
        <f t="shared" si="49"/>
        <v>650475.17904600012</v>
      </c>
    </row>
    <row r="170" spans="1:30" ht="15.75" thickBot="1">
      <c r="A170" s="71">
        <v>0.9</v>
      </c>
      <c r="B170" s="72">
        <v>2.1</v>
      </c>
      <c r="C170" s="60">
        <f>(((A170+(2*B170))*'MATERIALES (2)'!$C$60)+((A170+(2*B170))*'MATERIALES (2)'!$C$58)+(A170*'MATERIALES (2)'!$C$62)+((((A170*2)+(B170*6))*'MATERIALES (2)'!$C$76)*2)+((B170*2)*'MATERIALES (2)'!$C$61))*'MATERIALES (2)'!$F$2</f>
        <v>231183.4455</v>
      </c>
      <c r="D170" s="60">
        <f>(1*'MATERIALES (2)'!$C$193)+(1*'MATERIALES (2)'!$C$194)+(3*'MATERIALES (2)'!$C$196)+(2*'MATERIALES (2)'!$C$178)+(2*'MATERIALES (2)'!$C$179)+(2*'MATERIALES (2)'!$C$180)+(12*'MATERIALES (2)'!$C$147)+(12*'MATERIALES (2)'!$C$148)+((A170+(2*B170))*'MATERIALES (2)'!$C$199)+((A170+(2*B170))*'MATERIALES (2)'!$C$198)+(((A170*2)+(B170*6))*'MATERIALES (2)'!$C$130)+(((((A170*2)+(B170*6))/0.1)*'MATERIALES (2)'!$C$181)*2)+(2*'MATERIALES (2)'!$C$176)+(((A170*5)*2)*'MATERIALES (2)'!$C$136)+(4*'MATERIALES (2)'!$C$137)</f>
        <v>65628</v>
      </c>
      <c r="E170" s="76"/>
      <c r="F170" s="56">
        <f>((A170/1.3)*B170)*'MATERIALES (2)'!$D$92</f>
        <v>52556.538461538461</v>
      </c>
      <c r="G170" s="60">
        <f t="shared" si="46"/>
        <v>349367.98396153847</v>
      </c>
      <c r="H170" s="67">
        <f t="shared" si="47"/>
        <v>674761.2220295436</v>
      </c>
      <c r="M170" s="71">
        <v>0.9</v>
      </c>
      <c r="N170" s="72">
        <v>2.1</v>
      </c>
      <c r="O170" s="60">
        <f>(((M170+(2*N170))*'MATERIALES (2)'!$C$60)+((M170+(2*N170))*'MATERIALES (2)'!$C$58)+(M170*'MATERIALES (2)'!$C$62)+((M170*4)*'MATERIALES (2)'!$C$61)+((((M170*10)+(N170*2))*'MATERIALES (2)'!$C$76)*2))*'MATERIALES (2)'!$F$2</f>
        <v>218947.90050000002</v>
      </c>
      <c r="P170" s="60">
        <f>(1*'MATERIALES (2)'!$C$193)+(1*'MATERIALES (2)'!$C$194)+(3*'MATERIALES (2)'!$C$196)+(2*'MATERIALES (2)'!$C$178)+(2*'MATERIALES (2)'!$C$179)+(2*'MATERIALES (2)'!$C$180)+(20*'MATERIALES (2)'!$C$147)+(20*'MATERIALES (2)'!$C$148)+((M170+(2*N170))*'MATERIALES (2)'!$C$199)+((M170+(2*N170))*'MATERIALES (2)'!$C$198)+(((M170*10)+(N170*2))*'MATERIALES (2)'!$C$130)+(((((M170*10)+(N170*2))/0.1)*'MATERIALES (2)'!$C$181)*2)+(2*'MATERIALES (2)'!$C$176)+(((M170*5)*2)*'MATERIALES (2)'!$C$136)+(4*'MATERIALES (2)'!$C$137)</f>
        <v>66140</v>
      </c>
      <c r="Q170" s="76"/>
      <c r="R170" s="56">
        <f>(M170*N170)*'MATERIALES (2)'!$D$92</f>
        <v>68323.5</v>
      </c>
      <c r="S170" s="60">
        <f t="shared" si="48"/>
        <v>353411.40049999999</v>
      </c>
      <c r="T170" s="67">
        <f t="shared" si="49"/>
        <v>695714.93590209179</v>
      </c>
    </row>
    <row r="172" spans="1:30" ht="15.75" thickBot="1">
      <c r="C172" s="878" t="s">
        <v>221</v>
      </c>
      <c r="D172" s="878"/>
      <c r="E172" s="878"/>
      <c r="F172" s="878"/>
      <c r="G172" s="78"/>
      <c r="O172" s="878" t="s">
        <v>221</v>
      </c>
      <c r="P172" s="878"/>
      <c r="Q172" s="878"/>
      <c r="R172" s="878"/>
      <c r="Y172" s="878" t="s">
        <v>221</v>
      </c>
      <c r="Z172" s="878"/>
      <c r="AA172" s="878"/>
      <c r="AB172" s="878"/>
      <c r="AC172" s="78"/>
    </row>
    <row r="173" spans="1:30" ht="15.75" thickBot="1">
      <c r="A173" s="32"/>
      <c r="B173" s="32"/>
      <c r="C173" s="807">
        <v>1.35</v>
      </c>
      <c r="D173" s="808"/>
      <c r="E173" s="809"/>
      <c r="F173" s="545">
        <v>2</v>
      </c>
      <c r="G173" s="32"/>
      <c r="H173" s="46" t="s">
        <v>163</v>
      </c>
      <c r="M173" s="32"/>
      <c r="N173" s="32"/>
      <c r="O173" s="807">
        <v>1.35</v>
      </c>
      <c r="P173" s="808"/>
      <c r="Q173" s="808"/>
      <c r="R173" s="809"/>
      <c r="S173" s="32"/>
      <c r="T173" s="46" t="s">
        <v>163</v>
      </c>
      <c r="W173" s="32"/>
      <c r="X173" s="32"/>
      <c r="Y173" s="807">
        <v>1.35</v>
      </c>
      <c r="Z173" s="808"/>
      <c r="AA173" s="809"/>
      <c r="AB173" s="545">
        <v>2</v>
      </c>
      <c r="AC173" s="32"/>
      <c r="AD173" s="46" t="s">
        <v>163</v>
      </c>
    </row>
    <row r="174" spans="1:30" ht="15.75" thickBot="1">
      <c r="A174" s="792" t="s">
        <v>720</v>
      </c>
      <c r="B174" s="793"/>
      <c r="C174" s="793"/>
      <c r="D174" s="793"/>
      <c r="E174" s="793"/>
      <c r="F174" s="793"/>
      <c r="G174" s="793"/>
      <c r="H174" s="794"/>
      <c r="M174" s="792" t="s">
        <v>219</v>
      </c>
      <c r="N174" s="793"/>
      <c r="O174" s="793"/>
      <c r="P174" s="793"/>
      <c r="Q174" s="793"/>
      <c r="R174" s="793"/>
      <c r="S174" s="793"/>
      <c r="T174" s="794"/>
      <c r="W174" s="792" t="s">
        <v>721</v>
      </c>
      <c r="X174" s="793"/>
      <c r="Y174" s="793"/>
      <c r="Z174" s="793"/>
      <c r="AA174" s="793"/>
      <c r="AB174" s="793"/>
      <c r="AC174" s="793"/>
      <c r="AD174" s="794"/>
    </row>
    <row r="175" spans="1:30" ht="15.75" thickBot="1">
      <c r="A175" s="36" t="s">
        <v>116</v>
      </c>
      <c r="B175" s="36" t="s">
        <v>117</v>
      </c>
      <c r="C175" s="36" t="s">
        <v>162</v>
      </c>
      <c r="D175" s="36" t="s">
        <v>119</v>
      </c>
      <c r="E175" s="36" t="s">
        <v>120</v>
      </c>
      <c r="F175" s="36" t="s">
        <v>118</v>
      </c>
      <c r="G175" s="36" t="s">
        <v>121</v>
      </c>
      <c r="H175" s="36" t="s">
        <v>122</v>
      </c>
      <c r="M175" s="36" t="s">
        <v>116</v>
      </c>
      <c r="N175" s="36" t="s">
        <v>117</v>
      </c>
      <c r="O175" s="36" t="s">
        <v>162</v>
      </c>
      <c r="P175" s="36" t="s">
        <v>119</v>
      </c>
      <c r="Q175" s="36" t="s">
        <v>120</v>
      </c>
      <c r="R175" s="36" t="s">
        <v>217</v>
      </c>
      <c r="S175" s="36" t="s">
        <v>121</v>
      </c>
      <c r="T175" s="36" t="s">
        <v>122</v>
      </c>
      <c r="W175" s="36" t="s">
        <v>116</v>
      </c>
      <c r="X175" s="36" t="s">
        <v>117</v>
      </c>
      <c r="Y175" s="36" t="s">
        <v>162</v>
      </c>
      <c r="Z175" s="36" t="s">
        <v>119</v>
      </c>
      <c r="AA175" s="36" t="s">
        <v>120</v>
      </c>
      <c r="AB175" s="36" t="s">
        <v>118</v>
      </c>
      <c r="AC175" s="36" t="s">
        <v>121</v>
      </c>
      <c r="AD175" s="36" t="s">
        <v>122</v>
      </c>
    </row>
    <row r="176" spans="1:30" ht="15.75" thickBot="1">
      <c r="A176" s="795"/>
      <c r="B176" s="796"/>
      <c r="C176" s="796"/>
      <c r="D176" s="796"/>
      <c r="E176" s="796"/>
      <c r="F176" s="796"/>
      <c r="G176" s="796"/>
      <c r="H176" s="797"/>
      <c r="M176" s="795"/>
      <c r="N176" s="796"/>
      <c r="O176" s="796"/>
      <c r="P176" s="796"/>
      <c r="Q176" s="796"/>
      <c r="R176" s="796"/>
      <c r="S176" s="796"/>
      <c r="T176" s="797"/>
      <c r="W176" s="795"/>
      <c r="X176" s="796"/>
      <c r="Y176" s="796"/>
      <c r="Z176" s="796"/>
      <c r="AA176" s="796"/>
      <c r="AB176" s="796"/>
      <c r="AC176" s="796"/>
      <c r="AD176" s="797"/>
    </row>
    <row r="177" spans="1:36" ht="15.75" thickBot="1">
      <c r="A177" s="158">
        <v>0.6</v>
      </c>
      <c r="B177" s="159">
        <v>2</v>
      </c>
      <c r="C177" s="74">
        <f>((((A177+(2*B177))*'MATERIALES (2)'!$C$60)+((A177+(2*B177))*'MATERIALES (2)'!$C$58)+(A177*'MATERIALES (2)'!$C$62)+((((A177*2)+(B177*4))*'MATERIALES (2)'!$C$76)*2))*'MATERIALES (2)'!$F$2)+(1*'MATERIALES (2)'!$D$233)</f>
        <v>145706.74300000002</v>
      </c>
      <c r="D177" s="74">
        <f>(1*'MATERIALES (2)'!$C$193)+(1*'MATERIALES (2)'!$C$194)+(3*'MATERIALES (2)'!$C$196)+(2*'MATERIALES (2)'!$C$178)+(2*'MATERIALES (2)'!$C$179)+(2*'MATERIALES (2)'!$C$180)+(8*'MATERIALES (2)'!$C$147)+(8*'MATERIALES (2)'!$C$148)+((A177+(2*B177))*'MATERIALES (2)'!$C$199)+((A177+(2*B177))*'MATERIALES (2)'!$C$198)+(((A177*2)+(B177*2))*'MATERIALES (2)'!$C$154)+(((A177*2)+(B177*2))*'MATERIALES (2)'!$C$130)+(0.5*'MATERIALES (2)'!$C$156)+(((((A177*2)+(B177*4))/0.1)*'MATERIALES (2)'!$C$181)*2)+(2*'MATERIALES (2)'!$C$176)+(((A177*5)*2)*'MATERIALES (2)'!$C$136)+(4*'MATERIALES (2)'!$C$137)</f>
        <v>64478</v>
      </c>
      <c r="E177" s="74"/>
      <c r="F177" s="111">
        <f>((A177/2)*B177)*'MATERIALES (2)'!$D$92</f>
        <v>21690</v>
      </c>
      <c r="G177" s="74">
        <f>SUM(C177:F177)</f>
        <v>231874.74300000002</v>
      </c>
      <c r="H177" s="160">
        <f>((((SUM(C177:E177)*$C$173)+(F177*$F$173))*1.21)*1.05)*1.05</f>
        <v>436398.80190377624</v>
      </c>
      <c r="I177" s="77"/>
      <c r="J177" s="77"/>
      <c r="K177" s="77"/>
      <c r="L177" s="77"/>
      <c r="M177" s="65">
        <v>0.6</v>
      </c>
      <c r="N177" s="66">
        <v>2</v>
      </c>
      <c r="O177" s="58">
        <f>(((M177+(2*N177))*'MATERIALES (2)'!$C$60)+((M177+(2*N177))*'MATERIALES (2)'!$C$58)+(M177*'MATERIALES (2)'!$C$62)+((((M177*2)+(N177*2))*'MATERIALES (2)'!$C$76)*2))*'MATERIALES (2)'!$F$2</f>
        <v>126224.34299999999</v>
      </c>
      <c r="P177" s="58">
        <f>(1*'MATERIALES (2)'!$C$193)+(1*'MATERIALES (2)'!$C$194)+(3*'MATERIALES (2)'!$C$196)+(2*'MATERIALES (2)'!$C$178)+(2*'MATERIALES (2)'!$C$179)+(2*'MATERIALES (2)'!$C$180)+(4*'MATERIALES (2)'!$C$147)+(4*'MATERIALES (2)'!$C$148)+((M177+(2*N177))*'MATERIALES (2)'!$C$199)+((M177+(2*N177))*'MATERIALES (2)'!$C$198)+(((M177*2)+(N177*2))*'MATERIALES (2)'!$C$154)+(0.5*'MATERIALES (2)'!$C$156)+(((((M177*2)+(N177*2))/0.1)*'MATERIALES (2)'!$C$181)*2)+(2*'MATERIALES (2)'!$C$176)+(((M177*5)*2)*'MATERIALES (2)'!$C$136)+(4*'MATERIALES (2)'!$C$137)</f>
        <v>60070</v>
      </c>
      <c r="Q177" s="74"/>
      <c r="R177" s="54">
        <f>(1*'MATERIALES (2)'!$D$233)</f>
        <v>4900</v>
      </c>
      <c r="S177" s="58">
        <f>SUM(O177:R177)</f>
        <v>191194.34299999999</v>
      </c>
      <c r="T177" s="67">
        <f>((((SUM(O177:R177)*$O$173))*1.21)*1.05)*1.05</f>
        <v>344328.34511777631</v>
      </c>
      <c r="U177" s="77"/>
      <c r="W177" s="65">
        <v>0.6</v>
      </c>
      <c r="X177" s="66">
        <v>2</v>
      </c>
      <c r="Y177" s="58">
        <f>(((W177+(2*X177))*'MATERIALES (2)'!$C$60)+((W177+(2*X177))*'MATERIALES (2)'!$C$58)+(W177*'MATERIALES (2)'!$C$62)+((((W177*2)+(X177*4))*'MATERIALES (2)'!$C$76)*2)+((((W177/2)-0.2)*'MATERIALES (2)'!$C$30)*(X177/0.12)))*'MATERIALES (2)'!$F$2</f>
        <v>159566.39300000001</v>
      </c>
      <c r="Z177" s="58">
        <f>(1*'MATERIALES (2)'!$C$193)+(1*'MATERIALES (2)'!$C$194)+(3*'MATERIALES (2)'!$C$196)+(2*'MATERIALES (2)'!$C$178)+(2*'MATERIALES (2)'!$C$179)+(2*'MATERIALES (2)'!$C$180)+(8*'MATERIALES (2)'!$C$147)+(8*'MATERIALES (2)'!$C$148)+((W177+(2*X177))*'MATERIALES (2)'!$C$199)+((W177+(2*X177))*'MATERIALES (2)'!$C$198)+(((W177*2)+(X177*2))*'MATERIALES (2)'!$C$154)+(((W177*2)+(X177*2))*'MATERIALES (2)'!$C$130)+(0.5*'MATERIALES (2)'!$C$156)+(((((W177*2)+(X177*4))/0.1)*'MATERIALES (2)'!$C$181)*2)+(2*'MATERIALES (2)'!$C$176)+(((W177*5)*2)*'MATERIALES (2)'!$C$136)+(4*'MATERIALES (2)'!$C$137)</f>
        <v>64478</v>
      </c>
      <c r="AA177" s="58">
        <f>(0.5*'MATERIALES (2)'!$D$244)</f>
        <v>0</v>
      </c>
      <c r="AB177" s="54">
        <f>((W177/2)*X177)*'MATERIALES (2)'!$D$92</f>
        <v>21690</v>
      </c>
      <c r="AC177" s="58">
        <f>SUM(Y177:AB177)</f>
        <v>245734.39300000001</v>
      </c>
      <c r="AD177" s="67">
        <f>((((SUM(Y177:AA177)*$Y$173)+(AB177*$AB$173))*1.21)*1.05)*1.05</f>
        <v>461359.11335196381</v>
      </c>
    </row>
    <row r="178" spans="1:36" ht="15.75" thickBot="1">
      <c r="A178" s="161">
        <v>0.7</v>
      </c>
      <c r="B178" s="162">
        <v>2</v>
      </c>
      <c r="C178" s="75">
        <f>((((A178+(2*B178))*'MATERIALES (2)'!$C$60)+((A178+(2*B178))*'MATERIALES (2)'!$C$58)+(A178*'MATERIALES (2)'!$C$62)+((((A178*2)+(B178*4))*'MATERIALES (2)'!$C$76)*2))*'MATERIALES (2)'!$F$2)+(1*'MATERIALES (2)'!$D$233)</f>
        <v>150521.21349999998</v>
      </c>
      <c r="D178" s="75">
        <f>(1*'MATERIALES (2)'!$C$193)+(1*'MATERIALES (2)'!$C$194)+(3*'MATERIALES (2)'!$C$196)+(2*'MATERIALES (2)'!$C$178)+(2*'MATERIALES (2)'!$C$179)+(2*'MATERIALES (2)'!$C$180)+(8*'MATERIALES (2)'!$C$147)+(8*'MATERIALES (2)'!$C$148)+((A178+(2*B178))*'MATERIALES (2)'!$C$199)+((A178+(2*B178))*'MATERIALES (2)'!$C$198)+(((A178*2)+(B178*2))*'MATERIALES (2)'!$C$154)+(((A178*2)+(B178*2))*'MATERIALES (2)'!$C$130)+(0.5*'MATERIALES (2)'!$C$156)+(((((A178*2)+(B178*4))/0.1)*'MATERIALES (2)'!$C$181)*2)+(2*'MATERIALES (2)'!$C$176)+(((A178*5)*2)*'MATERIALES (2)'!$C$136)+(4*'MATERIALES (2)'!$C$137)</f>
        <v>64756</v>
      </c>
      <c r="E178" s="75"/>
      <c r="F178" s="112">
        <f>((A178/2)*B178)*'MATERIALES (2)'!$D$92</f>
        <v>25305</v>
      </c>
      <c r="G178" s="75">
        <f t="shared" ref="G178:G184" si="50">SUM(C178:F178)</f>
        <v>240582.21349999998</v>
      </c>
      <c r="H178" s="160">
        <f t="shared" ref="H178:H184" si="51">((((SUM(C178:E178)*$C$173)+(F178*$F$173))*1.21)*1.05)*1.05</f>
        <v>455215.00464810565</v>
      </c>
      <c r="I178" s="77"/>
      <c r="J178" s="77"/>
      <c r="K178" s="77"/>
      <c r="L178" s="77"/>
      <c r="M178" s="68">
        <v>0.7</v>
      </c>
      <c r="N178" s="69">
        <v>2</v>
      </c>
      <c r="O178" s="59">
        <f>(((M178+(2*N178))*'MATERIALES (2)'!$C$60)+((M178+(2*N178))*'MATERIALES (2)'!$C$58)+(M178*'MATERIALES (2)'!$C$62)+((((M178*2)+(N178*2))*'MATERIALES (2)'!$C$76)*2))*'MATERIALES (2)'!$F$2</f>
        <v>131038.8135</v>
      </c>
      <c r="P178" s="59">
        <f>(1*'MATERIALES (2)'!$C$193)+(1*'MATERIALES (2)'!$C$194)+(3*'MATERIALES (2)'!$C$196)+(2*'MATERIALES (2)'!$C$178)+(2*'MATERIALES (2)'!$C$179)+(2*'MATERIALES (2)'!$C$180)+(4*'MATERIALES (2)'!$C$147)+(4*'MATERIALES (2)'!$C$148)+((M178+(2*N178))*'MATERIALES (2)'!$C$199)+((M178+(2*N178))*'MATERIALES (2)'!$C$198)+(((M178*2)+(N178*2))*'MATERIALES (2)'!$C$154)+(0.5*'MATERIALES (2)'!$C$156)+(((((M178*2)+(N178*2))/0.1)*'MATERIALES (2)'!$C$181)*2)+(2*'MATERIALES (2)'!$C$176)+(((M178*5)*2)*'MATERIALES (2)'!$C$136)+(4*'MATERIALES (2)'!$C$137)</f>
        <v>60300</v>
      </c>
      <c r="Q178" s="75"/>
      <c r="R178" s="55">
        <f>(1*'MATERIALES (2)'!$D$233)</f>
        <v>4900</v>
      </c>
      <c r="S178" s="59">
        <f t="shared" ref="S178:S184" si="52">SUM(O178:R178)</f>
        <v>196238.81349999999</v>
      </c>
      <c r="T178" s="67">
        <f t="shared" ref="T178:T184" si="53">((((SUM(O178:R178)*$O$173))*1.21)*1.05)*1.05</f>
        <v>353413.10229210567</v>
      </c>
      <c r="U178" s="77"/>
      <c r="W178" s="68">
        <v>0.7</v>
      </c>
      <c r="X178" s="69">
        <v>2</v>
      </c>
      <c r="Y178" s="59">
        <f>(((W178+(2*X178))*'MATERIALES (2)'!$C$60)+((W178+(2*X178))*'MATERIALES (2)'!$C$58)+(W178*'MATERIALES (2)'!$C$62)+((((W178*2)+(X178*4))*'MATERIALES (2)'!$C$76)*2)+((((W178/2)-0.2)*'MATERIALES (2)'!$C$30)*(X178/0.12)))*'MATERIALES (2)'!$F$2</f>
        <v>173760.68849999999</v>
      </c>
      <c r="Z178" s="59">
        <f>(1*'MATERIALES (2)'!$C$193)+(1*'MATERIALES (2)'!$C$194)+(3*'MATERIALES (2)'!$C$196)+(2*'MATERIALES (2)'!$C$178)+(2*'MATERIALES (2)'!$C$179)+(2*'MATERIALES (2)'!$C$180)+(8*'MATERIALES (2)'!$C$147)+(8*'MATERIALES (2)'!$C$148)+((W178+(2*X178))*'MATERIALES (2)'!$C$199)+((W178+(2*X178))*'MATERIALES (2)'!$C$198)+(((W178*2)+(X178*2))*'MATERIALES (2)'!$C$154)+(((W178*2)+(X178*2))*'MATERIALES (2)'!$C$130)+(0.5*'MATERIALES (2)'!$C$156)+(((((W178*2)+(X178*4))/0.1)*'MATERIALES (2)'!$C$181)*2)+(2*'MATERIALES (2)'!$C$176)+(((W178*5)*2)*'MATERIALES (2)'!$C$136)+(4*'MATERIALES (2)'!$C$137)</f>
        <v>64756</v>
      </c>
      <c r="AA178" s="59">
        <f>(0.5*'MATERIALES (2)'!$D$244)</f>
        <v>0</v>
      </c>
      <c r="AB178" s="55">
        <f>((W178/2)*X178)*'MATERIALES (2)'!$D$92</f>
        <v>25305</v>
      </c>
      <c r="AC178" s="59">
        <f t="shared" ref="AC178:AC184" si="54">SUM(Y178:AB178)</f>
        <v>263821.68849999999</v>
      </c>
      <c r="AD178" s="67">
        <f t="shared" ref="AD178:AD184" si="55">((((SUM(Y178:AA178)*$Y$173)+(AB178*$AB$173))*1.21)*1.05)*1.05</f>
        <v>497067.75950788689</v>
      </c>
    </row>
    <row r="179" spans="1:36" ht="15.75" thickBot="1">
      <c r="A179" s="161">
        <v>0.8</v>
      </c>
      <c r="B179" s="162">
        <v>2</v>
      </c>
      <c r="C179" s="75">
        <f>((((A179+(2*B179))*'MATERIALES (2)'!$C$60)+((A179+(2*B179))*'MATERIALES (2)'!$C$58)+(A179*'MATERIALES (2)'!$C$62)+((((A179*2)+(B179*4))*'MATERIALES (2)'!$C$76)*2))*'MATERIALES (2)'!$F$2)+(1*'MATERIALES (2)'!$D$233)</f>
        <v>155335.68399999998</v>
      </c>
      <c r="D179" s="75">
        <f>(1*'MATERIALES (2)'!$C$193)+(1*'MATERIALES (2)'!$C$194)+(3*'MATERIALES (2)'!$C$196)+(2*'MATERIALES (2)'!$C$178)+(2*'MATERIALES (2)'!$C$179)+(2*'MATERIALES (2)'!$C$180)+(8*'MATERIALES (2)'!$C$147)+(8*'MATERIALES (2)'!$C$148)+((A179+(2*B179))*'MATERIALES (2)'!$C$199)+((A179+(2*B179))*'MATERIALES (2)'!$C$198)+(((A179*2)+(B179*2))*'MATERIALES (2)'!$C$154)+(((A179*2)+(B179*2))*'MATERIALES (2)'!$C$130)+(0.5*'MATERIALES (2)'!$C$156)+(((((A179*2)+(B179*4))/0.1)*'MATERIALES (2)'!$C$181)*2)+(2*'MATERIALES (2)'!$C$176)+(((A179*5)*2)*'MATERIALES (2)'!$C$136)+(4*'MATERIALES (2)'!$C$137)</f>
        <v>65034</v>
      </c>
      <c r="E179" s="75"/>
      <c r="F179" s="112">
        <f>((A179/2)*B179)*'MATERIALES (2)'!$D$92</f>
        <v>28920</v>
      </c>
      <c r="G179" s="75">
        <f t="shared" si="50"/>
        <v>249289.68399999998</v>
      </c>
      <c r="H179" s="160">
        <f t="shared" si="51"/>
        <v>474031.207392435</v>
      </c>
      <c r="I179" s="77"/>
      <c r="J179" s="77"/>
      <c r="K179" s="77"/>
      <c r="L179" s="77"/>
      <c r="M179" s="68">
        <v>0.8</v>
      </c>
      <c r="N179" s="69">
        <v>2</v>
      </c>
      <c r="O179" s="59">
        <f>(((M179+(2*N179))*'MATERIALES (2)'!$C$60)+((M179+(2*N179))*'MATERIALES (2)'!$C$58)+(M179*'MATERIALES (2)'!$C$62)+((((M179*2)+(N179*2))*'MATERIALES (2)'!$C$76)*2))*'MATERIALES (2)'!$F$2</f>
        <v>135853.28399999999</v>
      </c>
      <c r="P179" s="59">
        <f>(1*'MATERIALES (2)'!$C$193)+(1*'MATERIALES (2)'!$C$194)+(3*'MATERIALES (2)'!$C$196)+(2*'MATERIALES (2)'!$C$178)+(2*'MATERIALES (2)'!$C$179)+(2*'MATERIALES (2)'!$C$180)+(4*'MATERIALES (2)'!$C$147)+(4*'MATERIALES (2)'!$C$148)+((M179+(2*N179))*'MATERIALES (2)'!$C$199)+((M179+(2*N179))*'MATERIALES (2)'!$C$198)+(((M179*2)+(N179*2))*'MATERIALES (2)'!$C$154)+(0.5*'MATERIALES (2)'!$C$156)+(((((M179*2)+(N179*2))/0.1)*'MATERIALES (2)'!$C$181)*2)+(2*'MATERIALES (2)'!$C$176)+(((M179*5)*2)*'MATERIALES (2)'!$C$136)+(4*'MATERIALES (2)'!$C$137)</f>
        <v>60530</v>
      </c>
      <c r="Q179" s="75"/>
      <c r="R179" s="55">
        <f>(1*'MATERIALES (2)'!$D$233)</f>
        <v>4900</v>
      </c>
      <c r="S179" s="59">
        <f t="shared" si="52"/>
        <v>201283.28399999999</v>
      </c>
      <c r="T179" s="67">
        <f t="shared" si="53"/>
        <v>362497.85946643498</v>
      </c>
      <c r="U179" s="77"/>
      <c r="W179" s="68">
        <v>0.8</v>
      </c>
      <c r="X179" s="69">
        <v>2</v>
      </c>
      <c r="Y179" s="59">
        <f>(((W179+(2*X179))*'MATERIALES (2)'!$C$60)+((W179+(2*X179))*'MATERIALES (2)'!$C$58)+(W179*'MATERIALES (2)'!$C$62)+((((W179*2)+(X179*4))*'MATERIALES (2)'!$C$76)*2)+((((W179/2)-0.2)*'MATERIALES (2)'!$C$30)*(X179/0.12)))*'MATERIALES (2)'!$F$2</f>
        <v>187954.98399999997</v>
      </c>
      <c r="Z179" s="59">
        <f>(1*'MATERIALES (2)'!$C$193)+(1*'MATERIALES (2)'!$C$194)+(3*'MATERIALES (2)'!$C$196)+(2*'MATERIALES (2)'!$C$178)+(2*'MATERIALES (2)'!$C$179)+(2*'MATERIALES (2)'!$C$180)+(8*'MATERIALES (2)'!$C$147)+(8*'MATERIALES (2)'!$C$148)+((W179+(2*X179))*'MATERIALES (2)'!$C$199)+((W179+(2*X179))*'MATERIALES (2)'!$C$198)+(((W179*2)+(X179*2))*'MATERIALES (2)'!$C$154)+(((W179*2)+(X179*2))*'MATERIALES (2)'!$C$130)+(0.5*'MATERIALES (2)'!$C$156)+(((((W179*2)+(X179*4))/0.1)*'MATERIALES (2)'!$C$181)*2)+(2*'MATERIALES (2)'!$C$176)+(((W179*5)*2)*'MATERIALES (2)'!$C$136)+(4*'MATERIALES (2)'!$C$137)</f>
        <v>65034</v>
      </c>
      <c r="AA179" s="59">
        <f>(0.5*'MATERIALES (2)'!$D$244)</f>
        <v>0</v>
      </c>
      <c r="AB179" s="55">
        <f>((W179/2)*X179)*'MATERIALES (2)'!$D$92</f>
        <v>28920</v>
      </c>
      <c r="AC179" s="59">
        <f t="shared" si="54"/>
        <v>281908.98399999994</v>
      </c>
      <c r="AD179" s="67">
        <f t="shared" si="55"/>
        <v>532776.40566380997</v>
      </c>
      <c r="AJ179" s="673">
        <f>(((W179+(2*X179))*'MATERIALES (2)'!$C$60)+((W179+(2*X179))*'MATERIALES (2)'!$C$58)+(W179*'MATERIALES (2)'!$C$62)+((((W179*2)+(X179*4))*'MATERIALES (2)'!$C$76)*2)+(((W179-0.2)*'MATERIALES (2)'!$C$30)*(X179/0.12)))*'MATERIALES (2)'!$F$2</f>
        <v>262993.58400000003</v>
      </c>
    </row>
    <row r="180" spans="1:36" ht="15.75" thickBot="1">
      <c r="A180" s="161">
        <v>0.9</v>
      </c>
      <c r="B180" s="162">
        <v>2</v>
      </c>
      <c r="C180" s="75">
        <f>((((A180+(2*B180))*'MATERIALES (2)'!$C$60)+((A180+(2*B180))*'MATERIALES (2)'!$C$58)+(A180*'MATERIALES (2)'!$C$62)+((((A180*2)+(B180*4))*'MATERIALES (2)'!$C$76)*2))*'MATERIALES (2)'!$F$2)+(1*'MATERIALES (2)'!$D$233)</f>
        <v>160150.1545</v>
      </c>
      <c r="D180" s="75">
        <f>(1*'MATERIALES (2)'!$C$193)+(1*'MATERIALES (2)'!$C$194)+(3*'MATERIALES (2)'!$C$196)+(2*'MATERIALES (2)'!$C$178)+(2*'MATERIALES (2)'!$C$179)+(2*'MATERIALES (2)'!$C$180)+(8*'MATERIALES (2)'!$C$147)+(8*'MATERIALES (2)'!$C$148)+((A180+(2*B180))*'MATERIALES (2)'!$C$199)+((A180+(2*B180))*'MATERIALES (2)'!$C$198)+(((A180*2)+(B180*2))*'MATERIALES (2)'!$C$154)+(((A180*2)+(B180*2))*'MATERIALES (2)'!$C$130)+(0.5*'MATERIALES (2)'!$C$156)+(((((A180*2)+(B180*4))/0.1)*'MATERIALES (2)'!$C$181)*2)+(2*'MATERIALES (2)'!$C$176)+(((A180*5)*2)*'MATERIALES (2)'!$C$136)+(4*'MATERIALES (2)'!$C$137)</f>
        <v>65312</v>
      </c>
      <c r="E180" s="75"/>
      <c r="F180" s="112">
        <f>((A180/2)*B180)*'MATERIALES (2)'!$D$92</f>
        <v>32535</v>
      </c>
      <c r="G180" s="75">
        <f t="shared" si="50"/>
        <v>257997.1545</v>
      </c>
      <c r="H180" s="160">
        <f t="shared" si="51"/>
        <v>492847.41013676446</v>
      </c>
      <c r="I180" s="77"/>
      <c r="J180" s="77"/>
      <c r="K180" s="77"/>
      <c r="L180" s="77"/>
      <c r="M180" s="68">
        <v>0.9</v>
      </c>
      <c r="N180" s="69">
        <v>2</v>
      </c>
      <c r="O180" s="59">
        <f>(((M180+(2*N180))*'MATERIALES (2)'!$C$60)+((M180+(2*N180))*'MATERIALES (2)'!$C$58)+(M180*'MATERIALES (2)'!$C$62)+((((M180*2)+(N180*2))*'MATERIALES (2)'!$C$76)*2))*'MATERIALES (2)'!$F$2</f>
        <v>140667.75450000001</v>
      </c>
      <c r="P180" s="59">
        <f>(1*'MATERIALES (2)'!$C$193)+(1*'MATERIALES (2)'!$C$194)+(3*'MATERIALES (2)'!$C$196)+(2*'MATERIALES (2)'!$C$178)+(2*'MATERIALES (2)'!$C$179)+(2*'MATERIALES (2)'!$C$180)+(4*'MATERIALES (2)'!$C$147)+(4*'MATERIALES (2)'!$C$148)+((M180+(2*N180))*'MATERIALES (2)'!$C$199)+((M180+(2*N180))*'MATERIALES (2)'!$C$198)+(((M180*2)+(N180*2))*'MATERIALES (2)'!$C$154)+(0.5*'MATERIALES (2)'!$C$156)+(((((M180*2)+(N180*2))/0.1)*'MATERIALES (2)'!$C$181)*2)+(2*'MATERIALES (2)'!$C$176)+(((M180*5)*2)*'MATERIALES (2)'!$C$136)+(4*'MATERIALES (2)'!$C$137)</f>
        <v>60760</v>
      </c>
      <c r="Q180" s="75"/>
      <c r="R180" s="55">
        <f>(1*'MATERIALES (2)'!$D$233)</f>
        <v>4900</v>
      </c>
      <c r="S180" s="59">
        <f t="shared" si="52"/>
        <v>206327.75450000001</v>
      </c>
      <c r="T180" s="67">
        <f t="shared" si="53"/>
        <v>371582.61664076441</v>
      </c>
      <c r="U180" s="77"/>
      <c r="W180" s="68">
        <v>0.9</v>
      </c>
      <c r="X180" s="69">
        <v>2</v>
      </c>
      <c r="Y180" s="59">
        <f>(((W180+(2*X180))*'MATERIALES (2)'!$C$60)+((W180+(2*X180))*'MATERIALES (2)'!$C$58)+(W180*'MATERIALES (2)'!$C$62)+((((W180*2)+(X180*4))*'MATERIALES (2)'!$C$76)*2)+((((W180/2)-0.2)*'MATERIALES (2)'!$C$30)*(X180/0.12)))*'MATERIALES (2)'!$F$2</f>
        <v>202149.27950000003</v>
      </c>
      <c r="Z180" s="59">
        <f>(1*'MATERIALES (2)'!$C$193)+(1*'MATERIALES (2)'!$C$194)+(3*'MATERIALES (2)'!$C$196)+(2*'MATERIALES (2)'!$C$178)+(2*'MATERIALES (2)'!$C$179)+(2*'MATERIALES (2)'!$C$180)+(8*'MATERIALES (2)'!$C$147)+(8*'MATERIALES (2)'!$C$148)+((W180+(2*X180))*'MATERIALES (2)'!$C$199)+((W180+(2*X180))*'MATERIALES (2)'!$C$198)+(((W180*2)+(X180*2))*'MATERIALES (2)'!$C$154)+(((W180*2)+(X180*2))*'MATERIALES (2)'!$C$130)+(0.5*'MATERIALES (2)'!$C$156)+(((((W180*2)+(X180*4))/0.1)*'MATERIALES (2)'!$C$181)*2)+(2*'MATERIALES (2)'!$C$176)+(((W180*5)*2)*'MATERIALES (2)'!$C$136)+(4*'MATERIALES (2)'!$C$137)</f>
        <v>65312</v>
      </c>
      <c r="AA180" s="59">
        <f>(0.5*'MATERIALES (2)'!$D$244)</f>
        <v>0</v>
      </c>
      <c r="AB180" s="55">
        <f>((W180/2)*X180)*'MATERIALES (2)'!$D$92</f>
        <v>32535</v>
      </c>
      <c r="AC180" s="59">
        <f t="shared" si="54"/>
        <v>299996.27950000006</v>
      </c>
      <c r="AD180" s="67">
        <f t="shared" si="55"/>
        <v>568485.05181973323</v>
      </c>
    </row>
    <row r="181" spans="1:36" ht="15.75" thickBot="1">
      <c r="A181" s="161">
        <v>0.6</v>
      </c>
      <c r="B181" s="162">
        <v>2.1</v>
      </c>
      <c r="C181" s="75">
        <f>((((A181+(2*B181))*'MATERIALES (2)'!$C$60)+((A181+(2*B181))*'MATERIALES (2)'!$C$58)+(A181*'MATERIALES (2)'!$C$62)+((((A181*2)+(B181*4))*'MATERIALES (2)'!$C$76)*2))*'MATERIALES (2)'!$F$2)+(1*'MATERIALES (2)'!$D$233)</f>
        <v>151302.739</v>
      </c>
      <c r="D181" s="75">
        <f>(1*'MATERIALES (2)'!$C$193)+(1*'MATERIALES (2)'!$C$194)+(3*'MATERIALES (2)'!$C$196)+(2*'MATERIALES (2)'!$C$178)+(2*'MATERIALES (2)'!$C$179)+(2*'MATERIALES (2)'!$C$180)+(8*'MATERIALES (2)'!$C$147)+(8*'MATERIALES (2)'!$C$148)+((A181+(2*B181))*'MATERIALES (2)'!$C$199)+((A181+(2*B181))*'MATERIALES (2)'!$C$198)+(((A181*2)+(B181*2))*'MATERIALES (2)'!$C$154)+(((A181*2)+(B181*2))*'MATERIALES (2)'!$C$130)+(0.5*'MATERIALES (2)'!$C$156)+(((((A181*2)+(B181*4))/0.1)*'MATERIALES (2)'!$C$181)*2)+(2*'MATERIALES (2)'!$C$176)+(((A181*5)*2)*'MATERIALES (2)'!$C$136)+(4*'MATERIALES (2)'!$C$137)</f>
        <v>64938</v>
      </c>
      <c r="E181" s="75"/>
      <c r="F181" s="112">
        <f>((A181/2)*B181)*'MATERIALES (2)'!$D$92</f>
        <v>22774.5</v>
      </c>
      <c r="G181" s="75">
        <f t="shared" si="50"/>
        <v>239015.239</v>
      </c>
      <c r="H181" s="160">
        <f t="shared" si="51"/>
        <v>450198.74971504131</v>
      </c>
      <c r="I181" s="77"/>
      <c r="J181" s="77"/>
      <c r="K181" s="77"/>
      <c r="L181" s="77"/>
      <c r="M181" s="68">
        <v>0.6</v>
      </c>
      <c r="N181" s="69">
        <v>2.1</v>
      </c>
      <c r="O181" s="59">
        <f>(((M181+(2*N181))*'MATERIALES (2)'!$C$60)+((M181+(2*N181))*'MATERIALES (2)'!$C$58)+(M181*'MATERIALES (2)'!$C$62)+((((M181*2)+(N181*2))*'MATERIALES (2)'!$C$76)*2))*'MATERIALES (2)'!$F$2</f>
        <v>131091.21899999998</v>
      </c>
      <c r="P181" s="59">
        <f>(1*'MATERIALES (2)'!$C$193)+(1*'MATERIALES (2)'!$C$194)+(3*'MATERIALES (2)'!$C$196)+(2*'MATERIALES (2)'!$C$178)+(2*'MATERIALES (2)'!$C$179)+(2*'MATERIALES (2)'!$C$180)+(4*'MATERIALES (2)'!$C$147)+(4*'MATERIALES (2)'!$C$148)+((M181+(2*N181))*'MATERIALES (2)'!$C$199)+((M181+(2*N181))*'MATERIALES (2)'!$C$198)+(((M181*2)+(N181*2))*'MATERIALES (2)'!$C$154)+(0.5*'MATERIALES (2)'!$C$156)+(((((M181*2)+(N181*2))/0.1)*'MATERIALES (2)'!$C$181)*2)+(2*'MATERIALES (2)'!$C$176)+(((M181*5)*2)*'MATERIALES (2)'!$C$136)+(4*'MATERIALES (2)'!$C$137)</f>
        <v>60362</v>
      </c>
      <c r="Q181" s="75"/>
      <c r="R181" s="55">
        <f>(1*'MATERIALES (2)'!$D$233)</f>
        <v>4900</v>
      </c>
      <c r="S181" s="59">
        <f t="shared" si="52"/>
        <v>196353.21899999998</v>
      </c>
      <c r="T181" s="67">
        <f t="shared" si="53"/>
        <v>353619.1390182412</v>
      </c>
      <c r="U181" s="77"/>
      <c r="W181" s="68">
        <v>0.6</v>
      </c>
      <c r="X181" s="69">
        <v>2.1</v>
      </c>
      <c r="Y181" s="59">
        <f>(((W181+(2*X181))*'MATERIALES (2)'!$C$60)+((W181+(2*X181))*'MATERIALES (2)'!$C$58)+(W181*'MATERIALES (2)'!$C$62)+((((W181*2)+(X181*4))*'MATERIALES (2)'!$C$76)*2)+((((W181/2)-0.2)*'MATERIALES (2)'!$C$30)*(X181/0.12)))*'MATERIALES (2)'!$F$2</f>
        <v>166100.37149999998</v>
      </c>
      <c r="Z181" s="59">
        <f>(1*'MATERIALES (2)'!$C$193)+(1*'MATERIALES (2)'!$C$194)+(3*'MATERIALES (2)'!$C$196)+(2*'MATERIALES (2)'!$C$178)+(2*'MATERIALES (2)'!$C$179)+(2*'MATERIALES (2)'!$C$180)+(8*'MATERIALES (2)'!$C$147)+(8*'MATERIALES (2)'!$C$148)+((W181+(2*X181))*'MATERIALES (2)'!$C$199)+((W181+(2*X181))*'MATERIALES (2)'!$C$198)+(((W181*2)+(X181*2))*'MATERIALES (2)'!$C$154)+(((W181*2)+(X181*2))*'MATERIALES (2)'!$C$130)+(0.5*'MATERIALES (2)'!$C$156)+(((((W181*2)+(X181*4))/0.1)*'MATERIALES (2)'!$C$181)*2)+(2*'MATERIALES (2)'!$C$176)+(((W181*5)*2)*'MATERIALES (2)'!$C$136)+(4*'MATERIALES (2)'!$C$137)</f>
        <v>64938</v>
      </c>
      <c r="AA181" s="59">
        <f>(0.5*'MATERIALES (2)'!$D$244)</f>
        <v>0</v>
      </c>
      <c r="AB181" s="55">
        <f>((W181/2)*X181)*'MATERIALES (2)'!$D$92</f>
        <v>22774.5</v>
      </c>
      <c r="AC181" s="59">
        <f t="shared" si="54"/>
        <v>253812.87149999998</v>
      </c>
      <c r="AD181" s="67">
        <f t="shared" si="55"/>
        <v>476848.30550438818</v>
      </c>
    </row>
    <row r="182" spans="1:36" ht="15.75" thickBot="1">
      <c r="A182" s="161">
        <v>0.7</v>
      </c>
      <c r="B182" s="162">
        <v>2.1</v>
      </c>
      <c r="C182" s="75">
        <f>((((A182+(2*B182))*'MATERIALES (2)'!$C$60)+((A182+(2*B182))*'MATERIALES (2)'!$C$58)+(A182*'MATERIALES (2)'!$C$62)+((((A182*2)+(B182*4))*'MATERIALES (2)'!$C$76)*2))*'MATERIALES (2)'!$F$2)+(1*'MATERIALES (2)'!$D$233)</f>
        <v>156117.2095</v>
      </c>
      <c r="D182" s="75">
        <f>(1*'MATERIALES (2)'!$C$193)+(1*'MATERIALES (2)'!$C$194)+(3*'MATERIALES (2)'!$C$196)+(2*'MATERIALES (2)'!$C$178)+(2*'MATERIALES (2)'!$C$179)+(2*'MATERIALES (2)'!$C$180)+(8*'MATERIALES (2)'!$C$147)+(8*'MATERIALES (2)'!$C$148)+((A182+(2*B182))*'MATERIALES (2)'!$C$199)+((A182+(2*B182))*'MATERIALES (2)'!$C$198)+(((A182*2)+(B182*2))*'MATERIALES (2)'!$C$154)+(((A182*2)+(B182*2))*'MATERIALES (2)'!$C$130)+(0.5*'MATERIALES (2)'!$C$156)+(((((A182*2)+(B182*4))/0.1)*'MATERIALES (2)'!$C$181)*2)+(2*'MATERIALES (2)'!$C$176)+(((A182*5)*2)*'MATERIALES (2)'!$C$136)+(4*'MATERIALES (2)'!$C$137)</f>
        <v>65216</v>
      </c>
      <c r="E182" s="75"/>
      <c r="F182" s="112">
        <f>((A182/2)*B182)*'MATERIALES (2)'!$D$92</f>
        <v>26570.25</v>
      </c>
      <c r="G182" s="75">
        <f t="shared" si="50"/>
        <v>247903.4595</v>
      </c>
      <c r="H182" s="160">
        <f t="shared" si="51"/>
        <v>469497.2024968706</v>
      </c>
      <c r="I182" s="77"/>
      <c r="J182" s="77"/>
      <c r="K182" s="77"/>
      <c r="L182" s="77"/>
      <c r="M182" s="68">
        <v>0.7</v>
      </c>
      <c r="N182" s="69">
        <v>2.1</v>
      </c>
      <c r="O182" s="59">
        <f>(((M182+(2*N182))*'MATERIALES (2)'!$C$60)+((M182+(2*N182))*'MATERIALES (2)'!$C$58)+(M182*'MATERIALES (2)'!$C$62)+((((M182*2)+(N182*2))*'MATERIALES (2)'!$C$76)*2))*'MATERIALES (2)'!$F$2</f>
        <v>135905.68949999998</v>
      </c>
      <c r="P182" s="59">
        <f>(1*'MATERIALES (2)'!$C$193)+(1*'MATERIALES (2)'!$C$194)+(3*'MATERIALES (2)'!$C$196)+(2*'MATERIALES (2)'!$C$178)+(2*'MATERIALES (2)'!$C$179)+(2*'MATERIALES (2)'!$C$180)+(4*'MATERIALES (2)'!$C$147)+(4*'MATERIALES (2)'!$C$148)+((M182+(2*N182))*'MATERIALES (2)'!$C$199)+((M182+(2*N182))*'MATERIALES (2)'!$C$198)+(((M182*2)+(N182*2))*'MATERIALES (2)'!$C$154)+(0.5*'MATERIALES (2)'!$C$156)+(((((M182*2)+(N182*2))/0.1)*'MATERIALES (2)'!$C$181)*2)+(2*'MATERIALES (2)'!$C$176)+(((M182*5)*2)*'MATERIALES (2)'!$C$136)+(4*'MATERIALES (2)'!$C$137)</f>
        <v>60592</v>
      </c>
      <c r="Q182" s="75"/>
      <c r="R182" s="55">
        <f>(1*'MATERIALES (2)'!$D$233)</f>
        <v>4900</v>
      </c>
      <c r="S182" s="59">
        <f t="shared" si="52"/>
        <v>201397.68949999998</v>
      </c>
      <c r="T182" s="67">
        <f t="shared" si="53"/>
        <v>362703.89619257062</v>
      </c>
      <c r="U182" s="77"/>
      <c r="W182" s="68">
        <v>0.7</v>
      </c>
      <c r="X182" s="69">
        <v>2.1</v>
      </c>
      <c r="Y182" s="59">
        <f>(((W182+(2*X182))*'MATERIALES (2)'!$C$60)+((W182+(2*X182))*'MATERIALES (2)'!$C$58)+(W182*'MATERIALES (2)'!$C$62)+((((W182*2)+(X182*4))*'MATERIALES (2)'!$C$76)*2)+((((W182/2)-0.2)*'MATERIALES (2)'!$C$30)*(X182/0.12)))*'MATERIALES (2)'!$F$2</f>
        <v>180763.65824999998</v>
      </c>
      <c r="Z182" s="59">
        <f>(1*'MATERIALES (2)'!$C$193)+(1*'MATERIALES (2)'!$C$194)+(3*'MATERIALES (2)'!$C$196)+(2*'MATERIALES (2)'!$C$178)+(2*'MATERIALES (2)'!$C$179)+(2*'MATERIALES (2)'!$C$180)+(8*'MATERIALES (2)'!$C$147)+(8*'MATERIALES (2)'!$C$148)+((W182+(2*X182))*'MATERIALES (2)'!$C$199)+((W182+(2*X182))*'MATERIALES (2)'!$C$198)+(((W182*2)+(X182*2))*'MATERIALES (2)'!$C$154)+(((W182*2)+(X182*2))*'MATERIALES (2)'!$C$130)+(0.5*'MATERIALES (2)'!$C$156)+(((((W182*2)+(X182*4))/0.1)*'MATERIALES (2)'!$C$181)*2)+(2*'MATERIALES (2)'!$C$176)+(((W182*5)*2)*'MATERIALES (2)'!$C$136)+(4*'MATERIALES (2)'!$C$137)</f>
        <v>65216</v>
      </c>
      <c r="AA182" s="59">
        <f>(0.5*'MATERIALES (2)'!$D$244)</f>
        <v>0</v>
      </c>
      <c r="AB182" s="55">
        <f>((W182/2)*X182)*'MATERIALES (2)'!$D$92</f>
        <v>26570.25</v>
      </c>
      <c r="AC182" s="59">
        <f t="shared" si="54"/>
        <v>272549.90824999998</v>
      </c>
      <c r="AD182" s="67">
        <f t="shared" si="55"/>
        <v>513883.82386839093</v>
      </c>
    </row>
    <row r="183" spans="1:36" ht="15.75" thickBot="1">
      <c r="A183" s="161">
        <v>0.8</v>
      </c>
      <c r="B183" s="162">
        <v>2.1</v>
      </c>
      <c r="C183" s="75">
        <f>((((A183+(2*B183))*'MATERIALES (2)'!$C$60)+((A183+(2*B183))*'MATERIALES (2)'!$C$58)+(A183*'MATERIALES (2)'!$C$62)+((((A183*2)+(B183*4))*'MATERIALES (2)'!$C$76)*2))*'MATERIALES (2)'!$F$2)+(1*'MATERIALES (2)'!$D$233)</f>
        <v>160931.68000000002</v>
      </c>
      <c r="D183" s="75">
        <f>(1*'MATERIALES (2)'!$C$193)+(1*'MATERIALES (2)'!$C$194)+(3*'MATERIALES (2)'!$C$196)+(2*'MATERIALES (2)'!$C$178)+(2*'MATERIALES (2)'!$C$179)+(2*'MATERIALES (2)'!$C$180)+(8*'MATERIALES (2)'!$C$147)+(8*'MATERIALES (2)'!$C$148)+((A183+(2*B183))*'MATERIALES (2)'!$C$199)+((A183+(2*B183))*'MATERIALES (2)'!$C$198)+(((A183*2)+(B183*2))*'MATERIALES (2)'!$C$154)+(((A183*2)+(B183*2))*'MATERIALES (2)'!$C$130)+(0.5*'MATERIALES (2)'!$C$156)+(((((A183*2)+(B183*4))/0.1)*'MATERIALES (2)'!$C$181)*2)+(2*'MATERIALES (2)'!$C$176)+(((A183*5)*2)*'MATERIALES (2)'!$C$136)+(4*'MATERIALES (2)'!$C$137)</f>
        <v>65494</v>
      </c>
      <c r="E183" s="75"/>
      <c r="F183" s="112">
        <f>((A183/2)*B183)*'MATERIALES (2)'!$D$92</f>
        <v>30366.000000000004</v>
      </c>
      <c r="G183" s="75">
        <f t="shared" si="50"/>
        <v>256791.68000000002</v>
      </c>
      <c r="H183" s="160">
        <f t="shared" si="51"/>
        <v>488795.65527870011</v>
      </c>
      <c r="I183" s="77"/>
      <c r="J183" s="77"/>
      <c r="K183" s="77"/>
      <c r="L183" s="77"/>
      <c r="M183" s="68">
        <v>0.8</v>
      </c>
      <c r="N183" s="69">
        <v>2.1</v>
      </c>
      <c r="O183" s="59">
        <f>(((M183+(2*N183))*'MATERIALES (2)'!$C$60)+((M183+(2*N183))*'MATERIALES (2)'!$C$58)+(M183*'MATERIALES (2)'!$C$62)+((((M183*2)+(N183*2))*'MATERIALES (2)'!$C$76)*2))*'MATERIALES (2)'!$F$2</f>
        <v>140720.16</v>
      </c>
      <c r="P183" s="59">
        <f>(1*'MATERIALES (2)'!$C$193)+(1*'MATERIALES (2)'!$C$194)+(3*'MATERIALES (2)'!$C$196)+(2*'MATERIALES (2)'!$C$178)+(2*'MATERIALES (2)'!$C$179)+(2*'MATERIALES (2)'!$C$180)+(4*'MATERIALES (2)'!$C$147)+(4*'MATERIALES (2)'!$C$148)+((M183+(2*N183))*'MATERIALES (2)'!$C$199)+((M183+(2*N183))*'MATERIALES (2)'!$C$198)+(((M183*2)+(N183*2))*'MATERIALES (2)'!$C$154)+(0.5*'MATERIALES (2)'!$C$156)+(((((M183*2)+(N183*2))/0.1)*'MATERIALES (2)'!$C$181)*2)+(2*'MATERIALES (2)'!$C$176)+(((M183*5)*2)*'MATERIALES (2)'!$C$136)+(4*'MATERIALES (2)'!$C$137)</f>
        <v>60822</v>
      </c>
      <c r="Q183" s="75"/>
      <c r="R183" s="55">
        <f>(1*'MATERIALES (2)'!$D$233)</f>
        <v>4900</v>
      </c>
      <c r="S183" s="59">
        <f t="shared" si="52"/>
        <v>206442.16</v>
      </c>
      <c r="T183" s="67">
        <f t="shared" si="53"/>
        <v>371788.65336690011</v>
      </c>
      <c r="U183" s="77"/>
      <c r="W183" s="68">
        <v>0.8</v>
      </c>
      <c r="X183" s="69">
        <v>2.1</v>
      </c>
      <c r="Y183" s="59">
        <f>(((W183+(2*X183))*'MATERIALES (2)'!$C$60)+((W183+(2*X183))*'MATERIALES (2)'!$C$58)+(W183*'MATERIALES (2)'!$C$62)+((((W183*2)+(X183*4))*'MATERIALES (2)'!$C$76)*2)+((((W183/2)-0.2)*'MATERIALES (2)'!$C$30)*(X183/0.12)))*'MATERIALES (2)'!$F$2</f>
        <v>195426.94500000004</v>
      </c>
      <c r="Z183" s="59">
        <f>(1*'MATERIALES (2)'!$C$193)+(1*'MATERIALES (2)'!$C$194)+(3*'MATERIALES (2)'!$C$196)+(2*'MATERIALES (2)'!$C$178)+(2*'MATERIALES (2)'!$C$179)+(2*'MATERIALES (2)'!$C$180)+(8*'MATERIALES (2)'!$C$147)+(8*'MATERIALES (2)'!$C$148)+((W183+(2*X183))*'MATERIALES (2)'!$C$199)+((W183+(2*X183))*'MATERIALES (2)'!$C$198)+(((W183*2)+(X183*2))*'MATERIALES (2)'!$C$154)+(((W183*2)+(X183*2))*'MATERIALES (2)'!$C$130)+(0.5*'MATERIALES (2)'!$C$156)+(((((W183*2)+(X183*4))/0.1)*'MATERIALES (2)'!$C$181)*2)+(2*'MATERIALES (2)'!$C$176)+(((W183*5)*2)*'MATERIALES (2)'!$C$136)+(4*'MATERIALES (2)'!$C$137)</f>
        <v>65494</v>
      </c>
      <c r="AA183" s="59">
        <f>(0.5*'MATERIALES (2)'!$D$244)</f>
        <v>0</v>
      </c>
      <c r="AB183" s="55">
        <f>((W183/2)*X183)*'MATERIALES (2)'!$D$92</f>
        <v>30366.000000000004</v>
      </c>
      <c r="AC183" s="59">
        <f t="shared" si="54"/>
        <v>291286.94500000007</v>
      </c>
      <c r="AD183" s="67">
        <f t="shared" si="55"/>
        <v>550919.34223239392</v>
      </c>
    </row>
    <row r="184" spans="1:36" ht="15.75" thickBot="1">
      <c r="A184" s="164">
        <v>0.9</v>
      </c>
      <c r="B184" s="165">
        <v>2.1</v>
      </c>
      <c r="C184" s="76">
        <f>((((A184+(2*B184))*'MATERIALES (2)'!$C$60)+((A184+(2*B184))*'MATERIALES (2)'!$C$58)+(A184*'MATERIALES (2)'!$C$62)+((((A184*2)+(B184*4))*'MATERIALES (2)'!$C$76)*2))*'MATERIALES (2)'!$F$2)+(1*'MATERIALES (2)'!$D$233)</f>
        <v>165746.15050000002</v>
      </c>
      <c r="D184" s="76">
        <f>(1*'MATERIALES (2)'!$C$193)+(1*'MATERIALES (2)'!$C$194)+(3*'MATERIALES (2)'!$C$196)+(2*'MATERIALES (2)'!$C$178)+(2*'MATERIALES (2)'!$C$179)+(2*'MATERIALES (2)'!$C$180)+(8*'MATERIALES (2)'!$C$147)+(8*'MATERIALES (2)'!$C$148)+((A184+(2*B184))*'MATERIALES (2)'!$C$199)+((A184+(2*B184))*'MATERIALES (2)'!$C$198)+(((A184*2)+(B184*2))*'MATERIALES (2)'!$C$154)+(((A184*2)+(B184*2))*'MATERIALES (2)'!$C$130)+(0.5*'MATERIALES (2)'!$C$156)+(((((A184*2)+(B184*4))/0.1)*'MATERIALES (2)'!$C$181)*2)+(2*'MATERIALES (2)'!$C$176)+(((A184*5)*2)*'MATERIALES (2)'!$C$136)+(4*'MATERIALES (2)'!$C$137)</f>
        <v>65772</v>
      </c>
      <c r="E184" s="76"/>
      <c r="F184" s="113">
        <f>((A184/2)*B184)*'MATERIALES (2)'!$D$92</f>
        <v>34161.75</v>
      </c>
      <c r="G184" s="76">
        <f t="shared" si="50"/>
        <v>265679.90049999999</v>
      </c>
      <c r="H184" s="160">
        <f t="shared" si="51"/>
        <v>508094.1080605294</v>
      </c>
      <c r="I184" s="77"/>
      <c r="J184" s="77"/>
      <c r="K184" s="77"/>
      <c r="L184" s="77"/>
      <c r="M184" s="71">
        <v>0.9</v>
      </c>
      <c r="N184" s="72">
        <v>2.1</v>
      </c>
      <c r="O184" s="60">
        <f>(((M184+(2*N184))*'MATERIALES (2)'!$C$60)+((M184+(2*N184))*'MATERIALES (2)'!$C$58)+(M184*'MATERIALES (2)'!$C$62)+((((M184*2)+(N184*2))*'MATERIALES (2)'!$C$76)*2))*'MATERIALES (2)'!$F$2</f>
        <v>145534.63050000003</v>
      </c>
      <c r="P184" s="60">
        <f>(1*'MATERIALES (2)'!$C$193)+(1*'MATERIALES (2)'!$C$194)+(3*'MATERIALES (2)'!$C$196)+(2*'MATERIALES (2)'!$C$178)+(2*'MATERIALES (2)'!$C$179)+(2*'MATERIALES (2)'!$C$180)+(4*'MATERIALES (2)'!$C$147)+(4*'MATERIALES (2)'!$C$148)+((M184+(2*N184))*'MATERIALES (2)'!$C$199)+((M184+(2*N184))*'MATERIALES (2)'!$C$198)+(((M184*2)+(N184*2))*'MATERIALES (2)'!$C$154)+(0.5*'MATERIALES (2)'!$C$156)+(((((M184*2)+(N184*2))/0.1)*'MATERIALES (2)'!$C$181)*2)+(2*'MATERIALES (2)'!$C$176)+(((M184*5)*2)*'MATERIALES (2)'!$C$136)+(4*'MATERIALES (2)'!$C$137)</f>
        <v>61052</v>
      </c>
      <c r="Q184" s="76"/>
      <c r="R184" s="56">
        <f>(1*'MATERIALES (2)'!$D$233)</f>
        <v>4900</v>
      </c>
      <c r="S184" s="60">
        <f t="shared" si="52"/>
        <v>211486.63050000003</v>
      </c>
      <c r="T184" s="67">
        <f t="shared" si="53"/>
        <v>380873.41054122947</v>
      </c>
      <c r="U184" s="77"/>
      <c r="W184" s="71">
        <v>0.9</v>
      </c>
      <c r="X184" s="72">
        <v>2.1</v>
      </c>
      <c r="Y184" s="60">
        <f>(((W184+(2*X184))*'MATERIALES (2)'!$C$60)+((W184+(2*X184))*'MATERIALES (2)'!$C$58)+(W184*'MATERIALES (2)'!$C$62)+((((W184*2)+(X184*4))*'MATERIALES (2)'!$C$76)*2)+((((W184/2)-0.2)*'MATERIALES (2)'!$C$30)*(X184/0.12)))*'MATERIALES (2)'!$F$2</f>
        <v>210090.23174999998</v>
      </c>
      <c r="Z184" s="60">
        <f>(1*'MATERIALES (2)'!$C$193)+(1*'MATERIALES (2)'!$C$194)+(3*'MATERIALES (2)'!$C$196)+(2*'MATERIALES (2)'!$C$178)+(2*'MATERIALES (2)'!$C$179)+(2*'MATERIALES (2)'!$C$180)+(8*'MATERIALES (2)'!$C$147)+(8*'MATERIALES (2)'!$C$148)+((W184+(2*X184))*'MATERIALES (2)'!$C$199)+((W184+(2*X184))*'MATERIALES (2)'!$C$198)+(((W184*2)+(X184*2))*'MATERIALES (2)'!$C$154)+(((W184*2)+(X184*2))*'MATERIALES (2)'!$C$130)+(0.5*'MATERIALES (2)'!$C$156)+(((((W184*2)+(X184*4))/0.1)*'MATERIALES (2)'!$C$181)*2)+(2*'MATERIALES (2)'!$C$176)+(((W184*5)*2)*'MATERIALES (2)'!$C$136)+(4*'MATERIALES (2)'!$C$137)</f>
        <v>65772</v>
      </c>
      <c r="AA184" s="60">
        <f>(0.5*'MATERIALES (2)'!$D$244)</f>
        <v>0</v>
      </c>
      <c r="AB184" s="56">
        <f>((W184/2)*X184)*'MATERIALES (2)'!$D$92</f>
        <v>34161.75</v>
      </c>
      <c r="AC184" s="60">
        <f t="shared" si="54"/>
        <v>310023.98174999998</v>
      </c>
      <c r="AD184" s="67">
        <f t="shared" si="55"/>
        <v>587954.86059639649</v>
      </c>
    </row>
    <row r="185" spans="1:36">
      <c r="U185" s="77"/>
    </row>
    <row r="186" spans="1:36" ht="15.75" thickBot="1"/>
    <row r="187" spans="1:36" ht="15.75" thickBot="1">
      <c r="A187" s="32"/>
      <c r="B187" s="32"/>
      <c r="C187" s="807">
        <v>1.35</v>
      </c>
      <c r="D187" s="808"/>
      <c r="E187" s="809"/>
      <c r="F187" s="545">
        <v>2</v>
      </c>
      <c r="G187" s="32"/>
      <c r="H187" s="46" t="s">
        <v>163</v>
      </c>
      <c r="M187" s="32"/>
      <c r="N187" s="32"/>
      <c r="O187" s="807">
        <v>1.35</v>
      </c>
      <c r="P187" s="808"/>
      <c r="Q187" s="809"/>
      <c r="R187" s="545">
        <v>2</v>
      </c>
      <c r="S187" s="32"/>
      <c r="T187" s="46" t="s">
        <v>163</v>
      </c>
    </row>
    <row r="188" spans="1:36" ht="15.75" thickBot="1">
      <c r="A188" s="792" t="s">
        <v>722</v>
      </c>
      <c r="B188" s="793"/>
      <c r="C188" s="793"/>
      <c r="D188" s="793"/>
      <c r="E188" s="793"/>
      <c r="F188" s="793"/>
      <c r="G188" s="793"/>
      <c r="H188" s="794"/>
      <c r="M188" s="792" t="s">
        <v>723</v>
      </c>
      <c r="N188" s="793"/>
      <c r="O188" s="793"/>
      <c r="P188" s="793"/>
      <c r="Q188" s="793"/>
      <c r="R188" s="793"/>
      <c r="S188" s="793"/>
      <c r="T188" s="794"/>
    </row>
    <row r="189" spans="1:36" ht="15.75" thickBot="1">
      <c r="A189" s="36" t="s">
        <v>116</v>
      </c>
      <c r="B189" s="36" t="s">
        <v>117</v>
      </c>
      <c r="C189" s="36" t="s">
        <v>162</v>
      </c>
      <c r="D189" s="36" t="s">
        <v>119</v>
      </c>
      <c r="E189" s="36" t="s">
        <v>120</v>
      </c>
      <c r="F189" s="36" t="s">
        <v>118</v>
      </c>
      <c r="G189" s="36" t="s">
        <v>121</v>
      </c>
      <c r="H189" s="36" t="s">
        <v>122</v>
      </c>
      <c r="M189" s="36" t="s">
        <v>116</v>
      </c>
      <c r="N189" s="36" t="s">
        <v>117</v>
      </c>
      <c r="O189" s="36" t="s">
        <v>162</v>
      </c>
      <c r="P189" s="36" t="s">
        <v>119</v>
      </c>
      <c r="Q189" s="36" t="s">
        <v>120</v>
      </c>
      <c r="R189" s="36" t="s">
        <v>118</v>
      </c>
      <c r="S189" s="36" t="s">
        <v>121</v>
      </c>
      <c r="T189" s="36" t="s">
        <v>122</v>
      </c>
    </row>
    <row r="190" spans="1:36" ht="15.75" thickBot="1">
      <c r="A190" s="795"/>
      <c r="B190" s="796"/>
      <c r="C190" s="796"/>
      <c r="D190" s="796"/>
      <c r="E190" s="796"/>
      <c r="F190" s="796"/>
      <c r="G190" s="796"/>
      <c r="H190" s="797"/>
      <c r="M190" s="795"/>
      <c r="N190" s="796"/>
      <c r="O190" s="796"/>
      <c r="P190" s="796"/>
      <c r="Q190" s="796"/>
      <c r="R190" s="796"/>
      <c r="S190" s="796"/>
      <c r="T190" s="797"/>
    </row>
    <row r="191" spans="1:36" ht="15.75" thickBot="1">
      <c r="A191" s="65">
        <v>0.6</v>
      </c>
      <c r="B191" s="66">
        <v>2</v>
      </c>
      <c r="C191" s="58">
        <f>(((A191+(2*B191))*'MATERIALES (2)'!$C$60)+((A191+(2*B191))*'MATERIALES (2)'!$C$58)+(A191*'MATERIALES (2)'!$C$62)+((A191*3)*'MATERIALES (2)'!$C$61)+(((A191-0.2)*'MATERIALES (2)'!$C$30)*((B191/2)/0.12))+((((A191*8)+(B191*2))*'MATERIALES (2)'!$C$76)*2))*'MATERIALES (2)'!$F$2</f>
        <v>200450.27799999999</v>
      </c>
      <c r="D191" s="58">
        <f>(1*'MATERIALES (2)'!$C$193)+(1*'MATERIALES (2)'!$C$194)+(3*'MATERIALES (2)'!$C$196)+(2*'MATERIALES (2)'!$C$178)+(2*'MATERIALES (2)'!$C$179)+(2*'MATERIALES (2)'!$C$180)+(16*'MATERIALES (2)'!$C$147)+(16*'MATERIALES (2)'!$C$148)+((A191+(2*B191))*'MATERIALES (2)'!$C$199)+((A191+(2*B191))*'MATERIALES (2)'!$C$198)+(((A191*6)+(B191*1))*'MATERIALES (2)'!$C$130)+(((A191*2)+(B191*1))*'MATERIALES (2)'!$C$154)+(((((A191*8)+(B191*2))/0.1)*'MATERIALES (2)'!$C$181)*2)+(0.5*'MATERIALES (2)'!$C$156)+(2*'MATERIALES (2)'!$C$176)+(((A191*5)*2)*'MATERIALES (2)'!$C$136)+(4*'MATERIALES (2)'!$C$137)</f>
        <v>65374</v>
      </c>
      <c r="E191" s="74"/>
      <c r="F191" s="54">
        <f>(A191*(B191/2))*'MATERIALES (2)'!$D$92</f>
        <v>21690</v>
      </c>
      <c r="G191" s="58">
        <f>SUM(C191:F191)</f>
        <v>287514.27799999999</v>
      </c>
      <c r="H191" s="67">
        <f>((((SUM(C191:E191)*$C$187)+(F191*$F$187))*1.21)*1.05)*1.05</f>
        <v>536601.91831958259</v>
      </c>
      <c r="M191" s="65">
        <v>0.6</v>
      </c>
      <c r="N191" s="66">
        <v>2</v>
      </c>
      <c r="O191" s="58">
        <f>(((M191+(2*N191))*'MATERIALES (2)'!$C$60)+((M191+(2*N191))*'MATERIALES (2)'!$C$58)+(M191*'MATERIALES (2)'!$C$62)+((M191+N191)*'MATERIALES (2)'!$C$61)+(((M191-0.2)*'MATERIALES (2)'!$C$30)*((N191/2)/0.12))+((((M191*4)+(N191*6))*'MATERIALES (2)'!$C$76)*2))*'MATERIALES (2)'!$F$2</f>
        <v>231346.73800000001</v>
      </c>
      <c r="P191" s="58">
        <f>(1*'MATERIALES (2)'!$C$193)+(1*'MATERIALES (2)'!$C$194)+(3*'MATERIALES (2)'!$C$196)+(2*'MATERIALES (2)'!$C$178)+(2*'MATERIALES (2)'!$C$179)+(2*'MATERIALES (2)'!$C$180)+(16*'MATERIALES (2)'!$C$147)+(16*'MATERIALES (2)'!$C$148)+((M191+(2*N191))*'MATERIALES (2)'!$C$199)+((M191+(2*N191))*'MATERIALES (2)'!$C$198)+(((M191*2)+((N191/2)*6))*'MATERIALES (2)'!$C$130)+(((M191*2)+(N191*1))*'MATERIALES (2)'!$C$154)+(((((M191*4)+(N191*2)+((N191/2)*6))/0.1)*'MATERIALES (2)'!$C$181)*2)+(2*'MATERIALES (2)'!$C$176)+(0.5*'MATERIALES (2)'!$C$156)+(((M191*5)*2)*'MATERIALES (2)'!$C$136)+(4*'MATERIALES (2)'!$C$137)</f>
        <v>67918</v>
      </c>
      <c r="Q191" s="74"/>
      <c r="R191" s="54">
        <f>(M191*(N191/2))*'MATERIALES (2)'!$D$92</f>
        <v>21690</v>
      </c>
      <c r="S191" s="58">
        <f>SUM(O191:R191)</f>
        <v>320954.73800000001</v>
      </c>
      <c r="T191" s="67">
        <f>((((SUM(O191:Q191)*$O$187)+(R191*$R$187))*1.21)*1.05)*1.05</f>
        <v>596825.97134910745</v>
      </c>
    </row>
    <row r="192" spans="1:36" ht="15.75" thickBot="1">
      <c r="A192" s="68">
        <v>0.7</v>
      </c>
      <c r="B192" s="69">
        <v>2</v>
      </c>
      <c r="C192" s="59">
        <f>(((A192+(2*B192))*'MATERIALES (2)'!$C$60)+((A192+(2*B192))*'MATERIALES (2)'!$C$58)+(A192*'MATERIALES (2)'!$C$62)+((A192*3)*'MATERIALES (2)'!$C$61)+(((A192-0.2)*'MATERIALES (2)'!$C$30)*((B192/2)/0.12))+((((A192*8)+(B192*2))*'MATERIALES (2)'!$C$76)*2))*'MATERIALES (2)'!$F$2</f>
        <v>220762.34599999999</v>
      </c>
      <c r="D192" s="59">
        <f>(1*'MATERIALES (2)'!$C$193)+(1*'MATERIALES (2)'!$C$194)+(3*'MATERIALES (2)'!$C$196)+(2*'MATERIALES (2)'!$C$178)+(2*'MATERIALES (2)'!$C$179)+(2*'MATERIALES (2)'!$C$180)+(16*'MATERIALES (2)'!$C$147)+(16*'MATERIALES (2)'!$C$148)+((A192+(2*B192))*'MATERIALES (2)'!$C$199)+((A192+(2*B192))*'MATERIALES (2)'!$C$198)+(((A192*6)+(B192*1))*'MATERIALES (2)'!$C$130)+(((A192*2)+(B192*1))*'MATERIALES (2)'!$C$154)+(((((A192*8)+(B192*2))/0.1)*'MATERIALES (2)'!$C$181)*2)+(0.5*'MATERIALES (2)'!$C$156)+(2*'MATERIALES (2)'!$C$176)+(((A192*5)*2)*'MATERIALES (2)'!$C$136)+(4*'MATERIALES (2)'!$C$137)</f>
        <v>66108</v>
      </c>
      <c r="E192" s="75"/>
      <c r="F192" s="55">
        <f>(A192*(B192/2))*'MATERIALES (2)'!$D$92</f>
        <v>25305</v>
      </c>
      <c r="G192" s="59">
        <f t="shared" ref="G192:G198" si="56">SUM(C192:F192)</f>
        <v>312175.34600000002</v>
      </c>
      <c r="H192" s="67">
        <f t="shared" ref="H192:H198" si="57">((((SUM(C192:E192)*$C$187)+(F192*$F$187))*1.21)*1.05)*1.05</f>
        <v>584149.49323557771</v>
      </c>
      <c r="M192" s="68">
        <v>0.7</v>
      </c>
      <c r="N192" s="69">
        <v>2</v>
      </c>
      <c r="O192" s="59">
        <f>(((M192+(2*N192))*'MATERIALES (2)'!$C$60)+((M192+(2*N192))*'MATERIALES (2)'!$C$58)+(M192*'MATERIALES (2)'!$C$62)+((M192+N192)*'MATERIALES (2)'!$C$61)+(((M192-0.2)*'MATERIALES (2)'!$C$30)*((N192/2)/0.12))+((((M192*4)+(N192*6))*'MATERIALES (2)'!$C$76)*2))*'MATERIALES (2)'!$F$2</f>
        <v>247580.29100000003</v>
      </c>
      <c r="P192" s="59">
        <f>(1*'MATERIALES (2)'!$C$193)+(1*'MATERIALES (2)'!$C$194)+(3*'MATERIALES (2)'!$C$196)+(2*'MATERIALES (2)'!$C$178)+(2*'MATERIALES (2)'!$C$179)+(2*'MATERIALES (2)'!$C$180)+(16*'MATERIALES (2)'!$C$147)+(16*'MATERIALES (2)'!$C$148)+((M192+(2*N192))*'MATERIALES (2)'!$C$199)+((M192+(2*N192))*'MATERIALES (2)'!$C$198)+(((M192*2)+((N192/2)*6))*'MATERIALES (2)'!$C$130)+(((M192*2)+(N192*1))*'MATERIALES (2)'!$C$154)+(((((M192*4)+(N192*2)+((N192/2)*6))/0.1)*'MATERIALES (2)'!$C$181)*2)+(2*'MATERIALES (2)'!$C$176)+(0.5*'MATERIALES (2)'!$C$156)+(((M192*5)*2)*'MATERIALES (2)'!$C$136)+(4*'MATERIALES (2)'!$C$137)</f>
        <v>68316</v>
      </c>
      <c r="Q192" s="75"/>
      <c r="R192" s="55">
        <f>(M192*(N192/2))*'MATERIALES (2)'!$D$92</f>
        <v>25305</v>
      </c>
      <c r="S192" s="59">
        <f t="shared" ref="S192:S198" si="58">SUM(O192:R192)</f>
        <v>341201.29100000003</v>
      </c>
      <c r="T192" s="67">
        <f t="shared" ref="T192:T198" si="59">((((SUM(O192:Q192)*$O$187)+(R192*$R$187))*1.21)*1.05)*1.05</f>
        <v>636423.29721172131</v>
      </c>
    </row>
    <row r="193" spans="1:20" ht="15.75" thickBot="1">
      <c r="A193" s="68">
        <v>0.8</v>
      </c>
      <c r="B193" s="69">
        <v>2</v>
      </c>
      <c r="C193" s="59">
        <f>(((A193+(2*B193))*'MATERIALES (2)'!$C$60)+((A193+(2*B193))*'MATERIALES (2)'!$C$58)+(A193*'MATERIALES (2)'!$C$62)+((A193*3)*'MATERIALES (2)'!$C$61)+(((A193-0.2)*'MATERIALES (2)'!$C$30)*((B193/2)/0.12))+((((A193*8)+(B193*2))*'MATERIALES (2)'!$C$76)*2))*'MATERIALES (2)'!$F$2</f>
        <v>241074.41399999999</v>
      </c>
      <c r="D193" s="59">
        <f>(1*'MATERIALES (2)'!$C$193)+(1*'MATERIALES (2)'!$C$194)+(3*'MATERIALES (2)'!$C$196)+(2*'MATERIALES (2)'!$C$178)+(2*'MATERIALES (2)'!$C$179)+(2*'MATERIALES (2)'!$C$180)+(16*'MATERIALES (2)'!$C$147)+(16*'MATERIALES (2)'!$C$148)+((A193+(2*B193))*'MATERIALES (2)'!$C$199)+((A193+(2*B193))*'MATERIALES (2)'!$C$198)+(((A193*6)+(B193*1))*'MATERIALES (2)'!$C$130)+(((A193*2)+(B193*1))*'MATERIALES (2)'!$C$154)+(((((A193*8)+(B193*2))/0.1)*'MATERIALES (2)'!$C$181)*2)+(0.5*'MATERIALES (2)'!$C$156)+(2*'MATERIALES (2)'!$C$176)+(((A193*5)*2)*'MATERIALES (2)'!$C$136)+(4*'MATERIALES (2)'!$C$137)</f>
        <v>66842</v>
      </c>
      <c r="E193" s="75"/>
      <c r="F193" s="55">
        <f>(A193*(B193/2))*'MATERIALES (2)'!$D$92</f>
        <v>28920</v>
      </c>
      <c r="G193" s="59">
        <f t="shared" si="56"/>
        <v>336836.41399999999</v>
      </c>
      <c r="H193" s="67">
        <f t="shared" si="57"/>
        <v>631697.0681515726</v>
      </c>
      <c r="M193" s="68">
        <v>0.8</v>
      </c>
      <c r="N193" s="69">
        <v>2</v>
      </c>
      <c r="O193" s="59">
        <f>(((M193+(2*N193))*'MATERIALES (2)'!$C$60)+((M193+(2*N193))*'MATERIALES (2)'!$C$58)+(M193*'MATERIALES (2)'!$C$62)+((M193+N193)*'MATERIALES (2)'!$C$61)+(((M193-0.2)*'MATERIALES (2)'!$C$30)*((N193/2)/0.12))+((((M193*4)+(N193*6))*'MATERIALES (2)'!$C$76)*2))*'MATERIALES (2)'!$F$2</f>
        <v>263813.84399999998</v>
      </c>
      <c r="P193" s="59">
        <f>(1*'MATERIALES (2)'!$C$193)+(1*'MATERIALES (2)'!$C$194)+(3*'MATERIALES (2)'!$C$196)+(2*'MATERIALES (2)'!$C$178)+(2*'MATERIALES (2)'!$C$179)+(2*'MATERIALES (2)'!$C$180)+(16*'MATERIALES (2)'!$C$147)+(16*'MATERIALES (2)'!$C$148)+((M193+(2*N193))*'MATERIALES (2)'!$C$199)+((M193+(2*N193))*'MATERIALES (2)'!$C$198)+(((M193*2)+((N193/2)*6))*'MATERIALES (2)'!$C$130)+(((M193*2)+(N193*1))*'MATERIALES (2)'!$C$154)+(((((M193*4)+(N193*2)+((N193/2)*6))/0.1)*'MATERIALES (2)'!$C$181)*2)+(2*'MATERIALES (2)'!$C$176)+(0.5*'MATERIALES (2)'!$C$156)+(((M193*5)*2)*'MATERIALES (2)'!$C$136)+(4*'MATERIALES (2)'!$C$137)</f>
        <v>68714</v>
      </c>
      <c r="Q193" s="75"/>
      <c r="R193" s="55">
        <f>(M193*(N193/2))*'MATERIALES (2)'!$D$92</f>
        <v>28920</v>
      </c>
      <c r="S193" s="59">
        <f t="shared" si="58"/>
        <v>361447.84399999998</v>
      </c>
      <c r="T193" s="67">
        <f t="shared" si="59"/>
        <v>676020.62307433493</v>
      </c>
    </row>
    <row r="194" spans="1:20" ht="15.75" thickBot="1">
      <c r="A194" s="68">
        <v>0.9</v>
      </c>
      <c r="B194" s="69">
        <v>2</v>
      </c>
      <c r="C194" s="59">
        <f>(((A194+(2*B194))*'MATERIALES (2)'!$C$60)+((A194+(2*B194))*'MATERIALES (2)'!$C$58)+(A194*'MATERIALES (2)'!$C$62)+((A194*3)*'MATERIALES (2)'!$C$61)+(((A194-0.2)*'MATERIALES (2)'!$C$30)*((B194/2)/0.12))+((((A194*8)+(B194*2))*'MATERIALES (2)'!$C$76)*2))*'MATERIALES (2)'!$F$2</f>
        <v>261386.48200000002</v>
      </c>
      <c r="D194" s="59">
        <f>(1*'MATERIALES (2)'!$C$193)+(1*'MATERIALES (2)'!$C$194)+(3*'MATERIALES (2)'!$C$196)+(2*'MATERIALES (2)'!$C$178)+(2*'MATERIALES (2)'!$C$179)+(2*'MATERIALES (2)'!$C$180)+(16*'MATERIALES (2)'!$C$147)+(16*'MATERIALES (2)'!$C$148)+((A194+(2*B194))*'MATERIALES (2)'!$C$199)+((A194+(2*B194))*'MATERIALES (2)'!$C$198)+(((A194*6)+(B194*1))*'MATERIALES (2)'!$C$130)+(((A194*2)+(B194*1))*'MATERIALES (2)'!$C$154)+(((((A194*8)+(B194*2))/0.1)*'MATERIALES (2)'!$C$181)*2)+(0.5*'MATERIALES (2)'!$C$156)+(2*'MATERIALES (2)'!$C$176)+(((A194*5)*2)*'MATERIALES (2)'!$C$136)+(4*'MATERIALES (2)'!$C$137)</f>
        <v>67576</v>
      </c>
      <c r="E194" s="75"/>
      <c r="F194" s="55">
        <f>(A194*(B194/2))*'MATERIALES (2)'!$D$92</f>
        <v>32535</v>
      </c>
      <c r="G194" s="59">
        <f t="shared" si="56"/>
        <v>361497.48200000002</v>
      </c>
      <c r="H194" s="67">
        <f t="shared" si="57"/>
        <v>679244.64306756761</v>
      </c>
      <c r="M194" s="68">
        <v>0.9</v>
      </c>
      <c r="N194" s="69">
        <v>2</v>
      </c>
      <c r="O194" s="59">
        <f>(((M194+(2*N194))*'MATERIALES (2)'!$C$60)+((M194+(2*N194))*'MATERIALES (2)'!$C$58)+(M194*'MATERIALES (2)'!$C$62)+((M194+N194)*'MATERIALES (2)'!$C$61)+(((M194-0.2)*'MATERIALES (2)'!$C$30)*((N194/2)/0.12))+((((M194*4)+(N194*6))*'MATERIALES (2)'!$C$76)*2))*'MATERIALES (2)'!$F$2</f>
        <v>280047.39700000006</v>
      </c>
      <c r="P194" s="59">
        <f>(1*'MATERIALES (2)'!$C$193)+(1*'MATERIALES (2)'!$C$194)+(3*'MATERIALES (2)'!$C$196)+(2*'MATERIALES (2)'!$C$178)+(2*'MATERIALES (2)'!$C$179)+(2*'MATERIALES (2)'!$C$180)+(16*'MATERIALES (2)'!$C$147)+(16*'MATERIALES (2)'!$C$148)+((M194+(2*N194))*'MATERIALES (2)'!$C$199)+((M194+(2*N194))*'MATERIALES (2)'!$C$198)+(((M194*2)+((N194/2)*6))*'MATERIALES (2)'!$C$130)+(((M194*2)+(N194*1))*'MATERIALES (2)'!$C$154)+(((((M194*4)+(N194*2)+((N194/2)*6))/0.1)*'MATERIALES (2)'!$C$181)*2)+(2*'MATERIALES (2)'!$C$176)+(0.5*'MATERIALES (2)'!$C$156)+(((M194*5)*2)*'MATERIALES (2)'!$C$136)+(4*'MATERIALES (2)'!$C$137)</f>
        <v>69112</v>
      </c>
      <c r="Q194" s="75"/>
      <c r="R194" s="55">
        <f>(M194*(N194/2))*'MATERIALES (2)'!$D$92</f>
        <v>32535</v>
      </c>
      <c r="S194" s="59">
        <f t="shared" si="58"/>
        <v>381694.39700000006</v>
      </c>
      <c r="T194" s="67">
        <f t="shared" si="59"/>
        <v>715617.9489369489</v>
      </c>
    </row>
    <row r="195" spans="1:20" ht="15.75" thickBot="1">
      <c r="A195" s="68">
        <v>0.6</v>
      </c>
      <c r="B195" s="69">
        <v>2.1</v>
      </c>
      <c r="C195" s="59">
        <f>(((A195+(2*B195))*'MATERIALES (2)'!$C$60)+((A195+(2*B195))*'MATERIALES (2)'!$C$58)+(A195*'MATERIALES (2)'!$C$62)+((A195*3)*'MATERIALES (2)'!$C$61)+(((A195-0.2)*'MATERIALES (2)'!$C$30)*((B195/2)/0.12))+((((A195*8)+(B195*2))*'MATERIALES (2)'!$C$76)*2))*'MATERIALES (2)'!$F$2</f>
        <v>207193.11899999998</v>
      </c>
      <c r="D195" s="59">
        <f>(1*'MATERIALES (2)'!$C$193)+(1*'MATERIALES (2)'!$C$194)+(3*'MATERIALES (2)'!$C$196)+(2*'MATERIALES (2)'!$C$178)+(2*'MATERIALES (2)'!$C$179)+(2*'MATERIALES (2)'!$C$180)+(16*'MATERIALES (2)'!$C$147)+(16*'MATERIALES (2)'!$C$148)+((A195+(2*B195))*'MATERIALES (2)'!$C$199)+((A195+(2*B195))*'MATERIALES (2)'!$C$198)+(((A195*6)+(B195*1))*'MATERIALES (2)'!$C$130)+(((A195*2)+(B195*1))*'MATERIALES (2)'!$C$154)+(((((A195*8)+(B195*2))/0.1)*'MATERIALES (2)'!$C$181)*2)+(0.5*'MATERIALES (2)'!$C$156)+(2*'MATERIALES (2)'!$C$176)+(((A195*5)*2)*'MATERIALES (2)'!$C$136)+(4*'MATERIALES (2)'!$C$137)</f>
        <v>65666</v>
      </c>
      <c r="E195" s="75"/>
      <c r="F195" s="55">
        <f>(A195*(B195/2))*'MATERIALES (2)'!$D$92</f>
        <v>22774.5</v>
      </c>
      <c r="G195" s="59">
        <f t="shared" si="56"/>
        <v>295633.61899999995</v>
      </c>
      <c r="H195" s="67">
        <f t="shared" si="57"/>
        <v>552164.70112736616</v>
      </c>
      <c r="M195" s="68">
        <v>0.6</v>
      </c>
      <c r="N195" s="69">
        <v>2.1</v>
      </c>
      <c r="O195" s="59">
        <f>(((M195+(2*N195))*'MATERIALES (2)'!$C$60)+((M195+(2*N195))*'MATERIALES (2)'!$C$58)+(M195*'MATERIALES (2)'!$C$62)+((M195+N195)*'MATERIALES (2)'!$C$61)+(((M195-0.2)*'MATERIALES (2)'!$C$30)*((N195/2)/0.12))+((((M195*4)+(N195*6))*'MATERIALES (2)'!$C$76)*2))*'MATERIALES (2)'!$F$2</f>
        <v>240857.9565</v>
      </c>
      <c r="P195" s="59">
        <f>(1*'MATERIALES (2)'!$C$193)+(1*'MATERIALES (2)'!$C$194)+(3*'MATERIALES (2)'!$C$196)+(2*'MATERIALES (2)'!$C$178)+(2*'MATERIALES (2)'!$C$179)+(2*'MATERIALES (2)'!$C$180)+(16*'MATERIALES (2)'!$C$147)+(16*'MATERIALES (2)'!$C$148)+((M195+(2*N195))*'MATERIALES (2)'!$C$199)+((M195+(2*N195))*'MATERIALES (2)'!$C$198)+(((M195*2)+((N195/2)*6))*'MATERIALES (2)'!$C$130)+(((M195*2)+(N195*1))*'MATERIALES (2)'!$C$154)+(((((M195*4)+(N195*2)+((N195/2)*6))/0.1)*'MATERIALES (2)'!$C$181)*2)+(2*'MATERIALES (2)'!$C$176)+(0.5*'MATERIALES (2)'!$C$156)+(((M195*5)*2)*'MATERIALES (2)'!$C$136)+(4*'MATERIALES (2)'!$C$137)</f>
        <v>68438</v>
      </c>
      <c r="Q195" s="75"/>
      <c r="R195" s="55">
        <f>(M195*(N195/2))*'MATERIALES (2)'!$D$92</f>
        <v>22774.5</v>
      </c>
      <c r="S195" s="59">
        <f t="shared" si="58"/>
        <v>332070.45649999997</v>
      </c>
      <c r="T195" s="67">
        <f t="shared" si="59"/>
        <v>617785.03152438183</v>
      </c>
    </row>
    <row r="196" spans="1:20" ht="15.75" thickBot="1">
      <c r="A196" s="68">
        <v>0.7</v>
      </c>
      <c r="B196" s="69">
        <v>2.1</v>
      </c>
      <c r="C196" s="59">
        <f>(((A196+(2*B196))*'MATERIALES (2)'!$C$60)+((A196+(2*B196))*'MATERIALES (2)'!$C$58)+(A196*'MATERIALES (2)'!$C$62)+((A196*3)*'MATERIALES (2)'!$C$61)+(((A196-0.2)*'MATERIALES (2)'!$C$30)*((B196/2)/0.12))+((((A196*8)+(B196*2))*'MATERIALES (2)'!$C$76)*2))*'MATERIALES (2)'!$F$2</f>
        <v>227974.17824999994</v>
      </c>
      <c r="D196" s="59">
        <f>(1*'MATERIALES (2)'!$C$193)+(1*'MATERIALES (2)'!$C$194)+(3*'MATERIALES (2)'!$C$196)+(2*'MATERIALES (2)'!$C$178)+(2*'MATERIALES (2)'!$C$179)+(2*'MATERIALES (2)'!$C$180)+(16*'MATERIALES (2)'!$C$147)+(16*'MATERIALES (2)'!$C$148)+((A196+(2*B196))*'MATERIALES (2)'!$C$199)+((A196+(2*B196))*'MATERIALES (2)'!$C$198)+(((A196*6)+(B196*1))*'MATERIALES (2)'!$C$130)+(((A196*2)+(B196*1))*'MATERIALES (2)'!$C$154)+(((((A196*8)+(B196*2))/0.1)*'MATERIALES (2)'!$C$181)*2)+(0.5*'MATERIALES (2)'!$C$156)+(2*'MATERIALES (2)'!$C$176)+(((A196*5)*2)*'MATERIALES (2)'!$C$136)+(4*'MATERIALES (2)'!$C$137)</f>
        <v>66400</v>
      </c>
      <c r="E196" s="75"/>
      <c r="F196" s="55">
        <f>(A196*(B196/2))*'MATERIALES (2)'!$D$92</f>
        <v>26570.25</v>
      </c>
      <c r="G196" s="59">
        <f t="shared" si="56"/>
        <v>320944.42824999994</v>
      </c>
      <c r="H196" s="67">
        <f t="shared" si="57"/>
        <v>601039.14825144084</v>
      </c>
      <c r="M196" s="68">
        <v>0.7</v>
      </c>
      <c r="N196" s="69">
        <v>2.1</v>
      </c>
      <c r="O196" s="59">
        <f>(((M196+(2*N196))*'MATERIALES (2)'!$C$60)+((M196+(2*N196))*'MATERIALES (2)'!$C$58)+(M196*'MATERIALES (2)'!$C$62)+((M196+N196)*'MATERIALES (2)'!$C$61)+(((M196-0.2)*'MATERIALES (2)'!$C$30)*((N196/2)/0.12))+((((M196*4)+(N196*6))*'MATERIALES (2)'!$C$76)*2))*'MATERIALES (2)'!$F$2</f>
        <v>257560.50074999998</v>
      </c>
      <c r="P196" s="59">
        <f>(1*'MATERIALES (2)'!$C$193)+(1*'MATERIALES (2)'!$C$194)+(3*'MATERIALES (2)'!$C$196)+(2*'MATERIALES (2)'!$C$178)+(2*'MATERIALES (2)'!$C$179)+(2*'MATERIALES (2)'!$C$180)+(16*'MATERIALES (2)'!$C$147)+(16*'MATERIALES (2)'!$C$148)+((M196+(2*N196))*'MATERIALES (2)'!$C$199)+((M196+(2*N196))*'MATERIALES (2)'!$C$198)+(((M196*2)+((N196/2)*6))*'MATERIALES (2)'!$C$130)+(((M196*2)+(N196*1))*'MATERIALES (2)'!$C$154)+(((((M196*4)+(N196*2)+((N196/2)*6))/0.1)*'MATERIALES (2)'!$C$181)*2)+(2*'MATERIALES (2)'!$C$176)+(0.5*'MATERIALES (2)'!$C$156)+(((M196*5)*2)*'MATERIALES (2)'!$C$136)+(4*'MATERIALES (2)'!$C$137)</f>
        <v>68836</v>
      </c>
      <c r="Q196" s="75"/>
      <c r="R196" s="55">
        <f>(M196*(N196/2))*'MATERIALES (2)'!$D$92</f>
        <v>26570.25</v>
      </c>
      <c r="S196" s="59">
        <f t="shared" si="58"/>
        <v>352966.75075000001</v>
      </c>
      <c r="T196" s="67">
        <f t="shared" si="59"/>
        <v>658709.22959507548</v>
      </c>
    </row>
    <row r="197" spans="1:20" ht="15.75" thickBot="1">
      <c r="A197" s="68">
        <v>0.8</v>
      </c>
      <c r="B197" s="69">
        <v>2.1</v>
      </c>
      <c r="C197" s="59">
        <f>(((A197+(2*B197))*'MATERIALES (2)'!$C$60)+((A197+(2*B197))*'MATERIALES (2)'!$C$58)+(A197*'MATERIALES (2)'!$C$62)+((A197*3)*'MATERIALES (2)'!$C$61)+(((A197-0.2)*'MATERIALES (2)'!$C$30)*((B197/2)/0.12))+((((A197*8)+(B197*2))*'MATERIALES (2)'!$C$76)*2))*'MATERIALES (2)'!$F$2</f>
        <v>248755.23750000002</v>
      </c>
      <c r="D197" s="59">
        <f>(1*'MATERIALES (2)'!$C$193)+(1*'MATERIALES (2)'!$C$194)+(3*'MATERIALES (2)'!$C$196)+(2*'MATERIALES (2)'!$C$178)+(2*'MATERIALES (2)'!$C$179)+(2*'MATERIALES (2)'!$C$180)+(16*'MATERIALES (2)'!$C$147)+(16*'MATERIALES (2)'!$C$148)+((A197+(2*B197))*'MATERIALES (2)'!$C$199)+((A197+(2*B197))*'MATERIALES (2)'!$C$198)+(((A197*6)+(B197*1))*'MATERIALES (2)'!$C$130)+(((A197*2)+(B197*1))*'MATERIALES (2)'!$C$154)+(((((A197*8)+(B197*2))/0.1)*'MATERIALES (2)'!$C$181)*2)+(0.5*'MATERIALES (2)'!$C$156)+(2*'MATERIALES (2)'!$C$176)+(((A197*5)*2)*'MATERIALES (2)'!$C$136)+(4*'MATERIALES (2)'!$C$137)</f>
        <v>67134</v>
      </c>
      <c r="E197" s="75"/>
      <c r="F197" s="55">
        <f>(A197*(B197/2))*'MATERIALES (2)'!$D$92</f>
        <v>30366.000000000004</v>
      </c>
      <c r="G197" s="59">
        <f t="shared" si="56"/>
        <v>346255.23750000005</v>
      </c>
      <c r="H197" s="67">
        <f t="shared" si="57"/>
        <v>649913.59537551575</v>
      </c>
      <c r="M197" s="68">
        <v>0.8</v>
      </c>
      <c r="N197" s="69">
        <v>2.1</v>
      </c>
      <c r="O197" s="59">
        <f>(((M197+(2*N197))*'MATERIALES (2)'!$C$60)+((M197+(2*N197))*'MATERIALES (2)'!$C$58)+(M197*'MATERIALES (2)'!$C$62)+((M197+N197)*'MATERIALES (2)'!$C$61)+(((M197-0.2)*'MATERIALES (2)'!$C$30)*((N197/2)/0.12))+((((M197*4)+(N197*6))*'MATERIALES (2)'!$C$76)*2))*'MATERIALES (2)'!$F$2</f>
        <v>274263.04500000004</v>
      </c>
      <c r="P197" s="59">
        <f>(1*'MATERIALES (2)'!$C$193)+(1*'MATERIALES (2)'!$C$194)+(3*'MATERIALES (2)'!$C$196)+(2*'MATERIALES (2)'!$C$178)+(2*'MATERIALES (2)'!$C$179)+(2*'MATERIALES (2)'!$C$180)+(16*'MATERIALES (2)'!$C$147)+(16*'MATERIALES (2)'!$C$148)+((M197+(2*N197))*'MATERIALES (2)'!$C$199)+((M197+(2*N197))*'MATERIALES (2)'!$C$198)+(((M197*2)+((N197/2)*6))*'MATERIALES (2)'!$C$130)+(((M197*2)+(N197*1))*'MATERIALES (2)'!$C$154)+(((((M197*4)+(N197*2)+((N197/2)*6))/0.1)*'MATERIALES (2)'!$C$181)*2)+(2*'MATERIALES (2)'!$C$176)+(0.5*'MATERIALES (2)'!$C$156)+(((M197*5)*2)*'MATERIALES (2)'!$C$136)+(4*'MATERIALES (2)'!$C$137)</f>
        <v>69234</v>
      </c>
      <c r="Q197" s="75"/>
      <c r="R197" s="55">
        <f>(M197*(N197/2))*'MATERIALES (2)'!$D$92</f>
        <v>30366.000000000004</v>
      </c>
      <c r="S197" s="59">
        <f t="shared" si="58"/>
        <v>373863.04500000004</v>
      </c>
      <c r="T197" s="67">
        <f t="shared" si="59"/>
        <v>699633.42766576901</v>
      </c>
    </row>
    <row r="198" spans="1:20" ht="15.75" thickBot="1">
      <c r="A198" s="71">
        <v>0.9</v>
      </c>
      <c r="B198" s="72">
        <v>2.1</v>
      </c>
      <c r="C198" s="60">
        <f>(((A198+(2*B198))*'MATERIALES (2)'!$C$60)+((A198+(2*B198))*'MATERIALES (2)'!$C$58)+(A198*'MATERIALES (2)'!$C$62)+((A198*3)*'MATERIALES (2)'!$C$61)+(((A198-0.2)*'MATERIALES (2)'!$C$30)*((B198/2)/0.12))+((((A198*8)+(B198*2))*'MATERIALES (2)'!$C$76)*2))*'MATERIALES (2)'!$F$2</f>
        <v>269536.29675000004</v>
      </c>
      <c r="D198" s="60">
        <f>(1*'MATERIALES (2)'!$C$193)+(1*'MATERIALES (2)'!$C$194)+(3*'MATERIALES (2)'!$C$196)+(2*'MATERIALES (2)'!$C$178)+(2*'MATERIALES (2)'!$C$179)+(2*'MATERIALES (2)'!$C$180)+(16*'MATERIALES (2)'!$C$147)+(16*'MATERIALES (2)'!$C$148)+((A198+(2*B198))*'MATERIALES (2)'!$C$199)+((A198+(2*B198))*'MATERIALES (2)'!$C$198)+(((A198*6)+(B198*1))*'MATERIALES (2)'!$C$130)+(((A198*2)+(B198*1))*'MATERIALES (2)'!$C$154)+(((((A198*8)+(B198*2))/0.1)*'MATERIALES (2)'!$C$181)*2)+(0.5*'MATERIALES (2)'!$C$156)+(2*'MATERIALES (2)'!$C$176)+(((A198*5)*2)*'MATERIALES (2)'!$C$136)+(4*'MATERIALES (2)'!$C$137)</f>
        <v>67868</v>
      </c>
      <c r="E198" s="76"/>
      <c r="F198" s="56">
        <f>(A198*(B198/2))*'MATERIALES (2)'!$D$92</f>
        <v>34161.75</v>
      </c>
      <c r="G198" s="60">
        <f t="shared" si="56"/>
        <v>371566.04675000004</v>
      </c>
      <c r="H198" s="67">
        <f t="shared" si="57"/>
        <v>698788.04249959043</v>
      </c>
      <c r="M198" s="71">
        <v>0.9</v>
      </c>
      <c r="N198" s="72">
        <v>2.1</v>
      </c>
      <c r="O198" s="60">
        <f>(((M198+(2*N198))*'MATERIALES (2)'!$C$60)+((M198+(2*N198))*'MATERIALES (2)'!$C$58)+(M198*'MATERIALES (2)'!$C$62)+((M198+N198)*'MATERIALES (2)'!$C$61)+(((M198-0.2)*'MATERIALES (2)'!$C$30)*((N198/2)/0.12))+((((M198*4)+(N198*6))*'MATERIALES (2)'!$C$76)*2))*'MATERIALES (2)'!$F$2</f>
        <v>290965.58925000002</v>
      </c>
      <c r="P198" s="60">
        <f>(1*'MATERIALES (2)'!$C$193)+(1*'MATERIALES (2)'!$C$194)+(3*'MATERIALES (2)'!$C$196)+(2*'MATERIALES (2)'!$C$178)+(2*'MATERIALES (2)'!$C$179)+(2*'MATERIALES (2)'!$C$180)+(16*'MATERIALES (2)'!$C$147)+(16*'MATERIALES (2)'!$C$148)+((M198+(2*N198))*'MATERIALES (2)'!$C$199)+((M198+(2*N198))*'MATERIALES (2)'!$C$198)+(((M198*2)+((N198/2)*6))*'MATERIALES (2)'!$C$130)+(((M198*2)+(N198*1))*'MATERIALES (2)'!$C$154)+(((((M198*4)+(N198*2)+((N198/2)*6))/0.1)*'MATERIALES (2)'!$C$181)*2)+(2*'MATERIALES (2)'!$C$176)+(0.5*'MATERIALES (2)'!$C$156)+(((M198*5)*2)*'MATERIALES (2)'!$C$136)+(4*'MATERIALES (2)'!$C$137)</f>
        <v>69632</v>
      </c>
      <c r="Q198" s="76"/>
      <c r="R198" s="56">
        <f>(M198*(N198/2))*'MATERIALES (2)'!$D$92</f>
        <v>34161.75</v>
      </c>
      <c r="S198" s="60">
        <f t="shared" si="58"/>
        <v>394759.33925000002</v>
      </c>
      <c r="T198" s="67">
        <f t="shared" si="59"/>
        <v>740557.62573646219</v>
      </c>
    </row>
    <row r="200" spans="1:20" ht="15.75" thickBot="1"/>
    <row r="201" spans="1:20" ht="15.75" thickBot="1">
      <c r="A201" s="32"/>
      <c r="B201" s="32"/>
      <c r="C201" s="807">
        <v>1.35</v>
      </c>
      <c r="D201" s="808"/>
      <c r="E201" s="809"/>
      <c r="F201" s="545">
        <v>2</v>
      </c>
      <c r="G201" s="32"/>
      <c r="H201" s="46" t="s">
        <v>163</v>
      </c>
      <c r="M201" s="32"/>
      <c r="N201" s="32"/>
      <c r="O201" s="807">
        <v>1.35</v>
      </c>
      <c r="P201" s="808"/>
      <c r="Q201" s="809"/>
      <c r="R201" s="545">
        <v>2</v>
      </c>
      <c r="S201" s="32"/>
      <c r="T201" s="46" t="s">
        <v>163</v>
      </c>
    </row>
    <row r="202" spans="1:20" ht="15.75" thickBot="1">
      <c r="A202" s="792" t="s">
        <v>724</v>
      </c>
      <c r="B202" s="793"/>
      <c r="C202" s="793"/>
      <c r="D202" s="793"/>
      <c r="E202" s="793"/>
      <c r="F202" s="793"/>
      <c r="G202" s="793"/>
      <c r="H202" s="794"/>
      <c r="M202" s="792" t="s">
        <v>725</v>
      </c>
      <c r="N202" s="793"/>
      <c r="O202" s="793"/>
      <c r="P202" s="793"/>
      <c r="Q202" s="793"/>
      <c r="R202" s="793"/>
      <c r="S202" s="793"/>
      <c r="T202" s="794"/>
    </row>
    <row r="203" spans="1:20" ht="15.75" thickBot="1">
      <c r="A203" s="36" t="s">
        <v>116</v>
      </c>
      <c r="B203" s="36" t="s">
        <v>117</v>
      </c>
      <c r="C203" s="36" t="s">
        <v>162</v>
      </c>
      <c r="D203" s="36" t="s">
        <v>119</v>
      </c>
      <c r="E203" s="36" t="s">
        <v>120</v>
      </c>
      <c r="F203" s="36" t="s">
        <v>118</v>
      </c>
      <c r="G203" s="36" t="s">
        <v>121</v>
      </c>
      <c r="H203" s="36" t="s">
        <v>122</v>
      </c>
      <c r="M203" s="36" t="s">
        <v>116</v>
      </c>
      <c r="N203" s="36" t="s">
        <v>117</v>
      </c>
      <c r="O203" s="36" t="s">
        <v>162</v>
      </c>
      <c r="P203" s="36" t="s">
        <v>119</v>
      </c>
      <c r="Q203" s="36" t="s">
        <v>120</v>
      </c>
      <c r="R203" s="36" t="s">
        <v>118</v>
      </c>
      <c r="S203" s="36" t="s">
        <v>121</v>
      </c>
      <c r="T203" s="36" t="s">
        <v>122</v>
      </c>
    </row>
    <row r="204" spans="1:20" ht="15.75" thickBot="1">
      <c r="A204" s="795"/>
      <c r="B204" s="796"/>
      <c r="C204" s="796"/>
      <c r="D204" s="796"/>
      <c r="E204" s="796"/>
      <c r="F204" s="796"/>
      <c r="G204" s="796"/>
      <c r="H204" s="797"/>
      <c r="M204" s="795"/>
      <c r="N204" s="796"/>
      <c r="O204" s="796"/>
      <c r="P204" s="796"/>
      <c r="Q204" s="796"/>
      <c r="R204" s="796"/>
      <c r="S204" s="796"/>
      <c r="T204" s="797"/>
    </row>
    <row r="205" spans="1:20" ht="15.75" thickBot="1">
      <c r="A205" s="65">
        <v>0.6</v>
      </c>
      <c r="B205" s="66">
        <v>2</v>
      </c>
      <c r="C205" s="58">
        <f>(((A205+(2*B205))*'MATERIALES (2)'!$C$60)+((A205+(2*B205))*'MATERIALES (2)'!$C$58)+(A205*'MATERIALES (2)'!$C$62)+((A205*2)*'MATERIALES (2)'!$C$61)+((((A205*6)+(B205*2))*'MATERIALES (2)'!$C$76)*2)+(((A205-0.2)*'MATERIALES (2)'!$C$30)*((B205-0.12)/0.12)))*'MATERIALES (2)'!$F$2</f>
        <v>221231.717</v>
      </c>
      <c r="D205" s="58">
        <f>(1*'MATERIALES (2)'!$C$193)+(1*'MATERIALES (2)'!$C$194)+(3*'MATERIALES (2)'!$C$196)+(2*'MATERIALES (2)'!$C$178)+(2*'MATERIALES (2)'!$C$179)+(2*'MATERIALES (2)'!$C$180)+(12*'MATERIALES (2)'!$C$147)+(12*'MATERIALES (2)'!$C$148)+((A205+(2*B205))*'MATERIALES (2)'!$C$199)+((A205+(2*B205))*'MATERIALES (2)'!$C$198)+(((A205*2)*(0.6*2))*'MATERIALES (2)'!$C$130)+(((A205*4)+(B205*2))*'MATERIALES (2)'!$C$154)+(0.5*'MATERIALES (2)'!$C$156)+(((((A205*6)+(B205*2))/0.1)*'MATERIALES (2)'!$C$181)*2)+(2*'MATERIALES (2)'!$C$630)+(((A205*5)*2)*'MATERIALES (2)'!$C$136)+(4*'MATERIALES (2)'!$C$137)</f>
        <v>63573.599999999999</v>
      </c>
      <c r="E205" s="74"/>
      <c r="F205" s="54">
        <f>(A205*0.6)*'MATERIALES (2)'!$D$92</f>
        <v>13014</v>
      </c>
      <c r="G205" s="58">
        <f>SUM(C205:F205)</f>
        <v>297819.31699999998</v>
      </c>
      <c r="H205" s="67">
        <f>((((SUM(C205:E205)*$C$201)+(F205*$F$201))*1.21)*1.05)*1.05</f>
        <v>547637.51026474882</v>
      </c>
      <c r="M205" s="65">
        <v>0.6</v>
      </c>
      <c r="N205" s="66">
        <v>2</v>
      </c>
      <c r="O205" s="58">
        <f>(((M205+(2*N205))*'MATERIALES (2)'!$C$60)+((M205+(2*N205))*'MATERIALES (2)'!$C$58)+(M205*'MATERIALES (2)'!$C$62)+((M205+((N205/1.33)*2))*'MATERIALES (2)'!$C$61)+(((M205-0.2)*'MATERIALES (2)'!$C$30)*3)+((((M205*4)+(N205*6))*'MATERIALES (2)'!$C$76)*2))*'MATERIALES (2)'!$F$2</f>
        <v>220534.26757894736</v>
      </c>
      <c r="P205" s="58">
        <f>(1*'MATERIALES (2)'!$C$193)+(1*'MATERIALES (2)'!$C$194)+(3*'MATERIALES (2)'!$C$196)+(2*'MATERIALES (2)'!$C$178)+(2*'MATERIALES (2)'!$C$179)+(2*'MATERIALES (2)'!$C$180)+(16*'MATERIALES (2)'!$C$147)+(16*'MATERIALES (2)'!$C$148)+((M205+(2*N205))*'MATERIALES (2)'!$C$199)+((M205+(2*N205))*'MATERIALES (2)'!$C$198)+(((M205*2)+(N205*6))*'MATERIALES (2)'!$C$130)+((((((M205*4)+(N205*6))/0.1))*'MATERIALES (2)'!$C$181)*2)+(2*'MATERIALES (2)'!$C$176)+(((M205*2)+((N205/3)*2))*'MATERIALES (2)'!$C$154)+(0.25*'MATERIALES (2)'!$C$156)+(((M205*5)*2)*'MATERIALES (2)'!$C$136)+(4*'MATERIALES (2)'!$C$137)</f>
        <v>68398</v>
      </c>
      <c r="Q205" s="74"/>
      <c r="R205" s="54">
        <f>((M205/1.33)*(N205/1.33))*'MATERIALES (2)'!$D$92</f>
        <v>24523.715303295834</v>
      </c>
      <c r="S205" s="58">
        <f>SUM(O205:R205)</f>
        <v>313455.98288224317</v>
      </c>
      <c r="T205" s="67">
        <f>((((SUM(O205:Q205)*$O$201)+(R205*$R$201))*1.21)*1.05)*1.05</f>
        <v>585778.37076191558</v>
      </c>
    </row>
    <row r="206" spans="1:20" ht="15.75" thickBot="1">
      <c r="A206" s="68">
        <v>0.7</v>
      </c>
      <c r="B206" s="69">
        <v>2</v>
      </c>
      <c r="C206" s="59">
        <f>(((A206+(2*B206))*'MATERIALES (2)'!$C$60)+((A206+(2*B206))*'MATERIALES (2)'!$C$58)+(A206*'MATERIALES (2)'!$C$62)+((A206*2)*'MATERIALES (2)'!$C$61)+((((A206*6)+(B206*2))*'MATERIALES (2)'!$C$76)*2)+(((A206-0.2)*'MATERIALES (2)'!$C$30)*((B206-0.12)/0.12)))*'MATERIALES (2)'!$F$2</f>
        <v>247758.77349999995</v>
      </c>
      <c r="D206" s="59">
        <f>(1*'MATERIALES (2)'!$C$193)+(1*'MATERIALES (2)'!$C$194)+(3*'MATERIALES (2)'!$C$196)+(2*'MATERIALES (2)'!$C$178)+(2*'MATERIALES (2)'!$C$179)+(2*'MATERIALES (2)'!$C$180)+(12*'MATERIALES (2)'!$C$147)+(12*'MATERIALES (2)'!$C$148)+((A206+(2*B206))*'MATERIALES (2)'!$C$199)+((A206+(2*B206))*'MATERIALES (2)'!$C$198)+(((A206*2)*(0.6*2))*'MATERIALES (2)'!$C$130)+(((A206*4)+(B206*2))*'MATERIALES (2)'!$C$154)+(0.5*'MATERIALES (2)'!$C$156)+(((((A206*6)+(B206*2))/0.1)*'MATERIALES (2)'!$C$181)*2)+(2*'MATERIALES (2)'!$C$630)+(((A206*5)*2)*'MATERIALES (2)'!$C$136)+(4*'MATERIALES (2)'!$C$137)</f>
        <v>64149.2</v>
      </c>
      <c r="E206" s="75"/>
      <c r="F206" s="55">
        <f>(A206*0.6)*'MATERIALES (2)'!$D$92</f>
        <v>15183</v>
      </c>
      <c r="G206" s="59">
        <f t="shared" ref="G206:G212" si="60">SUM(C206:F206)</f>
        <v>327090.97349999996</v>
      </c>
      <c r="H206" s="67">
        <f t="shared" ref="H206:H212" si="61">((((SUM(C206:E206)*$C$201)+(F206*$F$201))*1.21)*1.05)*1.05</f>
        <v>602234.5995202557</v>
      </c>
      <c r="M206" s="68">
        <v>0.7</v>
      </c>
      <c r="N206" s="69">
        <v>2</v>
      </c>
      <c r="O206" s="59">
        <f>(((M206+(2*N206))*'MATERIALES (2)'!$C$60)+((M206+(2*N206))*'MATERIALES (2)'!$C$58)+(M206*'MATERIALES (2)'!$C$62)+((M206+((N206/1.33)*2))*'MATERIALES (2)'!$C$61)+(((M206-0.2)*'MATERIALES (2)'!$C$30)*3)+((((M206*4)+(N206*6))*'MATERIALES (2)'!$C$76)*2))*'MATERIALES (2)'!$F$2</f>
        <v>230764.73257894738</v>
      </c>
      <c r="P206" s="59">
        <f>(1*'MATERIALES (2)'!$C$193)+(1*'MATERIALES (2)'!$C$194)+(3*'MATERIALES (2)'!$C$196)+(2*'MATERIALES (2)'!$C$178)+(2*'MATERIALES (2)'!$C$179)+(2*'MATERIALES (2)'!$C$180)+(16*'MATERIALES (2)'!$C$147)+(16*'MATERIALES (2)'!$C$148)+((M206+(2*N206))*'MATERIALES (2)'!$C$199)+((M206+(2*N206))*'MATERIALES (2)'!$C$198)+(((M206*2)+(N206*6))*'MATERIALES (2)'!$C$130)+((((((M206*4)+(N206*6))/0.1))*'MATERIALES (2)'!$C$181)*2)+(2*'MATERIALES (2)'!$C$176)+(((M206*2)+((N206/3)*2))*'MATERIALES (2)'!$C$154)+(0.25*'MATERIALES (2)'!$C$156)+(((M206*5)*2)*'MATERIALES (2)'!$C$136)+(4*'MATERIALES (2)'!$C$137)</f>
        <v>68796</v>
      </c>
      <c r="Q206" s="75"/>
      <c r="R206" s="55">
        <f>((M206/1.33)*(N206/1.33))*'MATERIALES (2)'!$D$92</f>
        <v>28611.00118717847</v>
      </c>
      <c r="S206" s="59">
        <f t="shared" ref="S206:S212" si="62">SUM(O206:R206)</f>
        <v>328171.73376612586</v>
      </c>
      <c r="T206" s="67">
        <f t="shared" ref="T206:T212" si="63">((((SUM(O206:Q206)*$O$201)+(R206*$R$201))*1.21)*1.05)*1.05</f>
        <v>615824.61519360251</v>
      </c>
    </row>
    <row r="207" spans="1:20" ht="15.75" thickBot="1">
      <c r="A207" s="68">
        <v>0.8</v>
      </c>
      <c r="B207" s="69">
        <v>2</v>
      </c>
      <c r="C207" s="59">
        <f>(((A207+(2*B207))*'MATERIALES (2)'!$C$60)+((A207+(2*B207))*'MATERIALES (2)'!$C$58)+(A207*'MATERIALES (2)'!$C$62)+((A207*2)*'MATERIALES (2)'!$C$61)+((((A207*6)+(B207*2))*'MATERIALES (2)'!$C$76)*2)+(((A207-0.2)*'MATERIALES (2)'!$C$30)*((B207-0.12)/0.12)))*'MATERIALES (2)'!$F$2</f>
        <v>274285.83</v>
      </c>
      <c r="D207" s="59">
        <f>(1*'MATERIALES (2)'!$C$193)+(1*'MATERIALES (2)'!$C$194)+(3*'MATERIALES (2)'!$C$196)+(2*'MATERIALES (2)'!$C$178)+(2*'MATERIALES (2)'!$C$179)+(2*'MATERIALES (2)'!$C$180)+(12*'MATERIALES (2)'!$C$147)+(12*'MATERIALES (2)'!$C$148)+((A207+(2*B207))*'MATERIALES (2)'!$C$199)+((A207+(2*B207))*'MATERIALES (2)'!$C$198)+(((A207*2)*(0.6*2))*'MATERIALES (2)'!$C$130)+(((A207*4)+(B207*2))*'MATERIALES (2)'!$C$154)+(0.5*'MATERIALES (2)'!$C$156)+(((((A207*6)+(B207*2))/0.1)*'MATERIALES (2)'!$C$181)*2)+(2*'MATERIALES (2)'!$C$630)+(((A207*5)*2)*'MATERIALES (2)'!$C$136)+(4*'MATERIALES (2)'!$C$137)</f>
        <v>64724.800000000003</v>
      </c>
      <c r="E207" s="75"/>
      <c r="F207" s="55">
        <f>(A207*0.6)*'MATERIALES (2)'!$D$92</f>
        <v>17352</v>
      </c>
      <c r="G207" s="59">
        <f t="shared" si="60"/>
        <v>356362.63</v>
      </c>
      <c r="H207" s="67">
        <f t="shared" si="61"/>
        <v>656831.68877576257</v>
      </c>
      <c r="M207" s="68">
        <v>0.8</v>
      </c>
      <c r="N207" s="69">
        <v>2</v>
      </c>
      <c r="O207" s="59">
        <f>(((M207+(2*N207))*'MATERIALES (2)'!$C$60)+((M207+(2*N207))*'MATERIALES (2)'!$C$58)+(M207*'MATERIALES (2)'!$C$62)+((M207+((N207/1.33)*2))*'MATERIALES (2)'!$C$61)+(((M207-0.2)*'MATERIALES (2)'!$C$30)*3)+((((M207*4)+(N207*6))*'MATERIALES (2)'!$C$76)*2))*'MATERIALES (2)'!$F$2</f>
        <v>240995.19757894738</v>
      </c>
      <c r="P207" s="59">
        <f>(1*'MATERIALES (2)'!$C$193)+(1*'MATERIALES (2)'!$C$194)+(3*'MATERIALES (2)'!$C$196)+(2*'MATERIALES (2)'!$C$178)+(2*'MATERIALES (2)'!$C$179)+(2*'MATERIALES (2)'!$C$180)+(16*'MATERIALES (2)'!$C$147)+(16*'MATERIALES (2)'!$C$148)+((M207+(2*N207))*'MATERIALES (2)'!$C$199)+((M207+(2*N207))*'MATERIALES (2)'!$C$198)+(((M207*2)+(N207*6))*'MATERIALES (2)'!$C$130)+((((((M207*4)+(N207*6))/0.1))*'MATERIALES (2)'!$C$181)*2)+(2*'MATERIALES (2)'!$C$176)+(((M207*2)+((N207/3)*2))*'MATERIALES (2)'!$C$154)+(0.25*'MATERIALES (2)'!$C$156)+(((M207*5)*2)*'MATERIALES (2)'!$C$136)+(4*'MATERIALES (2)'!$C$137)</f>
        <v>69194</v>
      </c>
      <c r="Q207" s="75"/>
      <c r="R207" s="55">
        <f>((M207/1.33)*(N207/1.33))*'MATERIALES (2)'!$D$92</f>
        <v>32698.28707106111</v>
      </c>
      <c r="S207" s="59">
        <f t="shared" si="62"/>
        <v>342887.4846500085</v>
      </c>
      <c r="T207" s="67">
        <f t="shared" si="63"/>
        <v>645870.85962528945</v>
      </c>
    </row>
    <row r="208" spans="1:20" ht="15.75" thickBot="1">
      <c r="A208" s="68">
        <v>0.9</v>
      </c>
      <c r="B208" s="69">
        <v>2</v>
      </c>
      <c r="C208" s="59">
        <f>(((A208+(2*B208))*'MATERIALES (2)'!$C$60)+((A208+(2*B208))*'MATERIALES (2)'!$C$58)+(A208*'MATERIALES (2)'!$C$62)+((A208*2)*'MATERIALES (2)'!$C$61)+((((A208*6)+(B208*2))*'MATERIALES (2)'!$C$76)*2)+(((A208-0.2)*'MATERIALES (2)'!$C$30)*((B208-0.12)/0.12)))*'MATERIALES (2)'!$F$2</f>
        <v>300812.88650000002</v>
      </c>
      <c r="D208" s="59">
        <f>(1*'MATERIALES (2)'!$C$193)+(1*'MATERIALES (2)'!$C$194)+(3*'MATERIALES (2)'!$C$196)+(2*'MATERIALES (2)'!$C$178)+(2*'MATERIALES (2)'!$C$179)+(2*'MATERIALES (2)'!$C$180)+(12*'MATERIALES (2)'!$C$147)+(12*'MATERIALES (2)'!$C$148)+((A208+(2*B208))*'MATERIALES (2)'!$C$199)+((A208+(2*B208))*'MATERIALES (2)'!$C$198)+(((A208*2)*(0.6*2))*'MATERIALES (2)'!$C$130)+(((A208*4)+(B208*2))*'MATERIALES (2)'!$C$154)+(0.5*'MATERIALES (2)'!$C$156)+(((((A208*6)+(B208*2))/0.1)*'MATERIALES (2)'!$C$181)*2)+(2*'MATERIALES (2)'!$C$630)+(((A208*5)*2)*'MATERIALES (2)'!$C$136)+(4*'MATERIALES (2)'!$C$137)</f>
        <v>65300.4</v>
      </c>
      <c r="E208" s="75"/>
      <c r="F208" s="55">
        <f>(A208*0.6)*'MATERIALES (2)'!$D$92</f>
        <v>19521</v>
      </c>
      <c r="G208" s="59">
        <f t="shared" si="60"/>
        <v>385634.28650000005</v>
      </c>
      <c r="H208" s="67">
        <f t="shared" si="61"/>
        <v>711428.77803126944</v>
      </c>
      <c r="M208" s="68">
        <v>0.9</v>
      </c>
      <c r="N208" s="69">
        <v>2</v>
      </c>
      <c r="O208" s="59">
        <f>(((M208+(2*N208))*'MATERIALES (2)'!$C$60)+((M208+(2*N208))*'MATERIALES (2)'!$C$58)+(M208*'MATERIALES (2)'!$C$62)+((M208+((N208/1.33)*2))*'MATERIALES (2)'!$C$61)+(((M208-0.2)*'MATERIALES (2)'!$C$30)*3)+((((M208*4)+(N208*6))*'MATERIALES (2)'!$C$76)*2))*'MATERIALES (2)'!$F$2</f>
        <v>251225.66257894738</v>
      </c>
      <c r="P208" s="59">
        <f>(1*'MATERIALES (2)'!$C$193)+(1*'MATERIALES (2)'!$C$194)+(3*'MATERIALES (2)'!$C$196)+(2*'MATERIALES (2)'!$C$178)+(2*'MATERIALES (2)'!$C$179)+(2*'MATERIALES (2)'!$C$180)+(16*'MATERIALES (2)'!$C$147)+(16*'MATERIALES (2)'!$C$148)+((M208+(2*N208))*'MATERIALES (2)'!$C$199)+((M208+(2*N208))*'MATERIALES (2)'!$C$198)+(((M208*2)+(N208*6))*'MATERIALES (2)'!$C$130)+((((((M208*4)+(N208*6))/0.1))*'MATERIALES (2)'!$C$181)*2)+(2*'MATERIALES (2)'!$C$176)+(((M208*2)+((N208/3)*2))*'MATERIALES (2)'!$C$154)+(0.25*'MATERIALES (2)'!$C$156)+(((M208*5)*2)*'MATERIALES (2)'!$C$136)+(4*'MATERIALES (2)'!$C$137)</f>
        <v>69592</v>
      </c>
      <c r="Q208" s="75"/>
      <c r="R208" s="55">
        <f>((M208/1.33)*(N208/1.33))*'MATERIALES (2)'!$D$92</f>
        <v>36785.572954943746</v>
      </c>
      <c r="S208" s="59">
        <f t="shared" si="62"/>
        <v>357603.23553389113</v>
      </c>
      <c r="T208" s="67">
        <f t="shared" si="63"/>
        <v>675917.10405697615</v>
      </c>
    </row>
    <row r="209" spans="1:21" ht="15.75" thickBot="1">
      <c r="A209" s="68">
        <v>0.6</v>
      </c>
      <c r="B209" s="69">
        <v>2.1</v>
      </c>
      <c r="C209" s="59">
        <f>(((A209+(2*B209))*'MATERIALES (2)'!$C$60)+((A209+(2*B209))*'MATERIALES (2)'!$C$58)+(A209*'MATERIALES (2)'!$C$62)+((A209*2)*'MATERIALES (2)'!$C$61)+((((A209*6)+(B209*2))*'MATERIALES (2)'!$C$76)*2)+(((A209-0.2)*'MATERIALES (2)'!$C$30)*((B209-0.12)/0.12)))*'MATERIALES (2)'!$F$2</f>
        <v>229850.52299999999</v>
      </c>
      <c r="D209" s="59">
        <f>(1*'MATERIALES (2)'!$C$193)+(1*'MATERIALES (2)'!$C$194)+(3*'MATERIALES (2)'!$C$196)+(2*'MATERIALES (2)'!$C$178)+(2*'MATERIALES (2)'!$C$179)+(2*'MATERIALES (2)'!$C$180)+(12*'MATERIALES (2)'!$C$147)+(12*'MATERIALES (2)'!$C$148)+((A209+(2*B209))*'MATERIALES (2)'!$C$199)+((A209+(2*B209))*'MATERIALES (2)'!$C$198)+(((A209*2)*(0.6*2))*'MATERIALES (2)'!$C$130)+(((A209*4)+(B209*2))*'MATERIALES (2)'!$C$154)+(0.5*'MATERIALES (2)'!$C$156)+(((((A209*6)+(B209*2))/0.1)*'MATERIALES (2)'!$C$181)*2)+(2*'MATERIALES (2)'!$C$630)+(((A209*5)*2)*'MATERIALES (2)'!$C$136)+(4*'MATERIALES (2)'!$C$137)</f>
        <v>63865.599999999999</v>
      </c>
      <c r="E209" s="75"/>
      <c r="F209" s="55">
        <f>(A209*0.6)*'MATERIALES (2)'!$D$92</f>
        <v>13014</v>
      </c>
      <c r="G209" s="59">
        <f t="shared" si="60"/>
        <v>306730.12299999996</v>
      </c>
      <c r="H209" s="67">
        <f t="shared" si="61"/>
        <v>563685.28152985126</v>
      </c>
      <c r="M209" s="68">
        <v>0.6</v>
      </c>
      <c r="N209" s="69">
        <v>2.1</v>
      </c>
      <c r="O209" s="59">
        <f>(((M209+(2*N209))*'MATERIALES (2)'!$C$60)+((M209+(2*N209))*'MATERIALES (2)'!$C$58)+(M209*'MATERIALES (2)'!$C$62)+((M209+((N209/1.33)*2))*'MATERIALES (2)'!$C$61)+(((M209-0.2)*'MATERIALES (2)'!$C$30)*3)+((((M209*4)+(N209*6))*'MATERIALES (2)'!$C$76)*2))*'MATERIALES (2)'!$F$2</f>
        <v>228829.5151578947</v>
      </c>
      <c r="P209" s="59">
        <f>(1*'MATERIALES (2)'!$C$193)+(1*'MATERIALES (2)'!$C$194)+(3*'MATERIALES (2)'!$C$196)+(2*'MATERIALES (2)'!$C$178)+(2*'MATERIALES (2)'!$C$179)+(2*'MATERIALES (2)'!$C$180)+(16*'MATERIALES (2)'!$C$147)+(16*'MATERIALES (2)'!$C$148)+((M209+(2*N209))*'MATERIALES (2)'!$C$199)+((M209+(2*N209))*'MATERIALES (2)'!$C$198)+(((M209*2)+(N209*6))*'MATERIALES (2)'!$C$130)+((((((M209*4)+(N209*6))/0.1))*'MATERIALES (2)'!$C$181)*2)+(2*'MATERIALES (2)'!$C$176)+(((M209*2)+((N209/3)*2))*'MATERIALES (2)'!$C$154)+(0.25*'MATERIALES (2)'!$C$156)+(((M209*5)*2)*'MATERIALES (2)'!$C$136)+(4*'MATERIALES (2)'!$C$137)</f>
        <v>69042</v>
      </c>
      <c r="Q209" s="75"/>
      <c r="R209" s="55">
        <f>((M209/1.33)*(N209/1.33))*'MATERIALES (2)'!$D$92</f>
        <v>25749.901068460626</v>
      </c>
      <c r="S209" s="59">
        <f t="shared" si="62"/>
        <v>323621.4162263553</v>
      </c>
      <c r="T209" s="67">
        <f t="shared" si="63"/>
        <v>605148.88835719565</v>
      </c>
    </row>
    <row r="210" spans="1:21" ht="15.75" thickBot="1">
      <c r="A210" s="68">
        <v>0.7</v>
      </c>
      <c r="B210" s="69">
        <v>2.1</v>
      </c>
      <c r="C210" s="59">
        <f>(((A210+(2*B210))*'MATERIALES (2)'!$C$60)+((A210+(2*B210))*'MATERIALES (2)'!$C$58)+(A210*'MATERIALES (2)'!$C$62)+((A210*2)*'MATERIALES (2)'!$C$61)+((((A210*6)+(B210*2))*'MATERIALES (2)'!$C$76)*2)+(((A210-0.2)*'MATERIALES (2)'!$C$30)*((B210-0.12)/0.12)))*'MATERIALES (2)'!$F$2</f>
        <v>257315.56199999998</v>
      </c>
      <c r="D210" s="59">
        <f>(1*'MATERIALES (2)'!$C$193)+(1*'MATERIALES (2)'!$C$194)+(3*'MATERIALES (2)'!$C$196)+(2*'MATERIALES (2)'!$C$178)+(2*'MATERIALES (2)'!$C$179)+(2*'MATERIALES (2)'!$C$180)+(12*'MATERIALES (2)'!$C$147)+(12*'MATERIALES (2)'!$C$148)+((A210+(2*B210))*'MATERIALES (2)'!$C$199)+((A210+(2*B210))*'MATERIALES (2)'!$C$198)+(((A210*2)*(0.6*2))*'MATERIALES (2)'!$C$130)+(((A210*4)+(B210*2))*'MATERIALES (2)'!$C$154)+(0.5*'MATERIALES (2)'!$C$156)+(((((A210*6)+(B210*2))/0.1)*'MATERIALES (2)'!$C$181)*2)+(2*'MATERIALES (2)'!$C$630)+(((A210*5)*2)*'MATERIALES (2)'!$C$136)+(4*'MATERIALES (2)'!$C$137)</f>
        <v>64441.2</v>
      </c>
      <c r="E210" s="75"/>
      <c r="F210" s="55">
        <f>(A210*0.6)*'MATERIALES (2)'!$D$92</f>
        <v>15183</v>
      </c>
      <c r="G210" s="59">
        <f t="shared" si="60"/>
        <v>336939.76199999999</v>
      </c>
      <c r="H210" s="67">
        <f t="shared" si="61"/>
        <v>619971.61512651748</v>
      </c>
      <c r="M210" s="68">
        <v>0.7</v>
      </c>
      <c r="N210" s="69">
        <v>2.1</v>
      </c>
      <c r="O210" s="59">
        <f>(((M210+(2*N210))*'MATERIALES (2)'!$C$60)+((M210+(2*N210))*'MATERIALES (2)'!$C$58)+(M210*'MATERIALES (2)'!$C$62)+((M210+((N210/1.33)*2))*'MATERIALES (2)'!$C$61)+(((M210-0.2)*'MATERIALES (2)'!$C$30)*3)+((((M210*4)+(N210*6))*'MATERIALES (2)'!$C$76)*2))*'MATERIALES (2)'!$F$2</f>
        <v>239059.98015789472</v>
      </c>
      <c r="P210" s="59">
        <f>(1*'MATERIALES (2)'!$C$193)+(1*'MATERIALES (2)'!$C$194)+(3*'MATERIALES (2)'!$C$196)+(2*'MATERIALES (2)'!$C$178)+(2*'MATERIALES (2)'!$C$179)+(2*'MATERIALES (2)'!$C$180)+(16*'MATERIALES (2)'!$C$147)+(16*'MATERIALES (2)'!$C$148)+((M210+(2*N210))*'MATERIALES (2)'!$C$199)+((M210+(2*N210))*'MATERIALES (2)'!$C$198)+(((M210*2)+(N210*6))*'MATERIALES (2)'!$C$130)+((((((M210*4)+(N210*6))/0.1))*'MATERIALES (2)'!$C$181)*2)+(2*'MATERIALES (2)'!$C$176)+(((M210*2)+((N210/3)*2))*'MATERIALES (2)'!$C$154)+(0.25*'MATERIALES (2)'!$C$156)+(((M210*5)*2)*'MATERIALES (2)'!$C$136)+(4*'MATERIALES (2)'!$C$137)</f>
        <v>69440</v>
      </c>
      <c r="Q210" s="75"/>
      <c r="R210" s="55">
        <f>((M210/1.33)*(N210/1.33))*'MATERIALES (2)'!$D$92</f>
        <v>30041.551246537394</v>
      </c>
      <c r="S210" s="59">
        <f t="shared" si="62"/>
        <v>338541.53140443214</v>
      </c>
      <c r="T210" s="67">
        <f t="shared" si="63"/>
        <v>635740.38694400724</v>
      </c>
    </row>
    <row r="211" spans="1:21" ht="15.75" thickBot="1">
      <c r="A211" s="68">
        <v>0.8</v>
      </c>
      <c r="B211" s="69">
        <v>2.1</v>
      </c>
      <c r="C211" s="59">
        <f>(((A211+(2*B211))*'MATERIALES (2)'!$C$60)+((A211+(2*B211))*'MATERIALES (2)'!$C$58)+(A211*'MATERIALES (2)'!$C$62)+((A211*2)*'MATERIALES (2)'!$C$61)+((((A211*6)+(B211*2))*'MATERIALES (2)'!$C$76)*2)+(((A211-0.2)*'MATERIALES (2)'!$C$30)*((B211-0.12)/0.12)))*'MATERIALES (2)'!$F$2</f>
        <v>284780.60100000002</v>
      </c>
      <c r="D211" s="59">
        <f>(1*'MATERIALES (2)'!$C$193)+(1*'MATERIALES (2)'!$C$194)+(3*'MATERIALES (2)'!$C$196)+(2*'MATERIALES (2)'!$C$178)+(2*'MATERIALES (2)'!$C$179)+(2*'MATERIALES (2)'!$C$180)+(12*'MATERIALES (2)'!$C$147)+(12*'MATERIALES (2)'!$C$148)+((A211+(2*B211))*'MATERIALES (2)'!$C$199)+((A211+(2*B211))*'MATERIALES (2)'!$C$198)+(((A211*2)*(0.6*2))*'MATERIALES (2)'!$C$130)+(((A211*4)+(B211*2))*'MATERIALES (2)'!$C$154)+(0.5*'MATERIALES (2)'!$C$156)+(((((A211*6)+(B211*2))/0.1)*'MATERIALES (2)'!$C$181)*2)+(2*'MATERIALES (2)'!$C$630)+(((A211*5)*2)*'MATERIALES (2)'!$C$136)+(4*'MATERIALES (2)'!$C$137)</f>
        <v>65016.800000000003</v>
      </c>
      <c r="E211" s="75"/>
      <c r="F211" s="55">
        <f>(A211*0.6)*'MATERIALES (2)'!$D$92</f>
        <v>17352</v>
      </c>
      <c r="G211" s="59">
        <f t="shared" si="60"/>
        <v>367149.40100000001</v>
      </c>
      <c r="H211" s="67">
        <f t="shared" si="61"/>
        <v>676257.94872318371</v>
      </c>
      <c r="M211" s="68">
        <v>0.8</v>
      </c>
      <c r="N211" s="69">
        <v>2.1</v>
      </c>
      <c r="O211" s="59">
        <f>(((M211+(2*N211))*'MATERIALES (2)'!$C$60)+((M211+(2*N211))*'MATERIALES (2)'!$C$58)+(M211*'MATERIALES (2)'!$C$62)+((M211+((N211/1.33)*2))*'MATERIALES (2)'!$C$61)+(((M211-0.2)*'MATERIALES (2)'!$C$30)*3)+((((M211*4)+(N211*6))*'MATERIALES (2)'!$C$76)*2))*'MATERIALES (2)'!$F$2</f>
        <v>249290.44515789478</v>
      </c>
      <c r="P211" s="59">
        <f>(1*'MATERIALES (2)'!$C$193)+(1*'MATERIALES (2)'!$C$194)+(3*'MATERIALES (2)'!$C$196)+(2*'MATERIALES (2)'!$C$178)+(2*'MATERIALES (2)'!$C$179)+(2*'MATERIALES (2)'!$C$180)+(16*'MATERIALES (2)'!$C$147)+(16*'MATERIALES (2)'!$C$148)+((M211+(2*N211))*'MATERIALES (2)'!$C$199)+((M211+(2*N211))*'MATERIALES (2)'!$C$198)+(((M211*2)+(N211*6))*'MATERIALES (2)'!$C$130)+((((((M211*4)+(N211*6))/0.1))*'MATERIALES (2)'!$C$181)*2)+(2*'MATERIALES (2)'!$C$176)+(((M211*2)+((N211/3)*2))*'MATERIALES (2)'!$C$154)+(0.25*'MATERIALES (2)'!$C$156)+(((M211*5)*2)*'MATERIALES (2)'!$C$136)+(4*'MATERIALES (2)'!$C$137)</f>
        <v>69838</v>
      </c>
      <c r="Q211" s="75"/>
      <c r="R211" s="55">
        <f>((M211/1.33)*(N211/1.33))*'MATERIALES (2)'!$D$92</f>
        <v>34333.20142461417</v>
      </c>
      <c r="S211" s="59">
        <f t="shared" si="62"/>
        <v>353461.64658250893</v>
      </c>
      <c r="T211" s="67">
        <f t="shared" si="63"/>
        <v>666331.88553081872</v>
      </c>
    </row>
    <row r="212" spans="1:21" ht="15.75" thickBot="1">
      <c r="A212" s="71">
        <v>0.9</v>
      </c>
      <c r="B212" s="72">
        <v>2.1</v>
      </c>
      <c r="C212" s="60">
        <f>(((A212+(2*B212))*'MATERIALES (2)'!$C$60)+((A212+(2*B212))*'MATERIALES (2)'!$C$58)+(A212*'MATERIALES (2)'!$C$62)+((A212*2)*'MATERIALES (2)'!$C$61)+((((A212*6)+(B212*2))*'MATERIALES (2)'!$C$76)*2)+(((A212-0.2)*'MATERIALES (2)'!$C$30)*((B212-0.12)/0.12)))*'MATERIALES (2)'!$F$2</f>
        <v>312245.64</v>
      </c>
      <c r="D212" s="60">
        <f>(1*'MATERIALES (2)'!$C$193)+(1*'MATERIALES (2)'!$C$194)+(3*'MATERIALES (2)'!$C$196)+(2*'MATERIALES (2)'!$C$178)+(2*'MATERIALES (2)'!$C$179)+(2*'MATERIALES (2)'!$C$180)+(12*'MATERIALES (2)'!$C$147)+(12*'MATERIALES (2)'!$C$148)+((A212+(2*B212))*'MATERIALES (2)'!$C$199)+((A212+(2*B212))*'MATERIALES (2)'!$C$198)+(((A212*2)*(0.6*2))*'MATERIALES (2)'!$C$130)+(((A212*4)+(B212*2))*'MATERIALES (2)'!$C$154)+(0.5*'MATERIALES (2)'!$C$156)+(((((A212*6)+(B212*2))/0.1)*'MATERIALES (2)'!$C$181)*2)+(2*'MATERIALES (2)'!$C$630)+(((A212*5)*2)*'MATERIALES (2)'!$C$136)+(4*'MATERIALES (2)'!$C$137)</f>
        <v>65592.400000000009</v>
      </c>
      <c r="E212" s="76"/>
      <c r="F212" s="56">
        <f>(A212*0.6)*'MATERIALES (2)'!$D$92</f>
        <v>19521</v>
      </c>
      <c r="G212" s="60">
        <f t="shared" si="60"/>
        <v>397359.04000000004</v>
      </c>
      <c r="H212" s="67">
        <f t="shared" si="61"/>
        <v>732544.28231985017</v>
      </c>
      <c r="M212" s="71">
        <v>0.9</v>
      </c>
      <c r="N212" s="72">
        <v>2.1</v>
      </c>
      <c r="O212" s="60">
        <f>(((M212+(2*N212))*'MATERIALES (2)'!$C$60)+((M212+(2*N212))*'MATERIALES (2)'!$C$58)+(M212*'MATERIALES (2)'!$C$62)+((M212+((N212/1.33)*2))*'MATERIALES (2)'!$C$61)+(((M212-0.2)*'MATERIALES (2)'!$C$30)*3)+((((M212*4)+(N212*6))*'MATERIALES (2)'!$C$76)*2))*'MATERIALES (2)'!$F$2</f>
        <v>259520.91015789477</v>
      </c>
      <c r="P212" s="60">
        <f>(1*'MATERIALES (2)'!$C$193)+(1*'MATERIALES (2)'!$C$194)+(3*'MATERIALES (2)'!$C$196)+(2*'MATERIALES (2)'!$C$178)+(2*'MATERIALES (2)'!$C$179)+(2*'MATERIALES (2)'!$C$180)+(16*'MATERIALES (2)'!$C$147)+(16*'MATERIALES (2)'!$C$148)+((M212+(2*N212))*'MATERIALES (2)'!$C$199)+((M212+(2*N212))*'MATERIALES (2)'!$C$198)+(((M212*2)+(N212*6))*'MATERIALES (2)'!$C$130)+((((((M212*4)+(N212*6))/0.1))*'MATERIALES (2)'!$C$181)*2)+(2*'MATERIALES (2)'!$C$176)+(((M212*2)+((N212/3)*2))*'MATERIALES (2)'!$C$154)+(0.25*'MATERIALES (2)'!$C$156)+(((M212*5)*2)*'MATERIALES (2)'!$C$136)+(4*'MATERIALES (2)'!$C$137)</f>
        <v>70236</v>
      </c>
      <c r="Q212" s="76"/>
      <c r="R212" s="56">
        <f>((M212/1.33)*(N212/1.33))*'MATERIALES (2)'!$D$92</f>
        <v>38624.851602690935</v>
      </c>
      <c r="S212" s="60">
        <f t="shared" si="62"/>
        <v>368381.76176058571</v>
      </c>
      <c r="T212" s="67">
        <f t="shared" si="63"/>
        <v>696923.38411763008</v>
      </c>
    </row>
    <row r="214" spans="1:21" ht="15.75" thickBot="1">
      <c r="O214" s="78"/>
    </row>
    <row r="215" spans="1:21" ht="15.75" thickBot="1">
      <c r="A215" s="32"/>
      <c r="B215" s="32"/>
      <c r="C215" s="807">
        <v>1.35</v>
      </c>
      <c r="D215" s="808"/>
      <c r="E215" s="809"/>
      <c r="F215" s="545">
        <v>2</v>
      </c>
      <c r="G215" s="32"/>
      <c r="H215" s="46" t="s">
        <v>163</v>
      </c>
      <c r="M215" s="32"/>
      <c r="N215" s="32"/>
      <c r="O215" s="807">
        <v>1.4</v>
      </c>
      <c r="P215" s="808"/>
      <c r="Q215" s="809"/>
      <c r="R215" s="545">
        <v>2</v>
      </c>
      <c r="S215" s="32"/>
      <c r="T215" s="46" t="s">
        <v>163</v>
      </c>
    </row>
    <row r="216" spans="1:21" ht="15.75" customHeight="1" thickBot="1">
      <c r="A216" s="792" t="s">
        <v>726</v>
      </c>
      <c r="B216" s="793"/>
      <c r="C216" s="793"/>
      <c r="D216" s="793"/>
      <c r="E216" s="793"/>
      <c r="F216" s="793"/>
      <c r="G216" s="793"/>
      <c r="H216" s="794"/>
      <c r="M216" s="792" t="s">
        <v>727</v>
      </c>
      <c r="N216" s="793"/>
      <c r="O216" s="793"/>
      <c r="P216" s="793"/>
      <c r="Q216" s="793"/>
      <c r="R216" s="793"/>
      <c r="S216" s="793"/>
      <c r="T216" s="794"/>
      <c r="U216" s="882" t="s">
        <v>254</v>
      </c>
    </row>
    <row r="217" spans="1:21" ht="15.75" thickBot="1">
      <c r="A217" s="36" t="s">
        <v>116</v>
      </c>
      <c r="B217" s="36" t="s">
        <v>117</v>
      </c>
      <c r="C217" s="36" t="s">
        <v>162</v>
      </c>
      <c r="D217" s="36" t="s">
        <v>119</v>
      </c>
      <c r="E217" s="36" t="s">
        <v>120</v>
      </c>
      <c r="F217" s="36" t="s">
        <v>118</v>
      </c>
      <c r="G217" s="36" t="s">
        <v>121</v>
      </c>
      <c r="H217" s="36" t="s">
        <v>122</v>
      </c>
      <c r="M217" s="36" t="s">
        <v>116</v>
      </c>
      <c r="N217" s="36" t="s">
        <v>117</v>
      </c>
      <c r="O217" s="36" t="s">
        <v>162</v>
      </c>
      <c r="P217" s="36" t="s">
        <v>119</v>
      </c>
      <c r="Q217" s="36" t="s">
        <v>120</v>
      </c>
      <c r="R217" s="36" t="s">
        <v>118</v>
      </c>
      <c r="S217" s="36" t="s">
        <v>121</v>
      </c>
      <c r="T217" s="36" t="s">
        <v>122</v>
      </c>
      <c r="U217" s="883"/>
    </row>
    <row r="218" spans="1:21" ht="15.75" thickBot="1">
      <c r="A218" s="795"/>
      <c r="B218" s="796"/>
      <c r="C218" s="796"/>
      <c r="D218" s="796"/>
      <c r="E218" s="796"/>
      <c r="F218" s="796"/>
      <c r="G218" s="796"/>
      <c r="H218" s="797"/>
      <c r="M218" s="795"/>
      <c r="N218" s="796"/>
      <c r="O218" s="796"/>
      <c r="P218" s="796"/>
      <c r="Q218" s="796"/>
      <c r="R218" s="796"/>
      <c r="S218" s="796"/>
      <c r="T218" s="797"/>
      <c r="U218" s="883"/>
    </row>
    <row r="219" spans="1:21" ht="15.75" thickBot="1">
      <c r="A219" s="65">
        <v>0.6</v>
      </c>
      <c r="B219" s="66">
        <v>2</v>
      </c>
      <c r="C219" s="58">
        <f>(((A219+(2*B219))*'MATERIALES (2)'!$C$60)+((A219+(2*B219))*'MATERIALES (2)'!$C$58)+(A219*'MATERIALES (2)'!$C$62)+((A219*1)*'MATERIALES (2)'!$C$61)+((((A219*4)+(B219*2))*'MATERIALES (2)'!$C$76)*2)+(((A219-0.2)*'MATERIALES (2)'!$C$30)*((B219-0.36)/0.12)))*'MATERIALES (2)'!$F$2</f>
        <v>199991.53999999998</v>
      </c>
      <c r="D219" s="58">
        <f>(1*'MATERIALES (2)'!$C$193)+(1*'MATERIALES (2)'!$C$194)+(3*'MATERIALES (2)'!$C$196)+(2*'MATERIALES (2)'!$C$178)+(2*'MATERIALES (2)'!$C$179)+(2*'MATERIALES (2)'!$C$180)+(8*'MATERIALES (2)'!$C$147)+(8*'MATERIALES (2)'!$C$148)+((A219+(2*B219))*'MATERIALES (2)'!$C$199)+((A219+(2*B219))*'MATERIALES (2)'!$C$198)+(((A219*2)*(0.6*2))*'MATERIALES (2)'!$C$130)+(((A219*2)+(B219*2))*'MATERIALES (2)'!$C$154)+(0.5*'MATERIALES (2)'!$C$156)+(2*'MATERIALES (2)'!$C$176)+(((((A219*4)+(B219*2))/0.1)*'MATERIALES (2)'!$C$181)*2)+(((A219*5)*2)*'MATERIALES (2)'!$C$136)+(4*'MATERIALES (2)'!$C$137)</f>
        <v>61895.6</v>
      </c>
      <c r="E219" s="74"/>
      <c r="F219" s="54">
        <f>(A219*0.6)*'MATERIALES (2)'!$D$92</f>
        <v>13014</v>
      </c>
      <c r="G219" s="58">
        <f>SUM(C219:F219)</f>
        <v>274901.14</v>
      </c>
      <c r="H219" s="67">
        <f>((((SUM(C219:E219)*$C$215)+(F219*$F$215))*1.21)*1.05)*1.05</f>
        <v>506363.39181697514</v>
      </c>
      <c r="M219" s="65">
        <v>0.6</v>
      </c>
      <c r="N219" s="66">
        <v>2</v>
      </c>
      <c r="O219" s="58">
        <f>(((M219+(2*N219))*'MATERIALES (2)'!$C$60)+((M219+(2*N219))*'MATERIALES (2)'!$C$58)+(M219*'MATERIALES (2)'!$C$62)+(((M219*2)+(N219*2))*'MATERIALES (2)'!$C$31)+(((M219*2)+(N219))*'MATERIALES (2)'!$C$32))*'MATERIALES (2)'!$F$2</f>
        <v>134750.49</v>
      </c>
      <c r="P219" s="58">
        <f>(1*'MATERIALES (2)'!$C$193)+(1*'MATERIALES (2)'!$C$194)+(3*'MATERIALES (2)'!$C$196)+(2*'MATERIALES (2)'!$C$178)+(2*'MATERIALES (2)'!$C$179)+(2*'MATERIALES (2)'!$C$180)+(10*'MATERIALES (2)'!$C$147)+(10*'MATERIALES (2)'!$C$148)+((M219+(2*N219))*'MATERIALES (2)'!$C$199)+((M219+(2*N219))*'MATERIALES (2)'!$C$198)+(((M219*6)+(N219*4))*'MATERIALES (2)'!$C$155)+(2*'MATERIALES (2)'!$C$176)+(((M219*5)*2)*'MATERIALES (2)'!$C$136)+(4*'MATERIALES (2)'!$C$137)</f>
        <v>54002</v>
      </c>
      <c r="Q219" s="74"/>
      <c r="R219" s="54">
        <f>(M219*N219)*'MATERIALES (2)'!$D$92</f>
        <v>43380</v>
      </c>
      <c r="S219" s="58">
        <f>SUM(O219:R219)</f>
        <v>232132.49</v>
      </c>
      <c r="T219" s="67">
        <f>((((SUM(O219:Q219)*$O$215)+(R219*$R$215))*1.21)*1.05)*1.05</f>
        <v>468260.76566114998</v>
      </c>
      <c r="U219" s="787"/>
    </row>
    <row r="220" spans="1:21" ht="15.75" thickBot="1">
      <c r="A220" s="68">
        <v>0.7</v>
      </c>
      <c r="B220" s="69">
        <v>2</v>
      </c>
      <c r="C220" s="59">
        <f>(((A220+(2*B220))*'MATERIALES (2)'!$C$60)+((A220+(2*B220))*'MATERIALES (2)'!$C$58)+(A220*'MATERIALES (2)'!$C$62)+((A220*1)*'MATERIALES (2)'!$C$61)+((((A220*4)+(B220*2))*'MATERIALES (2)'!$C$76)*2)+(((A220-0.2)*'MATERIALES (2)'!$C$30)*((B220-0.36)/0.12)))*'MATERIALES (2)'!$F$2</f>
        <v>222228.18100000001</v>
      </c>
      <c r="D220" s="59">
        <f>(1*'MATERIALES (2)'!$C$193)+(1*'MATERIALES (2)'!$C$194)+(3*'MATERIALES (2)'!$C$196)+(2*'MATERIALES (2)'!$C$178)+(2*'MATERIALES (2)'!$C$179)+(2*'MATERIALES (2)'!$C$180)+(8*'MATERIALES (2)'!$C$147)+(8*'MATERIALES (2)'!$C$148)+((A220+(2*B220))*'MATERIALES (2)'!$C$199)+((A220+(2*B220))*'MATERIALES (2)'!$C$198)+(((A220*2)*(0.6*2))*'MATERIALES (2)'!$C$130)+(((A220*2)+(B220*2))*'MATERIALES (2)'!$C$154)+(0.5*'MATERIALES (2)'!$C$156)+(2*'MATERIALES (2)'!$C$176)+(((((A220*4)+(B220*2))/0.1)*'MATERIALES (2)'!$C$181)*2)+(((A220*5)*2)*'MATERIALES (2)'!$C$136)+(4*'MATERIALES (2)'!$C$137)</f>
        <v>62303.199999999997</v>
      </c>
      <c r="E220" s="75"/>
      <c r="F220" s="55">
        <f>(A220*0.6)*'MATERIALES (2)'!$D$92</f>
        <v>15183</v>
      </c>
      <c r="G220" s="59">
        <f t="shared" ref="G220:G226" si="64">SUM(C220:F220)</f>
        <v>299714.38099999999</v>
      </c>
      <c r="H220" s="67">
        <f t="shared" ref="H220:H226" si="65">((((SUM(C220:E220)*$C$215)+(F220*$F$215))*1.21)*1.05)*1.05</f>
        <v>552931.17012700881</v>
      </c>
      <c r="M220" s="68">
        <v>0.7</v>
      </c>
      <c r="N220" s="69">
        <v>2</v>
      </c>
      <c r="O220" s="59">
        <f>(((M220+(2*N220))*'MATERIALES (2)'!$C$60)+((M220+(2*N220))*'MATERIALES (2)'!$C$58)+(M220*'MATERIALES (2)'!$C$62)+(((M220*2)+(N220*2))*'MATERIALES (2)'!$C$31)+(((M220*2)+(N220))*'MATERIALES (2)'!$C$32))*'MATERIALES (2)'!$F$2</f>
        <v>140207.4975</v>
      </c>
      <c r="P220" s="59">
        <f>(1*'MATERIALES (2)'!$C$193)+(1*'MATERIALES (2)'!$C$194)+(3*'MATERIALES (2)'!$C$196)+(2*'MATERIALES (2)'!$C$178)+(2*'MATERIALES (2)'!$C$179)+(2*'MATERIALES (2)'!$C$180)+(10*'MATERIALES (2)'!$C$147)+(10*'MATERIALES (2)'!$C$148)+((M220+(2*N220))*'MATERIALES (2)'!$C$199)+((M220+(2*N220))*'MATERIALES (2)'!$C$198)+(((M220*6)+(N220*4))*'MATERIALES (2)'!$C$155)+(2*'MATERIALES (2)'!$C$176)+(((M220*5)*2)*'MATERIALES (2)'!$C$136)+(4*'MATERIALES (2)'!$C$137)</f>
        <v>54124</v>
      </c>
      <c r="Q220" s="75"/>
      <c r="R220" s="55">
        <f>(M220*N220)*'MATERIALES (2)'!$D$92</f>
        <v>50610</v>
      </c>
      <c r="S220" s="59">
        <f t="shared" ref="S220:S226" si="66">SUM(O220:R220)</f>
        <v>244941.4975</v>
      </c>
      <c r="T220" s="67">
        <f t="shared" ref="T220:T226" si="67">((((SUM(O220:Q220)*$O$215)+(R220*$R$215))*1.21)*1.05)*1.05</f>
        <v>497970.31683341245</v>
      </c>
      <c r="U220" s="787"/>
    </row>
    <row r="221" spans="1:21" ht="15.75" thickBot="1">
      <c r="A221" s="68">
        <v>0.8</v>
      </c>
      <c r="B221" s="69">
        <v>2</v>
      </c>
      <c r="C221" s="59">
        <f>(((A221+(2*B221))*'MATERIALES (2)'!$C$60)+((A221+(2*B221))*'MATERIALES (2)'!$C$58)+(A221*'MATERIALES (2)'!$C$62)+((A221*1)*'MATERIALES (2)'!$C$61)+((((A221*4)+(B221*2))*'MATERIALES (2)'!$C$76)*2)+(((A221-0.2)*'MATERIALES (2)'!$C$30)*((B221-0.36)/0.12)))*'MATERIALES (2)'!$F$2</f>
        <v>244464.82200000001</v>
      </c>
      <c r="D221" s="59">
        <f>(1*'MATERIALES (2)'!$C$193)+(1*'MATERIALES (2)'!$C$194)+(3*'MATERIALES (2)'!$C$196)+(2*'MATERIALES (2)'!$C$178)+(2*'MATERIALES (2)'!$C$179)+(2*'MATERIALES (2)'!$C$180)+(8*'MATERIALES (2)'!$C$147)+(8*'MATERIALES (2)'!$C$148)+((A221+(2*B221))*'MATERIALES (2)'!$C$199)+((A221+(2*B221))*'MATERIALES (2)'!$C$198)+(((A221*2)*(0.6*2))*'MATERIALES (2)'!$C$130)+(((A221*2)+(B221*2))*'MATERIALES (2)'!$C$154)+(0.5*'MATERIALES (2)'!$C$156)+(2*'MATERIALES (2)'!$C$176)+(((((A221*4)+(B221*2))/0.1)*'MATERIALES (2)'!$C$181)*2)+(((A221*5)*2)*'MATERIALES (2)'!$C$136)+(4*'MATERIALES (2)'!$C$137)</f>
        <v>62710.8</v>
      </c>
      <c r="E221" s="75"/>
      <c r="F221" s="55">
        <f>(A221*0.6)*'MATERIALES (2)'!$D$92</f>
        <v>17352</v>
      </c>
      <c r="G221" s="59">
        <f t="shared" si="64"/>
        <v>324527.62200000003</v>
      </c>
      <c r="H221" s="67">
        <f t="shared" si="65"/>
        <v>599498.94843704265</v>
      </c>
      <c r="M221" s="68">
        <v>0.8</v>
      </c>
      <c r="N221" s="69">
        <v>2</v>
      </c>
      <c r="O221" s="59">
        <f>(((M221+(2*N221))*'MATERIALES (2)'!$C$60)+((M221+(2*N221))*'MATERIALES (2)'!$C$58)+(M221*'MATERIALES (2)'!$C$62)+(((M221*2)+(N221*2))*'MATERIALES (2)'!$C$31)+(((M221*2)+(N221))*'MATERIALES (2)'!$C$32))*'MATERIALES (2)'!$F$2</f>
        <v>145664.505</v>
      </c>
      <c r="P221" s="59">
        <f>(1*'MATERIALES (2)'!$C$193)+(1*'MATERIALES (2)'!$C$194)+(3*'MATERIALES (2)'!$C$196)+(2*'MATERIALES (2)'!$C$178)+(2*'MATERIALES (2)'!$C$179)+(2*'MATERIALES (2)'!$C$180)+(10*'MATERIALES (2)'!$C$147)+(10*'MATERIALES (2)'!$C$148)+((M221+(2*N221))*'MATERIALES (2)'!$C$199)+((M221+(2*N221))*'MATERIALES (2)'!$C$198)+(((M221*6)+(N221*4))*'MATERIALES (2)'!$C$155)+(2*'MATERIALES (2)'!$C$176)+(((M221*5)*2)*'MATERIALES (2)'!$C$136)+(4*'MATERIALES (2)'!$C$137)</f>
        <v>54246</v>
      </c>
      <c r="Q221" s="75"/>
      <c r="R221" s="55">
        <f>(M221*N221)*'MATERIALES (2)'!$D$92</f>
        <v>57840</v>
      </c>
      <c r="S221" s="59">
        <f t="shared" si="66"/>
        <v>257750.505</v>
      </c>
      <c r="T221" s="67">
        <f t="shared" si="67"/>
        <v>527679.86800567503</v>
      </c>
      <c r="U221" s="787"/>
    </row>
    <row r="222" spans="1:21" ht="15.75" thickBot="1">
      <c r="A222" s="68">
        <v>0.9</v>
      </c>
      <c r="B222" s="69">
        <v>2</v>
      </c>
      <c r="C222" s="59">
        <f>(((A222+(2*B222))*'MATERIALES (2)'!$C$60)+((A222+(2*B222))*'MATERIALES (2)'!$C$58)+(A222*'MATERIALES (2)'!$C$62)+((A222*1)*'MATERIALES (2)'!$C$61)+((((A222*4)+(B222*2))*'MATERIALES (2)'!$C$76)*2)+(((A222-0.2)*'MATERIALES (2)'!$C$30)*((B222-0.36)/0.12)))*'MATERIALES (2)'!$F$2</f>
        <v>266701.46300000005</v>
      </c>
      <c r="D222" s="59">
        <f>(1*'MATERIALES (2)'!$C$193)+(1*'MATERIALES (2)'!$C$194)+(3*'MATERIALES (2)'!$C$196)+(2*'MATERIALES (2)'!$C$178)+(2*'MATERIALES (2)'!$C$179)+(2*'MATERIALES (2)'!$C$180)+(8*'MATERIALES (2)'!$C$147)+(8*'MATERIALES (2)'!$C$148)+((A222+(2*B222))*'MATERIALES (2)'!$C$199)+((A222+(2*B222))*'MATERIALES (2)'!$C$198)+(((A222*2)*(0.6*2))*'MATERIALES (2)'!$C$130)+(((A222*2)+(B222*2))*'MATERIALES (2)'!$C$154)+(0.5*'MATERIALES (2)'!$C$156)+(2*'MATERIALES (2)'!$C$176)+(((((A222*4)+(B222*2))/0.1)*'MATERIALES (2)'!$C$181)*2)+(((A222*5)*2)*'MATERIALES (2)'!$C$136)+(4*'MATERIALES (2)'!$C$137)</f>
        <v>63118.400000000001</v>
      </c>
      <c r="E222" s="75"/>
      <c r="F222" s="55">
        <f>(A222*0.6)*'MATERIALES (2)'!$D$92</f>
        <v>19521</v>
      </c>
      <c r="G222" s="59">
        <f t="shared" si="64"/>
        <v>349340.86300000007</v>
      </c>
      <c r="H222" s="67">
        <f t="shared" si="65"/>
        <v>646066.72674707649</v>
      </c>
      <c r="M222" s="68">
        <v>0.9</v>
      </c>
      <c r="N222" s="69">
        <v>2</v>
      </c>
      <c r="O222" s="59">
        <f>(((M222+(2*N222))*'MATERIALES (2)'!$C$60)+((M222+(2*N222))*'MATERIALES (2)'!$C$58)+(M222*'MATERIALES (2)'!$C$62)+(((M222*2)+(N222*2))*'MATERIALES (2)'!$C$31)+(((M222*2)+(N222))*'MATERIALES (2)'!$C$32))*'MATERIALES (2)'!$F$2</f>
        <v>151121.51250000001</v>
      </c>
      <c r="P222" s="59">
        <f>(1*'MATERIALES (2)'!$C$193)+(1*'MATERIALES (2)'!$C$194)+(3*'MATERIALES (2)'!$C$196)+(2*'MATERIALES (2)'!$C$178)+(2*'MATERIALES (2)'!$C$179)+(2*'MATERIALES (2)'!$C$180)+(10*'MATERIALES (2)'!$C$147)+(10*'MATERIALES (2)'!$C$148)+((M222+(2*N222))*'MATERIALES (2)'!$C$199)+((M222+(2*N222))*'MATERIALES (2)'!$C$198)+(((M222*6)+(N222*4))*'MATERIALES (2)'!$C$155)+(2*'MATERIALES (2)'!$C$176)+(((M222*5)*2)*'MATERIALES (2)'!$C$136)+(4*'MATERIALES (2)'!$C$137)</f>
        <v>54368</v>
      </c>
      <c r="Q222" s="75"/>
      <c r="R222" s="55">
        <f>(M222*N222)*'MATERIALES (2)'!$D$92</f>
        <v>65070</v>
      </c>
      <c r="S222" s="59">
        <f t="shared" si="66"/>
        <v>270559.51250000001</v>
      </c>
      <c r="T222" s="67">
        <f t="shared" si="67"/>
        <v>557389.41917793755</v>
      </c>
      <c r="U222" s="787"/>
    </row>
    <row r="223" spans="1:21" ht="15.75" thickBot="1">
      <c r="A223" s="68">
        <v>0.6</v>
      </c>
      <c r="B223" s="69">
        <v>2.1</v>
      </c>
      <c r="C223" s="59">
        <f>(((A223+(2*B223))*'MATERIALES (2)'!$C$60)+((A223+(2*B223))*'MATERIALES (2)'!$C$58)+(A223*'MATERIALES (2)'!$C$62)+((A223*1)*'MATERIALES (2)'!$C$61)+((((A223*4)+(B223*2))*'MATERIALES (2)'!$C$76)*2)+(((A223-0.2)*'MATERIALES (2)'!$C$30)*((B223-0.36)/0.12)))*'MATERIALES (2)'!$F$2</f>
        <v>208610.34599999999</v>
      </c>
      <c r="D223" s="59">
        <f>(1*'MATERIALES (2)'!$C$193)+(1*'MATERIALES (2)'!$C$194)+(3*'MATERIALES (2)'!$C$196)+(2*'MATERIALES (2)'!$C$178)+(2*'MATERIALES (2)'!$C$179)+(2*'MATERIALES (2)'!$C$180)+(8*'MATERIALES (2)'!$C$147)+(8*'MATERIALES (2)'!$C$148)+((A223+(2*B223))*'MATERIALES (2)'!$C$199)+((A223+(2*B223))*'MATERIALES (2)'!$C$198)+(((A223*2)*(0.6*2))*'MATERIALES (2)'!$C$130)+(((A223*2)+(B223*2))*'MATERIALES (2)'!$C$154)+(0.5*'MATERIALES (2)'!$C$156)+(2*'MATERIALES (2)'!$C$176)+(((((A223*4)+(B223*2))/0.1)*'MATERIALES (2)'!$C$181)*2)+(((A223*5)*2)*'MATERIALES (2)'!$C$136)+(4*'MATERIALES (2)'!$C$137)</f>
        <v>62187.6</v>
      </c>
      <c r="E223" s="75"/>
      <c r="F223" s="55">
        <f>(A223*0.6)*'MATERIALES (2)'!$D$92</f>
        <v>13014</v>
      </c>
      <c r="G223" s="59">
        <f t="shared" si="64"/>
        <v>283811.946</v>
      </c>
      <c r="H223" s="67">
        <f t="shared" si="65"/>
        <v>522411.16308207752</v>
      </c>
      <c r="M223" s="68">
        <v>0.6</v>
      </c>
      <c r="N223" s="69">
        <v>2.1</v>
      </c>
      <c r="O223" s="59">
        <f>(((M223+(2*N223))*'MATERIALES (2)'!$C$60)+((M223+(2*N223))*'MATERIALES (2)'!$C$58)+(M223*'MATERIALES (2)'!$C$62)+(((M223*2)+(N223*2))*'MATERIALES (2)'!$C$31)+(((M223*2)+(N223))*'MATERIALES (2)'!$C$32))*'MATERIALES (2)'!$F$2</f>
        <v>139850.91224999999</v>
      </c>
      <c r="P223" s="59">
        <f>(1*'MATERIALES (2)'!$C$193)+(1*'MATERIALES (2)'!$C$194)+(3*'MATERIALES (2)'!$C$196)+(2*'MATERIALES (2)'!$C$178)+(2*'MATERIALES (2)'!$C$179)+(2*'MATERIALES (2)'!$C$180)+(10*'MATERIALES (2)'!$C$147)+(10*'MATERIALES (2)'!$C$148)+((M223+(2*N223))*'MATERIALES (2)'!$C$199)+((M223+(2*N223))*'MATERIALES (2)'!$C$198)+(((M223*6)+(N223*4))*'MATERIALES (2)'!$C$155)+(2*'MATERIALES (2)'!$C$176)+(((M223*5)*2)*'MATERIALES (2)'!$C$136)+(4*'MATERIALES (2)'!$C$137)</f>
        <v>54166</v>
      </c>
      <c r="Q223" s="75"/>
      <c r="R223" s="55">
        <f>(M223*N223)*'MATERIALES (2)'!$D$92</f>
        <v>45549</v>
      </c>
      <c r="S223" s="59">
        <f t="shared" si="66"/>
        <v>239565.91224999999</v>
      </c>
      <c r="T223" s="67">
        <f t="shared" si="67"/>
        <v>483879.78536002879</v>
      </c>
      <c r="U223" s="787"/>
    </row>
    <row r="224" spans="1:21" ht="15.75" thickBot="1">
      <c r="A224" s="68">
        <v>0.7</v>
      </c>
      <c r="B224" s="69">
        <v>2.1</v>
      </c>
      <c r="C224" s="59">
        <f>(((A224+(2*B224))*'MATERIALES (2)'!$C$60)+((A224+(2*B224))*'MATERIALES (2)'!$C$58)+(A224*'MATERIALES (2)'!$C$62)+((A224*1)*'MATERIALES (2)'!$C$61)+((((A224*4)+(B224*2))*'MATERIALES (2)'!$C$76)*2)+(((A224-0.2)*'MATERIALES (2)'!$C$30)*((B224-0.36)/0.12)))*'MATERIALES (2)'!$F$2</f>
        <v>231784.96949999998</v>
      </c>
      <c r="D224" s="59">
        <f>(1*'MATERIALES (2)'!$C$193)+(1*'MATERIALES (2)'!$C$194)+(3*'MATERIALES (2)'!$C$196)+(2*'MATERIALES (2)'!$C$178)+(2*'MATERIALES (2)'!$C$179)+(2*'MATERIALES (2)'!$C$180)+(8*'MATERIALES (2)'!$C$147)+(8*'MATERIALES (2)'!$C$148)+((A224+(2*B224))*'MATERIALES (2)'!$C$199)+((A224+(2*B224))*'MATERIALES (2)'!$C$198)+(((A224*2)*(0.6*2))*'MATERIALES (2)'!$C$130)+(((A224*2)+(B224*2))*'MATERIALES (2)'!$C$154)+(0.5*'MATERIALES (2)'!$C$156)+(2*'MATERIALES (2)'!$C$176)+(((((A224*4)+(B224*2))/0.1)*'MATERIALES (2)'!$C$181)*2)+(((A224*5)*2)*'MATERIALES (2)'!$C$136)+(4*'MATERIALES (2)'!$C$137)</f>
        <v>62595.199999999997</v>
      </c>
      <c r="E224" s="75"/>
      <c r="F224" s="55">
        <f>(A224*0.6)*'MATERIALES (2)'!$D$92</f>
        <v>15183</v>
      </c>
      <c r="G224" s="59">
        <f t="shared" si="64"/>
        <v>309563.16949999996</v>
      </c>
      <c r="H224" s="67">
        <f t="shared" si="65"/>
        <v>570668.1857332706</v>
      </c>
      <c r="M224" s="68">
        <v>0.7</v>
      </c>
      <c r="N224" s="69">
        <v>2.1</v>
      </c>
      <c r="O224" s="59">
        <f>(((M224+(2*N224))*'MATERIALES (2)'!$C$60)+((M224+(2*N224))*'MATERIALES (2)'!$C$58)+(M224*'MATERIALES (2)'!$C$62)+(((M224*2)+(N224*2))*'MATERIALES (2)'!$C$31)+(((M224*2)+(N224))*'MATERIALES (2)'!$C$32))*'MATERIALES (2)'!$F$2</f>
        <v>145307.91975</v>
      </c>
      <c r="P224" s="59">
        <f>(1*'MATERIALES (2)'!$C$193)+(1*'MATERIALES (2)'!$C$194)+(3*'MATERIALES (2)'!$C$196)+(2*'MATERIALES (2)'!$C$178)+(2*'MATERIALES (2)'!$C$179)+(2*'MATERIALES (2)'!$C$180)+(10*'MATERIALES (2)'!$C$147)+(10*'MATERIALES (2)'!$C$148)+((M224+(2*N224))*'MATERIALES (2)'!$C$199)+((M224+(2*N224))*'MATERIALES (2)'!$C$198)+(((M224*6)+(N224*4))*'MATERIALES (2)'!$C$155)+(2*'MATERIALES (2)'!$C$176)+(((M224*5)*2)*'MATERIALES (2)'!$C$136)+(4*'MATERIALES (2)'!$C$137)</f>
        <v>54288</v>
      </c>
      <c r="Q224" s="75"/>
      <c r="R224" s="55">
        <f>(M224*N224)*'MATERIALES (2)'!$D$92</f>
        <v>53140.5</v>
      </c>
      <c r="S224" s="59">
        <f t="shared" si="66"/>
        <v>252736.41975</v>
      </c>
      <c r="T224" s="67">
        <f t="shared" si="67"/>
        <v>514553.83660729119</v>
      </c>
      <c r="U224" s="787"/>
    </row>
    <row r="225" spans="1:21" ht="15.75" thickBot="1">
      <c r="A225" s="68">
        <v>0.8</v>
      </c>
      <c r="B225" s="69">
        <v>2.1</v>
      </c>
      <c r="C225" s="59">
        <f>(((A225+(2*B225))*'MATERIALES (2)'!$C$60)+((A225+(2*B225))*'MATERIALES (2)'!$C$58)+(A225*'MATERIALES (2)'!$C$62)+((A225*1)*'MATERIALES (2)'!$C$61)+((((A225*4)+(B225*2))*'MATERIALES (2)'!$C$76)*2)+(((A225-0.2)*'MATERIALES (2)'!$C$30)*((B225-0.36)/0.12)))*'MATERIALES (2)'!$F$2</f>
        <v>254959.59300000005</v>
      </c>
      <c r="D225" s="59">
        <f>(1*'MATERIALES (2)'!$C$193)+(1*'MATERIALES (2)'!$C$194)+(3*'MATERIALES (2)'!$C$196)+(2*'MATERIALES (2)'!$C$178)+(2*'MATERIALES (2)'!$C$179)+(2*'MATERIALES (2)'!$C$180)+(8*'MATERIALES (2)'!$C$147)+(8*'MATERIALES (2)'!$C$148)+((A225+(2*B225))*'MATERIALES (2)'!$C$199)+((A225+(2*B225))*'MATERIALES (2)'!$C$198)+(((A225*2)*(0.6*2))*'MATERIALES (2)'!$C$130)+(((A225*2)+(B225*2))*'MATERIALES (2)'!$C$154)+(0.5*'MATERIALES (2)'!$C$156)+(2*'MATERIALES (2)'!$C$176)+(((((A225*4)+(B225*2))/0.1)*'MATERIALES (2)'!$C$181)*2)+(((A225*5)*2)*'MATERIALES (2)'!$C$136)+(4*'MATERIALES (2)'!$C$137)</f>
        <v>63002.8</v>
      </c>
      <c r="E225" s="75"/>
      <c r="F225" s="55">
        <f>(A225*0.6)*'MATERIALES (2)'!$D$92</f>
        <v>17352</v>
      </c>
      <c r="G225" s="59">
        <f t="shared" si="64"/>
        <v>335314.39300000004</v>
      </c>
      <c r="H225" s="67">
        <f t="shared" si="65"/>
        <v>618925.20838446391</v>
      </c>
      <c r="M225" s="68">
        <v>0.8</v>
      </c>
      <c r="N225" s="69">
        <v>2.1</v>
      </c>
      <c r="O225" s="59">
        <f>(((M225+(2*N225))*'MATERIALES (2)'!$C$60)+((M225+(2*N225))*'MATERIALES (2)'!$C$58)+(M225*'MATERIALES (2)'!$C$62)+(((M225*2)+(N225*2))*'MATERIALES (2)'!$C$31)+(((M225*2)+(N225))*'MATERIALES (2)'!$C$32))*'MATERIALES (2)'!$F$2</f>
        <v>150764.92725000001</v>
      </c>
      <c r="P225" s="59">
        <f>(1*'MATERIALES (2)'!$C$193)+(1*'MATERIALES (2)'!$C$194)+(3*'MATERIALES (2)'!$C$196)+(2*'MATERIALES (2)'!$C$178)+(2*'MATERIALES (2)'!$C$179)+(2*'MATERIALES (2)'!$C$180)+(10*'MATERIALES (2)'!$C$147)+(10*'MATERIALES (2)'!$C$148)+((M225+(2*N225))*'MATERIALES (2)'!$C$199)+((M225+(2*N225))*'MATERIALES (2)'!$C$198)+(((M225*6)+(N225*4))*'MATERIALES (2)'!$C$155)+(2*'MATERIALES (2)'!$C$176)+(((M225*5)*2)*'MATERIALES (2)'!$C$136)+(4*'MATERIALES (2)'!$C$137)</f>
        <v>54410</v>
      </c>
      <c r="Q225" s="75"/>
      <c r="R225" s="55">
        <f>(M225*N225)*'MATERIALES (2)'!$D$92</f>
        <v>60732.000000000007</v>
      </c>
      <c r="S225" s="59">
        <f t="shared" si="66"/>
        <v>265906.92725000001</v>
      </c>
      <c r="T225" s="67">
        <f t="shared" si="67"/>
        <v>545227.88785455376</v>
      </c>
      <c r="U225" s="787"/>
    </row>
    <row r="226" spans="1:21" ht="15.75" thickBot="1">
      <c r="A226" s="71">
        <v>0.9</v>
      </c>
      <c r="B226" s="72">
        <v>2.1</v>
      </c>
      <c r="C226" s="60">
        <f>(((A226+(2*B226))*'MATERIALES (2)'!$C$60)+((A226+(2*B226))*'MATERIALES (2)'!$C$58)+(A226*'MATERIALES (2)'!$C$62)+((A226*1)*'MATERIALES (2)'!$C$61)+((((A226*4)+(B226*2))*'MATERIALES (2)'!$C$76)*2)+(((A226-0.2)*'MATERIALES (2)'!$C$30)*((B226-0.36)/0.12)))*'MATERIALES (2)'!$F$2</f>
        <v>278134.21650000004</v>
      </c>
      <c r="D226" s="60">
        <f>(1*'MATERIALES (2)'!$C$193)+(1*'MATERIALES (2)'!$C$194)+(3*'MATERIALES (2)'!$C$196)+(2*'MATERIALES (2)'!$C$178)+(2*'MATERIALES (2)'!$C$179)+(2*'MATERIALES (2)'!$C$180)+(8*'MATERIALES (2)'!$C$147)+(8*'MATERIALES (2)'!$C$148)+((A226+(2*B226))*'MATERIALES (2)'!$C$199)+((A226+(2*B226))*'MATERIALES (2)'!$C$198)+(((A226*2)*(0.6*2))*'MATERIALES (2)'!$C$130)+(((A226*2)+(B226*2))*'MATERIALES (2)'!$C$154)+(0.5*'MATERIALES (2)'!$C$156)+(2*'MATERIALES (2)'!$C$176)+(((((A226*4)+(B226*2))/0.1)*'MATERIALES (2)'!$C$181)*2)+(((A226*5)*2)*'MATERIALES (2)'!$C$136)+(4*'MATERIALES (2)'!$C$137)</f>
        <v>63410.400000000001</v>
      </c>
      <c r="E226" s="76"/>
      <c r="F226" s="56">
        <f>(A226*0.6)*'MATERIALES (2)'!$D$92</f>
        <v>19521</v>
      </c>
      <c r="G226" s="60">
        <f t="shared" si="64"/>
        <v>361065.61650000006</v>
      </c>
      <c r="H226" s="67">
        <f t="shared" si="65"/>
        <v>667182.23103565711</v>
      </c>
      <c r="M226" s="71">
        <v>0.9</v>
      </c>
      <c r="N226" s="72">
        <v>2.1</v>
      </c>
      <c r="O226" s="60">
        <f>(((M226+(2*N226))*'MATERIALES (2)'!$C$60)+((M226+(2*N226))*'MATERIALES (2)'!$C$58)+(M226*'MATERIALES (2)'!$C$62)+(((M226*2)+(N226*2))*'MATERIALES (2)'!$C$31)+(((M226*2)+(N226))*'MATERIALES (2)'!$C$32))*'MATERIALES (2)'!$F$2</f>
        <v>156221.93475000001</v>
      </c>
      <c r="P226" s="60">
        <f>(1*'MATERIALES (2)'!$C$193)+(1*'MATERIALES (2)'!$C$194)+(3*'MATERIALES (2)'!$C$196)+(2*'MATERIALES (2)'!$C$178)+(2*'MATERIALES (2)'!$C$179)+(2*'MATERIALES (2)'!$C$180)+(10*'MATERIALES (2)'!$C$147)+(10*'MATERIALES (2)'!$C$148)+((M226+(2*N226))*'MATERIALES (2)'!$C$199)+((M226+(2*N226))*'MATERIALES (2)'!$C$198)+(((M226*6)+(N226*4))*'MATERIALES (2)'!$C$155)+(2*'MATERIALES (2)'!$C$176)+(((M226*5)*2)*'MATERIALES (2)'!$C$136)+(4*'MATERIALES (2)'!$C$137)</f>
        <v>54532</v>
      </c>
      <c r="Q226" s="76"/>
      <c r="R226" s="56">
        <f>(M226*N226)*'MATERIALES (2)'!$D$92</f>
        <v>68323.5</v>
      </c>
      <c r="S226" s="60">
        <f t="shared" si="66"/>
        <v>279077.43475000001</v>
      </c>
      <c r="T226" s="67">
        <f t="shared" si="67"/>
        <v>575901.93910181627</v>
      </c>
      <c r="U226" s="788"/>
    </row>
    <row r="228" spans="1:21" ht="15.75" thickBot="1">
      <c r="O228" s="78"/>
    </row>
    <row r="229" spans="1:21" ht="15.75" thickBot="1">
      <c r="A229" s="32"/>
      <c r="B229" s="32"/>
      <c r="C229" s="807">
        <v>1.35</v>
      </c>
      <c r="D229" s="808"/>
      <c r="E229" s="809"/>
      <c r="F229" s="545">
        <v>2</v>
      </c>
      <c r="G229" s="32"/>
      <c r="H229" s="46" t="s">
        <v>163</v>
      </c>
      <c r="M229" s="32"/>
      <c r="N229" s="32"/>
      <c r="O229" s="807">
        <v>1.4</v>
      </c>
      <c r="P229" s="808"/>
      <c r="Q229" s="809"/>
      <c r="R229" s="545">
        <v>2</v>
      </c>
      <c r="S229" s="32"/>
      <c r="T229" s="46" t="s">
        <v>163</v>
      </c>
    </row>
    <row r="230" spans="1:21" ht="15.75" customHeight="1" thickBot="1">
      <c r="A230" s="792" t="s">
        <v>729</v>
      </c>
      <c r="B230" s="793"/>
      <c r="C230" s="793"/>
      <c r="D230" s="793"/>
      <c r="E230" s="793"/>
      <c r="F230" s="793"/>
      <c r="G230" s="793"/>
      <c r="H230" s="794"/>
      <c r="M230" s="792" t="s">
        <v>728</v>
      </c>
      <c r="N230" s="793"/>
      <c r="O230" s="793"/>
      <c r="P230" s="793"/>
      <c r="Q230" s="793"/>
      <c r="R230" s="793"/>
      <c r="S230" s="793"/>
      <c r="T230" s="794"/>
      <c r="U230" s="882" t="s">
        <v>254</v>
      </c>
    </row>
    <row r="231" spans="1:21" ht="15.75" thickBot="1">
      <c r="A231" s="36" t="s">
        <v>116</v>
      </c>
      <c r="B231" s="36" t="s">
        <v>117</v>
      </c>
      <c r="C231" s="36" t="s">
        <v>162</v>
      </c>
      <c r="D231" s="36" t="s">
        <v>119</v>
      </c>
      <c r="E231" s="36" t="s">
        <v>120</v>
      </c>
      <c r="F231" s="36" t="s">
        <v>118</v>
      </c>
      <c r="G231" s="36" t="s">
        <v>121</v>
      </c>
      <c r="H231" s="36" t="s">
        <v>122</v>
      </c>
      <c r="M231" s="36" t="s">
        <v>116</v>
      </c>
      <c r="N231" s="36" t="s">
        <v>117</v>
      </c>
      <c r="O231" s="36" t="s">
        <v>162</v>
      </c>
      <c r="P231" s="36" t="s">
        <v>119</v>
      </c>
      <c r="Q231" s="36" t="s">
        <v>120</v>
      </c>
      <c r="R231" s="36" t="s">
        <v>118</v>
      </c>
      <c r="S231" s="36" t="s">
        <v>121</v>
      </c>
      <c r="T231" s="36" t="s">
        <v>122</v>
      </c>
      <c r="U231" s="883"/>
    </row>
    <row r="232" spans="1:21" ht="15.75" thickBot="1">
      <c r="A232" s="795"/>
      <c r="B232" s="796"/>
      <c r="C232" s="796"/>
      <c r="D232" s="796"/>
      <c r="E232" s="796"/>
      <c r="F232" s="796"/>
      <c r="G232" s="796"/>
      <c r="H232" s="797"/>
      <c r="M232" s="795"/>
      <c r="N232" s="796"/>
      <c r="O232" s="796"/>
      <c r="P232" s="796"/>
      <c r="Q232" s="796"/>
      <c r="R232" s="796"/>
      <c r="S232" s="796"/>
      <c r="T232" s="797"/>
      <c r="U232" s="883"/>
    </row>
    <row r="233" spans="1:21" ht="15.75" thickBot="1">
      <c r="A233" s="65">
        <v>0.6</v>
      </c>
      <c r="B233" s="66">
        <v>2</v>
      </c>
      <c r="C233" s="58">
        <f>(((A233+(2*B233))*'MATERIALES (2)'!$C$60)+((A233+(2*B233))*'MATERIALES (2)'!$C$58)+(A233*'MATERIALES (2)'!$C$62)+(((A233*1)+(0.6*2))*'MATERIALES (2)'!$C$61)+((((A233*4)+(B233*2)+(0.6*4))*'MATERIALES (2)'!$C$76)*2)+(((A233-0.2)*'MATERIALES (2)'!$C$30)*((B233-0.36)/0.12)))*'MATERIALES (2)'!$F$2</f>
        <v>224462.62999999998</v>
      </c>
      <c r="D233" s="58">
        <f>(1*'MATERIALES (2)'!$C$193)+(1*'MATERIALES (2)'!$C$194)+(3*'MATERIALES (2)'!$C$196)+(2*'MATERIALES (2)'!$C$178)+(2*'MATERIALES (2)'!$C$179)+(2*'MATERIALES (2)'!$C$180)+(16*'MATERIALES (2)'!$C$147)+(16*'MATERIALES (2)'!$C$148)+((A233+(2*B233))*'MATERIALES (2)'!$C$199)+((A233+(2*B233))*'MATERIALES (2)'!$C$198)+(((A233*2)*(0.6*6))*'MATERIALES (2)'!$C$130)+(((A233*2)+(B233*2))*'MATERIALES (2)'!$C$154)+(0.5*'MATERIALES (2)'!$C$156)+(2*'MATERIALES (2)'!$C$176)+(((((A233*4)+(0.6*4)+(B233*2))/0.1)*'MATERIALES (2)'!$C$181)*2)+(((A233*5)*2)*'MATERIALES (2)'!$C$136)+(4*'MATERIALES (2)'!$C$137)</f>
        <v>65546.8</v>
      </c>
      <c r="E233" s="74"/>
      <c r="F233" s="54">
        <f>(A233*0.6)*'MATERIALES (2)'!$D$92</f>
        <v>13014</v>
      </c>
      <c r="G233" s="58">
        <f>SUM(C233:F233)</f>
        <v>303023.43</v>
      </c>
      <c r="H233" s="67">
        <f>((((SUM(C233:E233)*$C$229)+(F233*$F$229))*1.21)*1.05)*1.05</f>
        <v>557009.7730052626</v>
      </c>
      <c r="M233" s="65">
        <v>0.6</v>
      </c>
      <c r="N233" s="66">
        <v>2</v>
      </c>
      <c r="O233" s="58">
        <f>(((M233+(2*N233))*'MATERIALES (2)'!$C$60)+((M233+(2*N233))*'MATERIALES (2)'!$C$58)+(M233*'MATERIALES (2)'!$C$62)+(M233*'MATERIALES (2)'!$C$61)+(((M233*2)+(N233*2))*'MATERIALES (2)'!$C$31)+(((M233*2)+(N233))*'MATERIALES (2)'!$C$32)+(((M233-0.2)*'MATERIALES (2)'!$C$30)*((N233/3)/0.12))+((((M233*2)+((N233/3)*2))*'MATERIALES (2)'!$C$76)*2))*'MATERIALES (2)'!$F$2</f>
        <v>176859.70166666666</v>
      </c>
      <c r="P233" s="58">
        <f>(1*'MATERIALES (2)'!$C$193)+(1*'MATERIALES (2)'!$C$194)+(3*'MATERIALES (2)'!$C$196)+(2*'MATERIALES (2)'!$C$178)+(2*'MATERIALES (2)'!$C$179)+(2*'MATERIALES (2)'!$C$180)+(14*'MATERIALES (2)'!$C$147)+(14*'MATERIALES (2)'!$C$148)+((M233+(2*N233))*'MATERIALES (2)'!$C$199)+((M233+(2*N233))*'MATERIALES (2)'!$C$198)+(((M233*6)+(N233*4))*'MATERIALES (2)'!$C$155)+(((M233*2)+((N233/3)*2))*'MATERIALES (2)'!$C$154)+(2*'MATERIALES (2)'!$C$176)+(((((M233*2)+((N233/3)*2))/0.1)*'MATERIALES (2)'!$C$181)*2)+(((M233*5)*2)*'MATERIALES (2)'!$C$136)+(4*'MATERIALES (2)'!$C$137)</f>
        <v>56890</v>
      </c>
      <c r="Q233" s="74"/>
      <c r="R233" s="54">
        <f>(M233*N233)*'MATERIALES (2)'!$D$92</f>
        <v>43380</v>
      </c>
      <c r="S233" s="58">
        <f>SUM(O233:R233)</f>
        <v>277129.70166666666</v>
      </c>
      <c r="T233" s="67">
        <f>((((SUM(O233:Q233)*$O$229)+(R233*$R$229))*1.21)*1.05)*1.05</f>
        <v>552299.13307222503</v>
      </c>
      <c r="U233" s="787"/>
    </row>
    <row r="234" spans="1:21" ht="15.75" thickBot="1">
      <c r="A234" s="68">
        <v>0.7</v>
      </c>
      <c r="B234" s="69">
        <v>2</v>
      </c>
      <c r="C234" s="59">
        <f>(((A234+(2*B234))*'MATERIALES (2)'!$C$60)+((A234+(2*B234))*'MATERIALES (2)'!$C$58)+(A234*'MATERIALES (2)'!$C$62)+(((A234*1)+(0.6*2))*'MATERIALES (2)'!$C$61)+((((A234*4)+(B234*2)+(0.6*4))*'MATERIALES (2)'!$C$76)*2)+(((A234-0.2)*'MATERIALES (2)'!$C$30)*((B234-0.36)/0.12)))*'MATERIALES (2)'!$F$2</f>
        <v>246699.27100000001</v>
      </c>
      <c r="D234" s="59">
        <f>(1*'MATERIALES (2)'!$C$193)+(1*'MATERIALES (2)'!$C$194)+(3*'MATERIALES (2)'!$C$196)+(2*'MATERIALES (2)'!$C$178)+(2*'MATERIALES (2)'!$C$179)+(2*'MATERIALES (2)'!$C$180)+(16*'MATERIALES (2)'!$C$147)+(16*'MATERIALES (2)'!$C$148)+((A234+(2*B234))*'MATERIALES (2)'!$C$199)+((A234+(2*B234))*'MATERIALES (2)'!$C$198)+(((A234*2)*(0.6*6))*'MATERIALES (2)'!$C$130)+(((A234*2)+(B234*2))*'MATERIALES (2)'!$C$154)+(0.5*'MATERIALES (2)'!$C$156)+(2*'MATERIALES (2)'!$C$176)+(((((A234*4)+(0.6*4)+(B234*2))/0.1)*'MATERIALES (2)'!$C$181)*2)+(((A234*5)*2)*'MATERIALES (2)'!$C$136)+(4*'MATERIALES (2)'!$C$137)</f>
        <v>66069.599999999991</v>
      </c>
      <c r="E234" s="75"/>
      <c r="F234" s="55">
        <f>(A234*0.6)*'MATERIALES (2)'!$D$92</f>
        <v>15183</v>
      </c>
      <c r="G234" s="59">
        <f t="shared" ref="G234:G240" si="68">SUM(C234:F234)</f>
        <v>327951.87099999998</v>
      </c>
      <c r="H234" s="67">
        <f t="shared" ref="H234:H240" si="69">((((SUM(C234:E234)*$C$229)+(F234*$F$229))*1.21)*1.05)*1.05</f>
        <v>603785.01888329617</v>
      </c>
      <c r="M234" s="68">
        <v>0.7</v>
      </c>
      <c r="N234" s="69">
        <v>2</v>
      </c>
      <c r="O234" s="59">
        <f>(((M234+(2*N234))*'MATERIALES (2)'!$C$60)+((M234+(2*N234))*'MATERIALES (2)'!$C$58)+(M234*'MATERIALES (2)'!$C$62)+(M234*'MATERIALES (2)'!$C$61)+(((M234*2)+(N234*2))*'MATERIALES (2)'!$C$31)+(((M234*2)+(N234))*'MATERIALES (2)'!$C$32)+(((M234-0.2)*'MATERIALES (2)'!$C$30)*((N234/3)/0.12))+((((M234*2)+((N234/3)*2))*'MATERIALES (2)'!$C$76)*2))*'MATERIALES (2)'!$F$2</f>
        <v>190609.18333333335</v>
      </c>
      <c r="P234" s="59">
        <f>(1*'MATERIALES (2)'!$C$193)+(1*'MATERIALES (2)'!$C$194)+(3*'MATERIALES (2)'!$C$196)+(2*'MATERIALES (2)'!$C$178)+(2*'MATERIALES (2)'!$C$179)+(2*'MATERIALES (2)'!$C$180)+(14*'MATERIALES (2)'!$C$147)+(14*'MATERIALES (2)'!$C$148)+((M234+(2*N234))*'MATERIALES (2)'!$C$199)+((M234+(2*N234))*'MATERIALES (2)'!$C$198)+(((M234*6)+(N234*4))*'MATERIALES (2)'!$C$155)+(((M234*2)+((N234/3)*2))*'MATERIALES (2)'!$C$154)+(2*'MATERIALES (2)'!$C$176)+(((((M234*2)+((N234/3)*2))/0.1)*'MATERIALES (2)'!$C$181)*2)+(((M234*5)*2)*'MATERIALES (2)'!$C$136)+(4*'MATERIALES (2)'!$C$137)</f>
        <v>57180</v>
      </c>
      <c r="Q234" s="75"/>
      <c r="R234" s="55">
        <f>(M234*N234)*'MATERIALES (2)'!$D$92</f>
        <v>50610</v>
      </c>
      <c r="S234" s="59">
        <f t="shared" ref="S234:S240" si="70">SUM(O234:R234)</f>
        <v>298399.18333333335</v>
      </c>
      <c r="T234" s="67">
        <f t="shared" ref="T234:T240" si="71">((((SUM(O234:Q234)*$O$229)+(R234*$R$229))*1.21)*1.05)*1.05</f>
        <v>597809.7619147501</v>
      </c>
      <c r="U234" s="787"/>
    </row>
    <row r="235" spans="1:21" ht="15.75" thickBot="1">
      <c r="A235" s="68">
        <v>0.8</v>
      </c>
      <c r="B235" s="69">
        <v>2</v>
      </c>
      <c r="C235" s="59">
        <f>(((A235+(2*B235))*'MATERIALES (2)'!$C$60)+((A235+(2*B235))*'MATERIALES (2)'!$C$58)+(A235*'MATERIALES (2)'!$C$62)+(((A235*1)+(0.6*2))*'MATERIALES (2)'!$C$61)+((((A235*4)+(B235*2)+(0.6*4))*'MATERIALES (2)'!$C$76)*2)+(((A235-0.2)*'MATERIALES (2)'!$C$30)*((B235-0.36)/0.12)))*'MATERIALES (2)'!$F$2</f>
        <v>268935.91200000001</v>
      </c>
      <c r="D235" s="59">
        <f>(1*'MATERIALES (2)'!$C$193)+(1*'MATERIALES (2)'!$C$194)+(3*'MATERIALES (2)'!$C$196)+(2*'MATERIALES (2)'!$C$178)+(2*'MATERIALES (2)'!$C$179)+(2*'MATERIALES (2)'!$C$180)+(16*'MATERIALES (2)'!$C$147)+(16*'MATERIALES (2)'!$C$148)+((A235+(2*B235))*'MATERIALES (2)'!$C$199)+((A235+(2*B235))*'MATERIALES (2)'!$C$198)+(((A235*2)*(0.6*6))*'MATERIALES (2)'!$C$130)+(((A235*2)+(B235*2))*'MATERIALES (2)'!$C$154)+(0.5*'MATERIALES (2)'!$C$156)+(2*'MATERIALES (2)'!$C$176)+(((((A235*4)+(0.6*4)+(B235*2))/0.1)*'MATERIALES (2)'!$C$181)*2)+(((A235*5)*2)*'MATERIALES (2)'!$C$136)+(4*'MATERIALES (2)'!$C$137)</f>
        <v>66592.399999999994</v>
      </c>
      <c r="E235" s="75"/>
      <c r="F235" s="55">
        <f>(A235*0.6)*'MATERIALES (2)'!$D$92</f>
        <v>17352</v>
      </c>
      <c r="G235" s="59">
        <f t="shared" si="68"/>
        <v>352880.31200000003</v>
      </c>
      <c r="H235" s="67">
        <f t="shared" si="69"/>
        <v>650560.26476133021</v>
      </c>
      <c r="M235" s="68">
        <v>0.8</v>
      </c>
      <c r="N235" s="69">
        <v>2</v>
      </c>
      <c r="O235" s="59">
        <f>(((M235+(2*N235))*'MATERIALES (2)'!$C$60)+((M235+(2*N235))*'MATERIALES (2)'!$C$58)+(M235*'MATERIALES (2)'!$C$62)+(M235*'MATERIALES (2)'!$C$61)+(((M235*2)+(N235*2))*'MATERIALES (2)'!$C$31)+(((M235*2)+(N235))*'MATERIALES (2)'!$C$32)+(((M235-0.2)*'MATERIALES (2)'!$C$30)*((N235/3)/0.12))+((((M235*2)+((N235/3)*2))*'MATERIALES (2)'!$C$76)*2))*'MATERIALES (2)'!$F$2</f>
        <v>204358.66499999998</v>
      </c>
      <c r="P235" s="59">
        <f>(1*'MATERIALES (2)'!$C$193)+(1*'MATERIALES (2)'!$C$194)+(3*'MATERIALES (2)'!$C$196)+(2*'MATERIALES (2)'!$C$178)+(2*'MATERIALES (2)'!$C$179)+(2*'MATERIALES (2)'!$C$180)+(14*'MATERIALES (2)'!$C$147)+(14*'MATERIALES (2)'!$C$148)+((M235+(2*N235))*'MATERIALES (2)'!$C$199)+((M235+(2*N235))*'MATERIALES (2)'!$C$198)+(((M235*6)+(N235*4))*'MATERIALES (2)'!$C$155)+(((M235*2)+((N235/3)*2))*'MATERIALES (2)'!$C$154)+(2*'MATERIALES (2)'!$C$176)+(((((M235*2)+((N235/3)*2))/0.1)*'MATERIALES (2)'!$C$181)*2)+(((M235*5)*2)*'MATERIALES (2)'!$C$136)+(4*'MATERIALES (2)'!$C$137)</f>
        <v>57470</v>
      </c>
      <c r="Q235" s="75"/>
      <c r="R235" s="55">
        <f>(M235*N235)*'MATERIALES (2)'!$D$92</f>
        <v>57840</v>
      </c>
      <c r="S235" s="59">
        <f t="shared" si="70"/>
        <v>319668.66499999998</v>
      </c>
      <c r="T235" s="67">
        <f t="shared" si="71"/>
        <v>643320.39075727493</v>
      </c>
      <c r="U235" s="787"/>
    </row>
    <row r="236" spans="1:21" ht="15.75" thickBot="1">
      <c r="A236" s="68">
        <v>0.9</v>
      </c>
      <c r="B236" s="69">
        <v>2</v>
      </c>
      <c r="C236" s="59">
        <f>(((A236+(2*B236))*'MATERIALES (2)'!$C$60)+((A236+(2*B236))*'MATERIALES (2)'!$C$58)+(A236*'MATERIALES (2)'!$C$62)+(((A236*1)+(0.6*2))*'MATERIALES (2)'!$C$61)+((((A236*4)+(B236*2)+(0.6*4))*'MATERIALES (2)'!$C$76)*2)+(((A236-0.2)*'MATERIALES (2)'!$C$30)*((B236-0.36)/0.12)))*'MATERIALES (2)'!$F$2</f>
        <v>291172.55300000001</v>
      </c>
      <c r="D236" s="59">
        <f>(1*'MATERIALES (2)'!$C$193)+(1*'MATERIALES (2)'!$C$194)+(3*'MATERIALES (2)'!$C$196)+(2*'MATERIALES (2)'!$C$178)+(2*'MATERIALES (2)'!$C$179)+(2*'MATERIALES (2)'!$C$180)+(16*'MATERIALES (2)'!$C$147)+(16*'MATERIALES (2)'!$C$148)+((A236+(2*B236))*'MATERIALES (2)'!$C$199)+((A236+(2*B236))*'MATERIALES (2)'!$C$198)+(((A236*2)*(0.6*6))*'MATERIALES (2)'!$C$130)+(((A236*2)+(B236*2))*'MATERIALES (2)'!$C$154)+(0.5*'MATERIALES (2)'!$C$156)+(2*'MATERIALES (2)'!$C$176)+(((((A236*4)+(0.6*4)+(B236*2))/0.1)*'MATERIALES (2)'!$C$181)*2)+(((A236*5)*2)*'MATERIALES (2)'!$C$136)+(4*'MATERIALES (2)'!$C$137)</f>
        <v>67115.199999999997</v>
      </c>
      <c r="E236" s="75"/>
      <c r="F236" s="55">
        <f>(A236*0.6)*'MATERIALES (2)'!$D$92</f>
        <v>19521</v>
      </c>
      <c r="G236" s="59">
        <f t="shared" si="68"/>
        <v>377808.75300000003</v>
      </c>
      <c r="H236" s="67">
        <f t="shared" si="69"/>
        <v>697335.5106393639</v>
      </c>
      <c r="M236" s="68">
        <v>0.9</v>
      </c>
      <c r="N236" s="69">
        <v>2</v>
      </c>
      <c r="O236" s="59">
        <f>(((M236+(2*N236))*'MATERIALES (2)'!$C$60)+((M236+(2*N236))*'MATERIALES (2)'!$C$58)+(M236*'MATERIALES (2)'!$C$62)+(M236*'MATERIALES (2)'!$C$61)+(((M236*2)+(N236*2))*'MATERIALES (2)'!$C$31)+(((M236*2)+(N236))*'MATERIALES (2)'!$C$32)+(((M236-0.2)*'MATERIALES (2)'!$C$30)*((N236/3)/0.12))+((((M236*2)+((N236/3)*2))*'MATERIALES (2)'!$C$76)*2))*'MATERIALES (2)'!$F$2</f>
        <v>218108.14666666667</v>
      </c>
      <c r="P236" s="59">
        <f>(1*'MATERIALES (2)'!$C$193)+(1*'MATERIALES (2)'!$C$194)+(3*'MATERIALES (2)'!$C$196)+(2*'MATERIALES (2)'!$C$178)+(2*'MATERIALES (2)'!$C$179)+(2*'MATERIALES (2)'!$C$180)+(14*'MATERIALES (2)'!$C$147)+(14*'MATERIALES (2)'!$C$148)+((M236+(2*N236))*'MATERIALES (2)'!$C$199)+((M236+(2*N236))*'MATERIALES (2)'!$C$198)+(((M236*6)+(N236*4))*'MATERIALES (2)'!$C$155)+(((M236*2)+((N236/3)*2))*'MATERIALES (2)'!$C$154)+(2*'MATERIALES (2)'!$C$176)+(((((M236*2)+((N236/3)*2))/0.1)*'MATERIALES (2)'!$C$181)*2)+(((M236*5)*2)*'MATERIALES (2)'!$C$136)+(4*'MATERIALES (2)'!$C$137)</f>
        <v>57760</v>
      </c>
      <c r="Q236" s="75"/>
      <c r="R236" s="55">
        <f>(M236*N236)*'MATERIALES (2)'!$D$92</f>
        <v>65070</v>
      </c>
      <c r="S236" s="59">
        <f t="shared" si="70"/>
        <v>340938.14666666667</v>
      </c>
      <c r="T236" s="67">
        <f t="shared" si="71"/>
        <v>688831.01959980011</v>
      </c>
      <c r="U236" s="787"/>
    </row>
    <row r="237" spans="1:21" ht="15.75" thickBot="1">
      <c r="A237" s="68">
        <v>0.6</v>
      </c>
      <c r="B237" s="69">
        <v>2.1</v>
      </c>
      <c r="C237" s="59">
        <f>(((A237+(2*B237))*'MATERIALES (2)'!$C$60)+((A237+(2*B237))*'MATERIALES (2)'!$C$58)+(A237*'MATERIALES (2)'!$C$62)+(((A237*1)+(0.6*2))*'MATERIALES (2)'!$C$61)+((((A237*4)+(B237*2)+(0.6*4))*'MATERIALES (2)'!$C$76)*2)+(((A237-0.2)*'MATERIALES (2)'!$C$30)*((B237-0.36)/0.12)))*'MATERIALES (2)'!$F$2</f>
        <v>233081.43599999999</v>
      </c>
      <c r="D237" s="59">
        <f>(1*'MATERIALES (2)'!$C$193)+(1*'MATERIALES (2)'!$C$194)+(3*'MATERIALES (2)'!$C$196)+(2*'MATERIALES (2)'!$C$178)+(2*'MATERIALES (2)'!$C$179)+(2*'MATERIALES (2)'!$C$180)+(16*'MATERIALES (2)'!$C$147)+(16*'MATERIALES (2)'!$C$148)+((A237+(2*B237))*'MATERIALES (2)'!$C$199)+((A237+(2*B237))*'MATERIALES (2)'!$C$198)+(((A237*2)*(0.6*6))*'MATERIALES (2)'!$C$130)+(((A237*2)+(B237*2))*'MATERIALES (2)'!$C$154)+(0.5*'MATERIALES (2)'!$C$156)+(2*'MATERIALES (2)'!$C$176)+(((((A237*4)+(0.6*4)+(B237*2))/0.1)*'MATERIALES (2)'!$C$181)*2)+(((A237*5)*2)*'MATERIALES (2)'!$C$136)+(4*'MATERIALES (2)'!$C$137)</f>
        <v>65838.8</v>
      </c>
      <c r="E237" s="75"/>
      <c r="F237" s="55">
        <f>(A237*0.6)*'MATERIALES (2)'!$D$92</f>
        <v>13014</v>
      </c>
      <c r="G237" s="59">
        <f t="shared" si="68"/>
        <v>311934.23599999998</v>
      </c>
      <c r="H237" s="67">
        <f t="shared" si="69"/>
        <v>573057.54427036503</v>
      </c>
      <c r="M237" s="68">
        <v>0.6</v>
      </c>
      <c r="N237" s="69">
        <v>2.1</v>
      </c>
      <c r="O237" s="59">
        <f>(((M237+(2*N237))*'MATERIALES (2)'!$C$60)+((M237+(2*N237))*'MATERIALES (2)'!$C$58)+(M237*'MATERIALES (2)'!$C$62)+(M237*'MATERIALES (2)'!$C$61)+(((M237*2)+(N237*2))*'MATERIALES (2)'!$C$31)+(((M237*2)+(N237))*'MATERIALES (2)'!$C$32)+(((M237-0.2)*'MATERIALES (2)'!$C$30)*((N237/3)/0.12))+((((M237*2)+((N237/3)*2))*'MATERIALES (2)'!$C$76)*2))*'MATERIALES (2)'!$F$2</f>
        <v>183453.80724999998</v>
      </c>
      <c r="P237" s="59">
        <f>(1*'MATERIALES (2)'!$C$193)+(1*'MATERIALES (2)'!$C$194)+(3*'MATERIALES (2)'!$C$196)+(2*'MATERIALES (2)'!$C$178)+(2*'MATERIALES (2)'!$C$179)+(2*'MATERIALES (2)'!$C$180)+(14*'MATERIALES (2)'!$C$147)+(14*'MATERIALES (2)'!$C$148)+((M237+(2*N237))*'MATERIALES (2)'!$C$199)+((M237+(2*N237))*'MATERIALES (2)'!$C$198)+(((M237*6)+(N237*4))*'MATERIALES (2)'!$C$155)+(((M237*2)+((N237/3)*2))*'MATERIALES (2)'!$C$154)+(2*'MATERIALES (2)'!$C$176)+(((((M237*2)+((N237/3)*2))/0.1)*'MATERIALES (2)'!$C$181)*2)+(((M237*5)*2)*'MATERIALES (2)'!$C$136)+(4*'MATERIALES (2)'!$C$137)</f>
        <v>57110</v>
      </c>
      <c r="Q237" s="75"/>
      <c r="R237" s="55">
        <f>(M237*N237)*'MATERIALES (2)'!$D$92</f>
        <v>45549</v>
      </c>
      <c r="S237" s="59">
        <f t="shared" si="70"/>
        <v>286112.80724999995</v>
      </c>
      <c r="T237" s="67">
        <f t="shared" si="71"/>
        <v>570812.39560335374</v>
      </c>
      <c r="U237" s="787"/>
    </row>
    <row r="238" spans="1:21" ht="15.75" thickBot="1">
      <c r="A238" s="68">
        <v>0.7</v>
      </c>
      <c r="B238" s="69">
        <v>2.1</v>
      </c>
      <c r="C238" s="59">
        <f>(((A238+(2*B238))*'MATERIALES (2)'!$C$60)+((A238+(2*B238))*'MATERIALES (2)'!$C$58)+(A238*'MATERIALES (2)'!$C$62)+(((A238*1)+(0.6*2))*'MATERIALES (2)'!$C$61)+((((A238*4)+(B238*2)+(0.6*4))*'MATERIALES (2)'!$C$76)*2)+(((A238-0.2)*'MATERIALES (2)'!$C$30)*((B238-0.36)/0.12)))*'MATERIALES (2)'!$F$2</f>
        <v>256256.05949999997</v>
      </c>
      <c r="D238" s="59">
        <f>(1*'MATERIALES (2)'!$C$193)+(1*'MATERIALES (2)'!$C$194)+(3*'MATERIALES (2)'!$C$196)+(2*'MATERIALES (2)'!$C$178)+(2*'MATERIALES (2)'!$C$179)+(2*'MATERIALES (2)'!$C$180)+(16*'MATERIALES (2)'!$C$147)+(16*'MATERIALES (2)'!$C$148)+((A238+(2*B238))*'MATERIALES (2)'!$C$199)+((A238+(2*B238))*'MATERIALES (2)'!$C$198)+(((A238*2)*(0.6*6))*'MATERIALES (2)'!$C$130)+(((A238*2)+(B238*2))*'MATERIALES (2)'!$C$154)+(0.5*'MATERIALES (2)'!$C$156)+(2*'MATERIALES (2)'!$C$176)+(((((A238*4)+(0.6*4)+(B238*2))/0.1)*'MATERIALES (2)'!$C$181)*2)+(((A238*5)*2)*'MATERIALES (2)'!$C$136)+(4*'MATERIALES (2)'!$C$137)</f>
        <v>66361.599999999991</v>
      </c>
      <c r="E238" s="75"/>
      <c r="F238" s="55">
        <f>(A238*0.6)*'MATERIALES (2)'!$D$92</f>
        <v>15183</v>
      </c>
      <c r="G238" s="59">
        <f t="shared" si="68"/>
        <v>337800.65949999995</v>
      </c>
      <c r="H238" s="67">
        <f t="shared" si="69"/>
        <v>621522.03448955808</v>
      </c>
      <c r="M238" s="68">
        <v>0.7</v>
      </c>
      <c r="N238" s="69">
        <v>2.1</v>
      </c>
      <c r="O238" s="59">
        <f>(((M238+(2*N238))*'MATERIALES (2)'!$C$60)+((M238+(2*N238))*'MATERIALES (2)'!$C$58)+(M238*'MATERIALES (2)'!$C$62)+(M238*'MATERIALES (2)'!$C$61)+(((M238*2)+(N238*2))*'MATERIALES (2)'!$C$31)+(((M238*2)+(N238))*'MATERIALES (2)'!$C$32)+(((M238-0.2)*'MATERIALES (2)'!$C$30)*((N238/3)/0.12))+((((M238*2)+((N238/3)*2))*'MATERIALES (2)'!$C$76)*2))*'MATERIALES (2)'!$F$2</f>
        <v>197515.94975000003</v>
      </c>
      <c r="P238" s="59">
        <f>(1*'MATERIALES (2)'!$C$193)+(1*'MATERIALES (2)'!$C$194)+(3*'MATERIALES (2)'!$C$196)+(2*'MATERIALES (2)'!$C$178)+(2*'MATERIALES (2)'!$C$179)+(2*'MATERIALES (2)'!$C$180)+(14*'MATERIALES (2)'!$C$147)+(14*'MATERIALES (2)'!$C$148)+((M238+(2*N238))*'MATERIALES (2)'!$C$199)+((M238+(2*N238))*'MATERIALES (2)'!$C$198)+(((M238*6)+(N238*4))*'MATERIALES (2)'!$C$155)+(((M238*2)+((N238/3)*2))*'MATERIALES (2)'!$C$154)+(2*'MATERIALES (2)'!$C$176)+(((((M238*2)+((N238/3)*2))/0.1)*'MATERIALES (2)'!$C$181)*2)+(((M238*5)*2)*'MATERIALES (2)'!$C$136)+(4*'MATERIALES (2)'!$C$137)</f>
        <v>57400</v>
      </c>
      <c r="Q238" s="75"/>
      <c r="R238" s="55">
        <f>(M238*N238)*'MATERIALES (2)'!$D$92</f>
        <v>53140.5</v>
      </c>
      <c r="S238" s="59">
        <f t="shared" si="70"/>
        <v>308056.44975000003</v>
      </c>
      <c r="T238" s="67">
        <f t="shared" si="71"/>
        <v>617871.46083634149</v>
      </c>
      <c r="U238" s="787"/>
    </row>
    <row r="239" spans="1:21" ht="15.75" thickBot="1">
      <c r="A239" s="68">
        <v>0.8</v>
      </c>
      <c r="B239" s="69">
        <v>2.1</v>
      </c>
      <c r="C239" s="59">
        <f>(((A239+(2*B239))*'MATERIALES (2)'!$C$60)+((A239+(2*B239))*'MATERIALES (2)'!$C$58)+(A239*'MATERIALES (2)'!$C$62)+(((A239*1)+(0.6*2))*'MATERIALES (2)'!$C$61)+((((A239*4)+(B239*2)+(0.6*4))*'MATERIALES (2)'!$C$76)*2)+(((A239-0.2)*'MATERIALES (2)'!$C$30)*((B239-0.36)/0.12)))*'MATERIALES (2)'!$F$2</f>
        <v>279430.68300000002</v>
      </c>
      <c r="D239" s="59">
        <f>(1*'MATERIALES (2)'!$C$193)+(1*'MATERIALES (2)'!$C$194)+(3*'MATERIALES (2)'!$C$196)+(2*'MATERIALES (2)'!$C$178)+(2*'MATERIALES (2)'!$C$179)+(2*'MATERIALES (2)'!$C$180)+(16*'MATERIALES (2)'!$C$147)+(16*'MATERIALES (2)'!$C$148)+((A239+(2*B239))*'MATERIALES (2)'!$C$199)+((A239+(2*B239))*'MATERIALES (2)'!$C$198)+(((A239*2)*(0.6*6))*'MATERIALES (2)'!$C$130)+(((A239*2)+(B239*2))*'MATERIALES (2)'!$C$154)+(0.5*'MATERIALES (2)'!$C$156)+(2*'MATERIALES (2)'!$C$176)+(((((A239*4)+(0.6*4)+(B239*2))/0.1)*'MATERIALES (2)'!$C$181)*2)+(((A239*5)*2)*'MATERIALES (2)'!$C$136)+(4*'MATERIALES (2)'!$C$137)</f>
        <v>66884.399999999994</v>
      </c>
      <c r="E239" s="75"/>
      <c r="F239" s="55">
        <f>(A239*0.6)*'MATERIALES (2)'!$D$92</f>
        <v>17352</v>
      </c>
      <c r="G239" s="59">
        <f t="shared" si="68"/>
        <v>363667.08299999998</v>
      </c>
      <c r="H239" s="67">
        <f t="shared" si="69"/>
        <v>669986.52470875124</v>
      </c>
      <c r="M239" s="68">
        <v>0.8</v>
      </c>
      <c r="N239" s="69">
        <v>2.1</v>
      </c>
      <c r="O239" s="59">
        <f>(((M239+(2*N239))*'MATERIALES (2)'!$C$60)+((M239+(2*N239))*'MATERIALES (2)'!$C$58)+(M239*'MATERIALES (2)'!$C$62)+(M239*'MATERIALES (2)'!$C$61)+(((M239*2)+(N239*2))*'MATERIALES (2)'!$C$31)+(((M239*2)+(N239))*'MATERIALES (2)'!$C$32)+(((M239-0.2)*'MATERIALES (2)'!$C$30)*((N239/3)/0.12))+((((M239*2)+((N239/3)*2))*'MATERIALES (2)'!$C$76)*2))*'MATERIALES (2)'!$F$2</f>
        <v>211578.09225000005</v>
      </c>
      <c r="P239" s="59">
        <f>(1*'MATERIALES (2)'!$C$193)+(1*'MATERIALES (2)'!$C$194)+(3*'MATERIALES (2)'!$C$196)+(2*'MATERIALES (2)'!$C$178)+(2*'MATERIALES (2)'!$C$179)+(2*'MATERIALES (2)'!$C$180)+(14*'MATERIALES (2)'!$C$147)+(14*'MATERIALES (2)'!$C$148)+((M239+(2*N239))*'MATERIALES (2)'!$C$199)+((M239+(2*N239))*'MATERIALES (2)'!$C$198)+(((M239*6)+(N239*4))*'MATERIALES (2)'!$C$155)+(((M239*2)+((N239/3)*2))*'MATERIALES (2)'!$C$154)+(2*'MATERIALES (2)'!$C$176)+(((((M239*2)+((N239/3)*2))/0.1)*'MATERIALES (2)'!$C$181)*2)+(((M239*5)*2)*'MATERIALES (2)'!$C$136)+(4*'MATERIALES (2)'!$C$137)</f>
        <v>57690</v>
      </c>
      <c r="Q239" s="75"/>
      <c r="R239" s="55">
        <f>(M239*N239)*'MATERIALES (2)'!$D$92</f>
        <v>60732.000000000007</v>
      </c>
      <c r="S239" s="59">
        <f t="shared" si="70"/>
        <v>330000.09225000005</v>
      </c>
      <c r="T239" s="67">
        <f t="shared" si="71"/>
        <v>664930.52606932889</v>
      </c>
      <c r="U239" s="787"/>
    </row>
    <row r="240" spans="1:21" ht="15.75" thickBot="1">
      <c r="A240" s="71">
        <v>0.9</v>
      </c>
      <c r="B240" s="72">
        <v>2.1</v>
      </c>
      <c r="C240" s="60">
        <f>(((A240+(2*B240))*'MATERIALES (2)'!$C$60)+((A240+(2*B240))*'MATERIALES (2)'!$C$58)+(A240*'MATERIALES (2)'!$C$62)+(((A240*1)+(0.6*2))*'MATERIALES (2)'!$C$61)+((((A240*4)+(B240*2)+(0.6*4))*'MATERIALES (2)'!$C$76)*2)+(((A240-0.2)*'MATERIALES (2)'!$C$30)*((B240-0.36)/0.12)))*'MATERIALES (2)'!$F$2</f>
        <v>302605.30650000001</v>
      </c>
      <c r="D240" s="60">
        <f>(1*'MATERIALES (2)'!$C$193)+(1*'MATERIALES (2)'!$C$194)+(3*'MATERIALES (2)'!$C$196)+(2*'MATERIALES (2)'!$C$178)+(2*'MATERIALES (2)'!$C$179)+(2*'MATERIALES (2)'!$C$180)+(16*'MATERIALES (2)'!$C$147)+(16*'MATERIALES (2)'!$C$148)+((A240+(2*B240))*'MATERIALES (2)'!$C$199)+((A240+(2*B240))*'MATERIALES (2)'!$C$198)+(((A240*2)*(0.6*6))*'MATERIALES (2)'!$C$130)+(((A240*2)+(B240*2))*'MATERIALES (2)'!$C$154)+(0.5*'MATERIALES (2)'!$C$156)+(2*'MATERIALES (2)'!$C$176)+(((((A240*4)+(0.6*4)+(B240*2))/0.1)*'MATERIALES (2)'!$C$181)*2)+(((A240*5)*2)*'MATERIALES (2)'!$C$136)+(4*'MATERIALES (2)'!$C$137)</f>
        <v>67407.199999999997</v>
      </c>
      <c r="E240" s="76"/>
      <c r="F240" s="56">
        <f>(A240*0.6)*'MATERIALES (2)'!$D$92</f>
        <v>19521</v>
      </c>
      <c r="G240" s="60">
        <f t="shared" si="68"/>
        <v>389533.50650000002</v>
      </c>
      <c r="H240" s="67">
        <f t="shared" si="69"/>
        <v>718451.01492794452</v>
      </c>
      <c r="M240" s="71">
        <v>0.9</v>
      </c>
      <c r="N240" s="72">
        <v>2.1</v>
      </c>
      <c r="O240" s="60">
        <f>(((M240+(2*N240))*'MATERIALES (2)'!$C$60)+((M240+(2*N240))*'MATERIALES (2)'!$C$58)+(M240*'MATERIALES (2)'!$C$62)+(M240*'MATERIALES (2)'!$C$61)+(((M240*2)+(N240*2))*'MATERIALES (2)'!$C$31)+(((M240*2)+(N240))*'MATERIALES (2)'!$C$32)+(((M240-0.2)*'MATERIALES (2)'!$C$30)*((N240/3)/0.12))+((((M240*2)+((N240/3)*2))*'MATERIALES (2)'!$C$76)*2))*'MATERIALES (2)'!$F$2</f>
        <v>225640.23475000003</v>
      </c>
      <c r="P240" s="60">
        <f>(1*'MATERIALES (2)'!$C$193)+(1*'MATERIALES (2)'!$C$194)+(3*'MATERIALES (2)'!$C$196)+(2*'MATERIALES (2)'!$C$178)+(2*'MATERIALES (2)'!$C$179)+(2*'MATERIALES (2)'!$C$180)+(14*'MATERIALES (2)'!$C$147)+(14*'MATERIALES (2)'!$C$148)+((M240+(2*N240))*'MATERIALES (2)'!$C$199)+((M240+(2*N240))*'MATERIALES (2)'!$C$198)+(((M240*6)+(N240*4))*'MATERIALES (2)'!$C$155)+(((M240*2)+((N240/3)*2))*'MATERIALES (2)'!$C$154)+(2*'MATERIALES (2)'!$C$176)+(((((M240*2)+((N240/3)*2))/0.1)*'MATERIALES (2)'!$C$181)*2)+(((M240*5)*2)*'MATERIALES (2)'!$C$136)+(4*'MATERIALES (2)'!$C$137)</f>
        <v>57980</v>
      </c>
      <c r="Q240" s="76"/>
      <c r="R240" s="56">
        <f>(M240*N240)*'MATERIALES (2)'!$D$92</f>
        <v>68323.5</v>
      </c>
      <c r="S240" s="60">
        <f t="shared" si="70"/>
        <v>351943.73475000006</v>
      </c>
      <c r="T240" s="67">
        <f t="shared" si="71"/>
        <v>711989.59130231629</v>
      </c>
      <c r="U240" s="788"/>
    </row>
    <row r="242" spans="1:46" ht="15.75" thickBot="1">
      <c r="C242" s="78"/>
      <c r="O242" s="78"/>
    </row>
    <row r="243" spans="1:46" ht="15.75" thickBot="1">
      <c r="A243" s="32"/>
      <c r="B243" s="32"/>
      <c r="C243" s="807">
        <v>1.35</v>
      </c>
      <c r="D243" s="808"/>
      <c r="E243" s="809"/>
      <c r="F243" s="545">
        <v>2</v>
      </c>
      <c r="G243" s="32"/>
      <c r="H243" s="46" t="s">
        <v>163</v>
      </c>
      <c r="M243" s="32"/>
      <c r="N243" s="32"/>
      <c r="O243" s="807">
        <v>1.35</v>
      </c>
      <c r="P243" s="808"/>
      <c r="Q243" s="809"/>
      <c r="R243" s="545">
        <v>2</v>
      </c>
      <c r="S243" s="32"/>
      <c r="T243" s="46" t="s">
        <v>163</v>
      </c>
    </row>
    <row r="244" spans="1:46" ht="15.75" customHeight="1" thickBot="1">
      <c r="A244" s="792" t="s">
        <v>730</v>
      </c>
      <c r="B244" s="793"/>
      <c r="C244" s="793"/>
      <c r="D244" s="793"/>
      <c r="E244" s="793"/>
      <c r="F244" s="793"/>
      <c r="G244" s="793"/>
      <c r="H244" s="794"/>
      <c r="I244" s="882" t="s">
        <v>255</v>
      </c>
      <c r="M244" s="792" t="s">
        <v>731</v>
      </c>
      <c r="N244" s="793"/>
      <c r="O244" s="793"/>
      <c r="P244" s="793"/>
      <c r="Q244" s="793"/>
      <c r="R244" s="793"/>
      <c r="S244" s="793"/>
      <c r="T244" s="794"/>
      <c r="U244" s="882" t="s">
        <v>255</v>
      </c>
    </row>
    <row r="245" spans="1:46" ht="15.75" thickBot="1">
      <c r="A245" s="36" t="s">
        <v>116</v>
      </c>
      <c r="B245" s="36" t="s">
        <v>117</v>
      </c>
      <c r="C245" s="36" t="s">
        <v>162</v>
      </c>
      <c r="D245" s="36" t="s">
        <v>119</v>
      </c>
      <c r="E245" s="36" t="s">
        <v>120</v>
      </c>
      <c r="F245" s="36" t="s">
        <v>118</v>
      </c>
      <c r="G245" s="36" t="s">
        <v>121</v>
      </c>
      <c r="H245" s="36" t="s">
        <v>122</v>
      </c>
      <c r="I245" s="883"/>
      <c r="M245" s="36" t="s">
        <v>116</v>
      </c>
      <c r="N245" s="36" t="s">
        <v>117</v>
      </c>
      <c r="O245" s="36" t="s">
        <v>162</v>
      </c>
      <c r="P245" s="36" t="s">
        <v>119</v>
      </c>
      <c r="Q245" s="36" t="s">
        <v>120</v>
      </c>
      <c r="R245" s="36" t="s">
        <v>118</v>
      </c>
      <c r="S245" s="36" t="s">
        <v>121</v>
      </c>
      <c r="T245" s="36" t="s">
        <v>122</v>
      </c>
      <c r="U245" s="883"/>
    </row>
    <row r="246" spans="1:46" ht="15.75" thickBot="1">
      <c r="A246" s="795"/>
      <c r="B246" s="796"/>
      <c r="C246" s="796"/>
      <c r="D246" s="796"/>
      <c r="E246" s="796"/>
      <c r="F246" s="796"/>
      <c r="G246" s="796"/>
      <c r="H246" s="797"/>
      <c r="I246" s="883"/>
      <c r="M246" s="795"/>
      <c r="N246" s="796"/>
      <c r="O246" s="796"/>
      <c r="P246" s="796"/>
      <c r="Q246" s="796"/>
      <c r="R246" s="796"/>
      <c r="S246" s="796"/>
      <c r="T246" s="797"/>
      <c r="U246" s="883"/>
    </row>
    <row r="247" spans="1:46" ht="15.75" thickBot="1">
      <c r="A247" s="65">
        <v>0.6</v>
      </c>
      <c r="B247" s="66">
        <v>2</v>
      </c>
      <c r="C247" s="58">
        <f>(((A247+(2*B247))*'MATERIALES (2)'!$C$60)+((A247+(2*B247))*'MATERIALES (2)'!$C$58)+(A247*'MATERIALES (2)'!$C$62)+((A247*1)*'MATERIALES (2)'!$C$61)+((((A247*2)+(B247*2))*'MATERIALES (2)'!$C$76)*2)+(((A247*2)+(0.6*2))*'MATERIALES (2)'!$C$31)+((A247+0.6)*'MATERIALES (2)'!$C$32)+(((A247-0.2)*'MATERIALES (2)'!$C$30)*((B247-0.36)/0.12)))*'MATERIALES (2)'!$F$2</f>
        <v>207168.81499999997</v>
      </c>
      <c r="D247" s="58">
        <f>(1*'MATERIALES (2)'!$C$193)+(1*'MATERIALES (2)'!$C$194)+(3*'MATERIALES (2)'!$C$196)+(2*'MATERIALES (2)'!$C$178)+(2*'MATERIALES (2)'!$C$179)+(2*'MATERIALES (2)'!$C$180)+(12*'MATERIALES (2)'!$C$147)+(12*'MATERIALES (2)'!$C$148)+((A247+(2*B247))*'MATERIALES (2)'!$C$199)+((A247+(2*B247))*'MATERIALES (2)'!$C$198)+(((A247*2)+(B247*2))*'MATERIALES (2)'!$C$154)+(((A247*4)+(0.6*4))*'MATERIALES (2)'!$C$155)+(0.5*'MATERIALES (2)'!$C$156)+(((((A247*2)+(B247*2))/0.1)*'MATERIALES (2)'!$C$181)*2)+(2*'MATERIALES (2)'!$C$176)+(((A247*5)*2)*'MATERIALES (2)'!$C$136)+(4*'MATERIALES (2)'!$C$137)</f>
        <v>62070</v>
      </c>
      <c r="E247" s="74"/>
      <c r="F247" s="54">
        <f>(A247*0.6)*'MATERIALES (2)'!$D$92</f>
        <v>13014</v>
      </c>
      <c r="G247" s="58">
        <f>SUM(C247:F247)</f>
        <v>282252.81499999994</v>
      </c>
      <c r="H247" s="67">
        <f>((((SUM(C247:E247)*$C$243)+(F247*$F$243))*1.21)*1.05)*1.05</f>
        <v>519603.27144350618</v>
      </c>
      <c r="I247" s="787"/>
      <c r="M247" s="65">
        <v>0.6</v>
      </c>
      <c r="N247" s="66">
        <v>2</v>
      </c>
      <c r="O247" s="58">
        <f>(((M247+(2*N247))*'MATERIALES (2)'!$C$60)+((M247+(2*N247))*'MATERIALES (2)'!$C$58)+(M247*'MATERIALES (2)'!$C$62)+(M247*'MATERIALES (2)'!$C$61)+(((M247-0.2)*'MATERIALES (2)'!$C$30)*((N247/2)/0.12))+((((M247*2)+(N247*1))*'MATERIALES (2)'!$C$76)*2)+(((M247*2)+(N247*1))*'MATERIALES (2)'!$C$31)+((M247+(N247/2))*'MATERIALES (2)'!$C$32))*'MATERIALES (2)'!$F$2</f>
        <v>179715.92799999999</v>
      </c>
      <c r="P247" s="58">
        <f>(1*'MATERIALES (2)'!$C$193)+(1*'MATERIALES (2)'!$C$194)+(3*'MATERIALES (2)'!$C$196)+(2*'MATERIALES (2)'!$C$178)+(2*'MATERIALES (2)'!$C$179)+(2*'MATERIALES (2)'!$C$180)+(12*'MATERIALES (2)'!$C$147)+(12*'MATERIALES (2)'!$C$148)+((M247+(2*N247))*'MATERIALES (2)'!$C$199)+((M247+(2*N247))*'MATERIALES (2)'!$C$198)+(((M247*2)+(N247*1))*'MATERIALES (2)'!$C$154)+(((M247*4)+(N247*4))*'MATERIALES (2)'!$C$155)+(((((M247*2)+(N247*1))/0.1)*'MATERIALES (2)'!$C$181)*2)+(2*'MATERIALES (2)'!$C$176)+(0.5*'MATERIALES (2)'!$C$156)+(((M247*5)*2)*'MATERIALES (2)'!$C$136)+(4*'MATERIALES (2)'!$C$137)</f>
        <v>60950</v>
      </c>
      <c r="Q247" s="74"/>
      <c r="R247" s="54">
        <f>(M247*(N247/2))*'MATERIALES (2)'!$D$92</f>
        <v>21690</v>
      </c>
      <c r="S247" s="58">
        <f>SUM(O247:R247)</f>
        <v>262355.92799999996</v>
      </c>
      <c r="T247" s="67">
        <f>((((SUM(O247:Q247)*$O$243)+(R247*$R$243))*1.21)*1.05)*1.05</f>
        <v>491293.39671026997</v>
      </c>
      <c r="U247" s="787"/>
    </row>
    <row r="248" spans="1:46" ht="15.75" thickBot="1">
      <c r="A248" s="68">
        <v>0.7</v>
      </c>
      <c r="B248" s="69">
        <v>2</v>
      </c>
      <c r="C248" s="59">
        <f>(((A248+(2*B248))*'MATERIALES (2)'!$C$60)+((A248+(2*B248))*'MATERIALES (2)'!$C$58)+(A248*'MATERIALES (2)'!$C$62)+((A248*1)*'MATERIALES (2)'!$C$61)+((((A248*2)+(B248*2))*'MATERIALES (2)'!$C$76)*2)+(((A248*2)+(0.6*2))*'MATERIALES (2)'!$C$31)+((A248+0.6)*'MATERIALES (2)'!$C$32)+(((A248-0.2)*'MATERIALES (2)'!$C$30)*((B248-0.36)/0.12)))*'MATERIALES (2)'!$F$2</f>
        <v>229639.00224999996</v>
      </c>
      <c r="D248" s="59">
        <f>(1*'MATERIALES (2)'!$C$193)+(1*'MATERIALES (2)'!$C$194)+(3*'MATERIALES (2)'!$C$196)+(2*'MATERIALES (2)'!$C$178)+(2*'MATERIALES (2)'!$C$179)+(2*'MATERIALES (2)'!$C$180)+(12*'MATERIALES (2)'!$C$147)+(12*'MATERIALES (2)'!$C$148)+((A248+(2*B248))*'MATERIALES (2)'!$C$199)+((A248+(2*B248))*'MATERIALES (2)'!$C$198)+(((A248*2)+(B248*2))*'MATERIALES (2)'!$C$154)+(((A248*4)+(0.6*4))*'MATERIALES (2)'!$C$155)+(0.5*'MATERIALES (2)'!$C$156)+(((((A248*2)+(B248*2))/0.1)*'MATERIALES (2)'!$C$181)*2)+(2*'MATERIALES (2)'!$C$176)+(((A248*5)*2)*'MATERIALES (2)'!$C$136)+(4*'MATERIALES (2)'!$C$137)</f>
        <v>62340</v>
      </c>
      <c r="E248" s="75"/>
      <c r="F248" s="55">
        <f>(A248*0.6)*'MATERIALES (2)'!$D$92</f>
        <v>15183</v>
      </c>
      <c r="G248" s="59">
        <f t="shared" ref="G248:G254" si="72">SUM(C248:F248)</f>
        <v>307162.00224999996</v>
      </c>
      <c r="H248" s="67">
        <f t="shared" ref="H248:H254" si="73">((((SUM(C248:E248)*$C$243)+(F248*$F$243))*1.21)*1.05)*1.05</f>
        <v>566343.84259335103</v>
      </c>
      <c r="I248" s="787"/>
      <c r="M248" s="68">
        <v>0.7</v>
      </c>
      <c r="N248" s="69">
        <v>2</v>
      </c>
      <c r="O248" s="59">
        <f>(((M248+(2*N248))*'MATERIALES (2)'!$C$60)+((M248+(2*N248))*'MATERIALES (2)'!$C$58)+(M248*'MATERIALES (2)'!$C$62)+(M248*'MATERIALES (2)'!$C$61)+(((M248-0.2)*'MATERIALES (2)'!$C$30)*((N248/2)/0.12))+((((M248*2)+(N248*1))*'MATERIALES (2)'!$C$76)*2)+(((M248*2)+(N248*1))*'MATERIALES (2)'!$C$31)+((M248+(N248/2))*'MATERIALES (2)'!$C$32))*'MATERIALES (2)'!$F$2</f>
        <v>196183.02725000001</v>
      </c>
      <c r="P248" s="59">
        <f>(1*'MATERIALES (2)'!$C$193)+(1*'MATERIALES (2)'!$C$194)+(3*'MATERIALES (2)'!$C$196)+(2*'MATERIALES (2)'!$C$178)+(2*'MATERIALES (2)'!$C$179)+(2*'MATERIALES (2)'!$C$180)+(12*'MATERIALES (2)'!$C$147)+(12*'MATERIALES (2)'!$C$148)+((M248+(2*N248))*'MATERIALES (2)'!$C$199)+((M248+(2*N248))*'MATERIALES (2)'!$C$198)+(((M248*2)+(N248*1))*'MATERIALES (2)'!$C$154)+(((M248*4)+(N248*4))*'MATERIALES (2)'!$C$155)+(((((M248*2)+(N248*1))/0.1)*'MATERIALES (2)'!$C$181)*2)+(2*'MATERIALES (2)'!$C$176)+(0.5*'MATERIALES (2)'!$C$156)+(((M248*5)*2)*'MATERIALES (2)'!$C$136)+(4*'MATERIALES (2)'!$C$137)</f>
        <v>61220</v>
      </c>
      <c r="Q248" s="75"/>
      <c r="R248" s="55">
        <f>(M248*(N248/2))*'MATERIALES (2)'!$D$92</f>
        <v>25305</v>
      </c>
      <c r="S248" s="59">
        <f t="shared" ref="S248:S254" si="74">SUM(O248:R248)</f>
        <v>282708.02725000004</v>
      </c>
      <c r="T248" s="67">
        <f t="shared" ref="T248:T254" si="75">((((SUM(O248:Q248)*$O$243)+(R248*$R$243))*1.21)*1.05)*1.05</f>
        <v>531080.80437669484</v>
      </c>
      <c r="U248" s="787"/>
    </row>
    <row r="249" spans="1:46" ht="15.75" thickBot="1">
      <c r="A249" s="68">
        <v>0.8</v>
      </c>
      <c r="B249" s="69">
        <v>2</v>
      </c>
      <c r="C249" s="59">
        <f>(((A249+(2*B249))*'MATERIALES (2)'!$C$60)+((A249+(2*B249))*'MATERIALES (2)'!$C$58)+(A249*'MATERIALES (2)'!$C$62)+((A249*1)*'MATERIALES (2)'!$C$61)+((((A249*2)+(B249*2))*'MATERIALES (2)'!$C$76)*2)+(((A249*2)+(0.6*2))*'MATERIALES (2)'!$C$31)+((A249+0.6)*'MATERIALES (2)'!$C$32)+(((A249-0.2)*'MATERIALES (2)'!$C$30)*((B249-0.36)/0.12)))*'MATERIALES (2)'!$F$2</f>
        <v>252109.18950000001</v>
      </c>
      <c r="D249" s="59">
        <f>(1*'MATERIALES (2)'!$C$193)+(1*'MATERIALES (2)'!$C$194)+(3*'MATERIALES (2)'!$C$196)+(2*'MATERIALES (2)'!$C$178)+(2*'MATERIALES (2)'!$C$179)+(2*'MATERIALES (2)'!$C$180)+(12*'MATERIALES (2)'!$C$147)+(12*'MATERIALES (2)'!$C$148)+((A249+(2*B249))*'MATERIALES (2)'!$C$199)+((A249+(2*B249))*'MATERIALES (2)'!$C$198)+(((A249*2)+(B249*2))*'MATERIALES (2)'!$C$154)+(((A249*4)+(0.6*4))*'MATERIALES (2)'!$C$155)+(0.5*'MATERIALES (2)'!$C$156)+(((((A249*2)+(B249*2))/0.1)*'MATERIALES (2)'!$C$181)*2)+(2*'MATERIALES (2)'!$C$176)+(((A249*5)*2)*'MATERIALES (2)'!$C$136)+(4*'MATERIALES (2)'!$C$137)</f>
        <v>62610</v>
      </c>
      <c r="E249" s="75"/>
      <c r="F249" s="55">
        <f>(A249*0.6)*'MATERIALES (2)'!$D$92</f>
        <v>17352</v>
      </c>
      <c r="G249" s="59">
        <f t="shared" si="72"/>
        <v>332071.18949999998</v>
      </c>
      <c r="H249" s="67">
        <f t="shared" si="73"/>
        <v>613084.41374319559</v>
      </c>
      <c r="I249" s="787"/>
      <c r="M249" s="68">
        <v>0.8</v>
      </c>
      <c r="N249" s="69">
        <v>2</v>
      </c>
      <c r="O249" s="59">
        <f>(((M249+(2*N249))*'MATERIALES (2)'!$C$60)+((M249+(2*N249))*'MATERIALES (2)'!$C$58)+(M249*'MATERIALES (2)'!$C$62)+(M249*'MATERIALES (2)'!$C$61)+(((M249-0.2)*'MATERIALES (2)'!$C$30)*((N249/2)/0.12))+((((M249*2)+(N249*1))*'MATERIALES (2)'!$C$76)*2)+(((M249*2)+(N249*1))*'MATERIALES (2)'!$C$31)+((M249+(N249/2))*'MATERIALES (2)'!$C$32))*'MATERIALES (2)'!$F$2</f>
        <v>212650.12650000001</v>
      </c>
      <c r="P249" s="59">
        <f>(1*'MATERIALES (2)'!$C$193)+(1*'MATERIALES (2)'!$C$194)+(3*'MATERIALES (2)'!$C$196)+(2*'MATERIALES (2)'!$C$178)+(2*'MATERIALES (2)'!$C$179)+(2*'MATERIALES (2)'!$C$180)+(12*'MATERIALES (2)'!$C$147)+(12*'MATERIALES (2)'!$C$148)+((M249+(2*N249))*'MATERIALES (2)'!$C$199)+((M249+(2*N249))*'MATERIALES (2)'!$C$198)+(((M249*2)+(N249*1))*'MATERIALES (2)'!$C$154)+(((M249*4)+(N249*4))*'MATERIALES (2)'!$C$155)+(((((M249*2)+(N249*1))/0.1)*'MATERIALES (2)'!$C$181)*2)+(2*'MATERIALES (2)'!$C$176)+(0.5*'MATERIALES (2)'!$C$156)+(((M249*5)*2)*'MATERIALES (2)'!$C$136)+(4*'MATERIALES (2)'!$C$137)</f>
        <v>61490</v>
      </c>
      <c r="Q249" s="75"/>
      <c r="R249" s="55">
        <f>(M249*(N249/2))*'MATERIALES (2)'!$D$92</f>
        <v>28920</v>
      </c>
      <c r="S249" s="59">
        <f t="shared" si="74"/>
        <v>303060.12650000001</v>
      </c>
      <c r="T249" s="67">
        <f t="shared" si="75"/>
        <v>570868.21204311948</v>
      </c>
      <c r="U249" s="787"/>
    </row>
    <row r="250" spans="1:46" ht="15.75" thickBot="1">
      <c r="A250" s="68">
        <v>0.9</v>
      </c>
      <c r="B250" s="69">
        <v>2</v>
      </c>
      <c r="C250" s="59">
        <f>(((A250+(2*B250))*'MATERIALES (2)'!$C$60)+((A250+(2*B250))*'MATERIALES (2)'!$C$58)+(A250*'MATERIALES (2)'!$C$62)+((A250*1)*'MATERIALES (2)'!$C$61)+((((A250*2)+(B250*2))*'MATERIALES (2)'!$C$76)*2)+(((A250*2)+(0.6*2))*'MATERIALES (2)'!$C$31)+((A250+0.6)*'MATERIALES (2)'!$C$32)+(((A250-0.2)*'MATERIALES (2)'!$C$30)*((B250-0.36)/0.12)))*'MATERIALES (2)'!$F$2</f>
        <v>274579.37675</v>
      </c>
      <c r="D250" s="59">
        <f>(1*'MATERIALES (2)'!$C$193)+(1*'MATERIALES (2)'!$C$194)+(3*'MATERIALES (2)'!$C$196)+(2*'MATERIALES (2)'!$C$178)+(2*'MATERIALES (2)'!$C$179)+(2*'MATERIALES (2)'!$C$180)+(12*'MATERIALES (2)'!$C$147)+(12*'MATERIALES (2)'!$C$148)+((A250+(2*B250))*'MATERIALES (2)'!$C$199)+((A250+(2*B250))*'MATERIALES (2)'!$C$198)+(((A250*2)+(B250*2))*'MATERIALES (2)'!$C$154)+(((A250*4)+(0.6*4))*'MATERIALES (2)'!$C$155)+(0.5*'MATERIALES (2)'!$C$156)+(((((A250*2)+(B250*2))/0.1)*'MATERIALES (2)'!$C$181)*2)+(2*'MATERIALES (2)'!$C$176)+(((A250*5)*2)*'MATERIALES (2)'!$C$136)+(4*'MATERIALES (2)'!$C$137)</f>
        <v>62880</v>
      </c>
      <c r="E250" s="75"/>
      <c r="F250" s="55">
        <f>(A250*0.6)*'MATERIALES (2)'!$D$92</f>
        <v>19521</v>
      </c>
      <c r="G250" s="59">
        <f t="shared" si="72"/>
        <v>356980.37675</v>
      </c>
      <c r="H250" s="67">
        <f t="shared" si="73"/>
        <v>659824.98489304027</v>
      </c>
      <c r="I250" s="787"/>
      <c r="M250" s="68">
        <v>0.9</v>
      </c>
      <c r="N250" s="69">
        <v>2</v>
      </c>
      <c r="O250" s="59">
        <f>(((M250+(2*N250))*'MATERIALES (2)'!$C$60)+((M250+(2*N250))*'MATERIALES (2)'!$C$58)+(M250*'MATERIALES (2)'!$C$62)+(M250*'MATERIALES (2)'!$C$61)+(((M250-0.2)*'MATERIALES (2)'!$C$30)*((N250/2)/0.12))+((((M250*2)+(N250*1))*'MATERIALES (2)'!$C$76)*2)+(((M250*2)+(N250*1))*'MATERIALES (2)'!$C$31)+((M250+(N250/2))*'MATERIALES (2)'!$C$32))*'MATERIALES (2)'!$F$2</f>
        <v>229117.22575000001</v>
      </c>
      <c r="P250" s="59">
        <f>(1*'MATERIALES (2)'!$C$193)+(1*'MATERIALES (2)'!$C$194)+(3*'MATERIALES (2)'!$C$196)+(2*'MATERIALES (2)'!$C$178)+(2*'MATERIALES (2)'!$C$179)+(2*'MATERIALES (2)'!$C$180)+(12*'MATERIALES (2)'!$C$147)+(12*'MATERIALES (2)'!$C$148)+((M250+(2*N250))*'MATERIALES (2)'!$C$199)+((M250+(2*N250))*'MATERIALES (2)'!$C$198)+(((M250*2)+(N250*1))*'MATERIALES (2)'!$C$154)+(((M250*4)+(N250*4))*'MATERIALES (2)'!$C$155)+(((((M250*2)+(N250*1))/0.1)*'MATERIALES (2)'!$C$181)*2)+(2*'MATERIALES (2)'!$C$176)+(0.5*'MATERIALES (2)'!$C$156)+(((M250*5)*2)*'MATERIALES (2)'!$C$136)+(4*'MATERIALES (2)'!$C$137)</f>
        <v>61760</v>
      </c>
      <c r="Q250" s="75"/>
      <c r="R250" s="55">
        <f>(M250*(N250/2))*'MATERIALES (2)'!$D$92</f>
        <v>32535</v>
      </c>
      <c r="S250" s="59">
        <f t="shared" si="74"/>
        <v>323412.22574999998</v>
      </c>
      <c r="T250" s="67">
        <f t="shared" si="75"/>
        <v>610655.61970954412</v>
      </c>
      <c r="U250" s="787"/>
    </row>
    <row r="251" spans="1:46" ht="15.75" thickBot="1">
      <c r="A251" s="68">
        <v>0.6</v>
      </c>
      <c r="B251" s="69">
        <v>2.1</v>
      </c>
      <c r="C251" s="59">
        <f>(((A251+(2*B251))*'MATERIALES (2)'!$C$60)+((A251+(2*B251))*'MATERIALES (2)'!$C$58)+(A251*'MATERIALES (2)'!$C$62)+((A251*1)*'MATERIALES (2)'!$C$61)+((((A251*2)+(B251*2))*'MATERIALES (2)'!$C$76)*2)+(((A251*2)+(0.6*2))*'MATERIALES (2)'!$C$31)+((A251+0.6)*'MATERIALES (2)'!$C$32)+(((A251-0.2)*'MATERIALES (2)'!$C$30)*((B251-0.36)/0.12)))*'MATERIALES (2)'!$F$2</f>
        <v>215787.62099999996</v>
      </c>
      <c r="D251" s="59">
        <f>(1*'MATERIALES (2)'!$C$193)+(1*'MATERIALES (2)'!$C$194)+(3*'MATERIALES (2)'!$C$196)+(2*'MATERIALES (2)'!$C$178)+(2*'MATERIALES (2)'!$C$179)+(2*'MATERIALES (2)'!$C$180)+(12*'MATERIALES (2)'!$C$147)+(12*'MATERIALES (2)'!$C$148)+((A251+(2*B251))*'MATERIALES (2)'!$C$199)+((A251+(2*B251))*'MATERIALES (2)'!$C$198)+(((A251*2)+(B251*2))*'MATERIALES (2)'!$C$154)+(((A251*4)+(0.6*4))*'MATERIALES (2)'!$C$155)+(0.5*'MATERIALES (2)'!$C$156)+(((((A251*2)+(B251*2))/0.1)*'MATERIALES (2)'!$C$181)*2)+(2*'MATERIALES (2)'!$C$176)+(((A251*5)*2)*'MATERIALES (2)'!$C$136)+(4*'MATERIALES (2)'!$C$137)</f>
        <v>62362</v>
      </c>
      <c r="E251" s="75"/>
      <c r="F251" s="55">
        <f>(A251*0.6)*'MATERIALES (2)'!$D$92</f>
        <v>13014</v>
      </c>
      <c r="G251" s="59">
        <f t="shared" si="72"/>
        <v>291163.62099999993</v>
      </c>
      <c r="H251" s="67">
        <f t="shared" si="73"/>
        <v>535651.04270860867</v>
      </c>
      <c r="I251" s="787"/>
      <c r="M251" s="68">
        <v>0.6</v>
      </c>
      <c r="N251" s="69">
        <v>2.1</v>
      </c>
      <c r="O251" s="59">
        <f>(((M251+(2*N251))*'MATERIALES (2)'!$C$60)+((M251+(2*N251))*'MATERIALES (2)'!$C$58)+(M251*'MATERIALES (2)'!$C$62)+(M251*'MATERIALES (2)'!$C$61)+(((M251-0.2)*'MATERIALES (2)'!$C$30)*((N251/2)/0.12))+((((M251*2)+(N251*1))*'MATERIALES (2)'!$C$76)*2)+(((M251*2)+(N251*1))*'MATERIALES (2)'!$C$31)+((M251+(N251/2))*'MATERIALES (2)'!$C$32))*'MATERIALES (2)'!$F$2</f>
        <v>186575.54212499998</v>
      </c>
      <c r="P251" s="59">
        <f>(1*'MATERIALES (2)'!$C$193)+(1*'MATERIALES (2)'!$C$194)+(3*'MATERIALES (2)'!$C$196)+(2*'MATERIALES (2)'!$C$178)+(2*'MATERIALES (2)'!$C$179)+(2*'MATERIALES (2)'!$C$180)+(12*'MATERIALES (2)'!$C$147)+(12*'MATERIALES (2)'!$C$148)+((M251+(2*N251))*'MATERIALES (2)'!$C$199)+((M251+(2*N251))*'MATERIALES (2)'!$C$198)+(((M251*2)+(N251*1))*'MATERIALES (2)'!$C$154)+(((M251*4)+(N251*4))*'MATERIALES (2)'!$C$155)+(((((M251*2)+(N251*1))/0.1)*'MATERIALES (2)'!$C$181)*2)+(2*'MATERIALES (2)'!$C$176)+(0.5*'MATERIALES (2)'!$C$156)+(((M251*5)*2)*'MATERIALES (2)'!$C$136)+(4*'MATERIALES (2)'!$C$137)</f>
        <v>61198</v>
      </c>
      <c r="Q251" s="75"/>
      <c r="R251" s="55">
        <f>(M251*(N251/2))*'MATERIALES (2)'!$D$92</f>
        <v>22774.5</v>
      </c>
      <c r="S251" s="59">
        <f t="shared" si="74"/>
        <v>270548.04212499998</v>
      </c>
      <c r="T251" s="67">
        <f t="shared" si="75"/>
        <v>506987.23909495922</v>
      </c>
      <c r="U251" s="787"/>
    </row>
    <row r="252" spans="1:46" ht="15.75" thickBot="1">
      <c r="A252" s="68">
        <v>0.7</v>
      </c>
      <c r="B252" s="69">
        <v>2.1</v>
      </c>
      <c r="C252" s="59">
        <f>(((A252+(2*B252))*'MATERIALES (2)'!$C$60)+((A252+(2*B252))*'MATERIALES (2)'!$C$58)+(A252*'MATERIALES (2)'!$C$62)+((A252*1)*'MATERIALES (2)'!$C$61)+((((A252*2)+(B252*2))*'MATERIALES (2)'!$C$76)*2)+(((A252*2)+(0.6*2))*'MATERIALES (2)'!$C$31)+((A252+0.6)*'MATERIALES (2)'!$C$32)+(((A252-0.2)*'MATERIALES (2)'!$C$30)*((B252-0.36)/0.12)))*'MATERIALES (2)'!$F$2</f>
        <v>239195.79074999999</v>
      </c>
      <c r="D252" s="59">
        <f>(1*'MATERIALES (2)'!$C$193)+(1*'MATERIALES (2)'!$C$194)+(3*'MATERIALES (2)'!$C$196)+(2*'MATERIALES (2)'!$C$178)+(2*'MATERIALES (2)'!$C$179)+(2*'MATERIALES (2)'!$C$180)+(12*'MATERIALES (2)'!$C$147)+(12*'MATERIALES (2)'!$C$148)+((A252+(2*B252))*'MATERIALES (2)'!$C$199)+((A252+(2*B252))*'MATERIALES (2)'!$C$198)+(((A252*2)+(B252*2))*'MATERIALES (2)'!$C$154)+(((A252*4)+(0.6*4))*'MATERIALES (2)'!$C$155)+(0.5*'MATERIALES (2)'!$C$156)+(((((A252*2)+(B252*2))/0.1)*'MATERIALES (2)'!$C$181)*2)+(2*'MATERIALES (2)'!$C$176)+(((A252*5)*2)*'MATERIALES (2)'!$C$136)+(4*'MATERIALES (2)'!$C$137)</f>
        <v>62632</v>
      </c>
      <c r="E252" s="75"/>
      <c r="F252" s="55">
        <f>(A252*0.6)*'MATERIALES (2)'!$D$92</f>
        <v>15183</v>
      </c>
      <c r="G252" s="59">
        <f t="shared" si="72"/>
        <v>317010.79074999999</v>
      </c>
      <c r="H252" s="67">
        <f t="shared" si="73"/>
        <v>584080.85819961282</v>
      </c>
      <c r="I252" s="787"/>
      <c r="M252" s="68">
        <v>0.7</v>
      </c>
      <c r="N252" s="69">
        <v>2.1</v>
      </c>
      <c r="O252" s="59">
        <f>(((M252+(2*N252))*'MATERIALES (2)'!$C$60)+((M252+(2*N252))*'MATERIALES (2)'!$C$58)+(M252*'MATERIALES (2)'!$C$62)+(M252*'MATERIALES (2)'!$C$61)+(((M252-0.2)*'MATERIALES (2)'!$C$30)*((N252/2)/0.12))+((((M252*2)+(N252*1))*'MATERIALES (2)'!$C$76)*2)+(((M252*2)+(N252*1))*'MATERIALES (2)'!$C$31)+((M252+(N252/2))*'MATERIALES (2)'!$C$32))*'MATERIALES (2)'!$F$2</f>
        <v>203511.632625</v>
      </c>
      <c r="P252" s="59">
        <f>(1*'MATERIALES (2)'!$C$193)+(1*'MATERIALES (2)'!$C$194)+(3*'MATERIALES (2)'!$C$196)+(2*'MATERIALES (2)'!$C$178)+(2*'MATERIALES (2)'!$C$179)+(2*'MATERIALES (2)'!$C$180)+(12*'MATERIALES (2)'!$C$147)+(12*'MATERIALES (2)'!$C$148)+((M252+(2*N252))*'MATERIALES (2)'!$C$199)+((M252+(2*N252))*'MATERIALES (2)'!$C$198)+(((M252*2)+(N252*1))*'MATERIALES (2)'!$C$154)+(((M252*4)+(N252*4))*'MATERIALES (2)'!$C$155)+(((((M252*2)+(N252*1))/0.1)*'MATERIALES (2)'!$C$181)*2)+(2*'MATERIALES (2)'!$C$176)+(0.5*'MATERIALES (2)'!$C$156)+(((M252*5)*2)*'MATERIALES (2)'!$C$136)+(4*'MATERIALES (2)'!$C$137)</f>
        <v>61468</v>
      </c>
      <c r="Q252" s="75"/>
      <c r="R252" s="55">
        <f>(M252*(N252/2))*'MATERIALES (2)'!$D$92</f>
        <v>26570.25</v>
      </c>
      <c r="S252" s="59">
        <f t="shared" si="74"/>
        <v>291549.88262499997</v>
      </c>
      <c r="T252" s="67">
        <f t="shared" si="75"/>
        <v>548101.51896946365</v>
      </c>
      <c r="U252" s="787"/>
    </row>
    <row r="253" spans="1:46" ht="15.75" thickBot="1">
      <c r="A253" s="68">
        <v>0.8</v>
      </c>
      <c r="B253" s="69">
        <v>2.1</v>
      </c>
      <c r="C253" s="59">
        <f>(((A253+(2*B253))*'MATERIALES (2)'!$C$60)+((A253+(2*B253))*'MATERIALES (2)'!$C$58)+(A253*'MATERIALES (2)'!$C$62)+((A253*1)*'MATERIALES (2)'!$C$61)+((((A253*2)+(B253*2))*'MATERIALES (2)'!$C$76)*2)+(((A253*2)+(0.6*2))*'MATERIALES (2)'!$C$31)+((A253+0.6)*'MATERIALES (2)'!$C$32)+(((A253-0.2)*'MATERIALES (2)'!$C$30)*((B253-0.36)/0.12)))*'MATERIALES (2)'!$F$2</f>
        <v>262603.96050000004</v>
      </c>
      <c r="D253" s="59">
        <f>(1*'MATERIALES (2)'!$C$193)+(1*'MATERIALES (2)'!$C$194)+(3*'MATERIALES (2)'!$C$196)+(2*'MATERIALES (2)'!$C$178)+(2*'MATERIALES (2)'!$C$179)+(2*'MATERIALES (2)'!$C$180)+(12*'MATERIALES (2)'!$C$147)+(12*'MATERIALES (2)'!$C$148)+((A253+(2*B253))*'MATERIALES (2)'!$C$199)+((A253+(2*B253))*'MATERIALES (2)'!$C$198)+(((A253*2)+(B253*2))*'MATERIALES (2)'!$C$154)+(((A253*4)+(0.6*4))*'MATERIALES (2)'!$C$155)+(0.5*'MATERIALES (2)'!$C$156)+(((((A253*2)+(B253*2))/0.1)*'MATERIALES (2)'!$C$181)*2)+(2*'MATERIALES (2)'!$C$176)+(((A253*5)*2)*'MATERIALES (2)'!$C$136)+(4*'MATERIALES (2)'!$C$137)</f>
        <v>62902</v>
      </c>
      <c r="E253" s="75"/>
      <c r="F253" s="55">
        <f>(A253*0.6)*'MATERIALES (2)'!$D$92</f>
        <v>17352</v>
      </c>
      <c r="G253" s="59">
        <f t="shared" si="72"/>
        <v>342857.96050000004</v>
      </c>
      <c r="H253" s="67">
        <f t="shared" si="73"/>
        <v>632510.67369061697</v>
      </c>
      <c r="I253" s="787"/>
      <c r="M253" s="68">
        <v>0.8</v>
      </c>
      <c r="N253" s="69">
        <v>2.1</v>
      </c>
      <c r="O253" s="59">
        <f>(((M253+(2*N253))*'MATERIALES (2)'!$C$60)+((M253+(2*N253))*'MATERIALES (2)'!$C$58)+(M253*'MATERIALES (2)'!$C$62)+(M253*'MATERIALES (2)'!$C$61)+(((M253-0.2)*'MATERIALES (2)'!$C$30)*((N253/2)/0.12))+((((M253*2)+(N253*1))*'MATERIALES (2)'!$C$76)*2)+(((M253*2)+(N253*1))*'MATERIALES (2)'!$C$31)+((M253+(N253/2))*'MATERIALES (2)'!$C$32))*'MATERIALES (2)'!$F$2</f>
        <v>220447.72312500002</v>
      </c>
      <c r="P253" s="59">
        <f>(1*'MATERIALES (2)'!$C$193)+(1*'MATERIALES (2)'!$C$194)+(3*'MATERIALES (2)'!$C$196)+(2*'MATERIALES (2)'!$C$178)+(2*'MATERIALES (2)'!$C$179)+(2*'MATERIALES (2)'!$C$180)+(12*'MATERIALES (2)'!$C$147)+(12*'MATERIALES (2)'!$C$148)+((M253+(2*N253))*'MATERIALES (2)'!$C$199)+((M253+(2*N253))*'MATERIALES (2)'!$C$198)+(((M253*2)+(N253*1))*'MATERIALES (2)'!$C$154)+(((M253*4)+(N253*4))*'MATERIALES (2)'!$C$155)+(((((M253*2)+(N253*1))/0.1)*'MATERIALES (2)'!$C$181)*2)+(2*'MATERIALES (2)'!$C$176)+(0.5*'MATERIALES (2)'!$C$156)+(((M253*5)*2)*'MATERIALES (2)'!$C$136)+(4*'MATERIALES (2)'!$C$137)</f>
        <v>61738</v>
      </c>
      <c r="Q253" s="75"/>
      <c r="R253" s="55">
        <f>(M253*(N253/2))*'MATERIALES (2)'!$D$92</f>
        <v>30366.000000000004</v>
      </c>
      <c r="S253" s="59">
        <f t="shared" si="74"/>
        <v>312551.72312500002</v>
      </c>
      <c r="T253" s="67">
        <f t="shared" si="75"/>
        <v>589215.79884396808</v>
      </c>
      <c r="U253" s="787"/>
    </row>
    <row r="254" spans="1:46" ht="15.75" thickBot="1">
      <c r="A254" s="71">
        <v>0.9</v>
      </c>
      <c r="B254" s="72">
        <v>2.1</v>
      </c>
      <c r="C254" s="60">
        <f>(((A254+(2*B254))*'MATERIALES (2)'!$C$60)+((A254+(2*B254))*'MATERIALES (2)'!$C$58)+(A254*'MATERIALES (2)'!$C$62)+((A254*1)*'MATERIALES (2)'!$C$61)+((((A254*2)+(B254*2))*'MATERIALES (2)'!$C$76)*2)+(((A254*2)+(0.6*2))*'MATERIALES (2)'!$C$31)+((A254+0.6)*'MATERIALES (2)'!$C$32)+(((A254-0.2)*'MATERIALES (2)'!$C$30)*((B254-0.36)/0.12)))*'MATERIALES (2)'!$F$2</f>
        <v>286012.13025000005</v>
      </c>
      <c r="D254" s="60">
        <f>(1*'MATERIALES (2)'!$C$193)+(1*'MATERIALES (2)'!$C$194)+(3*'MATERIALES (2)'!$C$196)+(2*'MATERIALES (2)'!$C$178)+(2*'MATERIALES (2)'!$C$179)+(2*'MATERIALES (2)'!$C$180)+(12*'MATERIALES (2)'!$C$147)+(12*'MATERIALES (2)'!$C$148)+((A254+(2*B254))*'MATERIALES (2)'!$C$199)+((A254+(2*B254))*'MATERIALES (2)'!$C$198)+(((A254*2)+(B254*2))*'MATERIALES (2)'!$C$154)+(((A254*4)+(0.6*4))*'MATERIALES (2)'!$C$155)+(0.5*'MATERIALES (2)'!$C$156)+(((((A254*2)+(B254*2))/0.1)*'MATERIALES (2)'!$C$181)*2)+(2*'MATERIALES (2)'!$C$176)+(((A254*5)*2)*'MATERIALES (2)'!$C$136)+(4*'MATERIALES (2)'!$C$137)</f>
        <v>63172</v>
      </c>
      <c r="E254" s="76"/>
      <c r="F254" s="56">
        <f>(A254*0.6)*'MATERIALES (2)'!$D$92</f>
        <v>19521</v>
      </c>
      <c r="G254" s="60">
        <f t="shared" si="72"/>
        <v>368705.13025000005</v>
      </c>
      <c r="H254" s="67">
        <f t="shared" si="73"/>
        <v>680940.48918162112</v>
      </c>
      <c r="I254" s="788"/>
      <c r="M254" s="71">
        <v>0.9</v>
      </c>
      <c r="N254" s="72">
        <v>2.1</v>
      </c>
      <c r="O254" s="60">
        <f>(((M254+(2*N254))*'MATERIALES (2)'!$C$60)+((M254+(2*N254))*'MATERIALES (2)'!$C$58)+(M254*'MATERIALES (2)'!$C$62)+(M254*'MATERIALES (2)'!$C$61)+(((M254-0.2)*'MATERIALES (2)'!$C$30)*((N254/2)/0.12))+((((M254*2)+(N254*1))*'MATERIALES (2)'!$C$76)*2)+(((M254*2)+(N254*1))*'MATERIALES (2)'!$C$31)+((M254+(N254/2))*'MATERIALES (2)'!$C$32))*'MATERIALES (2)'!$F$2</f>
        <v>237383.81362500007</v>
      </c>
      <c r="P254" s="60">
        <f>(1*'MATERIALES (2)'!$C$193)+(1*'MATERIALES (2)'!$C$194)+(3*'MATERIALES (2)'!$C$196)+(2*'MATERIALES (2)'!$C$178)+(2*'MATERIALES (2)'!$C$179)+(2*'MATERIALES (2)'!$C$180)+(12*'MATERIALES (2)'!$C$147)+(12*'MATERIALES (2)'!$C$148)+((M254+(2*N254))*'MATERIALES (2)'!$C$199)+((M254+(2*N254))*'MATERIALES (2)'!$C$198)+(((M254*2)+(N254*1))*'MATERIALES (2)'!$C$154)+(((M254*4)+(N254*4))*'MATERIALES (2)'!$C$155)+(((((M254*2)+(N254*1))/0.1)*'MATERIALES (2)'!$C$181)*2)+(2*'MATERIALES (2)'!$C$176)+(0.5*'MATERIALES (2)'!$C$156)+(((M254*5)*2)*'MATERIALES (2)'!$C$136)+(4*'MATERIALES (2)'!$C$137)</f>
        <v>62008</v>
      </c>
      <c r="Q254" s="76"/>
      <c r="R254" s="56">
        <f>(M254*(N254/2))*'MATERIALES (2)'!$D$92</f>
        <v>34161.75</v>
      </c>
      <c r="S254" s="60">
        <f t="shared" si="74"/>
        <v>333553.56362500007</v>
      </c>
      <c r="T254" s="67">
        <f t="shared" si="75"/>
        <v>630330.07871847239</v>
      </c>
      <c r="U254" s="788"/>
    </row>
    <row r="255" spans="1:46">
      <c r="U255" s="95"/>
    </row>
    <row r="256" spans="1:46" s="492" customFormat="1">
      <c r="AJ256"/>
      <c r="AK256"/>
      <c r="AL256"/>
      <c r="AM256"/>
      <c r="AN256"/>
      <c r="AO256"/>
      <c r="AP256"/>
      <c r="AQ256"/>
      <c r="AR256"/>
      <c r="AS256"/>
      <c r="AT256"/>
    </row>
    <row r="258" spans="1:46" ht="15.75" thickBot="1"/>
    <row r="259" spans="1:46" ht="15.75" thickBot="1">
      <c r="A259" s="32"/>
      <c r="B259" s="32"/>
      <c r="C259" s="807">
        <v>1.35</v>
      </c>
      <c r="D259" s="808"/>
      <c r="E259" s="809"/>
      <c r="F259" s="545">
        <v>2</v>
      </c>
      <c r="G259" s="32"/>
      <c r="H259" s="46" t="s">
        <v>163</v>
      </c>
      <c r="M259" s="32"/>
      <c r="N259" s="32"/>
      <c r="O259" s="807">
        <v>1.35</v>
      </c>
      <c r="P259" s="808"/>
      <c r="Q259" s="808"/>
      <c r="R259" s="809"/>
      <c r="S259" s="32"/>
      <c r="T259" s="46" t="s">
        <v>163</v>
      </c>
    </row>
    <row r="260" spans="1:46" ht="15.75" thickBot="1">
      <c r="A260" s="792" t="s">
        <v>732</v>
      </c>
      <c r="B260" s="793"/>
      <c r="C260" s="793"/>
      <c r="D260" s="793"/>
      <c r="E260" s="793"/>
      <c r="F260" s="793"/>
      <c r="G260" s="793"/>
      <c r="H260" s="794"/>
      <c r="M260" s="792" t="s">
        <v>208</v>
      </c>
      <c r="N260" s="793"/>
      <c r="O260" s="793"/>
      <c r="P260" s="793"/>
      <c r="Q260" s="793"/>
      <c r="R260" s="793"/>
      <c r="S260" s="793"/>
      <c r="T260" s="794"/>
    </row>
    <row r="261" spans="1:46" ht="15.75" thickBot="1">
      <c r="A261" s="36" t="s">
        <v>116</v>
      </c>
      <c r="B261" s="36" t="s">
        <v>117</v>
      </c>
      <c r="C261" s="36" t="s">
        <v>162</v>
      </c>
      <c r="D261" s="36" t="s">
        <v>119</v>
      </c>
      <c r="E261" s="36" t="s">
        <v>120</v>
      </c>
      <c r="F261" s="36" t="s">
        <v>118</v>
      </c>
      <c r="G261" s="36" t="s">
        <v>121</v>
      </c>
      <c r="H261" s="36" t="s">
        <v>122</v>
      </c>
      <c r="M261" s="36" t="s">
        <v>116</v>
      </c>
      <c r="N261" s="36" t="s">
        <v>117</v>
      </c>
      <c r="O261" s="36" t="s">
        <v>162</v>
      </c>
      <c r="P261" s="36" t="s">
        <v>119</v>
      </c>
      <c r="Q261" s="36" t="s">
        <v>120</v>
      </c>
      <c r="R261" s="36" t="s">
        <v>207</v>
      </c>
      <c r="S261" s="36" t="s">
        <v>121</v>
      </c>
      <c r="T261" s="36" t="s">
        <v>122</v>
      </c>
    </row>
    <row r="262" spans="1:46" ht="15.75" thickBot="1">
      <c r="A262" s="795"/>
      <c r="B262" s="796"/>
      <c r="C262" s="796"/>
      <c r="D262" s="796"/>
      <c r="E262" s="796"/>
      <c r="F262" s="796"/>
      <c r="G262" s="796"/>
      <c r="H262" s="797"/>
      <c r="M262" s="795"/>
      <c r="N262" s="796"/>
      <c r="O262" s="796"/>
      <c r="P262" s="796"/>
      <c r="Q262" s="796"/>
      <c r="R262" s="796"/>
      <c r="S262" s="796"/>
      <c r="T262" s="797"/>
      <c r="AJ262" s="492"/>
      <c r="AK262" s="492"/>
      <c r="AL262" s="492"/>
      <c r="AM262" s="492"/>
      <c r="AN262" s="492"/>
      <c r="AO262" s="492"/>
      <c r="AP262" s="492"/>
      <c r="AQ262" s="492"/>
      <c r="AR262" s="492"/>
      <c r="AS262" s="492"/>
      <c r="AT262" s="492"/>
    </row>
    <row r="263" spans="1:46" ht="15.75" thickBot="1">
      <c r="A263" s="65">
        <v>0.6</v>
      </c>
      <c r="B263" s="66">
        <v>2</v>
      </c>
      <c r="C263" s="58">
        <f>(((A263+(2*B263))*'MATERIALES (2)'!$C$60)+((A263+(2*B263))*'MATERIALES (2)'!$C$58)+(A263*'MATERIALES (2)'!$C$62)+((((A263*2)+(B263*2))*'MATERIALES (2)'!$C$76)*2))*'MATERIALES (2)'!$F$2</f>
        <v>126224.34299999999</v>
      </c>
      <c r="D263" s="58">
        <f>(1*'MATERIALES (2)'!$C$193)+(1*'MATERIALES (2)'!$C$194)+(3*'MATERIALES (2)'!$C$196)+(2*'MATERIALES (2)'!$C$178)+(2*'MATERIALES (2)'!$C$179)+(2*'MATERIALES (2)'!$C$180)+(4*'MATERIALES (2)'!$C$147)+(4*'MATERIALES (2)'!$C$148)+((A263+(2*B263))*'MATERIALES (2)'!$C$199)+((A263+(2*B263))*'MATERIALES (2)'!$C$198)+(((A263*2)+(B263*2))*'MATERIALES (2)'!$C$130)+(((((A263*2)+(B263*2))/0.1)*'MATERIALES (2)'!$C$181)*2)+(2*'MATERIALES (2)'!$C$176)+(((A263*5)*2)*'MATERIALES (2)'!$C$136)+(4*'MATERIALES (2)'!$C$137)</f>
        <v>56070</v>
      </c>
      <c r="E263" s="74"/>
      <c r="F263" s="54">
        <f>(((A263*B263)*2)*'MATERIALES (2)'!$D$86)+(4*'MATERIALES (2)'!$C$218)+(((A263*2)+(B263*2))*'MATERIALES (2)'!$C$219)+(((A263*2)+(B263*2))*'MATERIALES (2)'!$C$220)+((((A263*2)+(B263*2))/15)*'MATERIALES (2)'!$C$221)+((((A263*2)+(B263*2))/15)*('MATERIALES (2)'!$C$222*0.15))</f>
        <v>30124.016666666666</v>
      </c>
      <c r="G263" s="58">
        <f>SUM(C263:F263)</f>
        <v>212418.35966666666</v>
      </c>
      <c r="H263" s="67">
        <f>((((SUM(C263:E263)*$C$259)+(F263*$F$259))*1.21)*1.05)*1.05</f>
        <v>408672.41741027636</v>
      </c>
      <c r="M263" s="65">
        <v>0.6</v>
      </c>
      <c r="N263" s="66">
        <v>2</v>
      </c>
      <c r="O263" s="58">
        <f>(((M263+(2*N263))*'MATERIALES (2)'!$C$60)+((M263+(2*N263))*'MATERIALES (2)'!$C$58)+(M263*'MATERIALES (2)'!$C$62)+((((M263*2)+(N263*2))*'MATERIALES (2)'!$C$76)*2))*'MATERIALES (2)'!$F$2</f>
        <v>126224.34299999999</v>
      </c>
      <c r="P263" s="58">
        <f>(1*'MATERIALES (2)'!$C$193)+(1*'MATERIALES (2)'!$C$194)+(3*'MATERIALES (2)'!$C$196)+(2*'MATERIALES (2)'!$C$178)+(2*'MATERIALES (2)'!$C$179)+(2*'MATERIALES (2)'!$C$180)+(4*'MATERIALES (2)'!$C$147)+(4*'MATERIALES (2)'!$C$148)+((M263+(2*N263))*'MATERIALES (2)'!$C$199)+((M263+(2*N263))*'MATERIALES (2)'!$C$198)+(((M263*2)+(N263*2))*'MATERIALES (2)'!$C$154)+(0.5*'MATERIALES (2)'!$C$156)+(((((M263*2)+(N263*2))/0.1)*'MATERIALES (2)'!$C$181)*2)+(2*'MATERIALES (2)'!$C$176)+(((M263*5)*2)*'MATERIALES (2)'!$C$136)+(4*'MATERIALES (2)'!$C$137)</f>
        <v>60070</v>
      </c>
      <c r="Q263" s="74"/>
      <c r="R263" s="54">
        <f>(((M263-0.2)*'MATERIALES (2)'!$C$30)*(N263/0.12))*'MATERIALES (2)'!$F$2</f>
        <v>75038.599999999991</v>
      </c>
      <c r="S263" s="58">
        <f>SUM(O263:R263)</f>
        <v>261332.94299999997</v>
      </c>
      <c r="T263" s="67">
        <f>((((SUM(O263:R263)*$O$259))*1.21)*1.05)*1.05</f>
        <v>470643.31703552627</v>
      </c>
    </row>
    <row r="264" spans="1:46" ht="15.75" thickBot="1">
      <c r="A264" s="68">
        <v>0.7</v>
      </c>
      <c r="B264" s="69">
        <v>2</v>
      </c>
      <c r="C264" s="59">
        <f>(((A264+(2*B264))*'MATERIALES (2)'!$C$60)+((A264+(2*B264))*'MATERIALES (2)'!$C$58)+(A264*'MATERIALES (2)'!$C$62)+((((A264*2)+(B264*2))*'MATERIALES (2)'!$C$76)*2))*'MATERIALES (2)'!$F$2</f>
        <v>131038.8135</v>
      </c>
      <c r="D264" s="59">
        <f>(1*'MATERIALES (2)'!$C$193)+(1*'MATERIALES (2)'!$C$194)+(3*'MATERIALES (2)'!$C$196)+(2*'MATERIALES (2)'!$C$178)+(2*'MATERIALES (2)'!$C$179)+(2*'MATERIALES (2)'!$C$180)+(4*'MATERIALES (2)'!$C$147)+(4*'MATERIALES (2)'!$C$148)+((A264+(2*B264))*'MATERIALES (2)'!$C$199)+((A264+(2*B264))*'MATERIALES (2)'!$C$198)+(((A264*2)+(B264*2))*'MATERIALES (2)'!$C$130)+(((((A264*2)+(B264*2))/0.1)*'MATERIALES (2)'!$C$181)*2)+(2*'MATERIALES (2)'!$C$176)+(((A264*5)*2)*'MATERIALES (2)'!$C$136)+(4*'MATERIALES (2)'!$C$137)</f>
        <v>56300</v>
      </c>
      <c r="E264" s="75"/>
      <c r="F264" s="55">
        <f>(((A264*B264)*2)*'MATERIALES (2)'!$D$86)+(4*'MATERIALES (2)'!$C$218)+(((A264*2)+(B264*2))*'MATERIALES (2)'!$C$219)+(((A264*2)+(B264*2))*'MATERIALES (2)'!$C$220)+((((A264*2)+(B264*2))/15)*'MATERIALES (2)'!$C$221)+((((A264*2)+(B264*2))/15)*('MATERIALES (2)'!$C$222*0.15))</f>
        <v>33990.324999999997</v>
      </c>
      <c r="G264" s="59">
        <f t="shared" ref="G264:G270" si="76">SUM(C264:F264)</f>
        <v>221329.1385</v>
      </c>
      <c r="H264" s="67">
        <f t="shared" ref="H264:H270" si="77">((((SUM(C264:E264)*$C$259)+(F264*$F$259))*1.21)*1.05)*1.05</f>
        <v>428072.67853335571</v>
      </c>
      <c r="M264" s="68">
        <v>0.7</v>
      </c>
      <c r="N264" s="69">
        <v>2</v>
      </c>
      <c r="O264" s="59">
        <f>(((M264+(2*N264))*'MATERIALES (2)'!$C$60)+((M264+(2*N264))*'MATERIALES (2)'!$C$58)+(M264*'MATERIALES (2)'!$C$62)+((((M264*2)+(N264*2))*'MATERIALES (2)'!$C$76)*2))*'MATERIALES (2)'!$F$2</f>
        <v>131038.8135</v>
      </c>
      <c r="P264" s="59">
        <f>(1*'MATERIALES (2)'!$C$193)+(1*'MATERIALES (2)'!$C$194)+(3*'MATERIALES (2)'!$C$196)+(2*'MATERIALES (2)'!$C$178)+(2*'MATERIALES (2)'!$C$179)+(2*'MATERIALES (2)'!$C$180)+(4*'MATERIALES (2)'!$C$147)+(4*'MATERIALES (2)'!$C$148)+((M264+(2*N264))*'MATERIALES (2)'!$C$199)+((M264+(2*N264))*'MATERIALES (2)'!$C$198)+(((M264*2)+(N264*2))*'MATERIALES (2)'!$C$154)+(0.5*'MATERIALES (2)'!$C$156)+(((((M264*2)+(N264*2))/0.1)*'MATERIALES (2)'!$C$181)*2)+(2*'MATERIALES (2)'!$C$176)+(((M264*5)*2)*'MATERIALES (2)'!$C$136)+(4*'MATERIALES (2)'!$C$137)</f>
        <v>60300</v>
      </c>
      <c r="Q264" s="75"/>
      <c r="R264" s="55">
        <f>(((M264-0.2)*'MATERIALES (2)'!$C$30)*(N264/0.12))*'MATERIALES (2)'!$F$2</f>
        <v>93798.249999999985</v>
      </c>
      <c r="S264" s="59">
        <f t="shared" ref="S264:S270" si="78">SUM(O264:R264)</f>
        <v>285137.06349999999</v>
      </c>
      <c r="T264" s="67">
        <f t="shared" ref="T264:T269" si="79">((((SUM(O264:R264)*$O$259))*1.21)*1.05)*1.05</f>
        <v>513512.96103304316</v>
      </c>
    </row>
    <row r="265" spans="1:46" ht="15.75" thickBot="1">
      <c r="A265" s="68">
        <v>0.8</v>
      </c>
      <c r="B265" s="69">
        <v>2</v>
      </c>
      <c r="C265" s="59">
        <f>(((A265+(2*B265))*'MATERIALES (2)'!$C$60)+((A265+(2*B265))*'MATERIALES (2)'!$C$58)+(A265*'MATERIALES (2)'!$C$62)+((((A265*2)+(B265*2))*'MATERIALES (2)'!$C$76)*2))*'MATERIALES (2)'!$F$2</f>
        <v>135853.28399999999</v>
      </c>
      <c r="D265" s="59">
        <f>(1*'MATERIALES (2)'!$C$193)+(1*'MATERIALES (2)'!$C$194)+(3*'MATERIALES (2)'!$C$196)+(2*'MATERIALES (2)'!$C$178)+(2*'MATERIALES (2)'!$C$179)+(2*'MATERIALES (2)'!$C$180)+(4*'MATERIALES (2)'!$C$147)+(4*'MATERIALES (2)'!$C$148)+((A265+(2*B265))*'MATERIALES (2)'!$C$199)+((A265+(2*B265))*'MATERIALES (2)'!$C$198)+(((A265*2)+(B265*2))*'MATERIALES (2)'!$C$130)+(((((A265*2)+(B265*2))/0.1)*'MATERIALES (2)'!$C$181)*2)+(2*'MATERIALES (2)'!$C$176)+(((A265*5)*2)*'MATERIALES (2)'!$C$136)+(4*'MATERIALES (2)'!$C$137)</f>
        <v>56530</v>
      </c>
      <c r="E265" s="75"/>
      <c r="F265" s="55">
        <f>(((A265*B265)*2)*'MATERIALES (2)'!$D$86)+(4*'MATERIALES (2)'!$C$218)+(((A265*2)+(B265*2))*'MATERIALES (2)'!$C$219)+(((A265*2)+(B265*2))*'MATERIALES (2)'!$C$220)+((((A265*2)+(B265*2))/15)*'MATERIALES (2)'!$C$221)+((((A265*2)+(B265*2))/15)*('MATERIALES (2)'!$C$222*0.15))</f>
        <v>37856.633333333339</v>
      </c>
      <c r="G265" s="59">
        <f t="shared" si="76"/>
        <v>230239.91733333332</v>
      </c>
      <c r="H265" s="67">
        <f t="shared" si="77"/>
        <v>447472.93965643505</v>
      </c>
      <c r="M265" s="68">
        <v>0.8</v>
      </c>
      <c r="N265" s="69">
        <v>2</v>
      </c>
      <c r="O265" s="59">
        <f>(((M265+(2*N265))*'MATERIALES (2)'!$C$60)+((M265+(2*N265))*'MATERIALES (2)'!$C$58)+(M265*'MATERIALES (2)'!$C$62)+((((M265*2)+(N265*2))*'MATERIALES (2)'!$C$76)*2))*'MATERIALES (2)'!$F$2</f>
        <v>135853.28399999999</v>
      </c>
      <c r="P265" s="59">
        <f>(1*'MATERIALES (2)'!$C$193)+(1*'MATERIALES (2)'!$C$194)+(3*'MATERIALES (2)'!$C$196)+(2*'MATERIALES (2)'!$C$178)+(2*'MATERIALES (2)'!$C$179)+(2*'MATERIALES (2)'!$C$180)+(4*'MATERIALES (2)'!$C$147)+(4*'MATERIALES (2)'!$C$148)+((M265+(2*N265))*'MATERIALES (2)'!$C$199)+((M265+(2*N265))*'MATERIALES (2)'!$C$198)+(((M265*2)+(N265*2))*'MATERIALES (2)'!$C$154)+(0.5*'MATERIALES (2)'!$C$156)+(((((M265*2)+(N265*2))/0.1)*'MATERIALES (2)'!$C$181)*2)+(2*'MATERIALES (2)'!$C$176)+(((M265*5)*2)*'MATERIALES (2)'!$C$136)+(4*'MATERIALES (2)'!$C$137)</f>
        <v>60530</v>
      </c>
      <c r="Q265" s="75"/>
      <c r="R265" s="55">
        <f>(((M265-0.2)*'MATERIALES (2)'!$C$30)*(N265/0.12))*'MATERIALES (2)'!$F$2</f>
        <v>112557.90000000002</v>
      </c>
      <c r="S265" s="59">
        <f t="shared" si="78"/>
        <v>308941.18400000001</v>
      </c>
      <c r="T265" s="67">
        <f t="shared" si="79"/>
        <v>556382.60503056005</v>
      </c>
    </row>
    <row r="266" spans="1:46" ht="15.75" thickBot="1">
      <c r="A266" s="68">
        <v>0.9</v>
      </c>
      <c r="B266" s="69">
        <v>2</v>
      </c>
      <c r="C266" s="59">
        <f>(((A266+(2*B266))*'MATERIALES (2)'!$C$60)+((A266+(2*B266))*'MATERIALES (2)'!$C$58)+(A266*'MATERIALES (2)'!$C$62)+((((A266*2)+(B266*2))*'MATERIALES (2)'!$C$76)*2))*'MATERIALES (2)'!$F$2</f>
        <v>140667.75450000001</v>
      </c>
      <c r="D266" s="59">
        <f>(1*'MATERIALES (2)'!$C$193)+(1*'MATERIALES (2)'!$C$194)+(3*'MATERIALES (2)'!$C$196)+(2*'MATERIALES (2)'!$C$178)+(2*'MATERIALES (2)'!$C$179)+(2*'MATERIALES (2)'!$C$180)+(4*'MATERIALES (2)'!$C$147)+(4*'MATERIALES (2)'!$C$148)+((A266+(2*B266))*'MATERIALES (2)'!$C$199)+((A266+(2*B266))*'MATERIALES (2)'!$C$198)+(((A266*2)+(B266*2))*'MATERIALES (2)'!$C$130)+(((((A266*2)+(B266*2))/0.1)*'MATERIALES (2)'!$C$181)*2)+(2*'MATERIALES (2)'!$C$176)+(((A266*5)*2)*'MATERIALES (2)'!$C$136)+(4*'MATERIALES (2)'!$C$137)</f>
        <v>56760</v>
      </c>
      <c r="E266" s="75"/>
      <c r="F266" s="55">
        <f>(((A266*B266)*2)*'MATERIALES (2)'!$D$86)+(4*'MATERIALES (2)'!$C$218)+(((A266*2)+(B266*2))*'MATERIALES (2)'!$C$219)+(((A266*2)+(B266*2))*'MATERIALES (2)'!$C$220)+((((A266*2)+(B266*2))/15)*'MATERIALES (2)'!$C$221)+((((A266*2)+(B266*2))/15)*('MATERIALES (2)'!$C$222*0.15))</f>
        <v>41722.941666666666</v>
      </c>
      <c r="G266" s="59">
        <f t="shared" si="76"/>
        <v>239150.69616666669</v>
      </c>
      <c r="H266" s="67">
        <f t="shared" si="77"/>
        <v>466873.20077951445</v>
      </c>
      <c r="M266" s="68">
        <v>0.9</v>
      </c>
      <c r="N266" s="69">
        <v>2</v>
      </c>
      <c r="O266" s="59">
        <f>(((M266+(2*N266))*'MATERIALES (2)'!$C$60)+((M266+(2*N266))*'MATERIALES (2)'!$C$58)+(M266*'MATERIALES (2)'!$C$62)+((((M266*2)+(N266*2))*'MATERIALES (2)'!$C$76)*2))*'MATERIALES (2)'!$F$2</f>
        <v>140667.75450000001</v>
      </c>
      <c r="P266" s="59">
        <f>(1*'MATERIALES (2)'!$C$193)+(1*'MATERIALES (2)'!$C$194)+(3*'MATERIALES (2)'!$C$196)+(2*'MATERIALES (2)'!$C$178)+(2*'MATERIALES (2)'!$C$179)+(2*'MATERIALES (2)'!$C$180)+(4*'MATERIALES (2)'!$C$147)+(4*'MATERIALES (2)'!$C$148)+((M266+(2*N266))*'MATERIALES (2)'!$C$199)+((M266+(2*N266))*'MATERIALES (2)'!$C$198)+(((M266*2)+(N266*2))*'MATERIALES (2)'!$C$154)+(0.5*'MATERIALES (2)'!$C$156)+(((((M266*2)+(N266*2))/0.1)*'MATERIALES (2)'!$C$181)*2)+(2*'MATERIALES (2)'!$C$176)+(((M266*5)*2)*'MATERIALES (2)'!$C$136)+(4*'MATERIALES (2)'!$C$137)</f>
        <v>60760</v>
      </c>
      <c r="Q266" s="75"/>
      <c r="R266" s="55">
        <f>(((M266-0.2)*'MATERIALES (2)'!$C$30)*(N266/0.12))*'MATERIALES (2)'!$F$2</f>
        <v>131317.55000000002</v>
      </c>
      <c r="S266" s="59">
        <f t="shared" si="78"/>
        <v>332745.30450000003</v>
      </c>
      <c r="T266" s="67">
        <f t="shared" si="79"/>
        <v>599252.249028077</v>
      </c>
    </row>
    <row r="267" spans="1:46" ht="15.75" thickBot="1">
      <c r="A267" s="68">
        <v>0.6</v>
      </c>
      <c r="B267" s="69">
        <v>2.1</v>
      </c>
      <c r="C267" s="59">
        <f>(((A267+(2*B267))*'MATERIALES (2)'!$C$60)+((A267+(2*B267))*'MATERIALES (2)'!$C$58)+(A267*'MATERIALES (2)'!$C$62)+((((A267*2)+(B267*2))*'MATERIALES (2)'!$C$76)*2))*'MATERIALES (2)'!$F$2</f>
        <v>131091.21899999998</v>
      </c>
      <c r="D267" s="59">
        <f>(1*'MATERIALES (2)'!$C$193)+(1*'MATERIALES (2)'!$C$194)+(3*'MATERIALES (2)'!$C$196)+(2*'MATERIALES (2)'!$C$178)+(2*'MATERIALES (2)'!$C$179)+(2*'MATERIALES (2)'!$C$180)+(4*'MATERIALES (2)'!$C$147)+(4*'MATERIALES (2)'!$C$148)+((A267+(2*B267))*'MATERIALES (2)'!$C$199)+((A267+(2*B267))*'MATERIALES (2)'!$C$198)+(((A267*2)+(B267*2))*'MATERIALES (2)'!$C$130)+(((((A267*2)+(B267*2))/0.1)*'MATERIALES (2)'!$C$181)*2)+(2*'MATERIALES (2)'!$C$176)+(((A267*5)*2)*'MATERIALES (2)'!$C$136)+(4*'MATERIALES (2)'!$C$137)</f>
        <v>56362</v>
      </c>
      <c r="E267" s="75"/>
      <c r="F267" s="55">
        <f>(((A267*B267)*2)*'MATERIALES (2)'!$D$86)+(4*'MATERIALES (2)'!$C$218)+(((A267*2)+(B267*2))*'MATERIALES (2)'!$C$219)+(((A267*2)+(B267*2))*'MATERIALES (2)'!$C$220)+((((A267*2)+(B267*2))/15)*'MATERIALES (2)'!$C$221)+((((A267*2)+(B267*2))/15)*('MATERIALES (2)'!$C$222*0.15))</f>
        <v>31520.725000000002</v>
      </c>
      <c r="G267" s="59">
        <f t="shared" si="76"/>
        <v>218973.94399999999</v>
      </c>
      <c r="H267" s="67">
        <f t="shared" si="77"/>
        <v>421689.69897949125</v>
      </c>
      <c r="M267" s="68">
        <v>0.6</v>
      </c>
      <c r="N267" s="69">
        <v>2.1</v>
      </c>
      <c r="O267" s="59">
        <f>(((M267+(2*N267))*'MATERIALES (2)'!$C$60)+((M267+(2*N267))*'MATERIALES (2)'!$C$58)+(M267*'MATERIALES (2)'!$C$62)+((((M267*2)+(N267*2))*'MATERIALES (2)'!$C$76)*2))*'MATERIALES (2)'!$F$2</f>
        <v>131091.21899999998</v>
      </c>
      <c r="P267" s="59">
        <f>(1*'MATERIALES (2)'!$C$193)+(1*'MATERIALES (2)'!$C$194)+(3*'MATERIALES (2)'!$C$196)+(2*'MATERIALES (2)'!$C$178)+(2*'MATERIALES (2)'!$C$179)+(2*'MATERIALES (2)'!$C$180)+(4*'MATERIALES (2)'!$C$147)+(4*'MATERIALES (2)'!$C$148)+((M267+(2*N267))*'MATERIALES (2)'!$C$199)+((M267+(2*N267))*'MATERIALES (2)'!$C$198)+(((M267*2)+(N267*2))*'MATERIALES (2)'!$C$154)+(0.5*'MATERIALES (2)'!$C$156)+(((((M267*2)+(N267*2))/0.1)*'MATERIALES (2)'!$C$181)*2)+(2*'MATERIALES (2)'!$C$176)+(((M267*5)*2)*'MATERIALES (2)'!$C$136)+(4*'MATERIALES (2)'!$C$137)</f>
        <v>60362</v>
      </c>
      <c r="Q267" s="75"/>
      <c r="R267" s="55">
        <f>(((M267-0.2)*'MATERIALES (2)'!$C$30)*(N267/0.12))*'MATERIALES (2)'!$F$2</f>
        <v>78790.529999999984</v>
      </c>
      <c r="S267" s="59">
        <f t="shared" si="78"/>
        <v>270243.74899999995</v>
      </c>
      <c r="T267" s="67">
        <f t="shared" si="79"/>
        <v>486691.0883006287</v>
      </c>
    </row>
    <row r="268" spans="1:46" ht="15.75" thickBot="1">
      <c r="A268" s="68">
        <v>0.7</v>
      </c>
      <c r="B268" s="69">
        <v>2.1</v>
      </c>
      <c r="C268" s="59">
        <f>(((A268+(2*B268))*'MATERIALES (2)'!$C$60)+((A268+(2*B268))*'MATERIALES (2)'!$C$58)+(A268*'MATERIALES (2)'!$C$62)+((((A268*2)+(B268*2))*'MATERIALES (2)'!$C$76)*2))*'MATERIALES (2)'!$F$2</f>
        <v>135905.68949999998</v>
      </c>
      <c r="D268" s="59">
        <f>(1*'MATERIALES (2)'!$C$193)+(1*'MATERIALES (2)'!$C$194)+(3*'MATERIALES (2)'!$C$196)+(2*'MATERIALES (2)'!$C$178)+(2*'MATERIALES (2)'!$C$179)+(2*'MATERIALES (2)'!$C$180)+(4*'MATERIALES (2)'!$C$147)+(4*'MATERIALES (2)'!$C$148)+((A268+(2*B268))*'MATERIALES (2)'!$C$199)+((A268+(2*B268))*'MATERIALES (2)'!$C$198)+(((A268*2)+(B268*2))*'MATERIALES (2)'!$C$130)+(((((A268*2)+(B268*2))/0.1)*'MATERIALES (2)'!$C$181)*2)+(2*'MATERIALES (2)'!$C$176)+(((A268*5)*2)*'MATERIALES (2)'!$C$136)+(4*'MATERIALES (2)'!$C$137)</f>
        <v>56592</v>
      </c>
      <c r="E268" s="75"/>
      <c r="F268" s="55">
        <f>(((A268*B268)*2)*'MATERIALES (2)'!$D$86)+(4*'MATERIALES (2)'!$C$218)+(((A268*2)+(B268*2))*'MATERIALES (2)'!$C$219)+(((A268*2)+(B268*2))*'MATERIALES (2)'!$C$220)+((((A268*2)+(B268*2))/15)*'MATERIALES (2)'!$C$221)+((((A268*2)+(B268*2))/15)*('MATERIALES (2)'!$C$222*0.15))</f>
        <v>35563.433333333334</v>
      </c>
      <c r="G268" s="59">
        <f t="shared" si="76"/>
        <v>228061.12283333333</v>
      </c>
      <c r="H268" s="67">
        <f t="shared" si="77"/>
        <v>441560.60412257072</v>
      </c>
      <c r="M268" s="68">
        <v>0.7</v>
      </c>
      <c r="N268" s="69">
        <v>2.1</v>
      </c>
      <c r="O268" s="59">
        <f>(((M268+(2*N268))*'MATERIALES (2)'!$C$60)+((M268+(2*N268))*'MATERIALES (2)'!$C$58)+(M268*'MATERIALES (2)'!$C$62)+((((M268*2)+(N268*2))*'MATERIALES (2)'!$C$76)*2))*'MATERIALES (2)'!$F$2</f>
        <v>135905.68949999998</v>
      </c>
      <c r="P268" s="59">
        <f>(1*'MATERIALES (2)'!$C$193)+(1*'MATERIALES (2)'!$C$194)+(3*'MATERIALES (2)'!$C$196)+(2*'MATERIALES (2)'!$C$178)+(2*'MATERIALES (2)'!$C$179)+(2*'MATERIALES (2)'!$C$180)+(4*'MATERIALES (2)'!$C$147)+(4*'MATERIALES (2)'!$C$148)+((M268+(2*N268))*'MATERIALES (2)'!$C$199)+((M268+(2*N268))*'MATERIALES (2)'!$C$198)+(((M268*2)+(N268*2))*'MATERIALES (2)'!$C$154)+(0.5*'MATERIALES (2)'!$C$156)+(((((M268*2)+(N268*2))/0.1)*'MATERIALES (2)'!$C$181)*2)+(2*'MATERIALES (2)'!$C$176)+(((M268*5)*2)*'MATERIALES (2)'!$C$136)+(4*'MATERIALES (2)'!$C$137)</f>
        <v>60592</v>
      </c>
      <c r="Q268" s="75"/>
      <c r="R268" s="55">
        <f>(((M268-0.2)*'MATERIALES (2)'!$C$30)*(N268/0.12))*'MATERIALES (2)'!$F$2</f>
        <v>98488.162499999991</v>
      </c>
      <c r="S268" s="59">
        <f t="shared" si="78"/>
        <v>294985.85199999996</v>
      </c>
      <c r="T268" s="67">
        <f t="shared" si="79"/>
        <v>531249.97663930501</v>
      </c>
    </row>
    <row r="269" spans="1:46" ht="15.75" thickBot="1">
      <c r="A269" s="68">
        <v>0.8</v>
      </c>
      <c r="B269" s="69">
        <v>2.1</v>
      </c>
      <c r="C269" s="59">
        <f>(((A269+(2*B269))*'MATERIALES (2)'!$C$60)+((A269+(2*B269))*'MATERIALES (2)'!$C$58)+(A269*'MATERIALES (2)'!$C$62)+((((A269*2)+(B269*2))*'MATERIALES (2)'!$C$76)*2))*'MATERIALES (2)'!$F$2</f>
        <v>140720.16</v>
      </c>
      <c r="D269" s="59">
        <f>(1*'MATERIALES (2)'!$C$193)+(1*'MATERIALES (2)'!$C$194)+(3*'MATERIALES (2)'!$C$196)+(2*'MATERIALES (2)'!$C$178)+(2*'MATERIALES (2)'!$C$179)+(2*'MATERIALES (2)'!$C$180)+(4*'MATERIALES (2)'!$C$147)+(4*'MATERIALES (2)'!$C$148)+((A269+(2*B269))*'MATERIALES (2)'!$C$199)+((A269+(2*B269))*'MATERIALES (2)'!$C$198)+(((A269*2)+(B269*2))*'MATERIALES (2)'!$C$130)+(((((A269*2)+(B269*2))/0.1)*'MATERIALES (2)'!$C$181)*2)+(2*'MATERIALES (2)'!$C$176)+(((A269*5)*2)*'MATERIALES (2)'!$C$136)+(4*'MATERIALES (2)'!$C$137)</f>
        <v>56822</v>
      </c>
      <c r="E269" s="75"/>
      <c r="F269" s="55">
        <f>(((A269*B269)*2)*'MATERIALES (2)'!$D$86)+(4*'MATERIALES (2)'!$C$218)+(((A269*2)+(B269*2))*'MATERIALES (2)'!$C$219)+(((A269*2)+(B269*2))*'MATERIALES (2)'!$C$220)+((((A269*2)+(B269*2))/15)*'MATERIALES (2)'!$C$221)+((((A269*2)+(B269*2))/15)*('MATERIALES (2)'!$C$222*0.15))</f>
        <v>39606.14166666667</v>
      </c>
      <c r="G269" s="59">
        <f t="shared" si="76"/>
        <v>237148.30166666667</v>
      </c>
      <c r="H269" s="67">
        <f t="shared" si="77"/>
        <v>461431.50926565006</v>
      </c>
      <c r="M269" s="68">
        <v>0.8</v>
      </c>
      <c r="N269" s="69">
        <v>2.1</v>
      </c>
      <c r="O269" s="59">
        <f>(((M269+(2*N269))*'MATERIALES (2)'!$C$60)+((M269+(2*N269))*'MATERIALES (2)'!$C$58)+(M269*'MATERIALES (2)'!$C$62)+((((M269*2)+(N269*2))*'MATERIALES (2)'!$C$76)*2))*'MATERIALES (2)'!$F$2</f>
        <v>140720.16</v>
      </c>
      <c r="P269" s="59">
        <f>(1*'MATERIALES (2)'!$C$193)+(1*'MATERIALES (2)'!$C$194)+(3*'MATERIALES (2)'!$C$196)+(2*'MATERIALES (2)'!$C$178)+(2*'MATERIALES (2)'!$C$179)+(2*'MATERIALES (2)'!$C$180)+(4*'MATERIALES (2)'!$C$147)+(4*'MATERIALES (2)'!$C$148)+((M269+(2*N269))*'MATERIALES (2)'!$C$199)+((M269+(2*N269))*'MATERIALES (2)'!$C$198)+(((M269*2)+(N269*2))*'MATERIALES (2)'!$C$154)+(0.5*'MATERIALES (2)'!$C$156)+(((((M269*2)+(N269*2))/0.1)*'MATERIALES (2)'!$C$181)*2)+(2*'MATERIALES (2)'!$C$176)+(((M269*5)*2)*'MATERIALES (2)'!$C$136)+(4*'MATERIALES (2)'!$C$137)</f>
        <v>60822</v>
      </c>
      <c r="Q269" s="75"/>
      <c r="R269" s="55">
        <f>(((M269-0.2)*'MATERIALES (2)'!$C$30)*(N269/0.12))*'MATERIALES (2)'!$F$2</f>
        <v>118185.79500000003</v>
      </c>
      <c r="S269" s="59">
        <f t="shared" si="78"/>
        <v>319727.95500000002</v>
      </c>
      <c r="T269" s="67">
        <f t="shared" si="79"/>
        <v>575808.86497798131</v>
      </c>
    </row>
    <row r="270" spans="1:46" ht="15.75" thickBot="1">
      <c r="A270" s="71">
        <v>0.9</v>
      </c>
      <c r="B270" s="72">
        <v>2.1</v>
      </c>
      <c r="C270" s="60">
        <f>(((A270+(2*B270))*'MATERIALES (2)'!$C$60)+((A270+(2*B270))*'MATERIALES (2)'!$C$58)+(A270*'MATERIALES (2)'!$C$62)+((((A270*2)+(B270*2))*'MATERIALES (2)'!$C$76)*2))*'MATERIALES (2)'!$F$2</f>
        <v>145534.63050000003</v>
      </c>
      <c r="D270" s="60">
        <f>(1*'MATERIALES (2)'!$C$193)+(1*'MATERIALES (2)'!$C$194)+(3*'MATERIALES (2)'!$C$196)+(2*'MATERIALES (2)'!$C$178)+(2*'MATERIALES (2)'!$C$179)+(2*'MATERIALES (2)'!$C$180)+(4*'MATERIALES (2)'!$C$147)+(4*'MATERIALES (2)'!$C$148)+((A270+(2*B270))*'MATERIALES (2)'!$C$199)+((A270+(2*B270))*'MATERIALES (2)'!$C$198)+(((A270*2)+(B270*2))*'MATERIALES (2)'!$C$130)+(((((A270*2)+(B270*2))/0.1)*'MATERIALES (2)'!$C$181)*2)+(2*'MATERIALES (2)'!$C$176)+(((A270*5)*2)*'MATERIALES (2)'!$C$136)+(4*'MATERIALES (2)'!$C$137)</f>
        <v>57052</v>
      </c>
      <c r="E270" s="76"/>
      <c r="F270" s="56">
        <f>(((A270*B270)*2)*'MATERIALES (2)'!$D$86)+(4*'MATERIALES (2)'!$C$218)+(((A270*2)+(B270*2))*'MATERIALES (2)'!$C$219)+(((A270*2)+(B270*2))*'MATERIALES (2)'!$C$220)+((((A270*2)+(B270*2))/15)*'MATERIALES (2)'!$C$221)+((((A270*2)+(B270*2))/15)*('MATERIALES (2)'!$C$222*0.15))</f>
        <v>43648.850000000006</v>
      </c>
      <c r="G270" s="60">
        <f t="shared" si="76"/>
        <v>246235.48050000003</v>
      </c>
      <c r="H270" s="67">
        <f t="shared" si="77"/>
        <v>481302.41440872947</v>
      </c>
      <c r="M270" s="71">
        <v>0.9</v>
      </c>
      <c r="N270" s="72">
        <v>2.1</v>
      </c>
      <c r="O270" s="60">
        <f>(((M270+(2*N270))*'MATERIALES (2)'!$C$60)+((M270+(2*N270))*'MATERIALES (2)'!$C$58)+(M270*'MATERIALES (2)'!$C$62)+((((M270*2)+(N270*2))*'MATERIALES (2)'!$C$76)*2))*'MATERIALES (2)'!$F$2</f>
        <v>145534.63050000003</v>
      </c>
      <c r="P270" s="60">
        <f>(1*'MATERIALES (2)'!$C$193)+(1*'MATERIALES (2)'!$C$194)+(3*'MATERIALES (2)'!$C$196)+(2*'MATERIALES (2)'!$C$178)+(2*'MATERIALES (2)'!$C$179)+(2*'MATERIALES (2)'!$C$180)+(4*'MATERIALES (2)'!$C$147)+(4*'MATERIALES (2)'!$C$148)+((M270+(2*N270))*'MATERIALES (2)'!$C$199)+((M270+(2*N270))*'MATERIALES (2)'!$C$198)+(((M270*2)+(N270*2))*'MATERIALES (2)'!$C$154)+(0.5*'MATERIALES (2)'!$C$156)+(((((M270*2)+(N270*2))/0.1)*'MATERIALES (2)'!$C$181)*2)+(2*'MATERIALES (2)'!$C$176)+(((M270*5)*2)*'MATERIALES (2)'!$C$136)+(4*'MATERIALES (2)'!$C$137)</f>
        <v>61052</v>
      </c>
      <c r="Q270" s="76"/>
      <c r="R270" s="56">
        <f>(((M270-0.2)*'MATERIALES (2)'!$C$30)*(N270/0.12))*'MATERIALES (2)'!$F$2</f>
        <v>137883.42749999999</v>
      </c>
      <c r="S270" s="60">
        <f t="shared" si="78"/>
        <v>344470.05800000002</v>
      </c>
      <c r="T270" s="67">
        <f>((((SUM(O270:R270)*$O$259))*1.21)*1.05)*1.05</f>
        <v>620367.7533166575</v>
      </c>
    </row>
    <row r="272" spans="1:46" ht="15.75" thickBot="1"/>
    <row r="273" spans="1:21" ht="15.75" thickBot="1">
      <c r="A273" s="32"/>
      <c r="B273" s="32"/>
      <c r="C273" s="807">
        <v>1.35</v>
      </c>
      <c r="D273" s="808"/>
      <c r="E273" s="809"/>
      <c r="F273" s="545">
        <v>2</v>
      </c>
      <c r="G273" s="32"/>
      <c r="H273" s="46" t="s">
        <v>163</v>
      </c>
      <c r="M273" s="32"/>
      <c r="N273" s="32"/>
      <c r="O273" s="807">
        <v>1.35</v>
      </c>
      <c r="P273" s="808"/>
      <c r="Q273" s="809"/>
      <c r="R273" s="545">
        <v>2</v>
      </c>
      <c r="S273" s="32"/>
      <c r="T273" s="46" t="s">
        <v>163</v>
      </c>
    </row>
    <row r="274" spans="1:21" ht="15.75" thickBot="1">
      <c r="A274" s="792" t="s">
        <v>733</v>
      </c>
      <c r="B274" s="793"/>
      <c r="C274" s="793"/>
      <c r="D274" s="793"/>
      <c r="E274" s="793"/>
      <c r="F274" s="793"/>
      <c r="G274" s="793"/>
      <c r="H274" s="794"/>
      <c r="M274" s="792" t="s">
        <v>734</v>
      </c>
      <c r="N274" s="793"/>
      <c r="O274" s="793"/>
      <c r="P274" s="793"/>
      <c r="Q274" s="793"/>
      <c r="R274" s="793"/>
      <c r="S274" s="793"/>
      <c r="T274" s="794"/>
    </row>
    <row r="275" spans="1:21" ht="15.75" thickBot="1">
      <c r="A275" s="36" t="s">
        <v>116</v>
      </c>
      <c r="B275" s="36" t="s">
        <v>117</v>
      </c>
      <c r="C275" s="36" t="s">
        <v>162</v>
      </c>
      <c r="D275" s="36" t="s">
        <v>119</v>
      </c>
      <c r="E275" s="36" t="s">
        <v>120</v>
      </c>
      <c r="F275" s="36" t="s">
        <v>118</v>
      </c>
      <c r="G275" s="36" t="s">
        <v>121</v>
      </c>
      <c r="H275" s="36" t="s">
        <v>122</v>
      </c>
      <c r="M275" s="36" t="s">
        <v>116</v>
      </c>
      <c r="N275" s="36" t="s">
        <v>117</v>
      </c>
      <c r="O275" s="36" t="s">
        <v>162</v>
      </c>
      <c r="P275" s="36" t="s">
        <v>119</v>
      </c>
      <c r="Q275" s="36" t="s">
        <v>120</v>
      </c>
      <c r="R275" s="36" t="s">
        <v>118</v>
      </c>
      <c r="S275" s="36" t="s">
        <v>121</v>
      </c>
      <c r="T275" s="36" t="s">
        <v>122</v>
      </c>
    </row>
    <row r="276" spans="1:21" ht="15.75" thickBot="1">
      <c r="A276" s="795"/>
      <c r="B276" s="796"/>
      <c r="C276" s="796"/>
      <c r="D276" s="796"/>
      <c r="E276" s="796"/>
      <c r="F276" s="796"/>
      <c r="G276" s="796"/>
      <c r="H276" s="797"/>
      <c r="M276" s="795"/>
      <c r="N276" s="796"/>
      <c r="O276" s="796"/>
      <c r="P276" s="796"/>
      <c r="Q276" s="796"/>
      <c r="R276" s="796"/>
      <c r="S276" s="796"/>
      <c r="T276" s="797"/>
    </row>
    <row r="277" spans="1:21" ht="15.75" thickBot="1">
      <c r="A277" s="65">
        <v>0.6</v>
      </c>
      <c r="B277" s="66">
        <v>2</v>
      </c>
      <c r="C277" s="58">
        <f>(((A277+(2*B277))*'MATERIALES (2)'!$C$60)+((A277+(2*B277))*'MATERIALES (2)'!$C$58)+(A277*'MATERIALES (2)'!$C$62)+((((A277*4)+(B277*2))*'MATERIALES (2)'!$C$76)*2)+(A277*'MATERIALES (2)'!$C$61))*'MATERIALES (2)'!$F$2</f>
        <v>138459.88799999998</v>
      </c>
      <c r="D277" s="58">
        <f>(1*'MATERIALES (2)'!$C$193)+(1*'MATERIALES (2)'!$C$194)+(3*'MATERIALES (2)'!$C$196)+(2*'MATERIALES (2)'!$C$178)+(2*'MATERIALES (2)'!$C$179)+(2*'MATERIALES (2)'!$C$180)+(8*'MATERIALES (2)'!$C$147)+(8*'MATERIALES (2)'!$C$148)+((A277+(2*B277))*'MATERIALES (2)'!$C$199)+((A277+(2*B277))*'MATERIALES (2)'!$C$198)+(((A277*4)+(B277*2))*'MATERIALES (2)'!$C$130)+(((((A277*4)+(B277*2))/0.1)*'MATERIALES (2)'!$C$181)*2)+(2*'MATERIALES (2)'!$C$176)+(((A277*5)*2)*'MATERIALES (2)'!$C$136)+(4*'MATERIALES (2)'!$C$137)</f>
        <v>57838</v>
      </c>
      <c r="E277" s="74"/>
      <c r="F277" s="54">
        <f>(((A277*B277)*2)*'MATERIALES (2)'!$D$86)+(8*'MATERIALES (2)'!$C$218)+(((A277*4)+(B277*2))*'MATERIALES (2)'!$C$219)+(((A277*4)+(B277*2))*'MATERIALES (2)'!$C$220)+((((A277*4)+(B277*2))/15)*'MATERIALES (2)'!$C$221)+((((A277*4)+(B277*2))/15)*('MATERIALES (2)'!$C$222*0.15))</f>
        <v>32313.866666666669</v>
      </c>
      <c r="G277" s="58">
        <f>SUM(C277:F277)</f>
        <v>228611.75466666665</v>
      </c>
      <c r="H277" s="67">
        <f>((((SUM(C277:E277)*$C$273)+(F277*$F$273))*1.21)*1.05)*1.05</f>
        <v>439734.50351292</v>
      </c>
      <c r="M277" s="65">
        <v>0.6</v>
      </c>
      <c r="N277" s="66">
        <v>2</v>
      </c>
      <c r="O277" s="58">
        <f>(((M277+(2*N277))*'MATERIALES (2)'!$C$60)+((M277+(2*N277))*'MATERIALES (2)'!$C$58)+(M277*'MATERIALES (2)'!$C$62)+(M277*'MATERIALES (2)'!$C$61)+(((M277-0.2)*'MATERIALES (2)'!$C$30)*((N277/2)/0.12))+((((M277*2)+(N277*1))*'MATERIALES (2)'!$C$76)*2))*'MATERIALES (2)'!$F$2</f>
        <v>164313.26799999998</v>
      </c>
      <c r="P277" s="58">
        <f>(1*'MATERIALES (2)'!$C$193)+(1*'MATERIALES (2)'!$C$194)+(3*'MATERIALES (2)'!$C$196)+(2*'MATERIALES (2)'!$C$178)+(2*'MATERIALES (2)'!$C$179)+(2*'MATERIALES (2)'!$C$180)+(8*'MATERIALES (2)'!$C$147)+(8*'MATERIALES (2)'!$C$148)+((M277+(2*N277))*'MATERIALES (2)'!$C$199)+((M277+(2*N277))*'MATERIALES (2)'!$C$198)+(((M277*2)+(N277*1))*'MATERIALES (2)'!$C$130)+(((M277*2)+(N277*1))*'MATERIALES (2)'!$C$154)+(((((M277*4)+(N277*2))/0.1)*'MATERIALES (2)'!$C$181)*2)+(0.25*'MATERIALES (2)'!$C$156)+(2*'MATERIALES (2)'!$C$176)+(((M277*5)*2)*'MATERIALES (2)'!$C$136)+(4*'MATERIALES (2)'!$C$137)</f>
        <v>59838</v>
      </c>
      <c r="Q277" s="74"/>
      <c r="R277" s="54">
        <f>(((M277*(N277/2))*2)*'MATERIALES (2)'!$D$86)+(4*'MATERIALES (2)'!$C$218)+(((M277*2)+((N277/2)*2))*'MATERIALES (2)'!$C$219)+(((M277*2)+((N277/2)*2))*'MATERIALES (2)'!$C$220)+((((M277*2)+((N277/2)*2))/15)*'MATERIALES (2)'!$C$221)+((((M277*2)+((N277/2)*2))/15)*('MATERIALES (2)'!$C$222*0.15))</f>
        <v>16156.933333333334</v>
      </c>
      <c r="S277" s="58">
        <f>SUM(O277:R277)</f>
        <v>240308.20133333333</v>
      </c>
      <c r="T277" s="67">
        <f>((((SUM(O277:Q277)*$O$273)+(R277*$R$273))*1.21)*1.05)*1.05</f>
        <v>446789.08962649497</v>
      </c>
    </row>
    <row r="278" spans="1:21" ht="15.75" thickBot="1">
      <c r="A278" s="68">
        <v>0.7</v>
      </c>
      <c r="B278" s="69">
        <v>2</v>
      </c>
      <c r="C278" s="59">
        <f>(((A278+(2*B278))*'MATERIALES (2)'!$C$60)+((A278+(2*B278))*'MATERIALES (2)'!$C$58)+(A278*'MATERIALES (2)'!$C$62)+((((A278*4)+(B278*2))*'MATERIALES (2)'!$C$76)*2)+(A278*'MATERIALES (2)'!$C$61))*'MATERIALES (2)'!$F$2</f>
        <v>145313.61600000001</v>
      </c>
      <c r="D278" s="59">
        <f>(1*'MATERIALES (2)'!$C$193)+(1*'MATERIALES (2)'!$C$194)+(3*'MATERIALES (2)'!$C$196)+(2*'MATERIALES (2)'!$C$178)+(2*'MATERIALES (2)'!$C$179)+(2*'MATERIALES (2)'!$C$180)+(8*'MATERIALES (2)'!$C$147)+(8*'MATERIALES (2)'!$C$148)+((A278+(2*B278))*'MATERIALES (2)'!$C$199)+((A278+(2*B278))*'MATERIALES (2)'!$C$198)+(((A278*4)+(B278*2))*'MATERIALES (2)'!$C$130)+(((((A278*4)+(B278*2))/0.1)*'MATERIALES (2)'!$C$181)*2)+(2*'MATERIALES (2)'!$C$176)+(((A278*5)*2)*'MATERIALES (2)'!$C$136)+(4*'MATERIALES (2)'!$C$137)</f>
        <v>58236</v>
      </c>
      <c r="E278" s="75"/>
      <c r="F278" s="55">
        <f>(((A278*B278)*2)*'MATERIALES (2)'!$D$86)+(8*'MATERIALES (2)'!$C$218)+(((A278*4)+(B278*2))*'MATERIALES (2)'!$C$219)+(((A278*4)+(B278*2))*'MATERIALES (2)'!$C$220)+((((A278*4)+(B278*2))/15)*'MATERIALES (2)'!$C$221)+((((A278*4)+(B278*2))/15)*('MATERIALES (2)'!$C$222*0.15))</f>
        <v>36518.483333333337</v>
      </c>
      <c r="G278" s="59">
        <f t="shared" ref="G278:G284" si="80">SUM(C278:F278)</f>
        <v>240068.09933333335</v>
      </c>
      <c r="H278" s="67">
        <f t="shared" ref="H278:H284" si="81">((((SUM(C278:E278)*$C$273)+(F278*$F$273))*1.21)*1.05)*1.05</f>
        <v>464012.5127114401</v>
      </c>
      <c r="M278" s="68">
        <v>0.7</v>
      </c>
      <c r="N278" s="69">
        <v>2</v>
      </c>
      <c r="O278" s="59">
        <f>(((M278+(2*N278))*'MATERIALES (2)'!$C$60)+((M278+(2*N278))*'MATERIALES (2)'!$C$58)+(M278*'MATERIALES (2)'!$C$62)+(M278*'MATERIALES (2)'!$C$61)+(((M278-0.2)*'MATERIALES (2)'!$C$30)*((N278/2)/0.12))+((((M278*2)+(N278*1))*'MATERIALES (2)'!$C$76)*2))*'MATERIALES (2)'!$F$2</f>
        <v>179817.70100000003</v>
      </c>
      <c r="P278" s="59">
        <f>(1*'MATERIALES (2)'!$C$193)+(1*'MATERIALES (2)'!$C$194)+(3*'MATERIALES (2)'!$C$196)+(2*'MATERIALES (2)'!$C$178)+(2*'MATERIALES (2)'!$C$179)+(2*'MATERIALES (2)'!$C$180)+(8*'MATERIALES (2)'!$C$147)+(8*'MATERIALES (2)'!$C$148)+((M278+(2*N278))*'MATERIALES (2)'!$C$199)+((M278+(2*N278))*'MATERIALES (2)'!$C$198)+(((M278*2)+(N278*1))*'MATERIALES (2)'!$C$130)+(((M278*2)+(N278*1))*'MATERIALES (2)'!$C$154)+(((((M278*4)+(N278*2))/0.1)*'MATERIALES (2)'!$C$181)*2)+(0.25*'MATERIALES (2)'!$C$156)+(2*'MATERIALES (2)'!$C$176)+(((M278*5)*2)*'MATERIALES (2)'!$C$136)+(4*'MATERIALES (2)'!$C$137)</f>
        <v>60236</v>
      </c>
      <c r="Q278" s="75"/>
      <c r="R278" s="55">
        <f>(((M278*(N278/2))*2)*'MATERIALES (2)'!$D$86)+(4*'MATERIALES (2)'!$C$218)+(((M278*2)+((N278/2)*2))*'MATERIALES (2)'!$C$219)+(((M278*2)+((N278/2)*2))*'MATERIALES (2)'!$C$220)+((((M278*2)+((N278/2)*2))/15)*'MATERIALES (2)'!$C$221)+((((M278*2)+((N278/2)*2))/15)*('MATERIALES (2)'!$C$222*0.15))</f>
        <v>18259.241666666669</v>
      </c>
      <c r="S278" s="59">
        <f t="shared" ref="S278:S284" si="82">SUM(O278:R278)</f>
        <v>258312.9426666667</v>
      </c>
      <c r="T278" s="67">
        <f t="shared" ref="T278:T284" si="83">((((SUM(O278:Q278)*$O$273)+(R278*$R$273))*1.21)*1.05)*1.05</f>
        <v>481037.38167205889</v>
      </c>
    </row>
    <row r="279" spans="1:21" ht="15.75" thickBot="1">
      <c r="A279" s="68">
        <v>0.8</v>
      </c>
      <c r="B279" s="69">
        <v>2</v>
      </c>
      <c r="C279" s="59">
        <f>(((A279+(2*B279))*'MATERIALES (2)'!$C$60)+((A279+(2*B279))*'MATERIALES (2)'!$C$58)+(A279*'MATERIALES (2)'!$C$62)+((((A279*4)+(B279*2))*'MATERIALES (2)'!$C$76)*2)+(A279*'MATERIALES (2)'!$C$61))*'MATERIALES (2)'!$F$2</f>
        <v>152167.34400000001</v>
      </c>
      <c r="D279" s="59">
        <f>(1*'MATERIALES (2)'!$C$193)+(1*'MATERIALES (2)'!$C$194)+(3*'MATERIALES (2)'!$C$196)+(2*'MATERIALES (2)'!$C$178)+(2*'MATERIALES (2)'!$C$179)+(2*'MATERIALES (2)'!$C$180)+(8*'MATERIALES (2)'!$C$147)+(8*'MATERIALES (2)'!$C$148)+((A279+(2*B279))*'MATERIALES (2)'!$C$199)+((A279+(2*B279))*'MATERIALES (2)'!$C$198)+(((A279*4)+(B279*2))*'MATERIALES (2)'!$C$130)+(((((A279*4)+(B279*2))/0.1)*'MATERIALES (2)'!$C$181)*2)+(2*'MATERIALES (2)'!$C$176)+(((A279*5)*2)*'MATERIALES (2)'!$C$136)+(4*'MATERIALES (2)'!$C$137)</f>
        <v>58634</v>
      </c>
      <c r="E279" s="75"/>
      <c r="F279" s="55">
        <f>(((A279*B279)*2)*'MATERIALES (2)'!$D$86)+(8*'MATERIALES (2)'!$C$218)+(((A279*4)+(B279*2))*'MATERIALES (2)'!$C$219)+(((A279*4)+(B279*2))*'MATERIALES (2)'!$C$220)+((((A279*4)+(B279*2))/15)*'MATERIALES (2)'!$C$221)+((((A279*4)+(B279*2))/15)*('MATERIALES (2)'!$C$222*0.15))</f>
        <v>40723.1</v>
      </c>
      <c r="G279" s="59">
        <f t="shared" si="80"/>
        <v>251524.44400000002</v>
      </c>
      <c r="H279" s="67">
        <f t="shared" si="81"/>
        <v>488290.52190996008</v>
      </c>
      <c r="M279" s="68">
        <v>0.8</v>
      </c>
      <c r="N279" s="69">
        <v>2</v>
      </c>
      <c r="O279" s="59">
        <f>(((M279+(2*N279))*'MATERIALES (2)'!$C$60)+((M279+(2*N279))*'MATERIALES (2)'!$C$58)+(M279*'MATERIALES (2)'!$C$62)+(M279*'MATERIALES (2)'!$C$61)+(((M279-0.2)*'MATERIALES (2)'!$C$30)*((N279/2)/0.12))+((((M279*2)+(N279*1))*'MATERIALES (2)'!$C$76)*2))*'MATERIALES (2)'!$F$2</f>
        <v>195322.13399999999</v>
      </c>
      <c r="P279" s="59">
        <f>(1*'MATERIALES (2)'!$C$193)+(1*'MATERIALES (2)'!$C$194)+(3*'MATERIALES (2)'!$C$196)+(2*'MATERIALES (2)'!$C$178)+(2*'MATERIALES (2)'!$C$179)+(2*'MATERIALES (2)'!$C$180)+(8*'MATERIALES (2)'!$C$147)+(8*'MATERIALES (2)'!$C$148)+((M279+(2*N279))*'MATERIALES (2)'!$C$199)+((M279+(2*N279))*'MATERIALES (2)'!$C$198)+(((M279*2)+(N279*1))*'MATERIALES (2)'!$C$130)+(((M279*2)+(N279*1))*'MATERIALES (2)'!$C$154)+(((((M279*4)+(N279*2))/0.1)*'MATERIALES (2)'!$C$181)*2)+(0.25*'MATERIALES (2)'!$C$156)+(2*'MATERIALES (2)'!$C$176)+(((M279*5)*2)*'MATERIALES (2)'!$C$136)+(4*'MATERIALES (2)'!$C$137)</f>
        <v>60634</v>
      </c>
      <c r="Q279" s="75"/>
      <c r="R279" s="55">
        <f>(((M279*(N279/2))*2)*'MATERIALES (2)'!$D$86)+(4*'MATERIALES (2)'!$C$218)+(((M279*2)+((N279/2)*2))*'MATERIALES (2)'!$C$219)+(((M279*2)+((N279/2)*2))*'MATERIALES (2)'!$C$220)+((((M279*2)+((N279/2)*2))/15)*'MATERIALES (2)'!$C$221)+((((M279*2)+((N279/2)*2))/15)*('MATERIALES (2)'!$C$222*0.15))</f>
        <v>20361.55</v>
      </c>
      <c r="S279" s="59">
        <f t="shared" si="82"/>
        <v>276317.68400000001</v>
      </c>
      <c r="T279" s="67">
        <f t="shared" si="83"/>
        <v>515285.67371762253</v>
      </c>
    </row>
    <row r="280" spans="1:21" ht="15.75" thickBot="1">
      <c r="A280" s="68">
        <v>0.9</v>
      </c>
      <c r="B280" s="69">
        <v>2</v>
      </c>
      <c r="C280" s="59">
        <f>(((A280+(2*B280))*'MATERIALES (2)'!$C$60)+((A280+(2*B280))*'MATERIALES (2)'!$C$58)+(A280*'MATERIALES (2)'!$C$62)+((((A280*4)+(B280*2))*'MATERIALES (2)'!$C$76)*2)+(A280*'MATERIALES (2)'!$C$61))*'MATERIALES (2)'!$F$2</f>
        <v>159021.07200000001</v>
      </c>
      <c r="D280" s="59">
        <f>(1*'MATERIALES (2)'!$C$193)+(1*'MATERIALES (2)'!$C$194)+(3*'MATERIALES (2)'!$C$196)+(2*'MATERIALES (2)'!$C$178)+(2*'MATERIALES (2)'!$C$179)+(2*'MATERIALES (2)'!$C$180)+(8*'MATERIALES (2)'!$C$147)+(8*'MATERIALES (2)'!$C$148)+((A280+(2*B280))*'MATERIALES (2)'!$C$199)+((A280+(2*B280))*'MATERIALES (2)'!$C$198)+(((A280*4)+(B280*2))*'MATERIALES (2)'!$C$130)+(((((A280*4)+(B280*2))/0.1)*'MATERIALES (2)'!$C$181)*2)+(2*'MATERIALES (2)'!$C$176)+(((A280*5)*2)*'MATERIALES (2)'!$C$136)+(4*'MATERIALES (2)'!$C$137)</f>
        <v>59032</v>
      </c>
      <c r="E280" s="75"/>
      <c r="F280" s="55">
        <f>(((A280*B280)*2)*'MATERIALES (2)'!$D$86)+(8*'MATERIALES (2)'!$C$218)+(((A280*4)+(B280*2))*'MATERIALES (2)'!$C$219)+(((A280*4)+(B280*2))*'MATERIALES (2)'!$C$220)+((((A280*4)+(B280*2))/15)*'MATERIALES (2)'!$C$221)+((((A280*4)+(B280*2))/15)*('MATERIALES (2)'!$C$222*0.15))</f>
        <v>44927.716666666667</v>
      </c>
      <c r="G280" s="59">
        <f t="shared" si="80"/>
        <v>262980.78866666666</v>
      </c>
      <c r="H280" s="67">
        <f t="shared" si="81"/>
        <v>512568.53110848012</v>
      </c>
      <c r="M280" s="68">
        <v>0.9</v>
      </c>
      <c r="N280" s="69">
        <v>2</v>
      </c>
      <c r="O280" s="59">
        <f>(((M280+(2*N280))*'MATERIALES (2)'!$C$60)+((M280+(2*N280))*'MATERIALES (2)'!$C$58)+(M280*'MATERIALES (2)'!$C$62)+(M280*'MATERIALES (2)'!$C$61)+(((M280-0.2)*'MATERIALES (2)'!$C$30)*((N280/2)/0.12))+((((M280*2)+(N280*1))*'MATERIALES (2)'!$C$76)*2))*'MATERIALES (2)'!$F$2</f>
        <v>210826.56700000001</v>
      </c>
      <c r="P280" s="59">
        <f>(1*'MATERIALES (2)'!$C$193)+(1*'MATERIALES (2)'!$C$194)+(3*'MATERIALES (2)'!$C$196)+(2*'MATERIALES (2)'!$C$178)+(2*'MATERIALES (2)'!$C$179)+(2*'MATERIALES (2)'!$C$180)+(8*'MATERIALES (2)'!$C$147)+(8*'MATERIALES (2)'!$C$148)+((M280+(2*N280))*'MATERIALES (2)'!$C$199)+((M280+(2*N280))*'MATERIALES (2)'!$C$198)+(((M280*2)+(N280*1))*'MATERIALES (2)'!$C$130)+(((M280*2)+(N280*1))*'MATERIALES (2)'!$C$154)+(((((M280*4)+(N280*2))/0.1)*'MATERIALES (2)'!$C$181)*2)+(0.25*'MATERIALES (2)'!$C$156)+(2*'MATERIALES (2)'!$C$176)+(((M280*5)*2)*'MATERIALES (2)'!$C$136)+(4*'MATERIALES (2)'!$C$137)</f>
        <v>61032</v>
      </c>
      <c r="Q280" s="75"/>
      <c r="R280" s="55">
        <f>(((M280*(N280/2))*2)*'MATERIALES (2)'!$D$86)+(4*'MATERIALES (2)'!$C$218)+(((M280*2)+((N280/2)*2))*'MATERIALES (2)'!$C$219)+(((M280*2)+((N280/2)*2))*'MATERIALES (2)'!$C$220)+((((M280*2)+((N280/2)*2))/15)*'MATERIALES (2)'!$C$221)+((((M280*2)+((N280/2)*2))/15)*('MATERIALES (2)'!$C$222*0.15))</f>
        <v>22463.858333333334</v>
      </c>
      <c r="S280" s="59">
        <f t="shared" si="82"/>
        <v>294322.42533333338</v>
      </c>
      <c r="T280" s="67">
        <f t="shared" si="83"/>
        <v>549533.96576318634</v>
      </c>
    </row>
    <row r="281" spans="1:21" ht="15.75" thickBot="1">
      <c r="A281" s="68">
        <v>0.6</v>
      </c>
      <c r="B281" s="69">
        <v>2.1</v>
      </c>
      <c r="C281" s="59">
        <f>(((A281+(2*B281))*'MATERIALES (2)'!$C$60)+((A281+(2*B281))*'MATERIALES (2)'!$C$58)+(A281*'MATERIALES (2)'!$C$62)+((((A281*4)+(B281*2))*'MATERIALES (2)'!$C$76)*2)+(A281*'MATERIALES (2)'!$C$61))*'MATERIALES (2)'!$F$2</f>
        <v>143326.76399999997</v>
      </c>
      <c r="D281" s="59">
        <f>(1*'MATERIALES (2)'!$C$193)+(1*'MATERIALES (2)'!$C$194)+(3*'MATERIALES (2)'!$C$196)+(2*'MATERIALES (2)'!$C$178)+(2*'MATERIALES (2)'!$C$179)+(2*'MATERIALES (2)'!$C$180)+(8*'MATERIALES (2)'!$C$147)+(8*'MATERIALES (2)'!$C$148)+((A281+(2*B281))*'MATERIALES (2)'!$C$199)+((A281+(2*B281))*'MATERIALES (2)'!$C$198)+(((A281*4)+(B281*2))*'MATERIALES (2)'!$C$130)+(((((A281*4)+(B281*2))/0.1)*'MATERIALES (2)'!$C$181)*2)+(2*'MATERIALES (2)'!$C$176)+(((A281*5)*2)*'MATERIALES (2)'!$C$136)+(4*'MATERIALES (2)'!$C$137)</f>
        <v>58130</v>
      </c>
      <c r="E281" s="75"/>
      <c r="F281" s="55">
        <f>(((A281*B281)*2)*'MATERIALES (2)'!$D$86)+(8*'MATERIALES (2)'!$C$218)+(((A281*4)+(B281*2))*'MATERIALES (2)'!$C$219)+(((A281*4)+(B281*2))*'MATERIALES (2)'!$C$220)+((((A281*4)+(B281*2))/15)*'MATERIALES (2)'!$C$221)+((((A281*4)+(B281*2))/15)*('MATERIALES (2)'!$C$222*0.15))</f>
        <v>33710.575000000004</v>
      </c>
      <c r="G281" s="59">
        <f t="shared" si="80"/>
        <v>235167.33899999998</v>
      </c>
      <c r="H281" s="67">
        <f t="shared" si="81"/>
        <v>452751.785082135</v>
      </c>
      <c r="M281" s="68">
        <v>0.6</v>
      </c>
      <c r="N281" s="69">
        <v>2.1</v>
      </c>
      <c r="O281" s="59">
        <f>(((M281+(2*N281))*'MATERIALES (2)'!$C$60)+((M281+(2*N281))*'MATERIALES (2)'!$C$58)+(M281*'MATERIALES (2)'!$C$62)+(M281*'MATERIALES (2)'!$C$61)+(((M281-0.2)*'MATERIALES (2)'!$C$30)*((N281/2)/0.12))+((((M281*2)+(N281*1))*'MATERIALES (2)'!$C$76)*2))*'MATERIALES (2)'!$F$2</f>
        <v>170691.54899999997</v>
      </c>
      <c r="P281" s="59">
        <f>(1*'MATERIALES (2)'!$C$193)+(1*'MATERIALES (2)'!$C$194)+(3*'MATERIALES (2)'!$C$196)+(2*'MATERIALES (2)'!$C$178)+(2*'MATERIALES (2)'!$C$179)+(2*'MATERIALES (2)'!$C$180)+(8*'MATERIALES (2)'!$C$147)+(8*'MATERIALES (2)'!$C$148)+((M281+(2*N281))*'MATERIALES (2)'!$C$199)+((M281+(2*N281))*'MATERIALES (2)'!$C$198)+(((M281*2)+(N281*1))*'MATERIALES (2)'!$C$130)+(((M281*2)+(N281*1))*'MATERIALES (2)'!$C$154)+(((((M281*4)+(N281*2))/0.1)*'MATERIALES (2)'!$C$181)*2)+(0.25*'MATERIALES (2)'!$C$156)+(2*'MATERIALES (2)'!$C$176)+(((M281*5)*2)*'MATERIALES (2)'!$C$136)+(4*'MATERIALES (2)'!$C$137)</f>
        <v>60130</v>
      </c>
      <c r="Q281" s="75"/>
      <c r="R281" s="55">
        <f>(((M281*(N281/2))*2)*'MATERIALES (2)'!$D$86)+(4*'MATERIALES (2)'!$C$218)+(((M281*2)+((N281/2)*2))*'MATERIALES (2)'!$C$219)+(((M281*2)+((N281/2)*2))*'MATERIALES (2)'!$C$220)+((((M281*2)+((N281/2)*2))/15)*'MATERIALES (2)'!$C$221)+((((M281*2)+((N281/2)*2))/15)*('MATERIALES (2)'!$C$222*0.15))</f>
        <v>16855.287500000002</v>
      </c>
      <c r="S281" s="59">
        <f t="shared" si="82"/>
        <v>247676.83649999998</v>
      </c>
      <c r="T281" s="67">
        <f t="shared" si="83"/>
        <v>460665.06763575377</v>
      </c>
    </row>
    <row r="282" spans="1:21" ht="15.75" thickBot="1">
      <c r="A282" s="68">
        <v>0.7</v>
      </c>
      <c r="B282" s="69">
        <v>2.1</v>
      </c>
      <c r="C282" s="59">
        <f>(((A282+(2*B282))*'MATERIALES (2)'!$C$60)+((A282+(2*B282))*'MATERIALES (2)'!$C$58)+(A282*'MATERIALES (2)'!$C$62)+((((A282*4)+(B282*2))*'MATERIALES (2)'!$C$76)*2)+(A282*'MATERIALES (2)'!$C$61))*'MATERIALES (2)'!$F$2</f>
        <v>150180.492</v>
      </c>
      <c r="D282" s="59">
        <f>(1*'MATERIALES (2)'!$C$193)+(1*'MATERIALES (2)'!$C$194)+(3*'MATERIALES (2)'!$C$196)+(2*'MATERIALES (2)'!$C$178)+(2*'MATERIALES (2)'!$C$179)+(2*'MATERIALES (2)'!$C$180)+(8*'MATERIALES (2)'!$C$147)+(8*'MATERIALES (2)'!$C$148)+((A282+(2*B282))*'MATERIALES (2)'!$C$199)+((A282+(2*B282))*'MATERIALES (2)'!$C$198)+(((A282*4)+(B282*2))*'MATERIALES (2)'!$C$130)+(((((A282*4)+(B282*2))/0.1)*'MATERIALES (2)'!$C$181)*2)+(2*'MATERIALES (2)'!$C$176)+(((A282*5)*2)*'MATERIALES (2)'!$C$136)+(4*'MATERIALES (2)'!$C$137)</f>
        <v>58528</v>
      </c>
      <c r="E282" s="75"/>
      <c r="F282" s="55">
        <f>(((A282*B282)*2)*'MATERIALES (2)'!$D$86)+(8*'MATERIALES (2)'!$C$218)+(((A282*4)+(B282*2))*'MATERIALES (2)'!$C$219)+(((A282*4)+(B282*2))*'MATERIALES (2)'!$C$220)+((((A282*4)+(B282*2))/15)*'MATERIALES (2)'!$C$221)+((((A282*4)+(B282*2))/15)*('MATERIALES (2)'!$C$222*0.15))</f>
        <v>38091.591666666667</v>
      </c>
      <c r="G282" s="59">
        <f t="shared" si="80"/>
        <v>246800.08366666667</v>
      </c>
      <c r="H282" s="67">
        <f t="shared" si="81"/>
        <v>477500.43830065499</v>
      </c>
      <c r="M282" s="68">
        <v>0.7</v>
      </c>
      <c r="N282" s="69">
        <v>2.1</v>
      </c>
      <c r="O282" s="59">
        <f>(((M282+(2*N282))*'MATERIALES (2)'!$C$60)+((M282+(2*N282))*'MATERIALES (2)'!$C$58)+(M282*'MATERIALES (2)'!$C$62)+(M282*'MATERIALES (2)'!$C$61)+(((M282-0.2)*'MATERIALES (2)'!$C$30)*((N282/2)/0.12))+((((M282*2)+(N282*1))*'MATERIALES (2)'!$C$76)*2))*'MATERIALES (2)'!$F$2</f>
        <v>186664.97324999998</v>
      </c>
      <c r="P282" s="59">
        <f>(1*'MATERIALES (2)'!$C$193)+(1*'MATERIALES (2)'!$C$194)+(3*'MATERIALES (2)'!$C$196)+(2*'MATERIALES (2)'!$C$178)+(2*'MATERIALES (2)'!$C$179)+(2*'MATERIALES (2)'!$C$180)+(8*'MATERIALES (2)'!$C$147)+(8*'MATERIALES (2)'!$C$148)+((M282+(2*N282))*'MATERIALES (2)'!$C$199)+((M282+(2*N282))*'MATERIALES (2)'!$C$198)+(((M282*2)+(N282*1))*'MATERIALES (2)'!$C$130)+(((M282*2)+(N282*1))*'MATERIALES (2)'!$C$154)+(((((M282*4)+(N282*2))/0.1)*'MATERIALES (2)'!$C$181)*2)+(0.25*'MATERIALES (2)'!$C$156)+(2*'MATERIALES (2)'!$C$176)+(((M282*5)*2)*'MATERIALES (2)'!$C$136)+(4*'MATERIALES (2)'!$C$137)</f>
        <v>60528</v>
      </c>
      <c r="Q282" s="75"/>
      <c r="R282" s="55">
        <f>(((M282*(N282/2))*2)*'MATERIALES (2)'!$D$86)+(4*'MATERIALES (2)'!$C$218)+(((M282*2)+((N282/2)*2))*'MATERIALES (2)'!$C$219)+(((M282*2)+((N282/2)*2))*'MATERIALES (2)'!$C$220)+((((M282*2)+((N282/2)*2))/15)*'MATERIALES (2)'!$C$221)+((((M282*2)+((N282/2)*2))/15)*('MATERIALES (2)'!$C$222*0.15))</f>
        <v>19045.795833333334</v>
      </c>
      <c r="S282" s="59">
        <f t="shared" si="82"/>
        <v>266238.76908333332</v>
      </c>
      <c r="T282" s="67">
        <f t="shared" si="83"/>
        <v>495993.30386189721</v>
      </c>
    </row>
    <row r="283" spans="1:21" ht="15.75" thickBot="1">
      <c r="A283" s="68">
        <v>0.8</v>
      </c>
      <c r="B283" s="69">
        <v>2.1</v>
      </c>
      <c r="C283" s="59">
        <f>(((A283+(2*B283))*'MATERIALES (2)'!$C$60)+((A283+(2*B283))*'MATERIALES (2)'!$C$58)+(A283*'MATERIALES (2)'!$C$62)+((((A283*4)+(B283*2))*'MATERIALES (2)'!$C$76)*2)+(A283*'MATERIALES (2)'!$C$61))*'MATERIALES (2)'!$F$2</f>
        <v>157034.22</v>
      </c>
      <c r="D283" s="59">
        <f>(1*'MATERIALES (2)'!$C$193)+(1*'MATERIALES (2)'!$C$194)+(3*'MATERIALES (2)'!$C$196)+(2*'MATERIALES (2)'!$C$178)+(2*'MATERIALES (2)'!$C$179)+(2*'MATERIALES (2)'!$C$180)+(8*'MATERIALES (2)'!$C$147)+(8*'MATERIALES (2)'!$C$148)+((A283+(2*B283))*'MATERIALES (2)'!$C$199)+((A283+(2*B283))*'MATERIALES (2)'!$C$198)+(((A283*4)+(B283*2))*'MATERIALES (2)'!$C$130)+(((((A283*4)+(B283*2))/0.1)*'MATERIALES (2)'!$C$181)*2)+(2*'MATERIALES (2)'!$C$176)+(((A283*5)*2)*'MATERIALES (2)'!$C$136)+(4*'MATERIALES (2)'!$C$137)</f>
        <v>58926</v>
      </c>
      <c r="E283" s="75"/>
      <c r="F283" s="55">
        <f>(((A283*B283)*2)*'MATERIALES (2)'!$D$86)+(8*'MATERIALES (2)'!$C$218)+(((A283*4)+(B283*2))*'MATERIALES (2)'!$C$219)+(((A283*4)+(B283*2))*'MATERIALES (2)'!$C$220)+((((A283*4)+(B283*2))/15)*'MATERIALES (2)'!$C$221)+((((A283*4)+(B283*2))/15)*('MATERIALES (2)'!$C$222*0.15))</f>
        <v>42472.608333333337</v>
      </c>
      <c r="G283" s="59">
        <f t="shared" si="80"/>
        <v>258432.82833333334</v>
      </c>
      <c r="H283" s="67">
        <f t="shared" si="81"/>
        <v>502249.09151917504</v>
      </c>
      <c r="M283" s="68">
        <v>0.8</v>
      </c>
      <c r="N283" s="69">
        <v>2.1</v>
      </c>
      <c r="O283" s="59">
        <f>(((M283+(2*N283))*'MATERIALES (2)'!$C$60)+((M283+(2*N283))*'MATERIALES (2)'!$C$58)+(M283*'MATERIALES (2)'!$C$62)+(M283*'MATERIALES (2)'!$C$61)+(((M283-0.2)*'MATERIALES (2)'!$C$30)*((N283/2)/0.12))+((((M283*2)+(N283*1))*'MATERIALES (2)'!$C$76)*2))*'MATERIALES (2)'!$F$2</f>
        <v>202638.39750000002</v>
      </c>
      <c r="P283" s="59">
        <f>(1*'MATERIALES (2)'!$C$193)+(1*'MATERIALES (2)'!$C$194)+(3*'MATERIALES (2)'!$C$196)+(2*'MATERIALES (2)'!$C$178)+(2*'MATERIALES (2)'!$C$179)+(2*'MATERIALES (2)'!$C$180)+(8*'MATERIALES (2)'!$C$147)+(8*'MATERIALES (2)'!$C$148)+((M283+(2*N283))*'MATERIALES (2)'!$C$199)+((M283+(2*N283))*'MATERIALES (2)'!$C$198)+(((M283*2)+(N283*1))*'MATERIALES (2)'!$C$130)+(((M283*2)+(N283*1))*'MATERIALES (2)'!$C$154)+(((((M283*4)+(N283*2))/0.1)*'MATERIALES (2)'!$C$181)*2)+(0.25*'MATERIALES (2)'!$C$156)+(2*'MATERIALES (2)'!$C$176)+(((M283*5)*2)*'MATERIALES (2)'!$C$136)+(4*'MATERIALES (2)'!$C$137)</f>
        <v>60926</v>
      </c>
      <c r="Q283" s="75"/>
      <c r="R283" s="55">
        <f>(((M283*(N283/2))*2)*'MATERIALES (2)'!$D$86)+(4*'MATERIALES (2)'!$C$218)+(((M283*2)+((N283/2)*2))*'MATERIALES (2)'!$C$219)+(((M283*2)+((N283/2)*2))*'MATERIALES (2)'!$C$220)+((((M283*2)+((N283/2)*2))/15)*'MATERIALES (2)'!$C$221)+((((M283*2)+((N283/2)*2))/15)*('MATERIALES (2)'!$C$222*0.15))</f>
        <v>21236.304166666669</v>
      </c>
      <c r="S283" s="59">
        <f t="shared" si="82"/>
        <v>284800.70166666666</v>
      </c>
      <c r="T283" s="67">
        <f t="shared" si="83"/>
        <v>531321.54008804075</v>
      </c>
    </row>
    <row r="284" spans="1:21" ht="15.75" thickBot="1">
      <c r="A284" s="71">
        <v>0.9</v>
      </c>
      <c r="B284" s="72">
        <v>2.1</v>
      </c>
      <c r="C284" s="60">
        <f>(((A284+(2*B284))*'MATERIALES (2)'!$C$60)+((A284+(2*B284))*'MATERIALES (2)'!$C$58)+(A284*'MATERIALES (2)'!$C$62)+((((A284*4)+(B284*2))*'MATERIALES (2)'!$C$76)*2)+(A284*'MATERIALES (2)'!$C$61))*'MATERIALES (2)'!$F$2</f>
        <v>163887.94800000003</v>
      </c>
      <c r="D284" s="60">
        <f>(1*'MATERIALES (2)'!$C$193)+(1*'MATERIALES (2)'!$C$194)+(3*'MATERIALES (2)'!$C$196)+(2*'MATERIALES (2)'!$C$178)+(2*'MATERIALES (2)'!$C$179)+(2*'MATERIALES (2)'!$C$180)+(8*'MATERIALES (2)'!$C$147)+(8*'MATERIALES (2)'!$C$148)+((A284+(2*B284))*'MATERIALES (2)'!$C$199)+((A284+(2*B284))*'MATERIALES (2)'!$C$198)+(((A284*4)+(B284*2))*'MATERIALES (2)'!$C$130)+(((((A284*4)+(B284*2))/0.1)*'MATERIALES (2)'!$C$181)*2)+(2*'MATERIALES (2)'!$C$176)+(((A284*5)*2)*'MATERIALES (2)'!$C$136)+(4*'MATERIALES (2)'!$C$137)</f>
        <v>59324</v>
      </c>
      <c r="E284" s="76"/>
      <c r="F284" s="56">
        <f>(((A284*B284)*2)*'MATERIALES (2)'!$D$86)+(8*'MATERIALES (2)'!$C$218)+(((A284*4)+(B284*2))*'MATERIALES (2)'!$C$219)+(((A284*4)+(B284*2))*'MATERIALES (2)'!$C$220)+((((A284*4)+(B284*2))/15)*'MATERIALES (2)'!$C$221)+((((A284*4)+(B284*2))/15)*('MATERIALES (2)'!$C$222*0.15))</f>
        <v>46853.625000000007</v>
      </c>
      <c r="G284" s="60">
        <f t="shared" si="80"/>
        <v>270065.57300000003</v>
      </c>
      <c r="H284" s="67">
        <f t="shared" si="81"/>
        <v>526997.74473769509</v>
      </c>
      <c r="M284" s="71">
        <v>0.9</v>
      </c>
      <c r="N284" s="72">
        <v>2.1</v>
      </c>
      <c r="O284" s="60">
        <f>(((M284+(2*N284))*'MATERIALES (2)'!$C$60)+((M284+(2*N284))*'MATERIALES (2)'!$C$58)+(M284*'MATERIALES (2)'!$C$62)+(M284*'MATERIALES (2)'!$C$61)+(((M284-0.2)*'MATERIALES (2)'!$C$30)*((N284/2)/0.12))+((((M284*2)+(N284*1))*'MATERIALES (2)'!$C$76)*2))*'MATERIALES (2)'!$F$2</f>
        <v>218611.82175000003</v>
      </c>
      <c r="P284" s="60">
        <f>(1*'MATERIALES (2)'!$C$193)+(1*'MATERIALES (2)'!$C$194)+(3*'MATERIALES (2)'!$C$196)+(2*'MATERIALES (2)'!$C$178)+(2*'MATERIALES (2)'!$C$179)+(2*'MATERIALES (2)'!$C$180)+(8*'MATERIALES (2)'!$C$147)+(8*'MATERIALES (2)'!$C$148)+((M284+(2*N284))*'MATERIALES (2)'!$C$199)+((M284+(2*N284))*'MATERIALES (2)'!$C$198)+(((M284*2)+(N284*1))*'MATERIALES (2)'!$C$130)+(((M284*2)+(N284*1))*'MATERIALES (2)'!$C$154)+(((((M284*4)+(N284*2))/0.1)*'MATERIALES (2)'!$C$181)*2)+(0.25*'MATERIALES (2)'!$C$156)+(2*'MATERIALES (2)'!$C$176)+(((M284*5)*2)*'MATERIALES (2)'!$C$136)+(4*'MATERIALES (2)'!$C$137)</f>
        <v>61324</v>
      </c>
      <c r="Q284" s="76"/>
      <c r="R284" s="56">
        <f>(((M284*(N284/2))*2)*'MATERIALES (2)'!$D$86)+(4*'MATERIALES (2)'!$C$218)+(((M284*2)+((N284/2)*2))*'MATERIALES (2)'!$C$219)+(((M284*2)+((N284/2)*2))*'MATERIALES (2)'!$C$220)+((((M284*2)+((N284/2)*2))/15)*'MATERIALES (2)'!$C$221)+((((M284*2)+((N284/2)*2))/15)*('MATERIALES (2)'!$C$222*0.15))</f>
        <v>23426.812500000004</v>
      </c>
      <c r="S284" s="60">
        <f t="shared" si="82"/>
        <v>303362.63425</v>
      </c>
      <c r="T284" s="67">
        <f t="shared" si="83"/>
        <v>566649.77631418407</v>
      </c>
    </row>
    <row r="286" spans="1:21" ht="15.75" thickBot="1"/>
    <row r="287" spans="1:21" ht="15.75" thickBot="1">
      <c r="A287" s="32"/>
      <c r="B287" s="32"/>
      <c r="C287" s="807">
        <v>1.35</v>
      </c>
      <c r="D287" s="808"/>
      <c r="E287" s="809"/>
      <c r="F287" s="545">
        <v>2</v>
      </c>
      <c r="G287" s="32"/>
      <c r="H287" s="46" t="s">
        <v>163</v>
      </c>
      <c r="M287" s="32"/>
      <c r="N287" s="32"/>
      <c r="O287" s="807">
        <v>1.35</v>
      </c>
      <c r="P287" s="808"/>
      <c r="Q287" s="809"/>
      <c r="R287" s="545">
        <v>2</v>
      </c>
      <c r="S287" s="32"/>
      <c r="T287" s="46" t="s">
        <v>163</v>
      </c>
    </row>
    <row r="288" spans="1:21" ht="15.75" thickBot="1">
      <c r="A288" s="792" t="s">
        <v>735</v>
      </c>
      <c r="B288" s="793"/>
      <c r="C288" s="793"/>
      <c r="D288" s="793"/>
      <c r="E288" s="793"/>
      <c r="F288" s="793"/>
      <c r="G288" s="793"/>
      <c r="H288" s="794"/>
      <c r="M288" s="792" t="s">
        <v>736</v>
      </c>
      <c r="N288" s="793"/>
      <c r="O288" s="793"/>
      <c r="P288" s="793"/>
      <c r="Q288" s="793"/>
      <c r="R288" s="793"/>
      <c r="S288" s="793"/>
      <c r="T288" s="794"/>
      <c r="U288" s="64" t="s">
        <v>381</v>
      </c>
    </row>
    <row r="289" spans="1:30" ht="15.75" thickBot="1">
      <c r="A289" s="36" t="s">
        <v>116</v>
      </c>
      <c r="B289" s="36" t="s">
        <v>117</v>
      </c>
      <c r="C289" s="36" t="s">
        <v>162</v>
      </c>
      <c r="D289" s="36" t="s">
        <v>119</v>
      </c>
      <c r="E289" s="36" t="s">
        <v>120</v>
      </c>
      <c r="F289" s="36" t="s">
        <v>118</v>
      </c>
      <c r="G289" s="36" t="s">
        <v>121</v>
      </c>
      <c r="H289" s="36" t="s">
        <v>122</v>
      </c>
      <c r="M289" s="36" t="s">
        <v>116</v>
      </c>
      <c r="N289" s="36" t="s">
        <v>117</v>
      </c>
      <c r="O289" s="36" t="s">
        <v>162</v>
      </c>
      <c r="P289" s="36" t="s">
        <v>119</v>
      </c>
      <c r="Q289" s="36" t="s">
        <v>120</v>
      </c>
      <c r="R289" s="36" t="s">
        <v>118</v>
      </c>
      <c r="S289" s="36" t="s">
        <v>121</v>
      </c>
      <c r="T289" s="36" t="s">
        <v>122</v>
      </c>
    </row>
    <row r="290" spans="1:30" ht="15.75" thickBot="1">
      <c r="A290" s="795"/>
      <c r="B290" s="796"/>
      <c r="C290" s="796"/>
      <c r="D290" s="796"/>
      <c r="E290" s="796"/>
      <c r="F290" s="796"/>
      <c r="G290" s="796"/>
      <c r="H290" s="797"/>
      <c r="M290" s="795"/>
      <c r="N290" s="796"/>
      <c r="O290" s="796"/>
      <c r="P290" s="796"/>
      <c r="Q290" s="796"/>
      <c r="R290" s="796"/>
      <c r="S290" s="796"/>
      <c r="T290" s="797"/>
    </row>
    <row r="291" spans="1:30" ht="15.75" thickBot="1">
      <c r="A291" s="65">
        <v>0.6</v>
      </c>
      <c r="B291" s="66">
        <v>2</v>
      </c>
      <c r="C291" s="58">
        <f>(((A291+(2*B291))*'MATERIALES (2)'!$C$60)+((A291+(2*B291))*'MATERIALES (2)'!$C$58)+(A291*'MATERIALES (2)'!$C$62)+((((A291*2)+(B291*6))*'MATERIALES (2)'!$C$76)*2)+((B291*2)*'MATERIALES (2)'!$C$61))*'MATERIALES (2)'!$F$2</f>
        <v>207794.64299999998</v>
      </c>
      <c r="D291" s="58">
        <f>(1*'MATERIALES (2)'!$C$193)+(1*'MATERIALES (2)'!$C$194)+(3*'MATERIALES (2)'!$C$196)+(2*'MATERIALES (2)'!$C$178)+(2*'MATERIALES (2)'!$C$179)+(2*'MATERIALES (2)'!$C$180)+(12*'MATERIALES (2)'!$C$147)+(12*'MATERIALES (2)'!$C$148)+((A291+(2*B291))*'MATERIALES (2)'!$C$199)+((A291+(2*B291))*'MATERIALES (2)'!$C$198)+(((A291*2)+(B291*6))*'MATERIALES (2)'!$C$130)+(((((A291*2)+(B291*6))/0.1)*'MATERIALES (2)'!$C$181)*2)+(2*'MATERIALES (2)'!$C$176)+(((A291*5)*2)*'MATERIALES (2)'!$C$136)+(4*'MATERIALES (2)'!$C$137)</f>
        <v>64310</v>
      </c>
      <c r="E291" s="74"/>
      <c r="F291" s="54">
        <f>((((A291/1.3)*B291)*2)*'MATERIALES (2)'!$D$86)+(12*'MATERIALES (2)'!$C$218)+(((A291*2)+(B291*6))*'MATERIALES (2)'!$C$219)+(((A291*2)+(B291*6))*'MATERIALES (2)'!$C$220)+((((A291*2)+(B291*6))/15)*'MATERIALES (2)'!$C$221)+((((A291*2)+(B291*6))/15)*('MATERIALES (2)'!$C$222*0.15))</f>
        <v>39091.426923076921</v>
      </c>
      <c r="G291" s="58">
        <f>SUM(C291:F291)</f>
        <v>311196.0699230769</v>
      </c>
      <c r="H291" s="67">
        <f>((((SUM(C291:E291)*$C$287)+(F291*$F$287))*1.21)*1.05)*1.05</f>
        <v>594340.31671251671</v>
      </c>
      <c r="M291" s="65">
        <v>0.6</v>
      </c>
      <c r="N291" s="66">
        <v>2</v>
      </c>
      <c r="O291" s="58">
        <f>(((M291+(2*N291))*'MATERIALES (2)'!$C$60)+((M291+(2*N291))*'MATERIALES (2)'!$C$58)+(M291*'MATERIALES (2)'!$C$62)+((M291*4)*'MATERIALES (2)'!$C$61)+((((M291*10)+(N291*2))*'MATERIALES (2)'!$C$76)*2))*'MATERIALES (2)'!$F$2</f>
        <v>175166.52299999999</v>
      </c>
      <c r="P291" s="58">
        <f>(1*'MATERIALES (2)'!$C$193)+(1*'MATERIALES (2)'!$C$194)+(3*'MATERIALES (2)'!$C$196)+(2*'MATERIALES (2)'!$C$178)+(2*'MATERIALES (2)'!$C$179)+(2*'MATERIALES (2)'!$C$180)+(20*'MATERIALES (2)'!$C$147)+(20*'MATERIALES (2)'!$C$148)+((M291+(2*N291))*'MATERIALES (2)'!$C$199)+((M291+(2*N291))*'MATERIALES (2)'!$C$198)+(((M291*10)+(N291*2))*'MATERIALES (2)'!$C$130)+(((((M291*10)+(N291*2))/0.1)*'MATERIALES (2)'!$C$181)*2)+(2*'MATERIALES (2)'!$C$176)+(((M291*5)*2)*'MATERIALES (2)'!$C$136)+(4*'MATERIALES (2)'!$C$137)</f>
        <v>63142</v>
      </c>
      <c r="Q291" s="74"/>
      <c r="R291" s="54">
        <f>(((M291*N291)*2)*'MATERIALES (2)'!$D$86)+(20*'MATERIALES (2)'!$C$218)+(((M291*10)+(N291*2))*'MATERIALES (2)'!$C$219)+(((M291*10)+(N291*2))*'MATERIALES (2)'!$C$220)+((((M291*10)+(N291*2))/15)*'MATERIALES (2)'!$C$221)+((((M291*10)+(N291*2))/15)*('MATERIALES (2)'!$C$222*0.15))</f>
        <v>38883.416666666664</v>
      </c>
      <c r="S291" s="58">
        <f>SUM(O291:R291)</f>
        <v>277191.93966666667</v>
      </c>
      <c r="T291" s="67">
        <f>((((SUM(O291:Q291)*$O$287)+(R291*$R$287))*1.21)*1.05)*1.05</f>
        <v>532920.76182085124</v>
      </c>
    </row>
    <row r="292" spans="1:30" ht="15.75" thickBot="1">
      <c r="A292" s="68">
        <v>0.7</v>
      </c>
      <c r="B292" s="69">
        <v>2</v>
      </c>
      <c r="C292" s="59">
        <f>(((A292+(2*B292))*'MATERIALES (2)'!$C$60)+((A292+(2*B292))*'MATERIALES (2)'!$C$58)+(A292*'MATERIALES (2)'!$C$62)+((((A292*2)+(B292*6))*'MATERIALES (2)'!$C$76)*2)+((B292*2)*'MATERIALES (2)'!$C$61))*'MATERIALES (2)'!$F$2</f>
        <v>212609.11349999998</v>
      </c>
      <c r="D292" s="59">
        <f>(1*'MATERIALES (2)'!$C$193)+(1*'MATERIALES (2)'!$C$194)+(3*'MATERIALES (2)'!$C$196)+(2*'MATERIALES (2)'!$C$178)+(2*'MATERIALES (2)'!$C$179)+(2*'MATERIALES (2)'!$C$180)+(12*'MATERIALES (2)'!$C$147)+(12*'MATERIALES (2)'!$C$148)+((A292+(2*B292))*'MATERIALES (2)'!$C$199)+((A292+(2*B292))*'MATERIALES (2)'!$C$198)+(((A292*2)+(B292*6))*'MATERIALES (2)'!$C$130)+(((((A292*2)+(B292*6))/0.1)*'MATERIALES (2)'!$C$181)*2)+(2*'MATERIALES (2)'!$C$176)+(((A292*5)*2)*'MATERIALES (2)'!$C$136)+(4*'MATERIALES (2)'!$C$137)</f>
        <v>64540</v>
      </c>
      <c r="E292" s="75"/>
      <c r="F292" s="55">
        <f>((((A292/1.3)*B292)*2)*'MATERIALES (2)'!$D$86)+(12*'MATERIALES (2)'!$C$218)+(((A292*2)+(B292*6))*'MATERIALES (2)'!$C$219)+(((A292*2)+(B292*6))*'MATERIALES (2)'!$C$220)+((((A292*2)+(B292*6))/15)*'MATERIALES (2)'!$C$221)+((((A292*2)+(B292*6))/15)*('MATERIALES (2)'!$C$222*0.15))</f>
        <v>42143.581410256404</v>
      </c>
      <c r="G292" s="59">
        <f t="shared" ref="G292:G298" si="84">SUM(C292:F292)</f>
        <v>319292.69491025637</v>
      </c>
      <c r="H292" s="67">
        <f t="shared" ref="H292:H298" si="85">((((SUM(C292:E292)*$C$287)+(F292*$F$287))*1.21)*1.05)*1.05</f>
        <v>611568.37466636521</v>
      </c>
      <c r="M292" s="68">
        <v>0.7</v>
      </c>
      <c r="N292" s="69">
        <v>2</v>
      </c>
      <c r="O292" s="59">
        <f>(((M292+(2*N292))*'MATERIALES (2)'!$C$60)+((M292+(2*N292))*'MATERIALES (2)'!$C$58)+(M292*'MATERIALES (2)'!$C$62)+((M292*4)*'MATERIALES (2)'!$C$61)+((((M292*10)+(N292*2))*'MATERIALES (2)'!$C$76)*2))*'MATERIALES (2)'!$F$2</f>
        <v>188138.02349999998</v>
      </c>
      <c r="P292" s="59">
        <f>(1*'MATERIALES (2)'!$C$193)+(1*'MATERIALES (2)'!$C$194)+(3*'MATERIALES (2)'!$C$196)+(2*'MATERIALES (2)'!$C$178)+(2*'MATERIALES (2)'!$C$179)+(2*'MATERIALES (2)'!$C$180)+(20*'MATERIALES (2)'!$C$147)+(20*'MATERIALES (2)'!$C$148)+((M292+(2*N292))*'MATERIALES (2)'!$C$199)+((M292+(2*N292))*'MATERIALES (2)'!$C$198)+(((M292*10)+(N292*2))*'MATERIALES (2)'!$C$130)+(((((M292*10)+(N292*2))/0.1)*'MATERIALES (2)'!$C$181)*2)+(2*'MATERIALES (2)'!$C$176)+(((M292*5)*2)*'MATERIALES (2)'!$C$136)+(4*'MATERIALES (2)'!$C$137)</f>
        <v>64044</v>
      </c>
      <c r="Q292" s="75"/>
      <c r="R292" s="55">
        <f>(((M292*N292)*2)*'MATERIALES (2)'!$D$86)+(20*'MATERIALES (2)'!$C$218)+(((M292*10)+(N292*2))*'MATERIALES (2)'!$C$219)+(((M292*10)+(N292*2))*'MATERIALES (2)'!$C$220)+((((M292*10)+(N292*2))/15)*'MATERIALES (2)'!$C$221)+((((M292*10)+(N292*2))/15)*('MATERIALES (2)'!$C$222*0.15))</f>
        <v>44102.958333333328</v>
      </c>
      <c r="S292" s="59">
        <f t="shared" ref="S292:S298" si="86">SUM(O292:R292)</f>
        <v>296284.98183333332</v>
      </c>
      <c r="T292" s="67">
        <f t="shared" ref="T292:T298" si="87">((((SUM(O292:Q292)*$O$287)+(R292*$R$287))*1.21)*1.05)*1.05</f>
        <v>571832.01524569315</v>
      </c>
    </row>
    <row r="293" spans="1:30" ht="15.75" thickBot="1">
      <c r="A293" s="68">
        <v>0.8</v>
      </c>
      <c r="B293" s="69">
        <v>2</v>
      </c>
      <c r="C293" s="59">
        <f>(((A293+(2*B293))*'MATERIALES (2)'!$C$60)+((A293+(2*B293))*'MATERIALES (2)'!$C$58)+(A293*'MATERIALES (2)'!$C$62)+((((A293*2)+(B293*6))*'MATERIALES (2)'!$C$76)*2)+((B293*2)*'MATERIALES (2)'!$C$61))*'MATERIALES (2)'!$F$2</f>
        <v>217423.584</v>
      </c>
      <c r="D293" s="59">
        <f>(1*'MATERIALES (2)'!$C$193)+(1*'MATERIALES (2)'!$C$194)+(3*'MATERIALES (2)'!$C$196)+(2*'MATERIALES (2)'!$C$178)+(2*'MATERIALES (2)'!$C$179)+(2*'MATERIALES (2)'!$C$180)+(12*'MATERIALES (2)'!$C$147)+(12*'MATERIALES (2)'!$C$148)+((A293+(2*B293))*'MATERIALES (2)'!$C$199)+((A293+(2*B293))*'MATERIALES (2)'!$C$198)+(((A293*2)+(B293*6))*'MATERIALES (2)'!$C$130)+(((((A293*2)+(B293*6))/0.1)*'MATERIALES (2)'!$C$181)*2)+(2*'MATERIALES (2)'!$C$176)+(((A293*5)*2)*'MATERIALES (2)'!$C$136)+(4*'MATERIALES (2)'!$C$137)</f>
        <v>64770</v>
      </c>
      <c r="E293" s="75"/>
      <c r="F293" s="55">
        <f>((((A293/1.3)*B293)*2)*'MATERIALES (2)'!$D$86)+(12*'MATERIALES (2)'!$C$218)+(((A293*2)+(B293*6))*'MATERIALES (2)'!$C$219)+(((A293*2)+(B293*6))*'MATERIALES (2)'!$C$220)+((((A293*2)+(B293*6))/15)*'MATERIALES (2)'!$C$221)+((((A293*2)+(B293*6))/15)*('MATERIALES (2)'!$C$222*0.15))</f>
        <v>45195.735897435901</v>
      </c>
      <c r="G293" s="59">
        <f t="shared" si="84"/>
        <v>327389.31989743595</v>
      </c>
      <c r="H293" s="67">
        <f t="shared" si="85"/>
        <v>628796.43262021395</v>
      </c>
      <c r="M293" s="68">
        <v>0.8</v>
      </c>
      <c r="N293" s="69">
        <v>2</v>
      </c>
      <c r="O293" s="59">
        <f>(((M293+(2*N293))*'MATERIALES (2)'!$C$60)+((M293+(2*N293))*'MATERIALES (2)'!$C$58)+(M293*'MATERIALES (2)'!$C$62)+((M293*4)*'MATERIALES (2)'!$C$61)+((((M293*10)+(N293*2))*'MATERIALES (2)'!$C$76)*2))*'MATERIALES (2)'!$F$2</f>
        <v>201109.524</v>
      </c>
      <c r="P293" s="59">
        <f>(1*'MATERIALES (2)'!$C$193)+(1*'MATERIALES (2)'!$C$194)+(3*'MATERIALES (2)'!$C$196)+(2*'MATERIALES (2)'!$C$178)+(2*'MATERIALES (2)'!$C$179)+(2*'MATERIALES (2)'!$C$180)+(20*'MATERIALES (2)'!$C$147)+(20*'MATERIALES (2)'!$C$148)+((M293+(2*N293))*'MATERIALES (2)'!$C$199)+((M293+(2*N293))*'MATERIALES (2)'!$C$198)+(((M293*10)+(N293*2))*'MATERIALES (2)'!$C$130)+(((((M293*10)+(N293*2))/0.1)*'MATERIALES (2)'!$C$181)*2)+(2*'MATERIALES (2)'!$C$176)+(((M293*5)*2)*'MATERIALES (2)'!$C$136)+(4*'MATERIALES (2)'!$C$137)</f>
        <v>64946</v>
      </c>
      <c r="Q293" s="75"/>
      <c r="R293" s="55">
        <f>(((M293*N293)*2)*'MATERIALES (2)'!$D$86)+(20*'MATERIALES (2)'!$C$218)+(((M293*10)+(N293*2))*'MATERIALES (2)'!$C$219)+(((M293*10)+(N293*2))*'MATERIALES (2)'!$C$220)+((((M293*10)+(N293*2))/15)*'MATERIALES (2)'!$C$221)+((((M293*10)+(N293*2))/15)*('MATERIALES (2)'!$C$222*0.15))</f>
        <v>49322.5</v>
      </c>
      <c r="S293" s="59">
        <f t="shared" si="86"/>
        <v>315378.02399999998</v>
      </c>
      <c r="T293" s="67">
        <f t="shared" si="87"/>
        <v>610743.26867053506</v>
      </c>
    </row>
    <row r="294" spans="1:30" ht="15.75" thickBot="1">
      <c r="A294" s="68">
        <v>0.9</v>
      </c>
      <c r="B294" s="69">
        <v>2</v>
      </c>
      <c r="C294" s="59">
        <f>(((A294+(2*B294))*'MATERIALES (2)'!$C$60)+((A294+(2*B294))*'MATERIALES (2)'!$C$58)+(A294*'MATERIALES (2)'!$C$62)+((((A294*2)+(B294*6))*'MATERIALES (2)'!$C$76)*2)+((B294*2)*'MATERIALES (2)'!$C$61))*'MATERIALES (2)'!$F$2</f>
        <v>222238.0545</v>
      </c>
      <c r="D294" s="59">
        <f>(1*'MATERIALES (2)'!$C$193)+(1*'MATERIALES (2)'!$C$194)+(3*'MATERIALES (2)'!$C$196)+(2*'MATERIALES (2)'!$C$178)+(2*'MATERIALES (2)'!$C$179)+(2*'MATERIALES (2)'!$C$180)+(12*'MATERIALES (2)'!$C$147)+(12*'MATERIALES (2)'!$C$148)+((A294+(2*B294))*'MATERIALES (2)'!$C$199)+((A294+(2*B294))*'MATERIALES (2)'!$C$198)+(((A294*2)+(B294*6))*'MATERIALES (2)'!$C$130)+(((((A294*2)+(B294*6))/0.1)*'MATERIALES (2)'!$C$181)*2)+(2*'MATERIALES (2)'!$C$176)+(((A294*5)*2)*'MATERIALES (2)'!$C$136)+(4*'MATERIALES (2)'!$C$137)</f>
        <v>65000</v>
      </c>
      <c r="E294" s="75"/>
      <c r="F294" s="55">
        <f>((((A294/1.3)*B294)*2)*'MATERIALES (2)'!$D$86)+(12*'MATERIALES (2)'!$C$218)+(((A294*2)+(B294*6))*'MATERIALES (2)'!$C$219)+(((A294*2)+(B294*6))*'MATERIALES (2)'!$C$220)+((((A294*2)+(B294*6))/15)*'MATERIALES (2)'!$C$221)+((((A294*2)+(B294*6))/15)*('MATERIALES (2)'!$C$222*0.15))</f>
        <v>48247.890384615384</v>
      </c>
      <c r="G294" s="59">
        <f t="shared" si="84"/>
        <v>335485.94488461537</v>
      </c>
      <c r="H294" s="67">
        <f t="shared" si="85"/>
        <v>646024.49057406245</v>
      </c>
      <c r="M294" s="68">
        <v>0.9</v>
      </c>
      <c r="N294" s="69">
        <v>2</v>
      </c>
      <c r="O294" s="59">
        <f>(((M294+(2*N294))*'MATERIALES (2)'!$C$60)+((M294+(2*N294))*'MATERIALES (2)'!$C$58)+(M294*'MATERIALES (2)'!$C$62)+((M294*4)*'MATERIALES (2)'!$C$61)+((((M294*10)+(N294*2))*'MATERIALES (2)'!$C$76)*2))*'MATERIALES (2)'!$F$2</f>
        <v>214081.0245</v>
      </c>
      <c r="P294" s="59">
        <f>(1*'MATERIALES (2)'!$C$193)+(1*'MATERIALES (2)'!$C$194)+(3*'MATERIALES (2)'!$C$196)+(2*'MATERIALES (2)'!$C$178)+(2*'MATERIALES (2)'!$C$179)+(2*'MATERIALES (2)'!$C$180)+(20*'MATERIALES (2)'!$C$147)+(20*'MATERIALES (2)'!$C$148)+((M294+(2*N294))*'MATERIALES (2)'!$C$199)+((M294+(2*N294))*'MATERIALES (2)'!$C$198)+(((M294*10)+(N294*2))*'MATERIALES (2)'!$C$130)+(((((M294*10)+(N294*2))/0.1)*'MATERIALES (2)'!$C$181)*2)+(2*'MATERIALES (2)'!$C$176)+(((M294*5)*2)*'MATERIALES (2)'!$C$136)+(4*'MATERIALES (2)'!$C$137)</f>
        <v>65848</v>
      </c>
      <c r="Q294" s="75"/>
      <c r="R294" s="55">
        <f>(((M294*N294)*2)*'MATERIALES (2)'!$D$86)+(20*'MATERIALES (2)'!$C$218)+(((M294*10)+(N294*2))*'MATERIALES (2)'!$C$219)+(((M294*10)+(N294*2))*'MATERIALES (2)'!$C$220)+((((M294*10)+(N294*2))/15)*'MATERIALES (2)'!$C$221)+((((M294*10)+(N294*2))/15)*('MATERIALES (2)'!$C$222*0.15))</f>
        <v>54542.041666666672</v>
      </c>
      <c r="S294" s="59">
        <f t="shared" si="86"/>
        <v>334471.06616666669</v>
      </c>
      <c r="T294" s="67">
        <f t="shared" si="87"/>
        <v>649654.52209537686</v>
      </c>
    </row>
    <row r="295" spans="1:30" ht="15.75" thickBot="1">
      <c r="A295" s="68">
        <v>0.6</v>
      </c>
      <c r="B295" s="69">
        <v>2.1</v>
      </c>
      <c r="C295" s="59">
        <f>(((A295+(2*B295))*'MATERIALES (2)'!$C$60)+((A295+(2*B295))*'MATERIALES (2)'!$C$58)+(A295*'MATERIALES (2)'!$C$62)+((((A295*2)+(B295*6))*'MATERIALES (2)'!$C$76)*2)+((B295*2)*'MATERIALES (2)'!$C$61))*'MATERIALES (2)'!$F$2</f>
        <v>216740.03399999999</v>
      </c>
      <c r="D295" s="59">
        <f>(1*'MATERIALES (2)'!$C$193)+(1*'MATERIALES (2)'!$C$194)+(3*'MATERIALES (2)'!$C$196)+(2*'MATERIALES (2)'!$C$178)+(2*'MATERIALES (2)'!$C$179)+(2*'MATERIALES (2)'!$C$180)+(12*'MATERIALES (2)'!$C$147)+(12*'MATERIALES (2)'!$C$148)+((A295+(2*B295))*'MATERIALES (2)'!$C$199)+((A295+(2*B295))*'MATERIALES (2)'!$C$198)+(((A295*2)+(B295*6))*'MATERIALES (2)'!$C$130)+(((((A295*2)+(B295*6))/0.1)*'MATERIALES (2)'!$C$181)*2)+(2*'MATERIALES (2)'!$C$176)+(((A295*5)*2)*'MATERIALES (2)'!$C$136)+(4*'MATERIALES (2)'!$C$137)</f>
        <v>64938</v>
      </c>
      <c r="E295" s="75"/>
      <c r="F295" s="55">
        <f>((((A295/1.3)*B295)*2)*'MATERIALES (2)'!$D$86)+(12*'MATERIALES (2)'!$C$218)+(((A295*2)+(B295*6))*'MATERIALES (2)'!$C$219)+(((A295*2)+(B295*6))*'MATERIALES (2)'!$C$220)+((((A295*2)+(B295*6))/15)*'MATERIALES (2)'!$C$221)+((((A295*2)+(B295*6))/15)*('MATERIALES (2)'!$C$222*0.15))</f>
        <v>40920.505769230767</v>
      </c>
      <c r="G295" s="59">
        <f t="shared" si="84"/>
        <v>322598.53976923076</v>
      </c>
      <c r="H295" s="67">
        <f t="shared" si="85"/>
        <v>616461.43348184368</v>
      </c>
      <c r="M295" s="68">
        <v>0.6</v>
      </c>
      <c r="N295" s="69">
        <v>2.1</v>
      </c>
      <c r="O295" s="59">
        <f>(((M295+(2*N295))*'MATERIALES (2)'!$C$60)+((M295+(2*N295))*'MATERIALES (2)'!$C$58)+(M295*'MATERIALES (2)'!$C$62)+((M295*4)*'MATERIALES (2)'!$C$61)+((((M295*10)+(N295*2))*'MATERIALES (2)'!$C$76)*2))*'MATERIALES (2)'!$F$2</f>
        <v>180033.39899999998</v>
      </c>
      <c r="P295" s="59">
        <f>(1*'MATERIALES (2)'!$C$193)+(1*'MATERIALES (2)'!$C$194)+(3*'MATERIALES (2)'!$C$196)+(2*'MATERIALES (2)'!$C$178)+(2*'MATERIALES (2)'!$C$179)+(2*'MATERIALES (2)'!$C$180)+(20*'MATERIALES (2)'!$C$147)+(20*'MATERIALES (2)'!$C$148)+((M295+(2*N295))*'MATERIALES (2)'!$C$199)+((M295+(2*N295))*'MATERIALES (2)'!$C$198)+(((M295*10)+(N295*2))*'MATERIALES (2)'!$C$130)+(((((M295*10)+(N295*2))/0.1)*'MATERIALES (2)'!$C$181)*2)+(2*'MATERIALES (2)'!$C$176)+(((M295*5)*2)*'MATERIALES (2)'!$C$136)+(4*'MATERIALES (2)'!$C$137)</f>
        <v>63434</v>
      </c>
      <c r="Q295" s="75"/>
      <c r="R295" s="55">
        <f>(((M295*N295)*2)*'MATERIALES (2)'!$D$86)+(20*'MATERIALES (2)'!$C$218)+(((M295*10)+(N295*2))*'MATERIALES (2)'!$C$219)+(((M295*10)+(N295*2))*'MATERIALES (2)'!$C$220)+((((M295*10)+(N295*2))/15)*'MATERIALES (2)'!$C$221)+((((M295*10)+(N295*2))/15)*('MATERIALES (2)'!$C$222*0.15))</f>
        <v>40280.125</v>
      </c>
      <c r="S295" s="59">
        <f t="shared" si="86"/>
        <v>283747.52399999998</v>
      </c>
      <c r="T295" s="67">
        <f t="shared" si="87"/>
        <v>545938.04339006625</v>
      </c>
    </row>
    <row r="296" spans="1:30" ht="15.75" thickBot="1">
      <c r="A296" s="68">
        <v>0.7</v>
      </c>
      <c r="B296" s="69">
        <v>2.1</v>
      </c>
      <c r="C296" s="59">
        <f>(((A296+(2*B296))*'MATERIALES (2)'!$C$60)+((A296+(2*B296))*'MATERIALES (2)'!$C$58)+(A296*'MATERIALES (2)'!$C$62)+((((A296*2)+(B296*6))*'MATERIALES (2)'!$C$76)*2)+((B296*2)*'MATERIALES (2)'!$C$61))*'MATERIALES (2)'!$F$2</f>
        <v>221554.50450000001</v>
      </c>
      <c r="D296" s="59">
        <f>(1*'MATERIALES (2)'!$C$193)+(1*'MATERIALES (2)'!$C$194)+(3*'MATERIALES (2)'!$C$196)+(2*'MATERIALES (2)'!$C$178)+(2*'MATERIALES (2)'!$C$179)+(2*'MATERIALES (2)'!$C$180)+(12*'MATERIALES (2)'!$C$147)+(12*'MATERIALES (2)'!$C$148)+((A296+(2*B296))*'MATERIALES (2)'!$C$199)+((A296+(2*B296))*'MATERIALES (2)'!$C$198)+(((A296*2)+(B296*6))*'MATERIALES (2)'!$C$130)+(((((A296*2)+(B296*6))/0.1)*'MATERIALES (2)'!$C$181)*2)+(2*'MATERIALES (2)'!$C$176)+(((A296*5)*2)*'MATERIALES (2)'!$C$136)+(4*'MATERIALES (2)'!$C$137)</f>
        <v>65168</v>
      </c>
      <c r="E296" s="75"/>
      <c r="F296" s="55">
        <f>((((A296/1.3)*B296)*2)*'MATERIALES (2)'!$D$86)+(12*'MATERIALES (2)'!$C$218)+(((A296*2)+(B296*6))*'MATERIALES (2)'!$C$219)+(((A296*2)+(B296*6))*'MATERIALES (2)'!$C$220)+((((A296*2)+(B296*6))/15)*'MATERIALES (2)'!$C$221)+((((A296*2)+(B296*6))/15)*('MATERIALES (2)'!$C$222*0.15))</f>
        <v>44108.35256410257</v>
      </c>
      <c r="G296" s="59">
        <f t="shared" si="84"/>
        <v>330830.8570641026</v>
      </c>
      <c r="H296" s="67">
        <f t="shared" si="85"/>
        <v>634051.52529723092</v>
      </c>
      <c r="M296" s="68">
        <v>0.7</v>
      </c>
      <c r="N296" s="69">
        <v>2.1</v>
      </c>
      <c r="O296" s="59">
        <f>(((M296+(2*N296))*'MATERIALES (2)'!$C$60)+((M296+(2*N296))*'MATERIALES (2)'!$C$58)+(M296*'MATERIALES (2)'!$C$62)+((M296*4)*'MATERIALES (2)'!$C$61)+((((M296*10)+(N296*2))*'MATERIALES (2)'!$C$76)*2))*'MATERIALES (2)'!$F$2</f>
        <v>193004.89949999997</v>
      </c>
      <c r="P296" s="59">
        <f>(1*'MATERIALES (2)'!$C$193)+(1*'MATERIALES (2)'!$C$194)+(3*'MATERIALES (2)'!$C$196)+(2*'MATERIALES (2)'!$C$178)+(2*'MATERIALES (2)'!$C$179)+(2*'MATERIALES (2)'!$C$180)+(20*'MATERIALES (2)'!$C$147)+(20*'MATERIALES (2)'!$C$148)+((M296+(2*N296))*'MATERIALES (2)'!$C$199)+((M296+(2*N296))*'MATERIALES (2)'!$C$198)+(((M296*10)+(N296*2))*'MATERIALES (2)'!$C$130)+(((((M296*10)+(N296*2))/0.1)*'MATERIALES (2)'!$C$181)*2)+(2*'MATERIALES (2)'!$C$176)+(((M296*5)*2)*'MATERIALES (2)'!$C$136)+(4*'MATERIALES (2)'!$C$137)</f>
        <v>64336</v>
      </c>
      <c r="Q296" s="75"/>
      <c r="R296" s="55">
        <f>(((M296*N296)*2)*'MATERIALES (2)'!$D$86)+(20*'MATERIALES (2)'!$C$218)+(((M296*10)+(N296*2))*'MATERIALES (2)'!$C$219)+(((M296*10)+(N296*2))*'MATERIALES (2)'!$C$220)+((((M296*10)+(N296*2))/15)*'MATERIALES (2)'!$C$221)+((((M296*10)+(N296*2))/15)*('MATERIALES (2)'!$C$222*0.15))</f>
        <v>45676.066666666666</v>
      </c>
      <c r="S296" s="59">
        <f t="shared" si="86"/>
        <v>303016.96616666665</v>
      </c>
      <c r="T296" s="67">
        <f t="shared" si="87"/>
        <v>585319.94083490828</v>
      </c>
    </row>
    <row r="297" spans="1:30" ht="15.75" thickBot="1">
      <c r="A297" s="68">
        <v>0.8</v>
      </c>
      <c r="B297" s="69">
        <v>2.1</v>
      </c>
      <c r="C297" s="59">
        <f>(((A297+(2*B297))*'MATERIALES (2)'!$C$60)+((A297+(2*B297))*'MATERIALES (2)'!$C$58)+(A297*'MATERIALES (2)'!$C$62)+((((A297*2)+(B297*6))*'MATERIALES (2)'!$C$76)*2)+((B297*2)*'MATERIALES (2)'!$C$61))*'MATERIALES (2)'!$F$2</f>
        <v>226368.97500000001</v>
      </c>
      <c r="D297" s="59">
        <f>(1*'MATERIALES (2)'!$C$193)+(1*'MATERIALES (2)'!$C$194)+(3*'MATERIALES (2)'!$C$196)+(2*'MATERIALES (2)'!$C$178)+(2*'MATERIALES (2)'!$C$179)+(2*'MATERIALES (2)'!$C$180)+(12*'MATERIALES (2)'!$C$147)+(12*'MATERIALES (2)'!$C$148)+((A297+(2*B297))*'MATERIALES (2)'!$C$199)+((A297+(2*B297))*'MATERIALES (2)'!$C$198)+(((A297*2)+(B297*6))*'MATERIALES (2)'!$C$130)+(((((A297*2)+(B297*6))/0.1)*'MATERIALES (2)'!$C$181)*2)+(2*'MATERIALES (2)'!$C$176)+(((A297*5)*2)*'MATERIALES (2)'!$C$136)+(4*'MATERIALES (2)'!$C$137)</f>
        <v>65398</v>
      </c>
      <c r="E297" s="75"/>
      <c r="F297" s="55">
        <f>((((A297/1.3)*B297)*2)*'MATERIALES (2)'!$D$86)+(12*'MATERIALES (2)'!$C$218)+(((A297*2)+(B297*6))*'MATERIALES (2)'!$C$219)+(((A297*2)+(B297*6))*'MATERIALES (2)'!$C$220)+((((A297*2)+(B297*6))/15)*'MATERIALES (2)'!$C$221)+((((A297*2)+(B297*6))/15)*('MATERIALES (2)'!$C$222*0.15))</f>
        <v>47296.199358974358</v>
      </c>
      <c r="G297" s="59">
        <f t="shared" si="84"/>
        <v>339063.17435897433</v>
      </c>
      <c r="H297" s="67">
        <f t="shared" si="85"/>
        <v>651641.61711261782</v>
      </c>
      <c r="M297" s="68">
        <v>0.8</v>
      </c>
      <c r="N297" s="69">
        <v>2.1</v>
      </c>
      <c r="O297" s="59">
        <f>(((M297+(2*N297))*'MATERIALES (2)'!$C$60)+((M297+(2*N297))*'MATERIALES (2)'!$C$58)+(M297*'MATERIALES (2)'!$C$62)+((M297*4)*'MATERIALES (2)'!$C$61)+((((M297*10)+(N297*2))*'MATERIALES (2)'!$C$76)*2))*'MATERIALES (2)'!$F$2</f>
        <v>205976.4</v>
      </c>
      <c r="P297" s="59">
        <f>(1*'MATERIALES (2)'!$C$193)+(1*'MATERIALES (2)'!$C$194)+(3*'MATERIALES (2)'!$C$196)+(2*'MATERIALES (2)'!$C$178)+(2*'MATERIALES (2)'!$C$179)+(2*'MATERIALES (2)'!$C$180)+(20*'MATERIALES (2)'!$C$147)+(20*'MATERIALES (2)'!$C$148)+((M297+(2*N297))*'MATERIALES (2)'!$C$199)+((M297+(2*N297))*'MATERIALES (2)'!$C$198)+(((M297*10)+(N297*2))*'MATERIALES (2)'!$C$130)+(((((M297*10)+(N297*2))/0.1)*'MATERIALES (2)'!$C$181)*2)+(2*'MATERIALES (2)'!$C$176)+(((M297*5)*2)*'MATERIALES (2)'!$C$136)+(4*'MATERIALES (2)'!$C$137)</f>
        <v>65238</v>
      </c>
      <c r="Q297" s="75"/>
      <c r="R297" s="55">
        <f>(((M297*N297)*2)*'MATERIALES (2)'!$D$86)+(20*'MATERIALES (2)'!$C$218)+(((M297*10)+(N297*2))*'MATERIALES (2)'!$C$219)+(((M297*10)+(N297*2))*'MATERIALES (2)'!$C$220)+((((M297*10)+(N297*2))/15)*'MATERIALES (2)'!$C$221)+((((M297*10)+(N297*2))/15)*('MATERIALES (2)'!$C$222*0.15))</f>
        <v>51072.008333333339</v>
      </c>
      <c r="S297" s="59">
        <f t="shared" si="86"/>
        <v>322286.40833333338</v>
      </c>
      <c r="T297" s="67">
        <f t="shared" si="87"/>
        <v>624701.83827974997</v>
      </c>
    </row>
    <row r="298" spans="1:30" ht="15.75" thickBot="1">
      <c r="A298" s="71">
        <v>0.9</v>
      </c>
      <c r="B298" s="72">
        <v>2.1</v>
      </c>
      <c r="C298" s="60">
        <f>(((A298+(2*B298))*'MATERIALES (2)'!$C$60)+((A298+(2*B298))*'MATERIALES (2)'!$C$58)+(A298*'MATERIALES (2)'!$C$62)+((((A298*2)+(B298*6))*'MATERIALES (2)'!$C$76)*2)+((B298*2)*'MATERIALES (2)'!$C$61))*'MATERIALES (2)'!$F$2</f>
        <v>231183.4455</v>
      </c>
      <c r="D298" s="60">
        <f>(1*'MATERIALES (2)'!$C$193)+(1*'MATERIALES (2)'!$C$194)+(3*'MATERIALES (2)'!$C$196)+(2*'MATERIALES (2)'!$C$178)+(2*'MATERIALES (2)'!$C$179)+(2*'MATERIALES (2)'!$C$180)+(12*'MATERIALES (2)'!$C$147)+(12*'MATERIALES (2)'!$C$148)+((A298+(2*B298))*'MATERIALES (2)'!$C$199)+((A298+(2*B298))*'MATERIALES (2)'!$C$198)+(((A298*2)+(B298*6))*'MATERIALES (2)'!$C$130)+(((((A298*2)+(B298*6))/0.1)*'MATERIALES (2)'!$C$181)*2)+(2*'MATERIALES (2)'!$C$176)+(((A298*5)*2)*'MATERIALES (2)'!$C$136)+(4*'MATERIALES (2)'!$C$137)</f>
        <v>65628</v>
      </c>
      <c r="E298" s="76"/>
      <c r="F298" s="56">
        <f>((((A298/1.3)*B298)*2)*'MATERIALES (2)'!$D$86)+(12*'MATERIALES (2)'!$C$218)+(((A298*2)+(B298*6))*'MATERIALES (2)'!$C$219)+(((A298*2)+(B298*6))*'MATERIALES (2)'!$C$220)+((((A298*2)+(B298*6))/15)*'MATERIALES (2)'!$C$221)+((((A298*2)+(B298*6))/15)*('MATERIALES (2)'!$C$222*0.15))</f>
        <v>50484.046153846153</v>
      </c>
      <c r="G298" s="60">
        <f t="shared" si="84"/>
        <v>347295.49165384617</v>
      </c>
      <c r="H298" s="67">
        <f t="shared" si="85"/>
        <v>669231.70892800495</v>
      </c>
      <c r="M298" s="71">
        <v>0.9</v>
      </c>
      <c r="N298" s="72">
        <v>2.1</v>
      </c>
      <c r="O298" s="60">
        <f>(((M298+(2*N298))*'MATERIALES (2)'!$C$60)+((M298+(2*N298))*'MATERIALES (2)'!$C$58)+(M298*'MATERIALES (2)'!$C$62)+((M298*4)*'MATERIALES (2)'!$C$61)+((((M298*10)+(N298*2))*'MATERIALES (2)'!$C$76)*2))*'MATERIALES (2)'!$F$2</f>
        <v>218947.90050000002</v>
      </c>
      <c r="P298" s="60">
        <f>(1*'MATERIALES (2)'!$C$193)+(1*'MATERIALES (2)'!$C$194)+(3*'MATERIALES (2)'!$C$196)+(2*'MATERIALES (2)'!$C$178)+(2*'MATERIALES (2)'!$C$179)+(2*'MATERIALES (2)'!$C$180)+(20*'MATERIALES (2)'!$C$147)+(20*'MATERIALES (2)'!$C$148)+((M298+(2*N298))*'MATERIALES (2)'!$C$199)+((M298+(2*N298))*'MATERIALES (2)'!$C$198)+(((M298*10)+(N298*2))*'MATERIALES (2)'!$C$130)+(((((M298*10)+(N298*2))/0.1)*'MATERIALES (2)'!$C$181)*2)+(2*'MATERIALES (2)'!$C$176)+(((M298*5)*2)*'MATERIALES (2)'!$C$136)+(4*'MATERIALES (2)'!$C$137)</f>
        <v>66140</v>
      </c>
      <c r="Q298" s="76"/>
      <c r="R298" s="56">
        <f>(((M298*N298)*2)*'MATERIALES (2)'!$D$86)+(20*'MATERIALES (2)'!$C$218)+(((M298*10)+(N298*2))*'MATERIALES (2)'!$C$219)+(((M298*10)+(N298*2))*'MATERIALES (2)'!$C$220)+((((M298*10)+(N298*2))/15)*'MATERIALES (2)'!$C$221)+((((M298*10)+(N298*2))/15)*('MATERIALES (2)'!$C$222*0.15))</f>
        <v>56467.950000000004</v>
      </c>
      <c r="S298" s="60">
        <f t="shared" si="86"/>
        <v>341555.8505</v>
      </c>
      <c r="T298" s="67">
        <f t="shared" si="87"/>
        <v>664083.73572459188</v>
      </c>
    </row>
    <row r="300" spans="1:30" ht="15.75" thickBot="1">
      <c r="C300" s="878" t="s">
        <v>221</v>
      </c>
      <c r="D300" s="878"/>
      <c r="E300" s="878"/>
      <c r="F300" s="878"/>
      <c r="G300" s="78"/>
      <c r="O300" s="878" t="s">
        <v>221</v>
      </c>
      <c r="P300" s="878"/>
      <c r="Q300" s="878"/>
      <c r="R300" s="878"/>
      <c r="Y300" s="878" t="s">
        <v>221</v>
      </c>
      <c r="Z300" s="878"/>
      <c r="AA300" s="878"/>
      <c r="AB300" s="878"/>
      <c r="AC300" s="78"/>
    </row>
    <row r="301" spans="1:30" ht="15.75" thickBot="1">
      <c r="A301" s="32"/>
      <c r="B301" s="32"/>
      <c r="C301" s="807">
        <v>1.35</v>
      </c>
      <c r="D301" s="808"/>
      <c r="E301" s="809"/>
      <c r="F301" s="545">
        <v>2</v>
      </c>
      <c r="G301" s="32"/>
      <c r="H301" s="46" t="s">
        <v>163</v>
      </c>
      <c r="M301" s="32"/>
      <c r="N301" s="32"/>
      <c r="O301" s="807">
        <v>1.35</v>
      </c>
      <c r="P301" s="808"/>
      <c r="Q301" s="808"/>
      <c r="R301" s="809"/>
      <c r="S301" s="32"/>
      <c r="T301" s="46" t="s">
        <v>163</v>
      </c>
      <c r="W301" s="32"/>
      <c r="X301" s="32"/>
      <c r="Y301" s="807">
        <v>1.35</v>
      </c>
      <c r="Z301" s="808"/>
      <c r="AA301" s="809"/>
      <c r="AB301" s="545">
        <v>2</v>
      </c>
      <c r="AC301" s="32"/>
      <c r="AD301" s="46" t="s">
        <v>163</v>
      </c>
    </row>
    <row r="302" spans="1:30" ht="15.75" thickBot="1">
      <c r="A302" s="792" t="s">
        <v>737</v>
      </c>
      <c r="B302" s="793"/>
      <c r="C302" s="793"/>
      <c r="D302" s="793"/>
      <c r="E302" s="793"/>
      <c r="F302" s="793"/>
      <c r="G302" s="793"/>
      <c r="H302" s="794"/>
      <c r="M302" s="792" t="s">
        <v>219</v>
      </c>
      <c r="N302" s="793"/>
      <c r="O302" s="793"/>
      <c r="P302" s="793"/>
      <c r="Q302" s="793"/>
      <c r="R302" s="793"/>
      <c r="S302" s="793"/>
      <c r="T302" s="794"/>
      <c r="W302" s="792" t="s">
        <v>738</v>
      </c>
      <c r="X302" s="793"/>
      <c r="Y302" s="793"/>
      <c r="Z302" s="793"/>
      <c r="AA302" s="793"/>
      <c r="AB302" s="793"/>
      <c r="AC302" s="793"/>
      <c r="AD302" s="794"/>
    </row>
    <row r="303" spans="1:30" ht="15.75" thickBot="1">
      <c r="A303" s="36" t="s">
        <v>116</v>
      </c>
      <c r="B303" s="36" t="s">
        <v>117</v>
      </c>
      <c r="C303" s="36" t="s">
        <v>162</v>
      </c>
      <c r="D303" s="36" t="s">
        <v>119</v>
      </c>
      <c r="E303" s="36" t="s">
        <v>120</v>
      </c>
      <c r="F303" s="36" t="s">
        <v>118</v>
      </c>
      <c r="G303" s="36" t="s">
        <v>121</v>
      </c>
      <c r="H303" s="36" t="s">
        <v>122</v>
      </c>
      <c r="M303" s="36" t="s">
        <v>116</v>
      </c>
      <c r="N303" s="36" t="s">
        <v>117</v>
      </c>
      <c r="O303" s="36" t="s">
        <v>162</v>
      </c>
      <c r="P303" s="36" t="s">
        <v>119</v>
      </c>
      <c r="Q303" s="36" t="s">
        <v>120</v>
      </c>
      <c r="R303" s="36" t="s">
        <v>217</v>
      </c>
      <c r="S303" s="36" t="s">
        <v>121</v>
      </c>
      <c r="T303" s="36" t="s">
        <v>122</v>
      </c>
      <c r="W303" s="36" t="s">
        <v>116</v>
      </c>
      <c r="X303" s="36" t="s">
        <v>117</v>
      </c>
      <c r="Y303" s="36" t="s">
        <v>162</v>
      </c>
      <c r="Z303" s="36" t="s">
        <v>119</v>
      </c>
      <c r="AA303" s="36" t="s">
        <v>120</v>
      </c>
      <c r="AB303" s="36" t="s">
        <v>118</v>
      </c>
      <c r="AC303" s="36" t="s">
        <v>121</v>
      </c>
      <c r="AD303" s="36" t="s">
        <v>122</v>
      </c>
    </row>
    <row r="304" spans="1:30" ht="15.75" thickBot="1">
      <c r="A304" s="795"/>
      <c r="B304" s="796"/>
      <c r="C304" s="796"/>
      <c r="D304" s="796"/>
      <c r="E304" s="796"/>
      <c r="F304" s="796"/>
      <c r="G304" s="796"/>
      <c r="H304" s="797"/>
      <c r="M304" s="795"/>
      <c r="N304" s="796"/>
      <c r="O304" s="796"/>
      <c r="P304" s="796"/>
      <c r="Q304" s="796"/>
      <c r="R304" s="796"/>
      <c r="S304" s="796"/>
      <c r="T304" s="797"/>
      <c r="W304" s="795"/>
      <c r="X304" s="796"/>
      <c r="Y304" s="796"/>
      <c r="Z304" s="796"/>
      <c r="AA304" s="796"/>
      <c r="AB304" s="796"/>
      <c r="AC304" s="796"/>
      <c r="AD304" s="797"/>
    </row>
    <row r="305" spans="1:30" ht="15.75" thickBot="1">
      <c r="A305" s="158">
        <v>0.6</v>
      </c>
      <c r="B305" s="159">
        <v>2</v>
      </c>
      <c r="C305" s="74">
        <f>((((A305+(2*B305))*'MATERIALES (2)'!$C$60)+((A305+(2*B305))*'MATERIALES (2)'!$C$58)+(A305*'MATERIALES (2)'!$C$62)+((((A305*2)+(B305*4))*'MATERIALES (2)'!$C$76)*2))*'MATERIALES (2)'!$F$2)+(1*'MATERIALES (2)'!$D$233)</f>
        <v>145706.74300000002</v>
      </c>
      <c r="D305" s="74">
        <f>(1*'MATERIALES (2)'!$C$193)+(1*'MATERIALES (2)'!$C$194)+(3*'MATERIALES (2)'!$C$196)+(2*'MATERIALES (2)'!$C$178)+(2*'MATERIALES (2)'!$C$179)+(2*'MATERIALES (2)'!$C$180)+(8*'MATERIALES (2)'!$C$147)+(8*'MATERIALES (2)'!$C$148)+((A305+(2*B305))*'MATERIALES (2)'!$C$199)+((A305+(2*B305))*'MATERIALES (2)'!$C$198)+(((A305*2)+(B305*2))*'MATERIALES (2)'!$C$154)+(((A305*2)+(B305*2))*'MATERIALES (2)'!$C$130)+(0.5*'MATERIALES (2)'!$C$156)+(((((A305*2)+(B305*4))/0.1)*'MATERIALES (2)'!$C$181)*2)+(2*'MATERIALES (2)'!$C$176)+(((A305*5)*2)*'MATERIALES (2)'!$C$136)+(4*'MATERIALES (2)'!$C$137)</f>
        <v>64478</v>
      </c>
      <c r="E305" s="74"/>
      <c r="F305" s="111">
        <f>(((((A305/2)*B305))*2)*'MATERIALES (2)'!$D$86)+(4*'MATERIALES (2)'!$C$218)+((((A305/2)*2)+(B305*2))*'MATERIALES (2)'!$C$219)+((((A305/2)*2)+(B305*2))*'MATERIALES (2)'!$C$220)+(((((A305/2)*2)+(B305*2))/15)*'MATERIALES (2)'!$C$221)+(((((A305/2)*2)+(B305*2))/15)*('MATERIALES (2)'!$C$222*0.15))</f>
        <v>18525.091666666667</v>
      </c>
      <c r="G305" s="74">
        <f>SUM(C305:F305)</f>
        <v>228709.83466666669</v>
      </c>
      <c r="H305" s="160">
        <f>((((SUM(C305:E305)*$C$301)+(F305*$F$301))*1.21)*1.05)*1.05</f>
        <v>427954.66822502634</v>
      </c>
      <c r="I305" s="77"/>
      <c r="J305" s="77"/>
      <c r="K305" s="77"/>
      <c r="L305" s="77"/>
      <c r="M305" s="65">
        <v>0.6</v>
      </c>
      <c r="N305" s="66">
        <v>2</v>
      </c>
      <c r="O305" s="58">
        <f>(((M305+(2*N305))*'MATERIALES (2)'!$C$60)+((M305+(2*N305))*'MATERIALES (2)'!$C$58)+(M305*'MATERIALES (2)'!$C$62)+((((M305*2)+(N305*2))*'MATERIALES (2)'!$C$76)*2))*'MATERIALES (2)'!$F$2</f>
        <v>126224.34299999999</v>
      </c>
      <c r="P305" s="58">
        <f>(1*'MATERIALES (2)'!$C$193)+(1*'MATERIALES (2)'!$C$194)+(3*'MATERIALES (2)'!$C$196)+(2*'MATERIALES (2)'!$C$178)+(2*'MATERIALES (2)'!$C$179)+(2*'MATERIALES (2)'!$C$180)+(4*'MATERIALES (2)'!$C$147)+(4*'MATERIALES (2)'!$C$148)+((M305+(2*N305))*'MATERIALES (2)'!$C$199)+((M305+(2*N305))*'MATERIALES (2)'!$C$198)+(((M305*2)+(N305*2))*'MATERIALES (2)'!$C$154)+(0.5*'MATERIALES (2)'!$C$156)+(((((M305*2)+(N305*2))/0.1)*'MATERIALES (2)'!$C$181)*2)+(2*'MATERIALES (2)'!$C$176)+(((M305*5)*2)*'MATERIALES (2)'!$C$136)+(4*'MATERIALES (2)'!$C$137)</f>
        <v>60070</v>
      </c>
      <c r="Q305" s="74"/>
      <c r="R305" s="54">
        <f>(1*'MATERIALES (2)'!$D$233)</f>
        <v>4900</v>
      </c>
      <c r="S305" s="58">
        <f>SUM(O305:R305)</f>
        <v>191194.34299999999</v>
      </c>
      <c r="T305" s="67">
        <f>((((SUM(O305:R305)*$O$301))*1.21)*1.05)*1.05</f>
        <v>344328.34511777631</v>
      </c>
      <c r="U305" s="77"/>
      <c r="W305" s="65">
        <v>0.6</v>
      </c>
      <c r="X305" s="66">
        <v>2</v>
      </c>
      <c r="Y305" s="58">
        <f>(((W305+(2*X305))*'MATERIALES (2)'!$C$60)+((W305+(2*X305))*'MATERIALES (2)'!$C$58)+(W305*'MATERIALES (2)'!$C$62)+((((W305*2)+(X305*4))*'MATERIALES (2)'!$C$76)*2)+((((W305/2)-0.2)*'MATERIALES (2)'!$C$30)*(X305/0.12)))*'MATERIALES (2)'!$F$2</f>
        <v>159566.39300000001</v>
      </c>
      <c r="Z305" s="58">
        <f>(1*'MATERIALES (2)'!$C$193)+(1*'MATERIALES (2)'!$C$194)+(3*'MATERIALES (2)'!$C$196)+(2*'MATERIALES (2)'!$C$178)+(2*'MATERIALES (2)'!$C$179)+(2*'MATERIALES (2)'!$C$180)+(8*'MATERIALES (2)'!$C$147)+(8*'MATERIALES (2)'!$C$148)+((W305+(2*X305))*'MATERIALES (2)'!$C$199)+((W305+(2*X305))*'MATERIALES (2)'!$C$198)+(((W305*2)+(X305*2))*'MATERIALES (2)'!$C$154)+(((W305*2)+(X305*2))*'MATERIALES (2)'!$C$130)+(0.5*'MATERIALES (2)'!$C$156)+(((((W305*2)+(X305*4))/0.1)*'MATERIALES (2)'!$C$181)*2)+(2*'MATERIALES (2)'!$C$176)+(((W305*5)*2)*'MATERIALES (2)'!$C$136)+(4*'MATERIALES (2)'!$C$137)</f>
        <v>64478</v>
      </c>
      <c r="AA305" s="58">
        <f>(0.5*'MATERIALES (2)'!$D$244)</f>
        <v>0</v>
      </c>
      <c r="AB305" s="54">
        <f>(((((W305/2)*X305))*2)*'MATERIALES (2)'!$D$86)+(4*'MATERIALES (2)'!$C$218)+((((W305/2)*2)+(X305*2))*'MATERIALES (2)'!$C$219)+((((W305/2)*2)+(X305*2))*'MATERIALES (2)'!$C$220)+(((((W305/2)*2)+(X305*2))/15)*'MATERIALES (2)'!$C$221)+(((((W305/2)*2)+(X305*2))/15)*('MATERIALES (2)'!$C$222*0.15))</f>
        <v>18525.091666666667</v>
      </c>
      <c r="AC305" s="58">
        <f>SUM(Y305:AB305)</f>
        <v>242569.48466666669</v>
      </c>
      <c r="AD305" s="67">
        <f>((((SUM(Y305:AA305)*$Y$301)+(AB305*$AB$301))*1.21)*1.05)*1.05</f>
        <v>452914.97967321385</v>
      </c>
    </row>
    <row r="306" spans="1:30" ht="15.75" thickBot="1">
      <c r="A306" s="161">
        <v>0.7</v>
      </c>
      <c r="B306" s="162">
        <v>2</v>
      </c>
      <c r="C306" s="75">
        <f>((((A306+(2*B306))*'MATERIALES (2)'!$C$60)+((A306+(2*B306))*'MATERIALES (2)'!$C$58)+(A306*'MATERIALES (2)'!$C$62)+((((A306*2)+(B306*4))*'MATERIALES (2)'!$C$76)*2))*'MATERIALES (2)'!$F$2)+(1*'MATERIALES (2)'!$D$233)</f>
        <v>150521.21349999998</v>
      </c>
      <c r="D306" s="75">
        <f>(1*'MATERIALES (2)'!$C$193)+(1*'MATERIALES (2)'!$C$194)+(3*'MATERIALES (2)'!$C$196)+(2*'MATERIALES (2)'!$C$178)+(2*'MATERIALES (2)'!$C$179)+(2*'MATERIALES (2)'!$C$180)+(8*'MATERIALES (2)'!$C$147)+(8*'MATERIALES (2)'!$C$148)+((A306+(2*B306))*'MATERIALES (2)'!$C$199)+((A306+(2*B306))*'MATERIALES (2)'!$C$198)+(((A306*2)+(B306*2))*'MATERIALES (2)'!$C$154)+(((A306*2)+(B306*2))*'MATERIALES (2)'!$C$130)+(0.5*'MATERIALES (2)'!$C$156)+(((((A306*2)+(B306*4))/0.1)*'MATERIALES (2)'!$C$181)*2)+(2*'MATERIALES (2)'!$C$176)+(((A306*5)*2)*'MATERIALES (2)'!$C$136)+(4*'MATERIALES (2)'!$C$137)</f>
        <v>64756</v>
      </c>
      <c r="E306" s="75"/>
      <c r="F306" s="112">
        <f>(((((A306/2)*B306))*2)*'MATERIALES (2)'!$D$86)+(4*'MATERIALES (2)'!$C$218)+((((A306/2)*2)+(B306*2))*'MATERIALES (2)'!$C$219)+((((A306/2)*2)+(B306*2))*'MATERIALES (2)'!$C$220)+(((((A306/2)*2)+(B306*2))/15)*'MATERIALES (2)'!$C$221)+(((((A306/2)*2)+(B306*2))/15)*('MATERIALES (2)'!$C$222*0.15))</f>
        <v>20458.245833333331</v>
      </c>
      <c r="G306" s="75">
        <f t="shared" ref="G306:G312" si="88">SUM(C306:F306)</f>
        <v>235735.4593333333</v>
      </c>
      <c r="H306" s="160">
        <f t="shared" ref="H306:H312" si="89">((((SUM(C306:E306)*$C$301)+(F306*$F$301))*1.21)*1.05)*1.05</f>
        <v>442283.62219373055</v>
      </c>
      <c r="I306" s="77"/>
      <c r="J306" s="77"/>
      <c r="K306" s="77"/>
      <c r="L306" s="77"/>
      <c r="M306" s="68">
        <v>0.7</v>
      </c>
      <c r="N306" s="69">
        <v>2</v>
      </c>
      <c r="O306" s="59">
        <f>(((M306+(2*N306))*'MATERIALES (2)'!$C$60)+((M306+(2*N306))*'MATERIALES (2)'!$C$58)+(M306*'MATERIALES (2)'!$C$62)+((((M306*2)+(N306*2))*'MATERIALES (2)'!$C$76)*2))*'MATERIALES (2)'!$F$2</f>
        <v>131038.8135</v>
      </c>
      <c r="P306" s="59">
        <f>(1*'MATERIALES (2)'!$C$193)+(1*'MATERIALES (2)'!$C$194)+(3*'MATERIALES (2)'!$C$196)+(2*'MATERIALES (2)'!$C$178)+(2*'MATERIALES (2)'!$C$179)+(2*'MATERIALES (2)'!$C$180)+(4*'MATERIALES (2)'!$C$147)+(4*'MATERIALES (2)'!$C$148)+((M306+(2*N306))*'MATERIALES (2)'!$C$199)+((M306+(2*N306))*'MATERIALES (2)'!$C$198)+(((M306*2)+(N306*2))*'MATERIALES (2)'!$C$154)+(0.5*'MATERIALES (2)'!$C$156)+(((((M306*2)+(N306*2))/0.1)*'MATERIALES (2)'!$C$181)*2)+(2*'MATERIALES (2)'!$C$176)+(((M306*5)*2)*'MATERIALES (2)'!$C$136)+(4*'MATERIALES (2)'!$C$137)</f>
        <v>60300</v>
      </c>
      <c r="Q306" s="75"/>
      <c r="R306" s="55">
        <f>(1*'MATERIALES (2)'!$D$233)</f>
        <v>4900</v>
      </c>
      <c r="S306" s="59">
        <f t="shared" ref="S306:S312" si="90">SUM(O306:R306)</f>
        <v>196238.81349999999</v>
      </c>
      <c r="T306" s="67">
        <f t="shared" ref="T306:T312" si="91">((((SUM(O306:R306)*$O$301))*1.21)*1.05)*1.05</f>
        <v>353413.10229210567</v>
      </c>
      <c r="U306" s="77"/>
      <c r="W306" s="68">
        <v>0.7</v>
      </c>
      <c r="X306" s="69">
        <v>2</v>
      </c>
      <c r="Y306" s="59">
        <f>(((W306+(2*X306))*'MATERIALES (2)'!$C$60)+((W306+(2*X306))*'MATERIALES (2)'!$C$58)+(W306*'MATERIALES (2)'!$C$62)+((((W306*2)+(X306*4))*'MATERIALES (2)'!$C$76)*2)+((((W306/2)-0.2)*'MATERIALES (2)'!$C$30)*(X306/0.12)))*'MATERIALES (2)'!$F$2</f>
        <v>173760.68849999999</v>
      </c>
      <c r="Z306" s="59">
        <f>(1*'MATERIALES (2)'!$C$193)+(1*'MATERIALES (2)'!$C$194)+(3*'MATERIALES (2)'!$C$196)+(2*'MATERIALES (2)'!$C$178)+(2*'MATERIALES (2)'!$C$179)+(2*'MATERIALES (2)'!$C$180)+(8*'MATERIALES (2)'!$C$147)+(8*'MATERIALES (2)'!$C$148)+((W306+(2*X306))*'MATERIALES (2)'!$C$199)+((W306+(2*X306))*'MATERIALES (2)'!$C$198)+(((W306*2)+(X306*2))*'MATERIALES (2)'!$C$154)+(((W306*2)+(X306*2))*'MATERIALES (2)'!$C$130)+(0.5*'MATERIALES (2)'!$C$156)+(((((W306*2)+(X306*4))/0.1)*'MATERIALES (2)'!$C$181)*2)+(2*'MATERIALES (2)'!$C$176)+(((W306*5)*2)*'MATERIALES (2)'!$C$136)+(4*'MATERIALES (2)'!$C$137)</f>
        <v>64756</v>
      </c>
      <c r="AA306" s="59">
        <f>(0.5*'MATERIALES (2)'!$D$244)</f>
        <v>0</v>
      </c>
      <c r="AB306" s="55">
        <f>(((((W306/2)*X306))*2)*'MATERIALES (2)'!$D$86)+(4*'MATERIALES (2)'!$C$218)+((((W306/2)*2)+(X306*2))*'MATERIALES (2)'!$C$219)+((((W306/2)*2)+(X306*2))*'MATERIALES (2)'!$C$220)+(((((W306/2)*2)+(X306*2))/15)*'MATERIALES (2)'!$C$221)+(((((W306/2)*2)+(X306*2))/15)*('MATERIALES (2)'!$C$222*0.15))</f>
        <v>20458.245833333331</v>
      </c>
      <c r="AC306" s="59">
        <f t="shared" ref="AC306:AC312" si="92">SUM(Y306:AB306)</f>
        <v>258974.93433333331</v>
      </c>
      <c r="AD306" s="67">
        <f t="shared" ref="AD306:AD312" si="93">((((SUM(Y306:AA306)*$Y$301)+(AB306*$AB$301))*1.21)*1.05)*1.05</f>
        <v>484136.37705351191</v>
      </c>
    </row>
    <row r="307" spans="1:30" ht="15.75" thickBot="1">
      <c r="A307" s="161">
        <v>0.8</v>
      </c>
      <c r="B307" s="162">
        <v>2</v>
      </c>
      <c r="C307" s="75">
        <f>((((A307+(2*B307))*'MATERIALES (2)'!$C$60)+((A307+(2*B307))*'MATERIALES (2)'!$C$58)+(A307*'MATERIALES (2)'!$C$62)+((((A307*2)+(B307*4))*'MATERIALES (2)'!$C$76)*2))*'MATERIALES (2)'!$F$2)+(1*'MATERIALES (2)'!$D$233)</f>
        <v>155335.68399999998</v>
      </c>
      <c r="D307" s="75">
        <f>(1*'MATERIALES (2)'!$C$193)+(1*'MATERIALES (2)'!$C$194)+(3*'MATERIALES (2)'!$C$196)+(2*'MATERIALES (2)'!$C$178)+(2*'MATERIALES (2)'!$C$179)+(2*'MATERIALES (2)'!$C$180)+(8*'MATERIALES (2)'!$C$147)+(8*'MATERIALES (2)'!$C$148)+((A307+(2*B307))*'MATERIALES (2)'!$C$199)+((A307+(2*B307))*'MATERIALES (2)'!$C$198)+(((A307*2)+(B307*2))*'MATERIALES (2)'!$C$154)+(((A307*2)+(B307*2))*'MATERIALES (2)'!$C$130)+(0.5*'MATERIALES (2)'!$C$156)+(((((A307*2)+(B307*4))/0.1)*'MATERIALES (2)'!$C$181)*2)+(2*'MATERIALES (2)'!$C$176)+(((A307*5)*2)*'MATERIALES (2)'!$C$136)+(4*'MATERIALES (2)'!$C$137)</f>
        <v>65034</v>
      </c>
      <c r="E307" s="75"/>
      <c r="F307" s="112">
        <f>(((((A307/2)*B307))*2)*'MATERIALES (2)'!$D$86)+(4*'MATERIALES (2)'!$C$218)+((((A307/2)*2)+(B307*2))*'MATERIALES (2)'!$C$219)+((((A307/2)*2)+(B307*2))*'MATERIALES (2)'!$C$220)+(((((A307/2)*2)+(B307*2))/15)*'MATERIALES (2)'!$C$221)+(((((A307/2)*2)+(B307*2))/15)*('MATERIALES (2)'!$C$222*0.15))</f>
        <v>22391.4</v>
      </c>
      <c r="G307" s="75">
        <f t="shared" si="88"/>
        <v>242761.08399999997</v>
      </c>
      <c r="H307" s="160">
        <f t="shared" si="89"/>
        <v>456612.57616243494</v>
      </c>
      <c r="I307" s="77"/>
      <c r="J307" s="77"/>
      <c r="K307" s="77"/>
      <c r="L307" s="77"/>
      <c r="M307" s="68">
        <v>0.8</v>
      </c>
      <c r="N307" s="69">
        <v>2</v>
      </c>
      <c r="O307" s="59">
        <f>(((M307+(2*N307))*'MATERIALES (2)'!$C$60)+((M307+(2*N307))*'MATERIALES (2)'!$C$58)+(M307*'MATERIALES (2)'!$C$62)+((((M307*2)+(N307*2))*'MATERIALES (2)'!$C$76)*2))*'MATERIALES (2)'!$F$2</f>
        <v>135853.28399999999</v>
      </c>
      <c r="P307" s="59">
        <f>(1*'MATERIALES (2)'!$C$193)+(1*'MATERIALES (2)'!$C$194)+(3*'MATERIALES (2)'!$C$196)+(2*'MATERIALES (2)'!$C$178)+(2*'MATERIALES (2)'!$C$179)+(2*'MATERIALES (2)'!$C$180)+(4*'MATERIALES (2)'!$C$147)+(4*'MATERIALES (2)'!$C$148)+((M307+(2*N307))*'MATERIALES (2)'!$C$199)+((M307+(2*N307))*'MATERIALES (2)'!$C$198)+(((M307*2)+(N307*2))*'MATERIALES (2)'!$C$154)+(0.5*'MATERIALES (2)'!$C$156)+(((((M307*2)+(N307*2))/0.1)*'MATERIALES (2)'!$C$181)*2)+(2*'MATERIALES (2)'!$C$176)+(((M307*5)*2)*'MATERIALES (2)'!$C$136)+(4*'MATERIALES (2)'!$C$137)</f>
        <v>60530</v>
      </c>
      <c r="Q307" s="75"/>
      <c r="R307" s="55">
        <f>(1*'MATERIALES (2)'!$D$233)</f>
        <v>4900</v>
      </c>
      <c r="S307" s="59">
        <f t="shared" si="90"/>
        <v>201283.28399999999</v>
      </c>
      <c r="T307" s="67">
        <f t="shared" si="91"/>
        <v>362497.85946643498</v>
      </c>
      <c r="U307" s="77"/>
      <c r="W307" s="68">
        <v>0.8</v>
      </c>
      <c r="X307" s="69">
        <v>2</v>
      </c>
      <c r="Y307" s="59">
        <f>(((W307+(2*X307))*'MATERIALES (2)'!$C$60)+((W307+(2*X307))*'MATERIALES (2)'!$C$58)+(W307*'MATERIALES (2)'!$C$62)+((((W307*2)+(X307*4))*'MATERIALES (2)'!$C$76)*2)+((((W307/2)-0.2)*'MATERIALES (2)'!$C$30)*(X307/0.12)))*'MATERIALES (2)'!$F$2</f>
        <v>187954.98399999997</v>
      </c>
      <c r="Z307" s="59">
        <f>(1*'MATERIALES (2)'!$C$193)+(1*'MATERIALES (2)'!$C$194)+(3*'MATERIALES (2)'!$C$196)+(2*'MATERIALES (2)'!$C$178)+(2*'MATERIALES (2)'!$C$179)+(2*'MATERIALES (2)'!$C$180)+(8*'MATERIALES (2)'!$C$147)+(8*'MATERIALES (2)'!$C$148)+((W307+(2*X307))*'MATERIALES (2)'!$C$199)+((W307+(2*X307))*'MATERIALES (2)'!$C$198)+(((W307*2)+(X307*2))*'MATERIALES (2)'!$C$154)+(((W307*2)+(X307*2))*'MATERIALES (2)'!$C$130)+(0.5*'MATERIALES (2)'!$C$156)+(((((W307*2)+(X307*4))/0.1)*'MATERIALES (2)'!$C$181)*2)+(2*'MATERIALES (2)'!$C$176)+(((W307*5)*2)*'MATERIALES (2)'!$C$136)+(4*'MATERIALES (2)'!$C$137)</f>
        <v>65034</v>
      </c>
      <c r="AA307" s="59">
        <f>(0.5*'MATERIALES (2)'!$D$244)</f>
        <v>0</v>
      </c>
      <c r="AB307" s="55">
        <f>(((((W307/2)*X307))*2)*'MATERIALES (2)'!$D$86)+(4*'MATERIALES (2)'!$C$218)+((((W307/2)*2)+(X307*2))*'MATERIALES (2)'!$C$219)+((((W307/2)*2)+(X307*2))*'MATERIALES (2)'!$C$220)+(((((W307/2)*2)+(X307*2))/15)*'MATERIALES (2)'!$C$221)+(((((W307/2)*2)+(X307*2))/15)*('MATERIALES (2)'!$C$222*0.15))</f>
        <v>22391.4</v>
      </c>
      <c r="AC307" s="59">
        <f t="shared" si="92"/>
        <v>275380.38399999996</v>
      </c>
      <c r="AD307" s="67">
        <f t="shared" si="93"/>
        <v>515357.77443380997</v>
      </c>
    </row>
    <row r="308" spans="1:30" ht="15.75" thickBot="1">
      <c r="A308" s="161">
        <v>0.9</v>
      </c>
      <c r="B308" s="162">
        <v>2</v>
      </c>
      <c r="C308" s="75">
        <f>((((A308+(2*B308))*'MATERIALES (2)'!$C$60)+((A308+(2*B308))*'MATERIALES (2)'!$C$58)+(A308*'MATERIALES (2)'!$C$62)+((((A308*2)+(B308*4))*'MATERIALES (2)'!$C$76)*2))*'MATERIALES (2)'!$F$2)+(1*'MATERIALES (2)'!$D$233)</f>
        <v>160150.1545</v>
      </c>
      <c r="D308" s="75">
        <f>(1*'MATERIALES (2)'!$C$193)+(1*'MATERIALES (2)'!$C$194)+(3*'MATERIALES (2)'!$C$196)+(2*'MATERIALES (2)'!$C$178)+(2*'MATERIALES (2)'!$C$179)+(2*'MATERIALES (2)'!$C$180)+(8*'MATERIALES (2)'!$C$147)+(8*'MATERIALES (2)'!$C$148)+((A308+(2*B308))*'MATERIALES (2)'!$C$199)+((A308+(2*B308))*'MATERIALES (2)'!$C$198)+(((A308*2)+(B308*2))*'MATERIALES (2)'!$C$154)+(((A308*2)+(B308*2))*'MATERIALES (2)'!$C$130)+(0.5*'MATERIALES (2)'!$C$156)+(((((A308*2)+(B308*4))/0.1)*'MATERIALES (2)'!$C$181)*2)+(2*'MATERIALES (2)'!$C$176)+(((A308*5)*2)*'MATERIALES (2)'!$C$136)+(4*'MATERIALES (2)'!$C$137)</f>
        <v>65312</v>
      </c>
      <c r="E308" s="75"/>
      <c r="F308" s="112">
        <f>(((((A308/2)*B308))*2)*'MATERIALES (2)'!$D$86)+(4*'MATERIALES (2)'!$C$218)+((((A308/2)*2)+(B308*2))*'MATERIALES (2)'!$C$219)+((((A308/2)*2)+(B308*2))*'MATERIALES (2)'!$C$220)+(((((A308/2)*2)+(B308*2))/15)*'MATERIALES (2)'!$C$221)+(((((A308/2)*2)+(B308*2))/15)*('MATERIALES (2)'!$C$222*0.15))</f>
        <v>24324.554166666669</v>
      </c>
      <c r="G308" s="75">
        <f t="shared" si="88"/>
        <v>249786.70866666667</v>
      </c>
      <c r="H308" s="160">
        <f t="shared" si="89"/>
        <v>470941.53013113944</v>
      </c>
      <c r="I308" s="77"/>
      <c r="J308" s="77"/>
      <c r="K308" s="77"/>
      <c r="L308" s="77"/>
      <c r="M308" s="68">
        <v>0.9</v>
      </c>
      <c r="N308" s="69">
        <v>2</v>
      </c>
      <c r="O308" s="59">
        <f>(((M308+(2*N308))*'MATERIALES (2)'!$C$60)+((M308+(2*N308))*'MATERIALES (2)'!$C$58)+(M308*'MATERIALES (2)'!$C$62)+((((M308*2)+(N308*2))*'MATERIALES (2)'!$C$76)*2))*'MATERIALES (2)'!$F$2</f>
        <v>140667.75450000001</v>
      </c>
      <c r="P308" s="59">
        <f>(1*'MATERIALES (2)'!$C$193)+(1*'MATERIALES (2)'!$C$194)+(3*'MATERIALES (2)'!$C$196)+(2*'MATERIALES (2)'!$C$178)+(2*'MATERIALES (2)'!$C$179)+(2*'MATERIALES (2)'!$C$180)+(4*'MATERIALES (2)'!$C$147)+(4*'MATERIALES (2)'!$C$148)+((M308+(2*N308))*'MATERIALES (2)'!$C$199)+((M308+(2*N308))*'MATERIALES (2)'!$C$198)+(((M308*2)+(N308*2))*'MATERIALES (2)'!$C$154)+(0.5*'MATERIALES (2)'!$C$156)+(((((M308*2)+(N308*2))/0.1)*'MATERIALES (2)'!$C$181)*2)+(2*'MATERIALES (2)'!$C$176)+(((M308*5)*2)*'MATERIALES (2)'!$C$136)+(4*'MATERIALES (2)'!$C$137)</f>
        <v>60760</v>
      </c>
      <c r="Q308" s="75"/>
      <c r="R308" s="55">
        <f>(1*'MATERIALES (2)'!$D$233)</f>
        <v>4900</v>
      </c>
      <c r="S308" s="59">
        <f t="shared" si="90"/>
        <v>206327.75450000001</v>
      </c>
      <c r="T308" s="67">
        <f t="shared" si="91"/>
        <v>371582.61664076441</v>
      </c>
      <c r="U308" s="77"/>
      <c r="W308" s="68">
        <v>0.9</v>
      </c>
      <c r="X308" s="69">
        <v>2</v>
      </c>
      <c r="Y308" s="59">
        <f>(((W308+(2*X308))*'MATERIALES (2)'!$C$60)+((W308+(2*X308))*'MATERIALES (2)'!$C$58)+(W308*'MATERIALES (2)'!$C$62)+((((W308*2)+(X308*4))*'MATERIALES (2)'!$C$76)*2)+((((W308/2)-0.2)*'MATERIALES (2)'!$C$30)*(X308/0.12)))*'MATERIALES (2)'!$F$2</f>
        <v>202149.27950000003</v>
      </c>
      <c r="Z308" s="59">
        <f>(1*'MATERIALES (2)'!$C$193)+(1*'MATERIALES (2)'!$C$194)+(3*'MATERIALES (2)'!$C$196)+(2*'MATERIALES (2)'!$C$178)+(2*'MATERIALES (2)'!$C$179)+(2*'MATERIALES (2)'!$C$180)+(8*'MATERIALES (2)'!$C$147)+(8*'MATERIALES (2)'!$C$148)+((W308+(2*X308))*'MATERIALES (2)'!$C$199)+((W308+(2*X308))*'MATERIALES (2)'!$C$198)+(((W308*2)+(X308*2))*'MATERIALES (2)'!$C$154)+(((W308*2)+(X308*2))*'MATERIALES (2)'!$C$130)+(0.5*'MATERIALES (2)'!$C$156)+(((((W308*2)+(X308*4))/0.1)*'MATERIALES (2)'!$C$181)*2)+(2*'MATERIALES (2)'!$C$176)+(((W308*5)*2)*'MATERIALES (2)'!$C$136)+(4*'MATERIALES (2)'!$C$137)</f>
        <v>65312</v>
      </c>
      <c r="AA308" s="59">
        <f>(0.5*'MATERIALES (2)'!$D$244)</f>
        <v>0</v>
      </c>
      <c r="AB308" s="55">
        <f>(((((W308/2)*X308))*2)*'MATERIALES (2)'!$D$86)+(4*'MATERIALES (2)'!$C$218)+((((W308/2)*2)+(X308*2))*'MATERIALES (2)'!$C$219)+((((W308/2)*2)+(X308*2))*'MATERIALES (2)'!$C$220)+(((((W308/2)*2)+(X308*2))/15)*'MATERIALES (2)'!$C$221)+(((((W308/2)*2)+(X308*2))/15)*('MATERIALES (2)'!$C$222*0.15))</f>
        <v>24324.554166666669</v>
      </c>
      <c r="AC308" s="59">
        <f t="shared" si="92"/>
        <v>291785.83366666676</v>
      </c>
      <c r="AD308" s="67">
        <f t="shared" si="93"/>
        <v>546579.17181410838</v>
      </c>
    </row>
    <row r="309" spans="1:30" ht="15.75" thickBot="1">
      <c r="A309" s="161">
        <v>0.6</v>
      </c>
      <c r="B309" s="162">
        <v>2.1</v>
      </c>
      <c r="C309" s="75">
        <f>((((A309+(2*B309))*'MATERIALES (2)'!$C$60)+((A309+(2*B309))*'MATERIALES (2)'!$C$58)+(A309*'MATERIALES (2)'!$C$62)+((((A309*2)+(B309*4))*'MATERIALES (2)'!$C$76)*2))*'MATERIALES (2)'!$F$2)+(1*'MATERIALES (2)'!$D$233)</f>
        <v>151302.739</v>
      </c>
      <c r="D309" s="75">
        <f>(1*'MATERIALES (2)'!$C$193)+(1*'MATERIALES (2)'!$C$194)+(3*'MATERIALES (2)'!$C$196)+(2*'MATERIALES (2)'!$C$178)+(2*'MATERIALES (2)'!$C$179)+(2*'MATERIALES (2)'!$C$180)+(8*'MATERIALES (2)'!$C$147)+(8*'MATERIALES (2)'!$C$148)+((A309+(2*B309))*'MATERIALES (2)'!$C$199)+((A309+(2*B309))*'MATERIALES (2)'!$C$198)+(((A309*2)+(B309*2))*'MATERIALES (2)'!$C$154)+(((A309*2)+(B309*2))*'MATERIALES (2)'!$C$130)+(0.5*'MATERIALES (2)'!$C$156)+(((((A309*2)+(B309*4))/0.1)*'MATERIALES (2)'!$C$181)*2)+(2*'MATERIALES (2)'!$C$176)+(((A309*5)*2)*'MATERIALES (2)'!$C$136)+(4*'MATERIALES (2)'!$C$137)</f>
        <v>64938</v>
      </c>
      <c r="E309" s="75"/>
      <c r="F309" s="112">
        <f>(((((A309/2)*B309))*2)*'MATERIALES (2)'!$D$86)+(4*'MATERIALES (2)'!$C$218)+((((A309/2)*2)+(B309*2))*'MATERIALES (2)'!$C$219)+((((A309/2)*2)+(B309*2))*'MATERIALES (2)'!$C$220)+(((((A309/2)*2)+(B309*2))/15)*'MATERIALES (2)'!$C$221)+(((((A309/2)*2)+(B309*2))/15)*('MATERIALES (2)'!$C$222*0.15))</f>
        <v>19392.600000000002</v>
      </c>
      <c r="G309" s="75">
        <f t="shared" si="88"/>
        <v>235633.33900000001</v>
      </c>
      <c r="H309" s="160">
        <f t="shared" si="89"/>
        <v>441175.67142004136</v>
      </c>
      <c r="I309" s="77"/>
      <c r="J309" s="77"/>
      <c r="K309" s="77"/>
      <c r="L309" s="77"/>
      <c r="M309" s="68">
        <v>0.6</v>
      </c>
      <c r="N309" s="69">
        <v>2.1</v>
      </c>
      <c r="O309" s="59">
        <f>(((M309+(2*N309))*'MATERIALES (2)'!$C$60)+((M309+(2*N309))*'MATERIALES (2)'!$C$58)+(M309*'MATERIALES (2)'!$C$62)+((((M309*2)+(N309*2))*'MATERIALES (2)'!$C$76)*2))*'MATERIALES (2)'!$F$2</f>
        <v>131091.21899999998</v>
      </c>
      <c r="P309" s="59">
        <f>(1*'MATERIALES (2)'!$C$193)+(1*'MATERIALES (2)'!$C$194)+(3*'MATERIALES (2)'!$C$196)+(2*'MATERIALES (2)'!$C$178)+(2*'MATERIALES (2)'!$C$179)+(2*'MATERIALES (2)'!$C$180)+(4*'MATERIALES (2)'!$C$147)+(4*'MATERIALES (2)'!$C$148)+((M309+(2*N309))*'MATERIALES (2)'!$C$199)+((M309+(2*N309))*'MATERIALES (2)'!$C$198)+(((M309*2)+(N309*2))*'MATERIALES (2)'!$C$154)+(0.5*'MATERIALES (2)'!$C$156)+(((((M309*2)+(N309*2))/0.1)*'MATERIALES (2)'!$C$181)*2)+(2*'MATERIALES (2)'!$C$176)+(((M309*5)*2)*'MATERIALES (2)'!$C$136)+(4*'MATERIALES (2)'!$C$137)</f>
        <v>60362</v>
      </c>
      <c r="Q309" s="75"/>
      <c r="R309" s="55">
        <f>(1*'MATERIALES (2)'!$D$233)</f>
        <v>4900</v>
      </c>
      <c r="S309" s="59">
        <f t="shared" si="90"/>
        <v>196353.21899999998</v>
      </c>
      <c r="T309" s="67">
        <f t="shared" si="91"/>
        <v>353619.1390182412</v>
      </c>
      <c r="U309" s="77"/>
      <c r="W309" s="68">
        <v>0.6</v>
      </c>
      <c r="X309" s="69">
        <v>2.1</v>
      </c>
      <c r="Y309" s="59">
        <f>(((W309+(2*X309))*'MATERIALES (2)'!$C$60)+((W309+(2*X309))*'MATERIALES (2)'!$C$58)+(W309*'MATERIALES (2)'!$C$62)+((((W309*2)+(X309*4))*'MATERIALES (2)'!$C$76)*2)+((((W309/2)-0.2)*'MATERIALES (2)'!$C$30)*(X309/0.12)))*'MATERIALES (2)'!$F$2</f>
        <v>166100.37149999998</v>
      </c>
      <c r="Z309" s="59">
        <f>(1*'MATERIALES (2)'!$C$193)+(1*'MATERIALES (2)'!$C$194)+(3*'MATERIALES (2)'!$C$196)+(2*'MATERIALES (2)'!$C$178)+(2*'MATERIALES (2)'!$C$179)+(2*'MATERIALES (2)'!$C$180)+(8*'MATERIALES (2)'!$C$147)+(8*'MATERIALES (2)'!$C$148)+((W309+(2*X309))*'MATERIALES (2)'!$C$199)+((W309+(2*X309))*'MATERIALES (2)'!$C$198)+(((W309*2)+(X309*2))*'MATERIALES (2)'!$C$154)+(((W309*2)+(X309*2))*'MATERIALES (2)'!$C$130)+(0.5*'MATERIALES (2)'!$C$156)+(((((W309*2)+(X309*4))/0.1)*'MATERIALES (2)'!$C$181)*2)+(2*'MATERIALES (2)'!$C$176)+(((W309*5)*2)*'MATERIALES (2)'!$C$136)+(4*'MATERIALES (2)'!$C$137)</f>
        <v>64938</v>
      </c>
      <c r="AA309" s="59">
        <f>(0.5*'MATERIALES (2)'!$D$244)</f>
        <v>0</v>
      </c>
      <c r="AB309" s="55">
        <f>(((((W309/2)*X309))*2)*'MATERIALES (2)'!$D$86)+(4*'MATERIALES (2)'!$C$218)+((((W309/2)*2)+(X309*2))*'MATERIALES (2)'!$C$219)+((((W309/2)*2)+(X309*2))*'MATERIALES (2)'!$C$220)+(((((W309/2)*2)+(X309*2))/15)*'MATERIALES (2)'!$C$221)+(((((W309/2)*2)+(X309*2))/15)*('MATERIALES (2)'!$C$222*0.15))</f>
        <v>19392.600000000002</v>
      </c>
      <c r="AC309" s="59">
        <f t="shared" si="92"/>
        <v>250430.97149999999</v>
      </c>
      <c r="AD309" s="67">
        <f t="shared" si="93"/>
        <v>467825.22720938822</v>
      </c>
    </row>
    <row r="310" spans="1:30" ht="15.75" thickBot="1">
      <c r="A310" s="161">
        <v>0.7</v>
      </c>
      <c r="B310" s="162">
        <v>2.1</v>
      </c>
      <c r="C310" s="75">
        <f>((((A310+(2*B310))*'MATERIALES (2)'!$C$60)+((A310+(2*B310))*'MATERIALES (2)'!$C$58)+(A310*'MATERIALES (2)'!$C$62)+((((A310*2)+(B310*4))*'MATERIALES (2)'!$C$76)*2))*'MATERIALES (2)'!$F$2)+(1*'MATERIALES (2)'!$D$233)</f>
        <v>156117.2095</v>
      </c>
      <c r="D310" s="75">
        <f>(1*'MATERIALES (2)'!$C$193)+(1*'MATERIALES (2)'!$C$194)+(3*'MATERIALES (2)'!$C$196)+(2*'MATERIALES (2)'!$C$178)+(2*'MATERIALES (2)'!$C$179)+(2*'MATERIALES (2)'!$C$180)+(8*'MATERIALES (2)'!$C$147)+(8*'MATERIALES (2)'!$C$148)+((A310+(2*B310))*'MATERIALES (2)'!$C$199)+((A310+(2*B310))*'MATERIALES (2)'!$C$198)+(((A310*2)+(B310*2))*'MATERIALES (2)'!$C$154)+(((A310*2)+(B310*2))*'MATERIALES (2)'!$C$130)+(0.5*'MATERIALES (2)'!$C$156)+(((((A310*2)+(B310*4))/0.1)*'MATERIALES (2)'!$C$181)*2)+(2*'MATERIALES (2)'!$C$176)+(((A310*5)*2)*'MATERIALES (2)'!$C$136)+(4*'MATERIALES (2)'!$C$137)</f>
        <v>65216</v>
      </c>
      <c r="E310" s="75"/>
      <c r="F310" s="112">
        <f>(((((A310/2)*B310))*2)*'MATERIALES (2)'!$D$86)+(4*'MATERIALES (2)'!$C$218)+((((A310/2)*2)+(B310*2))*'MATERIALES (2)'!$C$219)+((((A310/2)*2)+(B310*2))*'MATERIALES (2)'!$C$220)+(((((A310/2)*2)+(B310*2))/15)*'MATERIALES (2)'!$C$221)+(((((A310/2)*2)+(B310*2))/15)*('MATERIALES (2)'!$C$222*0.15))</f>
        <v>21413.95416666667</v>
      </c>
      <c r="G310" s="75">
        <f t="shared" si="88"/>
        <v>242747.16366666666</v>
      </c>
      <c r="H310" s="160">
        <f t="shared" si="89"/>
        <v>455739.94739874563</v>
      </c>
      <c r="I310" s="77"/>
      <c r="J310" s="77"/>
      <c r="K310" s="77"/>
      <c r="L310" s="77"/>
      <c r="M310" s="68">
        <v>0.7</v>
      </c>
      <c r="N310" s="69">
        <v>2.1</v>
      </c>
      <c r="O310" s="59">
        <f>(((M310+(2*N310))*'MATERIALES (2)'!$C$60)+((M310+(2*N310))*'MATERIALES (2)'!$C$58)+(M310*'MATERIALES (2)'!$C$62)+((((M310*2)+(N310*2))*'MATERIALES (2)'!$C$76)*2))*'MATERIALES (2)'!$F$2</f>
        <v>135905.68949999998</v>
      </c>
      <c r="P310" s="59">
        <f>(1*'MATERIALES (2)'!$C$193)+(1*'MATERIALES (2)'!$C$194)+(3*'MATERIALES (2)'!$C$196)+(2*'MATERIALES (2)'!$C$178)+(2*'MATERIALES (2)'!$C$179)+(2*'MATERIALES (2)'!$C$180)+(4*'MATERIALES (2)'!$C$147)+(4*'MATERIALES (2)'!$C$148)+((M310+(2*N310))*'MATERIALES (2)'!$C$199)+((M310+(2*N310))*'MATERIALES (2)'!$C$198)+(((M310*2)+(N310*2))*'MATERIALES (2)'!$C$154)+(0.5*'MATERIALES (2)'!$C$156)+(((((M310*2)+(N310*2))/0.1)*'MATERIALES (2)'!$C$181)*2)+(2*'MATERIALES (2)'!$C$176)+(((M310*5)*2)*'MATERIALES (2)'!$C$136)+(4*'MATERIALES (2)'!$C$137)</f>
        <v>60592</v>
      </c>
      <c r="Q310" s="75"/>
      <c r="R310" s="55">
        <f>(1*'MATERIALES (2)'!$D$233)</f>
        <v>4900</v>
      </c>
      <c r="S310" s="59">
        <f t="shared" si="90"/>
        <v>201397.68949999998</v>
      </c>
      <c r="T310" s="67">
        <f t="shared" si="91"/>
        <v>362703.89619257062</v>
      </c>
      <c r="U310" s="77"/>
      <c r="W310" s="68">
        <v>0.7</v>
      </c>
      <c r="X310" s="69">
        <v>2.1</v>
      </c>
      <c r="Y310" s="59">
        <f>(((W310+(2*X310))*'MATERIALES (2)'!$C$60)+((W310+(2*X310))*'MATERIALES (2)'!$C$58)+(W310*'MATERIALES (2)'!$C$62)+((((W310*2)+(X310*4))*'MATERIALES (2)'!$C$76)*2)+((((W310/2)-0.2)*'MATERIALES (2)'!$C$30)*(X310/0.12)))*'MATERIALES (2)'!$F$2</f>
        <v>180763.65824999998</v>
      </c>
      <c r="Z310" s="59">
        <f>(1*'MATERIALES (2)'!$C$193)+(1*'MATERIALES (2)'!$C$194)+(3*'MATERIALES (2)'!$C$196)+(2*'MATERIALES (2)'!$C$178)+(2*'MATERIALES (2)'!$C$179)+(2*'MATERIALES (2)'!$C$180)+(8*'MATERIALES (2)'!$C$147)+(8*'MATERIALES (2)'!$C$148)+((W310+(2*X310))*'MATERIALES (2)'!$C$199)+((W310+(2*X310))*'MATERIALES (2)'!$C$198)+(((W310*2)+(X310*2))*'MATERIALES (2)'!$C$154)+(((W310*2)+(X310*2))*'MATERIALES (2)'!$C$130)+(0.5*'MATERIALES (2)'!$C$156)+(((((W310*2)+(X310*4))/0.1)*'MATERIALES (2)'!$C$181)*2)+(2*'MATERIALES (2)'!$C$176)+(((W310*5)*2)*'MATERIALES (2)'!$C$136)+(4*'MATERIALES (2)'!$C$137)</f>
        <v>65216</v>
      </c>
      <c r="AA310" s="59">
        <f>(0.5*'MATERIALES (2)'!$D$244)</f>
        <v>0</v>
      </c>
      <c r="AB310" s="55">
        <f>(((((W310/2)*X310))*2)*'MATERIALES (2)'!$D$86)+(4*'MATERIALES (2)'!$C$218)+((((W310/2)*2)+(X310*2))*'MATERIALES (2)'!$C$219)+((((W310/2)*2)+(X310*2))*'MATERIALES (2)'!$C$220)+(((((W310/2)*2)+(X310*2))/15)*'MATERIALES (2)'!$C$221)+(((((W310/2)*2)+(X310*2))/15)*('MATERIALES (2)'!$C$222*0.15))</f>
        <v>21413.95416666667</v>
      </c>
      <c r="AC310" s="59">
        <f t="shared" si="92"/>
        <v>267393.61241666664</v>
      </c>
      <c r="AD310" s="67">
        <f t="shared" si="93"/>
        <v>500126.56877026591</v>
      </c>
    </row>
    <row r="311" spans="1:30" ht="15.75" thickBot="1">
      <c r="A311" s="161">
        <v>0.8</v>
      </c>
      <c r="B311" s="162">
        <v>2.1</v>
      </c>
      <c r="C311" s="75">
        <f>((((A311+(2*B311))*'MATERIALES (2)'!$C$60)+((A311+(2*B311))*'MATERIALES (2)'!$C$58)+(A311*'MATERIALES (2)'!$C$62)+((((A311*2)+(B311*4))*'MATERIALES (2)'!$C$76)*2))*'MATERIALES (2)'!$F$2)+(1*'MATERIALES (2)'!$D$233)</f>
        <v>160931.68000000002</v>
      </c>
      <c r="D311" s="75">
        <f>(1*'MATERIALES (2)'!$C$193)+(1*'MATERIALES (2)'!$C$194)+(3*'MATERIALES (2)'!$C$196)+(2*'MATERIALES (2)'!$C$178)+(2*'MATERIALES (2)'!$C$179)+(2*'MATERIALES (2)'!$C$180)+(8*'MATERIALES (2)'!$C$147)+(8*'MATERIALES (2)'!$C$148)+((A311+(2*B311))*'MATERIALES (2)'!$C$199)+((A311+(2*B311))*'MATERIALES (2)'!$C$198)+(((A311*2)+(B311*2))*'MATERIALES (2)'!$C$154)+(((A311*2)+(B311*2))*'MATERIALES (2)'!$C$130)+(0.5*'MATERIALES (2)'!$C$156)+(((((A311*2)+(B311*4))/0.1)*'MATERIALES (2)'!$C$181)*2)+(2*'MATERIALES (2)'!$C$176)+(((A311*5)*2)*'MATERIALES (2)'!$C$136)+(4*'MATERIALES (2)'!$C$137)</f>
        <v>65494</v>
      </c>
      <c r="E311" s="75"/>
      <c r="F311" s="112">
        <f>(((((A311/2)*B311))*2)*'MATERIALES (2)'!$D$86)+(4*'MATERIALES (2)'!$C$218)+((((A311/2)*2)+(B311*2))*'MATERIALES (2)'!$C$219)+((((A311/2)*2)+(B311*2))*'MATERIALES (2)'!$C$220)+(((((A311/2)*2)+(B311*2))/15)*'MATERIALES (2)'!$C$221)+(((((A311/2)*2)+(B311*2))/15)*('MATERIALES (2)'!$C$222*0.15))</f>
        <v>23435.308333333334</v>
      </c>
      <c r="G311" s="75">
        <f t="shared" si="88"/>
        <v>249860.98833333334</v>
      </c>
      <c r="H311" s="160">
        <f t="shared" si="89"/>
        <v>470304.22337745019</v>
      </c>
      <c r="I311" s="77"/>
      <c r="J311" s="77"/>
      <c r="K311" s="77"/>
      <c r="L311" s="77"/>
      <c r="M311" s="68">
        <v>0.8</v>
      </c>
      <c r="N311" s="69">
        <v>2.1</v>
      </c>
      <c r="O311" s="59">
        <f>(((M311+(2*N311))*'MATERIALES (2)'!$C$60)+((M311+(2*N311))*'MATERIALES (2)'!$C$58)+(M311*'MATERIALES (2)'!$C$62)+((((M311*2)+(N311*2))*'MATERIALES (2)'!$C$76)*2))*'MATERIALES (2)'!$F$2</f>
        <v>140720.16</v>
      </c>
      <c r="P311" s="59">
        <f>(1*'MATERIALES (2)'!$C$193)+(1*'MATERIALES (2)'!$C$194)+(3*'MATERIALES (2)'!$C$196)+(2*'MATERIALES (2)'!$C$178)+(2*'MATERIALES (2)'!$C$179)+(2*'MATERIALES (2)'!$C$180)+(4*'MATERIALES (2)'!$C$147)+(4*'MATERIALES (2)'!$C$148)+((M311+(2*N311))*'MATERIALES (2)'!$C$199)+((M311+(2*N311))*'MATERIALES (2)'!$C$198)+(((M311*2)+(N311*2))*'MATERIALES (2)'!$C$154)+(0.5*'MATERIALES (2)'!$C$156)+(((((M311*2)+(N311*2))/0.1)*'MATERIALES (2)'!$C$181)*2)+(2*'MATERIALES (2)'!$C$176)+(((M311*5)*2)*'MATERIALES (2)'!$C$136)+(4*'MATERIALES (2)'!$C$137)</f>
        <v>60822</v>
      </c>
      <c r="Q311" s="75"/>
      <c r="R311" s="55">
        <f>(1*'MATERIALES (2)'!$D$233)</f>
        <v>4900</v>
      </c>
      <c r="S311" s="59">
        <f t="shared" si="90"/>
        <v>206442.16</v>
      </c>
      <c r="T311" s="67">
        <f t="shared" si="91"/>
        <v>371788.65336690011</v>
      </c>
      <c r="U311" s="77"/>
      <c r="W311" s="68">
        <v>0.8</v>
      </c>
      <c r="X311" s="69">
        <v>2.1</v>
      </c>
      <c r="Y311" s="59">
        <f>(((W311+(2*X311))*'MATERIALES (2)'!$C$60)+((W311+(2*X311))*'MATERIALES (2)'!$C$58)+(W311*'MATERIALES (2)'!$C$62)+((((W311*2)+(X311*4))*'MATERIALES (2)'!$C$76)*2)+((((W311/2)-0.2)*'MATERIALES (2)'!$C$30)*(X311/0.12)))*'MATERIALES (2)'!$F$2</f>
        <v>195426.94500000004</v>
      </c>
      <c r="Z311" s="59">
        <f>(1*'MATERIALES (2)'!$C$193)+(1*'MATERIALES (2)'!$C$194)+(3*'MATERIALES (2)'!$C$196)+(2*'MATERIALES (2)'!$C$178)+(2*'MATERIALES (2)'!$C$179)+(2*'MATERIALES (2)'!$C$180)+(8*'MATERIALES (2)'!$C$147)+(8*'MATERIALES (2)'!$C$148)+((W311+(2*X311))*'MATERIALES (2)'!$C$199)+((W311+(2*X311))*'MATERIALES (2)'!$C$198)+(((W311*2)+(X311*2))*'MATERIALES (2)'!$C$154)+(((W311*2)+(X311*2))*'MATERIALES (2)'!$C$130)+(0.5*'MATERIALES (2)'!$C$156)+(((((W311*2)+(X311*4))/0.1)*'MATERIALES (2)'!$C$181)*2)+(2*'MATERIALES (2)'!$C$176)+(((W311*5)*2)*'MATERIALES (2)'!$C$136)+(4*'MATERIALES (2)'!$C$137)</f>
        <v>65494</v>
      </c>
      <c r="AA311" s="59">
        <f>(0.5*'MATERIALES (2)'!$D$244)</f>
        <v>0</v>
      </c>
      <c r="AB311" s="55">
        <f>(((((W311/2)*X311))*2)*'MATERIALES (2)'!$D$86)+(4*'MATERIALES (2)'!$C$218)+((((W311/2)*2)+(X311*2))*'MATERIALES (2)'!$C$219)+((((W311/2)*2)+(X311*2))*'MATERIALES (2)'!$C$220)+(((((W311/2)*2)+(X311*2))/15)*'MATERIALES (2)'!$C$221)+(((((W311/2)*2)+(X311*2))/15)*('MATERIALES (2)'!$C$222*0.15))</f>
        <v>23435.308333333334</v>
      </c>
      <c r="AC311" s="59">
        <f t="shared" si="92"/>
        <v>284356.25333333336</v>
      </c>
      <c r="AD311" s="67">
        <f t="shared" si="93"/>
        <v>532427.91033114388</v>
      </c>
    </row>
    <row r="312" spans="1:30" ht="15.75" thickBot="1">
      <c r="A312" s="164">
        <v>0.9</v>
      </c>
      <c r="B312" s="165">
        <v>2.1</v>
      </c>
      <c r="C312" s="76">
        <f>((((A312+(2*B312))*'MATERIALES (2)'!$C$60)+((A312+(2*B312))*'MATERIALES (2)'!$C$58)+(A312*'MATERIALES (2)'!$C$62)+((((A312*2)+(B312*4))*'MATERIALES (2)'!$C$76)*2))*'MATERIALES (2)'!$F$2)+(1*'MATERIALES (2)'!$D$233)</f>
        <v>165746.15050000002</v>
      </c>
      <c r="D312" s="76">
        <f>(1*'MATERIALES (2)'!$C$193)+(1*'MATERIALES (2)'!$C$194)+(3*'MATERIALES (2)'!$C$196)+(2*'MATERIALES (2)'!$C$178)+(2*'MATERIALES (2)'!$C$179)+(2*'MATERIALES (2)'!$C$180)+(8*'MATERIALES (2)'!$C$147)+(8*'MATERIALES (2)'!$C$148)+((A312+(2*B312))*'MATERIALES (2)'!$C$199)+((A312+(2*B312))*'MATERIALES (2)'!$C$198)+(((A312*2)+(B312*2))*'MATERIALES (2)'!$C$154)+(((A312*2)+(B312*2))*'MATERIALES (2)'!$C$130)+(0.5*'MATERIALES (2)'!$C$156)+(((((A312*2)+(B312*4))/0.1)*'MATERIALES (2)'!$C$181)*2)+(2*'MATERIALES (2)'!$C$176)+(((A312*5)*2)*'MATERIALES (2)'!$C$136)+(4*'MATERIALES (2)'!$C$137)</f>
        <v>65772</v>
      </c>
      <c r="E312" s="76"/>
      <c r="F312" s="113">
        <f>(((((A312/2)*B312))*2)*'MATERIALES (2)'!$D$86)+(4*'MATERIALES (2)'!$C$218)+((((A312/2)*2)+(B312*2))*'MATERIALES (2)'!$C$219)+((((A312/2)*2)+(B312*2))*'MATERIALES (2)'!$C$220)+(((((A312/2)*2)+(B312*2))/15)*'MATERIALES (2)'!$C$221)+(((((A312/2)*2)+(B312*2))/15)*('MATERIALES (2)'!$C$222*0.15))</f>
        <v>25456.662500000002</v>
      </c>
      <c r="G312" s="76">
        <f t="shared" si="88"/>
        <v>256974.81300000002</v>
      </c>
      <c r="H312" s="160">
        <f t="shared" si="89"/>
        <v>484868.49935615441</v>
      </c>
      <c r="I312" s="77"/>
      <c r="J312" s="77"/>
      <c r="K312" s="77"/>
      <c r="L312" s="77"/>
      <c r="M312" s="71">
        <v>0.9</v>
      </c>
      <c r="N312" s="72">
        <v>2.1</v>
      </c>
      <c r="O312" s="60">
        <f>(((M312+(2*N312))*'MATERIALES (2)'!$C$60)+((M312+(2*N312))*'MATERIALES (2)'!$C$58)+(M312*'MATERIALES (2)'!$C$62)+((((M312*2)+(N312*2))*'MATERIALES (2)'!$C$76)*2))*'MATERIALES (2)'!$F$2</f>
        <v>145534.63050000003</v>
      </c>
      <c r="P312" s="60">
        <f>(1*'MATERIALES (2)'!$C$193)+(1*'MATERIALES (2)'!$C$194)+(3*'MATERIALES (2)'!$C$196)+(2*'MATERIALES (2)'!$C$178)+(2*'MATERIALES (2)'!$C$179)+(2*'MATERIALES (2)'!$C$180)+(4*'MATERIALES (2)'!$C$147)+(4*'MATERIALES (2)'!$C$148)+((M312+(2*N312))*'MATERIALES (2)'!$C$199)+((M312+(2*N312))*'MATERIALES (2)'!$C$198)+(((M312*2)+(N312*2))*'MATERIALES (2)'!$C$154)+(0.5*'MATERIALES (2)'!$C$156)+(((((M312*2)+(N312*2))/0.1)*'MATERIALES (2)'!$C$181)*2)+(2*'MATERIALES (2)'!$C$176)+(((M312*5)*2)*'MATERIALES (2)'!$C$136)+(4*'MATERIALES (2)'!$C$137)</f>
        <v>61052</v>
      </c>
      <c r="Q312" s="76"/>
      <c r="R312" s="56">
        <f>(1*'MATERIALES (2)'!$D$233)</f>
        <v>4900</v>
      </c>
      <c r="S312" s="60">
        <f t="shared" si="90"/>
        <v>211486.63050000003</v>
      </c>
      <c r="T312" s="67">
        <f t="shared" si="91"/>
        <v>380873.41054122947</v>
      </c>
      <c r="U312" s="77"/>
      <c r="W312" s="71">
        <v>0.9</v>
      </c>
      <c r="X312" s="72">
        <v>2.1</v>
      </c>
      <c r="Y312" s="60">
        <f>(((W312+(2*X312))*'MATERIALES (2)'!$C$60)+((W312+(2*X312))*'MATERIALES (2)'!$C$58)+(W312*'MATERIALES (2)'!$C$62)+((((W312*2)+(X312*4))*'MATERIALES (2)'!$C$76)*2)+((((W312/2)-0.2)*'MATERIALES (2)'!$C$30)*(X312/0.12)))*'MATERIALES (2)'!$F$2</f>
        <v>210090.23174999998</v>
      </c>
      <c r="Z312" s="60">
        <f>(1*'MATERIALES (2)'!$C$193)+(1*'MATERIALES (2)'!$C$194)+(3*'MATERIALES (2)'!$C$196)+(2*'MATERIALES (2)'!$C$178)+(2*'MATERIALES (2)'!$C$179)+(2*'MATERIALES (2)'!$C$180)+(8*'MATERIALES (2)'!$C$147)+(8*'MATERIALES (2)'!$C$148)+((W312+(2*X312))*'MATERIALES (2)'!$C$199)+((W312+(2*X312))*'MATERIALES (2)'!$C$198)+(((W312*2)+(X312*2))*'MATERIALES (2)'!$C$154)+(((W312*2)+(X312*2))*'MATERIALES (2)'!$C$130)+(0.5*'MATERIALES (2)'!$C$156)+(((((W312*2)+(X312*4))/0.1)*'MATERIALES (2)'!$C$181)*2)+(2*'MATERIALES (2)'!$C$176)+(((W312*5)*2)*'MATERIALES (2)'!$C$136)+(4*'MATERIALES (2)'!$C$137)</f>
        <v>65772</v>
      </c>
      <c r="AA312" s="60">
        <f>(0.5*'MATERIALES (2)'!$D$244)</f>
        <v>0</v>
      </c>
      <c r="AB312" s="56">
        <f>(((((W312/2)*X312))*2)*'MATERIALES (2)'!$D$86)+(4*'MATERIALES (2)'!$C$218)+((((W312/2)*2)+(X312*2))*'MATERIALES (2)'!$C$219)+((((W312/2)*2)+(X312*2))*'MATERIALES (2)'!$C$220)+(((((W312/2)*2)+(X312*2))/15)*'MATERIALES (2)'!$C$221)+(((((W312/2)*2)+(X312*2))/15)*('MATERIALES (2)'!$C$222*0.15))</f>
        <v>25456.662500000002</v>
      </c>
      <c r="AC312" s="60">
        <f t="shared" si="92"/>
        <v>301318.89424999995</v>
      </c>
      <c r="AD312" s="67">
        <f t="shared" si="93"/>
        <v>564729.25189202151</v>
      </c>
    </row>
    <row r="313" spans="1:30">
      <c r="U313" s="77"/>
    </row>
    <row r="314" spans="1:30" ht="15.75" thickBot="1"/>
    <row r="315" spans="1:30" ht="15.75" thickBot="1">
      <c r="A315" s="32"/>
      <c r="B315" s="32"/>
      <c r="C315" s="807">
        <v>1.35</v>
      </c>
      <c r="D315" s="808"/>
      <c r="E315" s="809"/>
      <c r="F315" s="545">
        <v>2</v>
      </c>
      <c r="G315" s="32"/>
      <c r="H315" s="46" t="s">
        <v>163</v>
      </c>
      <c r="M315" s="32"/>
      <c r="N315" s="32"/>
      <c r="O315" s="807">
        <v>1.35</v>
      </c>
      <c r="P315" s="808"/>
      <c r="Q315" s="809"/>
      <c r="R315" s="545">
        <v>2</v>
      </c>
      <c r="S315" s="32"/>
      <c r="T315" s="46" t="s">
        <v>163</v>
      </c>
    </row>
    <row r="316" spans="1:30" ht="15.75" thickBot="1">
      <c r="A316" s="792" t="s">
        <v>739</v>
      </c>
      <c r="B316" s="793"/>
      <c r="C316" s="793"/>
      <c r="D316" s="793"/>
      <c r="E316" s="793"/>
      <c r="F316" s="793"/>
      <c r="G316" s="793"/>
      <c r="H316" s="794"/>
      <c r="M316" s="792" t="s">
        <v>740</v>
      </c>
      <c r="N316" s="793"/>
      <c r="O316" s="793"/>
      <c r="P316" s="793"/>
      <c r="Q316" s="793"/>
      <c r="R316" s="793"/>
      <c r="S316" s="793"/>
      <c r="T316" s="794"/>
    </row>
    <row r="317" spans="1:30" ht="15.75" thickBot="1">
      <c r="A317" s="36" t="s">
        <v>116</v>
      </c>
      <c r="B317" s="36" t="s">
        <v>117</v>
      </c>
      <c r="C317" s="36" t="s">
        <v>162</v>
      </c>
      <c r="D317" s="36" t="s">
        <v>119</v>
      </c>
      <c r="E317" s="36" t="s">
        <v>120</v>
      </c>
      <c r="F317" s="36" t="s">
        <v>118</v>
      </c>
      <c r="G317" s="36" t="s">
        <v>121</v>
      </c>
      <c r="H317" s="36" t="s">
        <v>122</v>
      </c>
      <c r="M317" s="36" t="s">
        <v>116</v>
      </c>
      <c r="N317" s="36" t="s">
        <v>117</v>
      </c>
      <c r="O317" s="36" t="s">
        <v>162</v>
      </c>
      <c r="P317" s="36" t="s">
        <v>119</v>
      </c>
      <c r="Q317" s="36" t="s">
        <v>120</v>
      </c>
      <c r="R317" s="36" t="s">
        <v>118</v>
      </c>
      <c r="S317" s="36" t="s">
        <v>121</v>
      </c>
      <c r="T317" s="36" t="s">
        <v>122</v>
      </c>
    </row>
    <row r="318" spans="1:30" ht="15.75" thickBot="1">
      <c r="A318" s="795"/>
      <c r="B318" s="796"/>
      <c r="C318" s="796"/>
      <c r="D318" s="796"/>
      <c r="E318" s="796"/>
      <c r="F318" s="796"/>
      <c r="G318" s="796"/>
      <c r="H318" s="797"/>
      <c r="M318" s="795"/>
      <c r="N318" s="796"/>
      <c r="O318" s="796"/>
      <c r="P318" s="796"/>
      <c r="Q318" s="796"/>
      <c r="R318" s="796"/>
      <c r="S318" s="796"/>
      <c r="T318" s="797"/>
    </row>
    <row r="319" spans="1:30" ht="15.75" thickBot="1">
      <c r="A319" s="65">
        <v>0.6</v>
      </c>
      <c r="B319" s="66">
        <v>2</v>
      </c>
      <c r="C319" s="58">
        <f>(((A319+(2*B319))*'MATERIALES (2)'!$C$60)+((A319+(2*B319))*'MATERIALES (2)'!$C$58)+(A319*'MATERIALES (2)'!$C$62)+((A319*3)*'MATERIALES (2)'!$C$61)+(((A319-0.2)*'MATERIALES (2)'!$C$30)*((B319/2)/0.12))+((((A319*8)+(B319*2))*'MATERIALES (2)'!$C$76)*2))*'MATERIALES (2)'!$F$2</f>
        <v>200450.27799999999</v>
      </c>
      <c r="D319" s="58">
        <f>(1*'MATERIALES (2)'!$C$193)+(1*'MATERIALES (2)'!$C$194)+(3*'MATERIALES (2)'!$C$196)+(2*'MATERIALES (2)'!$C$178)+(2*'MATERIALES (2)'!$C$179)+(2*'MATERIALES (2)'!$C$180)+(16*'MATERIALES (2)'!$C$147)+(16*'MATERIALES (2)'!$C$148)+((A319+(2*B319))*'MATERIALES (2)'!$C$199)+((A319+(2*B319))*'MATERIALES (2)'!$C$198)+(((A319*6)+(B319*1))*'MATERIALES (2)'!$C$130)+(((A319*2)+(B319*1))*'MATERIALES (2)'!$C$154)+(((((A319*8)+(B319*2))/0.1)*'MATERIALES (2)'!$C$181)*2)+(0.5*'MATERIALES (2)'!$C$156)+(2*'MATERIALES (2)'!$C$176)+(((A319*5)*2)*'MATERIALES (2)'!$C$136)+(4*'MATERIALES (2)'!$C$137)</f>
        <v>65374</v>
      </c>
      <c r="E319" s="74"/>
      <c r="F319" s="54">
        <f>(((A319*(B319/2))*2)*'MATERIALES (2)'!$D$86)+(12*'MATERIALES (2)'!$C$218)+(((A319*6)+((B319/2)*2))*'MATERIALES (2)'!$C$219)+(((A319*6)+((B319/2)*2))*'MATERIALES (2)'!$C$220)+((((A319*6)+((B319/2)*2))/15)*'MATERIALES (2)'!$C$221)+((((A319*6)+((B319/2)*2))/15)*('MATERIALES (2)'!$C$222*0.15))</f>
        <v>20536.633333333331</v>
      </c>
      <c r="G319" s="58">
        <f t="shared" ref="G319:G322" si="94">SUM(C319:F319)</f>
        <v>286360.91133333335</v>
      </c>
      <c r="H319" s="67">
        <f>((((SUM(C319:E319)*$C$315)+(F319*$F$315))*1.21)*1.05)*1.05</f>
        <v>533524.67838458251</v>
      </c>
      <c r="M319" s="65">
        <v>0.6</v>
      </c>
      <c r="N319" s="66">
        <v>2</v>
      </c>
      <c r="O319" s="58">
        <f>(((M319+(2*N319))*'MATERIALES (2)'!$C$60)+((M319+(2*N319))*'MATERIALES (2)'!$C$58)+(M319*'MATERIALES (2)'!$C$62)+((M319+N319)*'MATERIALES (2)'!$C$61)+(((M319-0.2)*'MATERIALES (2)'!$C$30)*((N319/2)/0.12))+((((M319*4)+(N319*6))*'MATERIALES (2)'!$C$76)*2))*'MATERIALES (2)'!$F$2</f>
        <v>231346.73800000001</v>
      </c>
      <c r="P319" s="58">
        <f>(1*'MATERIALES (2)'!$C$193)+(1*'MATERIALES (2)'!$C$194)+(3*'MATERIALES (2)'!$C$196)+(2*'MATERIALES (2)'!$C$178)+(2*'MATERIALES (2)'!$C$179)+(2*'MATERIALES (2)'!$C$180)+(16*'MATERIALES (2)'!$C$147)+(16*'MATERIALES (2)'!$C$148)+((M319+(2*N319))*'MATERIALES (2)'!$C$199)+((M319+(2*N319))*'MATERIALES (2)'!$C$198)+(((M319*2)+((N319/2)*6))*'MATERIALES (2)'!$C$130)+(((M319*2)+(N319*1))*'MATERIALES (2)'!$C$154)+(((((M319*4)+(N319*2)+((N319/2)*6))/0.1)*'MATERIALES (2)'!$C$181)*2)+(2*'MATERIALES (2)'!$C$176)+(0.5*'MATERIALES (2)'!$C$156)+(((M319*5)*2)*'MATERIALES (2)'!$C$136)+(4*'MATERIALES (2)'!$C$137)</f>
        <v>67918</v>
      </c>
      <c r="Q319" s="74"/>
      <c r="R319" s="54">
        <f>(((M319*(N319/2))*2)*'MATERIALES (2)'!$D$86)+(12*'MATERIALES (2)'!$C$218)+(((M319*2)+((N319/2)*6))*'MATERIALES (2)'!$C$219)+(((M319*2)+((N319/2)*6))*'MATERIALES (2)'!$C$220)+((((M319*2)+((N319/2)*6))/15)*'MATERIALES (2)'!$C$221)+((((M319*2)+((N319/2)*6))/15)*('MATERIALES (2)'!$C$222*0.15))</f>
        <v>23243.1</v>
      </c>
      <c r="S319" s="58">
        <f>SUM(O319:R319)</f>
        <v>322507.83799999999</v>
      </c>
      <c r="T319" s="67">
        <f>((((SUM(O319:Q319)*$O$315)+(R319*$R$315))*1.21)*1.05)*1.05</f>
        <v>600969.71980410756</v>
      </c>
    </row>
    <row r="320" spans="1:30" ht="15.75" thickBot="1">
      <c r="A320" s="68">
        <v>0.7</v>
      </c>
      <c r="B320" s="69">
        <v>2</v>
      </c>
      <c r="C320" s="59">
        <f>(((A320+(2*B320))*'MATERIALES (2)'!$C$60)+((A320+(2*B320))*'MATERIALES (2)'!$C$58)+(A320*'MATERIALES (2)'!$C$62)+((A320*3)*'MATERIALES (2)'!$C$61)+(((A320-0.2)*'MATERIALES (2)'!$C$30)*((B320/2)/0.12))+((((A320*8)+(B320*2))*'MATERIALES (2)'!$C$76)*2))*'MATERIALES (2)'!$F$2</f>
        <v>220762.34599999999</v>
      </c>
      <c r="D320" s="59">
        <f>(1*'MATERIALES (2)'!$C$193)+(1*'MATERIALES (2)'!$C$194)+(3*'MATERIALES (2)'!$C$196)+(2*'MATERIALES (2)'!$C$178)+(2*'MATERIALES (2)'!$C$179)+(2*'MATERIALES (2)'!$C$180)+(16*'MATERIALES (2)'!$C$147)+(16*'MATERIALES (2)'!$C$148)+((A320+(2*B320))*'MATERIALES (2)'!$C$199)+((A320+(2*B320))*'MATERIALES (2)'!$C$198)+(((A320*6)+(B320*1))*'MATERIALES (2)'!$C$130)+(((A320*2)+(B320*1))*'MATERIALES (2)'!$C$154)+(((((A320*8)+(B320*2))/0.1)*'MATERIALES (2)'!$C$181)*2)+(0.5*'MATERIALES (2)'!$C$156)+(2*'MATERIALES (2)'!$C$176)+(((A320*5)*2)*'MATERIALES (2)'!$C$136)+(4*'MATERIALES (2)'!$C$137)</f>
        <v>66108</v>
      </c>
      <c r="E320" s="75"/>
      <c r="F320" s="55">
        <f>(((A320*(B320/2))*2)*'MATERIALES (2)'!$D$86)+(12*'MATERIALES (2)'!$C$218)+(((A320*6)+((B320/2)*2))*'MATERIALES (2)'!$C$219)+(((A320*6)+((B320/2)*2))*'MATERIALES (2)'!$C$220)+((((A320*6)+((B320/2)*2))/15)*'MATERIALES (2)'!$C$221)+((((A320*6)+((B320/2)*2))/15)*('MATERIALES (2)'!$C$222*0.15))</f>
        <v>23315.558333333331</v>
      </c>
      <c r="G320" s="59">
        <f t="shared" si="94"/>
        <v>310185.90433333337</v>
      </c>
      <c r="H320" s="67">
        <f t="shared" ref="H320:H326" si="95">((((SUM(C320:E320)*$C$315)+(F320*$F$315))*1.21)*1.05)*1.05</f>
        <v>578841.56339682755</v>
      </c>
      <c r="M320" s="68">
        <v>0.7</v>
      </c>
      <c r="N320" s="69">
        <v>2</v>
      </c>
      <c r="O320" s="59">
        <f>(((M320+(2*N320))*'MATERIALES (2)'!$C$60)+((M320+(2*N320))*'MATERIALES (2)'!$C$58)+(M320*'MATERIALES (2)'!$C$62)+((M320+N320)*'MATERIALES (2)'!$C$61)+(((M320-0.2)*'MATERIALES (2)'!$C$30)*((N320/2)/0.12))+((((M320*4)+(N320*6))*'MATERIALES (2)'!$C$76)*2))*'MATERIALES (2)'!$F$2</f>
        <v>247580.29100000003</v>
      </c>
      <c r="P320" s="59">
        <f>(1*'MATERIALES (2)'!$C$193)+(1*'MATERIALES (2)'!$C$194)+(3*'MATERIALES (2)'!$C$196)+(2*'MATERIALES (2)'!$C$178)+(2*'MATERIALES (2)'!$C$179)+(2*'MATERIALES (2)'!$C$180)+(16*'MATERIALES (2)'!$C$147)+(16*'MATERIALES (2)'!$C$148)+((M320+(2*N320))*'MATERIALES (2)'!$C$199)+((M320+(2*N320))*'MATERIALES (2)'!$C$198)+(((M320*2)+((N320/2)*6))*'MATERIALES (2)'!$C$130)+(((M320*2)+(N320*1))*'MATERIALES (2)'!$C$154)+(((((M320*4)+(N320*2)+((N320/2)*6))/0.1)*'MATERIALES (2)'!$C$181)*2)+(2*'MATERIALES (2)'!$C$176)+(0.5*'MATERIALES (2)'!$C$156)+(((M320*5)*2)*'MATERIALES (2)'!$C$136)+(4*'MATERIALES (2)'!$C$137)</f>
        <v>68316</v>
      </c>
      <c r="Q320" s="75"/>
      <c r="R320" s="55">
        <f>(((M320*(N320/2))*2)*'MATERIALES (2)'!$D$86)+(12*'MATERIALES (2)'!$C$218)+(((M320*2)+((N320/2)*6))*'MATERIALES (2)'!$C$219)+(((M320*2)+((N320/2)*6))*'MATERIALES (2)'!$C$220)+((((M320*2)+((N320/2)*6))/15)*'MATERIALES (2)'!$C$221)+((((M320*2)+((N320/2)*6))/15)*('MATERIALES (2)'!$C$222*0.15))</f>
        <v>25345.408333333336</v>
      </c>
      <c r="S320" s="59">
        <f t="shared" ref="S320:S326" si="96">SUM(O320:R320)</f>
        <v>341241.69933333335</v>
      </c>
      <c r="T320" s="67">
        <f t="shared" ref="T320:T326" si="97">((((SUM(O320:Q320)*$O$315)+(R320*$R$315))*1.21)*1.05)*1.05</f>
        <v>636531.10866547131</v>
      </c>
    </row>
    <row r="321" spans="1:20" ht="15.75" thickBot="1">
      <c r="A321" s="68">
        <v>0.8</v>
      </c>
      <c r="B321" s="69">
        <v>2</v>
      </c>
      <c r="C321" s="59">
        <f>(((A321+(2*B321))*'MATERIALES (2)'!$C$60)+((A321+(2*B321))*'MATERIALES (2)'!$C$58)+(A321*'MATERIALES (2)'!$C$62)+((A321*3)*'MATERIALES (2)'!$C$61)+(((A321-0.2)*'MATERIALES (2)'!$C$30)*((B321/2)/0.12))+((((A321*8)+(B321*2))*'MATERIALES (2)'!$C$76)*2))*'MATERIALES (2)'!$F$2</f>
        <v>241074.41399999999</v>
      </c>
      <c r="D321" s="59">
        <f>(1*'MATERIALES (2)'!$C$193)+(1*'MATERIALES (2)'!$C$194)+(3*'MATERIALES (2)'!$C$196)+(2*'MATERIALES (2)'!$C$178)+(2*'MATERIALES (2)'!$C$179)+(2*'MATERIALES (2)'!$C$180)+(16*'MATERIALES (2)'!$C$147)+(16*'MATERIALES (2)'!$C$148)+((A321+(2*B321))*'MATERIALES (2)'!$C$199)+((A321+(2*B321))*'MATERIALES (2)'!$C$198)+(((A321*6)+(B321*1))*'MATERIALES (2)'!$C$130)+(((A321*2)+(B321*1))*'MATERIALES (2)'!$C$154)+(((((A321*8)+(B321*2))/0.1)*'MATERIALES (2)'!$C$181)*2)+(0.5*'MATERIALES (2)'!$C$156)+(2*'MATERIALES (2)'!$C$176)+(((A321*5)*2)*'MATERIALES (2)'!$C$136)+(4*'MATERIALES (2)'!$C$137)</f>
        <v>66842</v>
      </c>
      <c r="E321" s="75"/>
      <c r="F321" s="55">
        <f>(((A321*(B321/2))*2)*'MATERIALES (2)'!$D$86)+(12*'MATERIALES (2)'!$C$218)+(((A321*6)+((B321/2)*2))*'MATERIALES (2)'!$C$219)+(((A321*6)+((B321/2)*2))*'MATERIALES (2)'!$C$220)+((((A321*6)+((B321/2)*2))/15)*'MATERIALES (2)'!$C$221)+((((A321*6)+((B321/2)*2))/15)*('MATERIALES (2)'!$C$222*0.15))</f>
        <v>26094.483333333337</v>
      </c>
      <c r="G321" s="59">
        <f t="shared" si="94"/>
        <v>334010.89733333333</v>
      </c>
      <c r="H321" s="67">
        <f t="shared" si="95"/>
        <v>624158.44840907271</v>
      </c>
      <c r="M321" s="68">
        <v>0.8</v>
      </c>
      <c r="N321" s="69">
        <v>2</v>
      </c>
      <c r="O321" s="59">
        <f>(((M321+(2*N321))*'MATERIALES (2)'!$C$60)+((M321+(2*N321))*'MATERIALES (2)'!$C$58)+(M321*'MATERIALES (2)'!$C$62)+((M321+N321)*'MATERIALES (2)'!$C$61)+(((M321-0.2)*'MATERIALES (2)'!$C$30)*((N321/2)/0.12))+((((M321*4)+(N321*6))*'MATERIALES (2)'!$C$76)*2))*'MATERIALES (2)'!$F$2</f>
        <v>263813.84399999998</v>
      </c>
      <c r="P321" s="59">
        <f>(1*'MATERIALES (2)'!$C$193)+(1*'MATERIALES (2)'!$C$194)+(3*'MATERIALES (2)'!$C$196)+(2*'MATERIALES (2)'!$C$178)+(2*'MATERIALES (2)'!$C$179)+(2*'MATERIALES (2)'!$C$180)+(16*'MATERIALES (2)'!$C$147)+(16*'MATERIALES (2)'!$C$148)+((M321+(2*N321))*'MATERIALES (2)'!$C$199)+((M321+(2*N321))*'MATERIALES (2)'!$C$198)+(((M321*2)+((N321/2)*6))*'MATERIALES (2)'!$C$130)+(((M321*2)+(N321*1))*'MATERIALES (2)'!$C$154)+(((((M321*4)+(N321*2)+((N321/2)*6))/0.1)*'MATERIALES (2)'!$C$181)*2)+(2*'MATERIALES (2)'!$C$176)+(0.5*'MATERIALES (2)'!$C$156)+(((M321*5)*2)*'MATERIALES (2)'!$C$136)+(4*'MATERIALES (2)'!$C$137)</f>
        <v>68714</v>
      </c>
      <c r="Q321" s="75"/>
      <c r="R321" s="55">
        <f>(((M321*(N321/2))*2)*'MATERIALES (2)'!$D$86)+(12*'MATERIALES (2)'!$C$218)+(((M321*2)+((N321/2)*6))*'MATERIALES (2)'!$C$219)+(((M321*2)+((N321/2)*6))*'MATERIALES (2)'!$C$220)+((((M321*2)+((N321/2)*6))/15)*'MATERIALES (2)'!$C$221)+((((M321*2)+((N321/2)*6))/15)*('MATERIALES (2)'!$C$222*0.15))</f>
        <v>27447.716666666664</v>
      </c>
      <c r="S321" s="59">
        <f t="shared" si="96"/>
        <v>359975.56066666666</v>
      </c>
      <c r="T321" s="67">
        <f t="shared" si="97"/>
        <v>672092.49752683507</v>
      </c>
    </row>
    <row r="322" spans="1:20" ht="15.75" thickBot="1">
      <c r="A322" s="68">
        <v>0.9</v>
      </c>
      <c r="B322" s="69">
        <v>2</v>
      </c>
      <c r="C322" s="59">
        <f>(((A322+(2*B322))*'MATERIALES (2)'!$C$60)+((A322+(2*B322))*'MATERIALES (2)'!$C$58)+(A322*'MATERIALES (2)'!$C$62)+((A322*3)*'MATERIALES (2)'!$C$61)+(((A322-0.2)*'MATERIALES (2)'!$C$30)*((B322/2)/0.12))+((((A322*8)+(B322*2))*'MATERIALES (2)'!$C$76)*2))*'MATERIALES (2)'!$F$2</f>
        <v>261386.48200000002</v>
      </c>
      <c r="D322" s="59">
        <f>(1*'MATERIALES (2)'!$C$193)+(1*'MATERIALES (2)'!$C$194)+(3*'MATERIALES (2)'!$C$196)+(2*'MATERIALES (2)'!$C$178)+(2*'MATERIALES (2)'!$C$179)+(2*'MATERIALES (2)'!$C$180)+(16*'MATERIALES (2)'!$C$147)+(16*'MATERIALES (2)'!$C$148)+((A322+(2*B322))*'MATERIALES (2)'!$C$199)+((A322+(2*B322))*'MATERIALES (2)'!$C$198)+(((A322*6)+(B322*1))*'MATERIALES (2)'!$C$130)+(((A322*2)+(B322*1))*'MATERIALES (2)'!$C$154)+(((((A322*8)+(B322*2))/0.1)*'MATERIALES (2)'!$C$181)*2)+(0.5*'MATERIALES (2)'!$C$156)+(2*'MATERIALES (2)'!$C$176)+(((A322*5)*2)*'MATERIALES (2)'!$C$136)+(4*'MATERIALES (2)'!$C$137)</f>
        <v>67576</v>
      </c>
      <c r="E322" s="75"/>
      <c r="F322" s="55">
        <f>(((A322*(B322/2))*2)*'MATERIALES (2)'!$D$86)+(12*'MATERIALES (2)'!$C$218)+(((A322*6)+((B322/2)*2))*'MATERIALES (2)'!$C$219)+(((A322*6)+((B322/2)*2))*'MATERIALES (2)'!$C$220)+((((A322*6)+((B322/2)*2))/15)*'MATERIALES (2)'!$C$221)+((((A322*6)+((B322/2)*2))/15)*('MATERIALES (2)'!$C$222*0.15))</f>
        <v>28873.408333333336</v>
      </c>
      <c r="G322" s="59">
        <f t="shared" si="94"/>
        <v>357835.89033333334</v>
      </c>
      <c r="H322" s="67">
        <f t="shared" si="95"/>
        <v>669475.33342131763</v>
      </c>
      <c r="M322" s="68">
        <v>0.9</v>
      </c>
      <c r="N322" s="69">
        <v>2</v>
      </c>
      <c r="O322" s="59">
        <f>(((M322+(2*N322))*'MATERIALES (2)'!$C$60)+((M322+(2*N322))*'MATERIALES (2)'!$C$58)+(M322*'MATERIALES (2)'!$C$62)+((M322+N322)*'MATERIALES (2)'!$C$61)+(((M322-0.2)*'MATERIALES (2)'!$C$30)*((N322/2)/0.12))+((((M322*4)+(N322*6))*'MATERIALES (2)'!$C$76)*2))*'MATERIALES (2)'!$F$2</f>
        <v>280047.39700000006</v>
      </c>
      <c r="P322" s="59">
        <f>(1*'MATERIALES (2)'!$C$193)+(1*'MATERIALES (2)'!$C$194)+(3*'MATERIALES (2)'!$C$196)+(2*'MATERIALES (2)'!$C$178)+(2*'MATERIALES (2)'!$C$179)+(2*'MATERIALES (2)'!$C$180)+(16*'MATERIALES (2)'!$C$147)+(16*'MATERIALES (2)'!$C$148)+((M322+(2*N322))*'MATERIALES (2)'!$C$199)+((M322+(2*N322))*'MATERIALES (2)'!$C$198)+(((M322*2)+((N322/2)*6))*'MATERIALES (2)'!$C$130)+(((M322*2)+(N322*1))*'MATERIALES (2)'!$C$154)+(((((M322*4)+(N322*2)+((N322/2)*6))/0.1)*'MATERIALES (2)'!$C$181)*2)+(2*'MATERIALES (2)'!$C$176)+(0.5*'MATERIALES (2)'!$C$156)+(((M322*5)*2)*'MATERIALES (2)'!$C$136)+(4*'MATERIALES (2)'!$C$137)</f>
        <v>69112</v>
      </c>
      <c r="Q322" s="75"/>
      <c r="R322" s="55">
        <f>(((M322*(N322/2))*2)*'MATERIALES (2)'!$D$86)+(12*'MATERIALES (2)'!$C$218)+(((M322*2)+((N322/2)*6))*'MATERIALES (2)'!$C$219)+(((M322*2)+((N322/2)*6))*'MATERIALES (2)'!$C$220)+((((M322*2)+((N322/2)*6))/15)*'MATERIALES (2)'!$C$221)+((((M322*2)+((N322/2)*6))/15)*('MATERIALES (2)'!$C$222*0.15))</f>
        <v>29550.025000000001</v>
      </c>
      <c r="S322" s="59">
        <f t="shared" si="96"/>
        <v>378709.42200000008</v>
      </c>
      <c r="T322" s="67">
        <f t="shared" si="97"/>
        <v>707653.88638819894</v>
      </c>
    </row>
    <row r="323" spans="1:20" ht="15.75" thickBot="1">
      <c r="A323" s="68">
        <v>0.6</v>
      </c>
      <c r="B323" s="69">
        <v>2.1</v>
      </c>
      <c r="C323" s="59">
        <f>(((A323+(2*B323))*'MATERIALES (2)'!$C$60)+((A323+(2*B323))*'MATERIALES (2)'!$C$58)+(A323*'MATERIALES (2)'!$C$62)+((A323*3)*'MATERIALES (2)'!$C$61)+(((A323-0.2)*'MATERIALES (2)'!$C$30)*((B323/2)/0.12))+((((A323*8)+(B323*2))*'MATERIALES (2)'!$C$76)*2))*'MATERIALES (2)'!$F$2</f>
        <v>207193.11899999998</v>
      </c>
      <c r="D323" s="59">
        <f>(1*'MATERIALES (2)'!$C$193)+(1*'MATERIALES (2)'!$C$194)+(3*'MATERIALES (2)'!$C$196)+(2*'MATERIALES (2)'!$C$178)+(2*'MATERIALES (2)'!$C$179)+(2*'MATERIALES (2)'!$C$180)+(16*'MATERIALES (2)'!$C$147)+(16*'MATERIALES (2)'!$C$148)+((A323+(2*B323))*'MATERIALES (2)'!$C$199)+((A323+(2*B323))*'MATERIALES (2)'!$C$198)+(((A323*6)+(B323*1))*'MATERIALES (2)'!$C$130)+(((A323*2)+(B323*1))*'MATERIALES (2)'!$C$154)+(((((A323*8)+(B323*2))/0.1)*'MATERIALES (2)'!$C$181)*2)+(0.5*'MATERIALES (2)'!$C$156)+(2*'MATERIALES (2)'!$C$176)+(((A323*5)*2)*'MATERIALES (2)'!$C$136)+(4*'MATERIALES (2)'!$C$137)</f>
        <v>65666</v>
      </c>
      <c r="E323" s="75"/>
      <c r="F323" s="55">
        <f>(((A323*(B323/2))*2)*'MATERIALES (2)'!$D$86)+(12*'MATERIALES (2)'!$C$218)+(((A323*6)+((B323/2)*2))*'MATERIALES (2)'!$C$219)+(((A323*6)+((B323/2)*2))*'MATERIALES (2)'!$C$220)+((((A323*6)+((B323/2)*2))/15)*'MATERIALES (2)'!$C$221)+((((A323*6)+((B323/2)*2))/15)*('MATERIALES (2)'!$C$222*0.15))</f>
        <v>21234.987499999999</v>
      </c>
      <c r="G323" s="59">
        <f>SUM(C323:F323)</f>
        <v>294094.10649999994</v>
      </c>
      <c r="H323" s="67">
        <f t="shared" si="95"/>
        <v>548057.20480174117</v>
      </c>
      <c r="M323" s="68">
        <v>0.6</v>
      </c>
      <c r="N323" s="69">
        <v>2.1</v>
      </c>
      <c r="O323" s="59">
        <f>(((M323+(2*N323))*'MATERIALES (2)'!$C$60)+((M323+(2*N323))*'MATERIALES (2)'!$C$58)+(M323*'MATERIALES (2)'!$C$62)+((M323+N323)*'MATERIALES (2)'!$C$61)+(((M323-0.2)*'MATERIALES (2)'!$C$30)*((N323/2)/0.12))+((((M323*4)+(N323*6))*'MATERIALES (2)'!$C$76)*2))*'MATERIALES (2)'!$F$2</f>
        <v>240857.9565</v>
      </c>
      <c r="P323" s="59">
        <f>(1*'MATERIALES (2)'!$C$193)+(1*'MATERIALES (2)'!$C$194)+(3*'MATERIALES (2)'!$C$196)+(2*'MATERIALES (2)'!$C$178)+(2*'MATERIALES (2)'!$C$179)+(2*'MATERIALES (2)'!$C$180)+(16*'MATERIALES (2)'!$C$147)+(16*'MATERIALES (2)'!$C$148)+((M323+(2*N323))*'MATERIALES (2)'!$C$199)+((M323+(2*N323))*'MATERIALES (2)'!$C$198)+(((M323*2)+((N323/2)*6))*'MATERIALES (2)'!$C$130)+(((M323*2)+(N323*1))*'MATERIALES (2)'!$C$154)+(((((M323*4)+(N323*2)+((N323/2)*6))/0.1)*'MATERIALES (2)'!$C$181)*2)+(2*'MATERIALES (2)'!$C$176)+(0.5*'MATERIALES (2)'!$C$156)+(((M323*5)*2)*'MATERIALES (2)'!$C$136)+(4*'MATERIALES (2)'!$C$137)</f>
        <v>68438</v>
      </c>
      <c r="Q323" s="75"/>
      <c r="R323" s="55">
        <f>(((M323*(N323/2))*2)*'MATERIALES (2)'!$D$86)+(12*'MATERIALES (2)'!$C$218)+(((M323*2)+((N323/2)*6))*'MATERIALES (2)'!$C$219)+(((M323*2)+((N323/2)*6))*'MATERIALES (2)'!$C$220)+((((M323*2)+((N323/2)*6))/15)*'MATERIALES (2)'!$C$221)+((((M323*2)+((N323/2)*6))/15)*('MATERIALES (2)'!$C$222*0.15))</f>
        <v>24279.762500000004</v>
      </c>
      <c r="S323" s="59">
        <f t="shared" si="96"/>
        <v>333575.71899999998</v>
      </c>
      <c r="T323" s="67">
        <f t="shared" si="97"/>
        <v>621801.14713750686</v>
      </c>
    </row>
    <row r="324" spans="1:20" ht="15.75" thickBot="1">
      <c r="A324" s="68">
        <v>0.7</v>
      </c>
      <c r="B324" s="69">
        <v>2.1</v>
      </c>
      <c r="C324" s="59">
        <f>(((A324+(2*B324))*'MATERIALES (2)'!$C$60)+((A324+(2*B324))*'MATERIALES (2)'!$C$58)+(A324*'MATERIALES (2)'!$C$62)+((A324*3)*'MATERIALES (2)'!$C$61)+(((A324-0.2)*'MATERIALES (2)'!$C$30)*((B324/2)/0.12))+((((A324*8)+(B324*2))*'MATERIALES (2)'!$C$76)*2))*'MATERIALES (2)'!$F$2</f>
        <v>227974.17824999994</v>
      </c>
      <c r="D324" s="59">
        <f>(1*'MATERIALES (2)'!$C$193)+(1*'MATERIALES (2)'!$C$194)+(3*'MATERIALES (2)'!$C$196)+(2*'MATERIALES (2)'!$C$178)+(2*'MATERIALES (2)'!$C$179)+(2*'MATERIALES (2)'!$C$180)+(16*'MATERIALES (2)'!$C$147)+(16*'MATERIALES (2)'!$C$148)+((A324+(2*B324))*'MATERIALES (2)'!$C$199)+((A324+(2*B324))*'MATERIALES (2)'!$C$198)+(((A324*6)+(B324*1))*'MATERIALES (2)'!$C$130)+(((A324*2)+(B324*1))*'MATERIALES (2)'!$C$154)+(((((A324*8)+(B324*2))/0.1)*'MATERIALES (2)'!$C$181)*2)+(0.5*'MATERIALES (2)'!$C$156)+(2*'MATERIALES (2)'!$C$176)+(((A324*5)*2)*'MATERIALES (2)'!$C$136)+(4*'MATERIALES (2)'!$C$137)</f>
        <v>66400</v>
      </c>
      <c r="E324" s="75"/>
      <c r="F324" s="55">
        <f>(((A324*(B324/2))*2)*'MATERIALES (2)'!$D$86)+(12*'MATERIALES (2)'!$C$218)+(((A324*6)+((B324/2)*2))*'MATERIALES (2)'!$C$219)+(((A324*6)+((B324/2)*2))*'MATERIALES (2)'!$C$220)+((((A324*6)+((B324/2)*2))/15)*'MATERIALES (2)'!$C$221)+((((A324*6)+((B324/2)*2))/15)*('MATERIALES (2)'!$C$222*0.15))</f>
        <v>24102.112499999999</v>
      </c>
      <c r="G324" s="59">
        <f t="shared" ref="G324:G326" si="98">SUM(C324:F324)</f>
        <v>318476.29074999993</v>
      </c>
      <c r="H324" s="67">
        <f t="shared" si="95"/>
        <v>594454.03399456583</v>
      </c>
      <c r="M324" s="68">
        <v>0.7</v>
      </c>
      <c r="N324" s="69">
        <v>2.1</v>
      </c>
      <c r="O324" s="59">
        <f>(((M324+(2*N324))*'MATERIALES (2)'!$C$60)+((M324+(2*N324))*'MATERIALES (2)'!$C$58)+(M324*'MATERIALES (2)'!$C$62)+((M324+N324)*'MATERIALES (2)'!$C$61)+(((M324-0.2)*'MATERIALES (2)'!$C$30)*((N324/2)/0.12))+((((M324*4)+(N324*6))*'MATERIALES (2)'!$C$76)*2))*'MATERIALES (2)'!$F$2</f>
        <v>257560.50074999998</v>
      </c>
      <c r="P324" s="59">
        <f>(1*'MATERIALES (2)'!$C$193)+(1*'MATERIALES (2)'!$C$194)+(3*'MATERIALES (2)'!$C$196)+(2*'MATERIALES (2)'!$C$178)+(2*'MATERIALES (2)'!$C$179)+(2*'MATERIALES (2)'!$C$180)+(16*'MATERIALES (2)'!$C$147)+(16*'MATERIALES (2)'!$C$148)+((M324+(2*N324))*'MATERIALES (2)'!$C$199)+((M324+(2*N324))*'MATERIALES (2)'!$C$198)+(((M324*2)+((N324/2)*6))*'MATERIALES (2)'!$C$130)+(((M324*2)+(N324*1))*'MATERIALES (2)'!$C$154)+(((((M324*4)+(N324*2)+((N324/2)*6))/0.1)*'MATERIALES (2)'!$C$181)*2)+(2*'MATERIALES (2)'!$C$176)+(0.5*'MATERIALES (2)'!$C$156)+(((M324*5)*2)*'MATERIALES (2)'!$C$136)+(4*'MATERIALES (2)'!$C$137)</f>
        <v>68836</v>
      </c>
      <c r="Q324" s="75"/>
      <c r="R324" s="55">
        <f>(((M324*(N324/2))*2)*'MATERIALES (2)'!$D$86)+(12*'MATERIALES (2)'!$C$218)+(((M324*2)+((N324/2)*6))*'MATERIALES (2)'!$C$219)+(((M324*2)+((N324/2)*6))*'MATERIALES (2)'!$C$220)+((((M324*2)+((N324/2)*6))/15)*'MATERIALES (2)'!$C$221)+((((M324*2)+((N324/2)*6))/15)*('MATERIALES (2)'!$C$222*0.15))</f>
        <v>26470.270833333336</v>
      </c>
      <c r="S324" s="59">
        <f t="shared" si="96"/>
        <v>352866.77158333332</v>
      </c>
      <c r="T324" s="67">
        <f t="shared" si="97"/>
        <v>658442.48017945047</v>
      </c>
    </row>
    <row r="325" spans="1:20" ht="15.75" thickBot="1">
      <c r="A325" s="68">
        <v>0.8</v>
      </c>
      <c r="B325" s="69">
        <v>2.1</v>
      </c>
      <c r="C325" s="59">
        <f>(((A325+(2*B325))*'MATERIALES (2)'!$C$60)+((A325+(2*B325))*'MATERIALES (2)'!$C$58)+(A325*'MATERIALES (2)'!$C$62)+((A325*3)*'MATERIALES (2)'!$C$61)+(((A325-0.2)*'MATERIALES (2)'!$C$30)*((B325/2)/0.12))+((((A325*8)+(B325*2))*'MATERIALES (2)'!$C$76)*2))*'MATERIALES (2)'!$F$2</f>
        <v>248755.23750000002</v>
      </c>
      <c r="D325" s="59">
        <f>(1*'MATERIALES (2)'!$C$193)+(1*'MATERIALES (2)'!$C$194)+(3*'MATERIALES (2)'!$C$196)+(2*'MATERIALES (2)'!$C$178)+(2*'MATERIALES (2)'!$C$179)+(2*'MATERIALES (2)'!$C$180)+(16*'MATERIALES (2)'!$C$147)+(16*'MATERIALES (2)'!$C$148)+((A325+(2*B325))*'MATERIALES (2)'!$C$199)+((A325+(2*B325))*'MATERIALES (2)'!$C$198)+(((A325*6)+(B325*1))*'MATERIALES (2)'!$C$130)+(((A325*2)+(B325*1))*'MATERIALES (2)'!$C$154)+(((((A325*8)+(B325*2))/0.1)*'MATERIALES (2)'!$C$181)*2)+(0.5*'MATERIALES (2)'!$C$156)+(2*'MATERIALES (2)'!$C$176)+(((A325*5)*2)*'MATERIALES (2)'!$C$136)+(4*'MATERIALES (2)'!$C$137)</f>
        <v>67134</v>
      </c>
      <c r="E325" s="75"/>
      <c r="F325" s="55">
        <f>(((A325*(B325/2))*2)*'MATERIALES (2)'!$D$86)+(12*'MATERIALES (2)'!$C$218)+(((A325*6)+((B325/2)*2))*'MATERIALES (2)'!$C$219)+(((A325*6)+((B325/2)*2))*'MATERIALES (2)'!$C$220)+((((A325*6)+((B325/2)*2))/15)*'MATERIALES (2)'!$C$221)+((((A325*6)+((B325/2)*2))/15)*('MATERIALES (2)'!$C$222*0.15))</f>
        <v>26969.237500000003</v>
      </c>
      <c r="G325" s="59">
        <f t="shared" si="98"/>
        <v>342858.47500000003</v>
      </c>
      <c r="H325" s="67">
        <f t="shared" si="95"/>
        <v>640850.86318739073</v>
      </c>
      <c r="M325" s="68">
        <v>0.8</v>
      </c>
      <c r="N325" s="69">
        <v>2.1</v>
      </c>
      <c r="O325" s="59">
        <f>(((M325+(2*N325))*'MATERIALES (2)'!$C$60)+((M325+(2*N325))*'MATERIALES (2)'!$C$58)+(M325*'MATERIALES (2)'!$C$62)+((M325+N325)*'MATERIALES (2)'!$C$61)+(((M325-0.2)*'MATERIALES (2)'!$C$30)*((N325/2)/0.12))+((((M325*4)+(N325*6))*'MATERIALES (2)'!$C$76)*2))*'MATERIALES (2)'!$F$2</f>
        <v>274263.04500000004</v>
      </c>
      <c r="P325" s="59">
        <f>(1*'MATERIALES (2)'!$C$193)+(1*'MATERIALES (2)'!$C$194)+(3*'MATERIALES (2)'!$C$196)+(2*'MATERIALES (2)'!$C$178)+(2*'MATERIALES (2)'!$C$179)+(2*'MATERIALES (2)'!$C$180)+(16*'MATERIALES (2)'!$C$147)+(16*'MATERIALES (2)'!$C$148)+((M325+(2*N325))*'MATERIALES (2)'!$C$199)+((M325+(2*N325))*'MATERIALES (2)'!$C$198)+(((M325*2)+((N325/2)*6))*'MATERIALES (2)'!$C$130)+(((M325*2)+(N325*1))*'MATERIALES (2)'!$C$154)+(((((M325*4)+(N325*2)+((N325/2)*6))/0.1)*'MATERIALES (2)'!$C$181)*2)+(2*'MATERIALES (2)'!$C$176)+(0.5*'MATERIALES (2)'!$C$156)+(((M325*5)*2)*'MATERIALES (2)'!$C$136)+(4*'MATERIALES (2)'!$C$137)</f>
        <v>69234</v>
      </c>
      <c r="Q325" s="75"/>
      <c r="R325" s="55">
        <f>(((M325*(N325/2))*2)*'MATERIALES (2)'!$D$86)+(12*'MATERIALES (2)'!$C$218)+(((M325*2)+((N325/2)*6))*'MATERIALES (2)'!$C$219)+(((M325*2)+((N325/2)*6))*'MATERIALES (2)'!$C$220)+((((M325*2)+((N325/2)*6))/15)*'MATERIALES (2)'!$C$221)+((((M325*2)+((N325/2)*6))/15)*('MATERIALES (2)'!$C$222*0.15))</f>
        <v>28660.779166666671</v>
      </c>
      <c r="S325" s="59">
        <f t="shared" si="96"/>
        <v>372157.82416666672</v>
      </c>
      <c r="T325" s="67">
        <f t="shared" si="97"/>
        <v>695083.81322139385</v>
      </c>
    </row>
    <row r="326" spans="1:20" ht="15.75" thickBot="1">
      <c r="A326" s="71">
        <v>0.9</v>
      </c>
      <c r="B326" s="72">
        <v>2.1</v>
      </c>
      <c r="C326" s="60">
        <f>(((A326+(2*B326))*'MATERIALES (2)'!$C$60)+((A326+(2*B326))*'MATERIALES (2)'!$C$58)+(A326*'MATERIALES (2)'!$C$62)+((A326*3)*'MATERIALES (2)'!$C$61)+(((A326-0.2)*'MATERIALES (2)'!$C$30)*((B326/2)/0.12))+((((A326*8)+(B326*2))*'MATERIALES (2)'!$C$76)*2))*'MATERIALES (2)'!$F$2</f>
        <v>269536.29675000004</v>
      </c>
      <c r="D326" s="60">
        <f>(1*'MATERIALES (2)'!$C$193)+(1*'MATERIALES (2)'!$C$194)+(3*'MATERIALES (2)'!$C$196)+(2*'MATERIALES (2)'!$C$178)+(2*'MATERIALES (2)'!$C$179)+(2*'MATERIALES (2)'!$C$180)+(16*'MATERIALES (2)'!$C$147)+(16*'MATERIALES (2)'!$C$148)+((A326+(2*B326))*'MATERIALES (2)'!$C$199)+((A326+(2*B326))*'MATERIALES (2)'!$C$198)+(((A326*6)+(B326*1))*'MATERIALES (2)'!$C$130)+(((A326*2)+(B326*1))*'MATERIALES (2)'!$C$154)+(((((A326*8)+(B326*2))/0.1)*'MATERIALES (2)'!$C$181)*2)+(0.5*'MATERIALES (2)'!$C$156)+(2*'MATERIALES (2)'!$C$176)+(((A326*5)*2)*'MATERIALES (2)'!$C$136)+(4*'MATERIALES (2)'!$C$137)</f>
        <v>67868</v>
      </c>
      <c r="E326" s="76"/>
      <c r="F326" s="56">
        <f>(((A326*(B326/2))*2)*'MATERIALES (2)'!$D$86)+(12*'MATERIALES (2)'!$C$218)+(((A326*6)+((B326/2)*2))*'MATERIALES (2)'!$C$219)+(((A326*6)+((B326/2)*2))*'MATERIALES (2)'!$C$220)+((((A326*6)+((B326/2)*2))/15)*'MATERIALES (2)'!$C$221)+((((A326*6)+((B326/2)*2))/15)*('MATERIALES (2)'!$C$222*0.15))</f>
        <v>29836.362500000003</v>
      </c>
      <c r="G326" s="60">
        <f t="shared" si="98"/>
        <v>367240.65925000003</v>
      </c>
      <c r="H326" s="67">
        <f t="shared" si="95"/>
        <v>687247.69238021551</v>
      </c>
      <c r="M326" s="71">
        <v>0.9</v>
      </c>
      <c r="N326" s="72">
        <v>2.1</v>
      </c>
      <c r="O326" s="60">
        <f>(((M326+(2*N326))*'MATERIALES (2)'!$C$60)+((M326+(2*N326))*'MATERIALES (2)'!$C$58)+(M326*'MATERIALES (2)'!$C$62)+((M326+N326)*'MATERIALES (2)'!$C$61)+(((M326-0.2)*'MATERIALES (2)'!$C$30)*((N326/2)/0.12))+((((M326*4)+(N326*6))*'MATERIALES (2)'!$C$76)*2))*'MATERIALES (2)'!$F$2</f>
        <v>290965.58925000002</v>
      </c>
      <c r="P326" s="60">
        <f>(1*'MATERIALES (2)'!$C$193)+(1*'MATERIALES (2)'!$C$194)+(3*'MATERIALES (2)'!$C$196)+(2*'MATERIALES (2)'!$C$178)+(2*'MATERIALES (2)'!$C$179)+(2*'MATERIALES (2)'!$C$180)+(16*'MATERIALES (2)'!$C$147)+(16*'MATERIALES (2)'!$C$148)+((M326+(2*N326))*'MATERIALES (2)'!$C$199)+((M326+(2*N326))*'MATERIALES (2)'!$C$198)+(((M326*2)+((N326/2)*6))*'MATERIALES (2)'!$C$130)+(((M326*2)+(N326*1))*'MATERIALES (2)'!$C$154)+(((((M326*4)+(N326*2)+((N326/2)*6))/0.1)*'MATERIALES (2)'!$C$181)*2)+(2*'MATERIALES (2)'!$C$176)+(0.5*'MATERIALES (2)'!$C$156)+(((M326*5)*2)*'MATERIALES (2)'!$C$136)+(4*'MATERIALES (2)'!$C$137)</f>
        <v>69632</v>
      </c>
      <c r="Q326" s="76"/>
      <c r="R326" s="56">
        <f>(((M326*(N326/2))*2)*'MATERIALES (2)'!$D$86)+(12*'MATERIALES (2)'!$C$218)+(((M326*2)+((N326/2)*6))*'MATERIALES (2)'!$C$219)+(((M326*2)+((N326/2)*6))*'MATERIALES (2)'!$C$220)+((((M326*2)+((N326/2)*6))/15)*'MATERIALES (2)'!$C$221)+((((M326*2)+((N326/2)*6))/15)*('MATERIALES (2)'!$C$222*0.15))</f>
        <v>30851.287500000002</v>
      </c>
      <c r="S326" s="60">
        <f t="shared" si="96"/>
        <v>391448.87675</v>
      </c>
      <c r="T326" s="67">
        <f t="shared" si="97"/>
        <v>731725.14626333734</v>
      </c>
    </row>
    <row r="328" spans="1:20" ht="15.75" thickBot="1"/>
    <row r="329" spans="1:20" ht="15.75" thickBot="1">
      <c r="A329" s="32"/>
      <c r="B329" s="32"/>
      <c r="C329" s="807">
        <v>1.35</v>
      </c>
      <c r="D329" s="808"/>
      <c r="E329" s="809"/>
      <c r="F329" s="545">
        <v>2</v>
      </c>
      <c r="G329" s="32"/>
      <c r="H329" s="46" t="s">
        <v>163</v>
      </c>
      <c r="M329" s="32"/>
      <c r="N329" s="32"/>
      <c r="O329" s="807">
        <v>1.35</v>
      </c>
      <c r="P329" s="808"/>
      <c r="Q329" s="809"/>
      <c r="R329" s="545">
        <v>2</v>
      </c>
      <c r="S329" s="32"/>
      <c r="T329" s="46" t="s">
        <v>163</v>
      </c>
    </row>
    <row r="330" spans="1:20" ht="15.75" thickBot="1">
      <c r="A330" s="792" t="s">
        <v>741</v>
      </c>
      <c r="B330" s="793"/>
      <c r="C330" s="793"/>
      <c r="D330" s="793"/>
      <c r="E330" s="793"/>
      <c r="F330" s="793"/>
      <c r="G330" s="793"/>
      <c r="H330" s="794"/>
      <c r="M330" s="792" t="s">
        <v>742</v>
      </c>
      <c r="N330" s="793"/>
      <c r="O330" s="793"/>
      <c r="P330" s="793"/>
      <c r="Q330" s="793"/>
      <c r="R330" s="793"/>
      <c r="S330" s="793"/>
      <c r="T330" s="794"/>
    </row>
    <row r="331" spans="1:20" ht="15.75" thickBot="1">
      <c r="A331" s="36" t="s">
        <v>116</v>
      </c>
      <c r="B331" s="36" t="s">
        <v>117</v>
      </c>
      <c r="C331" s="36" t="s">
        <v>162</v>
      </c>
      <c r="D331" s="36" t="s">
        <v>119</v>
      </c>
      <c r="E331" s="36" t="s">
        <v>120</v>
      </c>
      <c r="F331" s="36" t="s">
        <v>118</v>
      </c>
      <c r="G331" s="36" t="s">
        <v>121</v>
      </c>
      <c r="H331" s="36" t="s">
        <v>122</v>
      </c>
      <c r="M331" s="36" t="s">
        <v>116</v>
      </c>
      <c r="N331" s="36" t="s">
        <v>117</v>
      </c>
      <c r="O331" s="36" t="s">
        <v>162</v>
      </c>
      <c r="P331" s="36" t="s">
        <v>119</v>
      </c>
      <c r="Q331" s="36" t="s">
        <v>120</v>
      </c>
      <c r="R331" s="36" t="s">
        <v>118</v>
      </c>
      <c r="S331" s="36" t="s">
        <v>121</v>
      </c>
      <c r="T331" s="36" t="s">
        <v>122</v>
      </c>
    </row>
    <row r="332" spans="1:20" ht="15.75" thickBot="1">
      <c r="A332" s="795"/>
      <c r="B332" s="796"/>
      <c r="C332" s="796"/>
      <c r="D332" s="796"/>
      <c r="E332" s="796"/>
      <c r="F332" s="796"/>
      <c r="G332" s="796"/>
      <c r="H332" s="797"/>
      <c r="M332" s="795"/>
      <c r="N332" s="796"/>
      <c r="O332" s="796"/>
      <c r="P332" s="796"/>
      <c r="Q332" s="796"/>
      <c r="R332" s="796"/>
      <c r="S332" s="796"/>
      <c r="T332" s="797"/>
    </row>
    <row r="333" spans="1:20" ht="15.75" thickBot="1">
      <c r="A333" s="65">
        <v>0.6</v>
      </c>
      <c r="B333" s="66">
        <v>2</v>
      </c>
      <c r="C333" s="58">
        <f>(((A333+(2*B333))*'MATERIALES (2)'!$C$60)+((A333+(2*B333))*'MATERIALES (2)'!$C$58)+(A333*'MATERIALES (2)'!$C$62)+((A333*2)*'MATERIALES (2)'!$C$61)+((((A333*6)+(B333*2))*'MATERIALES (2)'!$C$76)*2)+(((A333-0.2)*'MATERIALES (2)'!$C$30)*((B333-0.12)/0.12)))*'MATERIALES (2)'!$F$2</f>
        <v>221231.717</v>
      </c>
      <c r="D333" s="58">
        <f>(1*'MATERIALES (2)'!$C$193)+(1*'MATERIALES (2)'!$C$194)+(3*'MATERIALES (2)'!$C$196)+(2*'MATERIALES (2)'!$C$178)+(2*'MATERIALES (2)'!$C$179)+(2*'MATERIALES (2)'!$C$180)+(12*'MATERIALES (2)'!$C$147)+(12*'MATERIALES (2)'!$C$148)+((A333+(2*B333))*'MATERIALES (2)'!$C$199)+((A333+(2*B333))*'MATERIALES (2)'!$C$198)+(((A333*2)*(0.6*2))*'MATERIALES (2)'!$C$130)+(((A333*4)+(B333*2))*'MATERIALES (2)'!$C$154)+(0.5*'MATERIALES (2)'!$C$156)+(((((A333*6)+(B333*2))/0.1)*'MATERIALES (2)'!$C$181)*2)+(2*'MATERIALES (2)'!$C$630)+(((A333*5)*2)*'MATERIALES (2)'!$C$136)+(4*'MATERIALES (2)'!$C$137)</f>
        <v>63573.599999999999</v>
      </c>
      <c r="E333" s="74"/>
      <c r="F333" s="54">
        <f>(((A263*0.6)*2)*'MATERIALES (2)'!$D$86)+(4*'MATERIALES (2)'!$C$218)+(((A263*2)+(0.6*2))*'MATERIALES (2)'!$C$219)+(((A263*2)+(0.6*2))*'MATERIALES (2)'!$C$220)+((((A263*2)+(0.6*2))/15)*'MATERIALES (2)'!$C$221)+((((A263*2)+(0.6*2))/15)*('MATERIALES (2)'!$C$222*0.15))</f>
        <v>10570.1</v>
      </c>
      <c r="G333" s="58">
        <f>SUM(C333:F333)</f>
        <v>295375.41699999996</v>
      </c>
      <c r="H333" s="67">
        <f>((((SUM(C333:E333)*$C$329)+(F333*$F$329))*1.21)*1.05)*1.05</f>
        <v>541117.0628697488</v>
      </c>
      <c r="M333" s="65">
        <v>0.6</v>
      </c>
      <c r="N333" s="66">
        <v>2</v>
      </c>
      <c r="O333" s="58">
        <f>(((M333+(2*N333))*'MATERIALES (2)'!$C$60)+((M333+(2*N333))*'MATERIALES (2)'!$C$58)+(M333*'MATERIALES (2)'!$C$62)+((M333+((N333/1.33)*2))*'MATERIALES (2)'!$C$61)+(((M333-0.2)*'MATERIALES (2)'!$C$30)*3)+((((M333*4)+(N333*6))*'MATERIALES (2)'!$C$76)*2))*'MATERIALES (2)'!$F$2</f>
        <v>220534.26757894736</v>
      </c>
      <c r="P333" s="58">
        <f>(1*'MATERIALES (2)'!$C$193)+(1*'MATERIALES (2)'!$C$194)+(3*'MATERIALES (2)'!$C$196)+(2*'MATERIALES (2)'!$C$178)+(2*'MATERIALES (2)'!$C$179)+(2*'MATERIALES (2)'!$C$180)+(16*'MATERIALES (2)'!$C$147)+(16*'MATERIALES (2)'!$C$148)+((M333+(2*N333))*'MATERIALES (2)'!$C$199)+((M333+(2*N333))*'MATERIALES (2)'!$C$198)+(((M333*2)+(N333*6))*'MATERIALES (2)'!$C$130)+((((((M333*4)+(N333*6))/0.1))*'MATERIALES (2)'!$C$181)*2)+(2*'MATERIALES (2)'!$C$176)+(((M333*2)+((N333/3)*2))*'MATERIALES (2)'!$C$154)+(0.25*'MATERIALES (2)'!$C$156)+(((M333*5)*2)*'MATERIALES (2)'!$C$136)+(4*'MATERIALES (2)'!$C$137)</f>
        <v>68398</v>
      </c>
      <c r="Q333" s="74"/>
      <c r="R333" s="54">
        <f>((((M333/1.33)*(N333/1.33))*2)*'MATERIALES (2)'!$D$86)+(12*'MATERIALES (2)'!$C$218)+(((M333*2)+((N333/1.33)*6))*'MATERIALES (2)'!$C$219)+(((M333*2)+((N333/1.33)*6))*'MATERIALES (2)'!$C$220)+((((M333*2)+((N333/1.33)*6))/15)*'MATERIALES (2)'!$C$221)+((((M333*2)+((N333/1.33)*6))/15)*('MATERIALES (2)'!$C$222*0.15))</f>
        <v>29738.639077958047</v>
      </c>
      <c r="S333" s="58">
        <f>SUM(O333:R333)</f>
        <v>318670.90665690543</v>
      </c>
      <c r="T333" s="67">
        <f>((((SUM(O333:Q333)*$O$329)+(R333*$R$329))*1.21)*1.05)*1.05</f>
        <v>599692.04813890299</v>
      </c>
    </row>
    <row r="334" spans="1:20" ht="15.75" thickBot="1">
      <c r="A334" s="68">
        <v>0.7</v>
      </c>
      <c r="B334" s="69">
        <v>2</v>
      </c>
      <c r="C334" s="59">
        <f>(((A334+(2*B334))*'MATERIALES (2)'!$C$60)+((A334+(2*B334))*'MATERIALES (2)'!$C$58)+(A334*'MATERIALES (2)'!$C$62)+((A334*2)*'MATERIALES (2)'!$C$61)+((((A334*6)+(B334*2))*'MATERIALES (2)'!$C$76)*2)+(((A334-0.2)*'MATERIALES (2)'!$C$30)*((B334-0.12)/0.12)))*'MATERIALES (2)'!$F$2</f>
        <v>247758.77349999995</v>
      </c>
      <c r="D334" s="59">
        <f>(1*'MATERIALES (2)'!$C$193)+(1*'MATERIALES (2)'!$C$194)+(3*'MATERIALES (2)'!$C$196)+(2*'MATERIALES (2)'!$C$178)+(2*'MATERIALES (2)'!$C$179)+(2*'MATERIALES (2)'!$C$180)+(12*'MATERIALES (2)'!$C$147)+(12*'MATERIALES (2)'!$C$148)+((A334+(2*B334))*'MATERIALES (2)'!$C$199)+((A334+(2*B334))*'MATERIALES (2)'!$C$198)+(((A334*2)*(0.6*2))*'MATERIALES (2)'!$C$130)+(((A334*4)+(B334*2))*'MATERIALES (2)'!$C$154)+(0.5*'MATERIALES (2)'!$C$156)+(((((A334*6)+(B334*2))/0.1)*'MATERIALES (2)'!$C$181)*2)+(2*'MATERIALES (2)'!$C$630)+(((A334*5)*2)*'MATERIALES (2)'!$C$136)+(4*'MATERIALES (2)'!$C$137)</f>
        <v>64149.2</v>
      </c>
      <c r="E334" s="75"/>
      <c r="F334" s="55">
        <f>(((A264*0.6)*2)*'MATERIALES (2)'!$D$86)+(4*'MATERIALES (2)'!$C$218)+(((A264*2)+(0.6*2))*'MATERIALES (2)'!$C$219)+(((A264*2)+(0.6*2))*'MATERIALES (2)'!$C$220)+((((A264*2)+(0.6*2))/15)*'MATERIALES (2)'!$C$221)+((((A264*2)+(0.6*2))/15)*('MATERIALES (2)'!$C$222*0.15))</f>
        <v>11966.808333333331</v>
      </c>
      <c r="G334" s="59">
        <f t="shared" ref="G334:G340" si="99">SUM(C334:F334)</f>
        <v>323874.78183333331</v>
      </c>
      <c r="H334" s="67">
        <f t="shared" ref="H334:H340" si="100">((((SUM(C334:E334)*$C$329)+(F334*$F$329))*1.21)*1.05)*1.05</f>
        <v>593653.63934400561</v>
      </c>
      <c r="M334" s="68">
        <v>0.7</v>
      </c>
      <c r="N334" s="69">
        <v>2</v>
      </c>
      <c r="O334" s="59">
        <f>(((M334+(2*N334))*'MATERIALES (2)'!$C$60)+((M334+(2*N334))*'MATERIALES (2)'!$C$58)+(M334*'MATERIALES (2)'!$C$62)+((M334+((N334/1.33)*2))*'MATERIALES (2)'!$C$61)+(((M334-0.2)*'MATERIALES (2)'!$C$30)*3)+((((M334*4)+(N334*6))*'MATERIALES (2)'!$C$76)*2))*'MATERIALES (2)'!$F$2</f>
        <v>230764.73257894738</v>
      </c>
      <c r="P334" s="59">
        <f>(1*'MATERIALES (2)'!$C$193)+(1*'MATERIALES (2)'!$C$194)+(3*'MATERIALES (2)'!$C$196)+(2*'MATERIALES (2)'!$C$178)+(2*'MATERIALES (2)'!$C$179)+(2*'MATERIALES (2)'!$C$180)+(16*'MATERIALES (2)'!$C$147)+(16*'MATERIALES (2)'!$C$148)+((M334+(2*N334))*'MATERIALES (2)'!$C$199)+((M334+(2*N334))*'MATERIALES (2)'!$C$198)+(((M334*2)+(N334*6))*'MATERIALES (2)'!$C$130)+((((((M334*4)+(N334*6))/0.1))*'MATERIALES (2)'!$C$181)*2)+(2*'MATERIALES (2)'!$C$176)+(((M334*2)+((N334/3)*2))*'MATERIALES (2)'!$C$154)+(0.25*'MATERIALES (2)'!$C$156)+(((M334*5)*2)*'MATERIALES (2)'!$C$136)+(4*'MATERIALES (2)'!$C$137)</f>
        <v>68796</v>
      </c>
      <c r="Q334" s="75"/>
      <c r="R334" s="55">
        <f>((((M334/1.33)*(N334/1.33))*2)*'MATERIALES (2)'!$D$86)+(12*'MATERIALES (2)'!$C$218)+(((M334*2)+((N334/1.33)*6))*'MATERIALES (2)'!$C$219)+(((M334*2)+((N334/1.33)*6))*'MATERIALES (2)'!$C$220)+((((M334*2)+((N334/1.33)*6))/15)*'MATERIALES (2)'!$C$221)+((((M334*2)+((N334/1.33)*6))/15)*('MATERIALES (2)'!$C$222*0.15))</f>
        <v>32071.407245086397</v>
      </c>
      <c r="S334" s="59">
        <f t="shared" ref="S334:S340" si="101">SUM(O334:R334)</f>
        <v>331632.13982403377</v>
      </c>
      <c r="T334" s="67">
        <f t="shared" ref="T334:T340" si="102">((((SUM(O334:Q334)*$O$329)+(R334*$R$329))*1.21)*1.05)*1.05</f>
        <v>625057.15157640376</v>
      </c>
    </row>
    <row r="335" spans="1:20" ht="15.75" thickBot="1">
      <c r="A335" s="68">
        <v>0.8</v>
      </c>
      <c r="B335" s="69">
        <v>2</v>
      </c>
      <c r="C335" s="59">
        <f>(((A335+(2*B335))*'MATERIALES (2)'!$C$60)+((A335+(2*B335))*'MATERIALES (2)'!$C$58)+(A335*'MATERIALES (2)'!$C$62)+((A335*2)*'MATERIALES (2)'!$C$61)+((((A335*6)+(B335*2))*'MATERIALES (2)'!$C$76)*2)+(((A335-0.2)*'MATERIALES (2)'!$C$30)*((B335-0.12)/0.12)))*'MATERIALES (2)'!$F$2</f>
        <v>274285.83</v>
      </c>
      <c r="D335" s="59">
        <f>(1*'MATERIALES (2)'!$C$193)+(1*'MATERIALES (2)'!$C$194)+(3*'MATERIALES (2)'!$C$196)+(2*'MATERIALES (2)'!$C$178)+(2*'MATERIALES (2)'!$C$179)+(2*'MATERIALES (2)'!$C$180)+(12*'MATERIALES (2)'!$C$147)+(12*'MATERIALES (2)'!$C$148)+((A335+(2*B335))*'MATERIALES (2)'!$C$199)+((A335+(2*B335))*'MATERIALES (2)'!$C$198)+(((A335*2)*(0.6*2))*'MATERIALES (2)'!$C$130)+(((A335*4)+(B335*2))*'MATERIALES (2)'!$C$154)+(0.5*'MATERIALES (2)'!$C$156)+(((((A335*6)+(B335*2))/0.1)*'MATERIALES (2)'!$C$181)*2)+(2*'MATERIALES (2)'!$C$630)+(((A335*5)*2)*'MATERIALES (2)'!$C$136)+(4*'MATERIALES (2)'!$C$137)</f>
        <v>64724.800000000003</v>
      </c>
      <c r="E335" s="75"/>
      <c r="F335" s="55">
        <f>(((A265*0.6)*2)*'MATERIALES (2)'!$D$86)+(4*'MATERIALES (2)'!$C$218)+(((A265*2)+(0.6*2))*'MATERIALES (2)'!$C$219)+(((A265*2)+(0.6*2))*'MATERIALES (2)'!$C$220)+((((A265*2)+(0.6*2))/15)*'MATERIALES (2)'!$C$221)+((((A265*2)+(0.6*2))/15)*('MATERIALES (2)'!$C$222*0.15))</f>
        <v>13363.516666666665</v>
      </c>
      <c r="G335" s="59">
        <f t="shared" si="99"/>
        <v>352374.14666666667</v>
      </c>
      <c r="H335" s="67">
        <f t="shared" si="100"/>
        <v>646190.21581826266</v>
      </c>
      <c r="M335" s="68">
        <v>0.8</v>
      </c>
      <c r="N335" s="69">
        <v>2</v>
      </c>
      <c r="O335" s="59">
        <f>(((M335+(2*N335))*'MATERIALES (2)'!$C$60)+((M335+(2*N335))*'MATERIALES (2)'!$C$58)+(M335*'MATERIALES (2)'!$C$62)+((M335+((N335/1.33)*2))*'MATERIALES (2)'!$C$61)+(((M335-0.2)*'MATERIALES (2)'!$C$30)*3)+((((M335*4)+(N335*6))*'MATERIALES (2)'!$C$76)*2))*'MATERIALES (2)'!$F$2</f>
        <v>240995.19757894738</v>
      </c>
      <c r="P335" s="59">
        <f>(1*'MATERIALES (2)'!$C$193)+(1*'MATERIALES (2)'!$C$194)+(3*'MATERIALES (2)'!$C$196)+(2*'MATERIALES (2)'!$C$178)+(2*'MATERIALES (2)'!$C$179)+(2*'MATERIALES (2)'!$C$180)+(16*'MATERIALES (2)'!$C$147)+(16*'MATERIALES (2)'!$C$148)+((M335+(2*N335))*'MATERIALES (2)'!$C$199)+((M335+(2*N335))*'MATERIALES (2)'!$C$198)+(((M335*2)+(N335*6))*'MATERIALES (2)'!$C$130)+((((((M335*4)+(N335*6))/0.1))*'MATERIALES (2)'!$C$181)*2)+(2*'MATERIALES (2)'!$C$176)+(((M335*2)+((N335/3)*2))*'MATERIALES (2)'!$C$154)+(0.25*'MATERIALES (2)'!$C$156)+(((M335*5)*2)*'MATERIALES (2)'!$C$136)+(4*'MATERIALES (2)'!$C$137)</f>
        <v>69194</v>
      </c>
      <c r="Q335" s="75"/>
      <c r="R335" s="55">
        <f>((((M335/1.33)*(N335/1.33))*2)*'MATERIALES (2)'!$D$86)+(12*'MATERIALES (2)'!$C$218)+(((M335*2)+((N335/1.33)*6))*'MATERIALES (2)'!$C$219)+(((M335*2)+((N335/1.33)*6))*'MATERIALES (2)'!$C$220)+((((M335*2)+((N335/1.33)*6))/15)*'MATERIALES (2)'!$C$221)+((((M335*2)+((N335/1.33)*6))/15)*('MATERIALES (2)'!$C$222*0.15))</f>
        <v>34404.175412214747</v>
      </c>
      <c r="S335" s="59">
        <f t="shared" si="101"/>
        <v>344593.37299116218</v>
      </c>
      <c r="T335" s="67">
        <f t="shared" si="102"/>
        <v>650422.2550139043</v>
      </c>
    </row>
    <row r="336" spans="1:20" ht="15.75" thickBot="1">
      <c r="A336" s="68">
        <v>0.9</v>
      </c>
      <c r="B336" s="69">
        <v>2</v>
      </c>
      <c r="C336" s="59">
        <f>(((A336+(2*B336))*'MATERIALES (2)'!$C$60)+((A336+(2*B336))*'MATERIALES (2)'!$C$58)+(A336*'MATERIALES (2)'!$C$62)+((A336*2)*'MATERIALES (2)'!$C$61)+((((A336*6)+(B336*2))*'MATERIALES (2)'!$C$76)*2)+(((A336-0.2)*'MATERIALES (2)'!$C$30)*((B336-0.12)/0.12)))*'MATERIALES (2)'!$F$2</f>
        <v>300812.88650000002</v>
      </c>
      <c r="D336" s="59">
        <f>(1*'MATERIALES (2)'!$C$193)+(1*'MATERIALES (2)'!$C$194)+(3*'MATERIALES (2)'!$C$196)+(2*'MATERIALES (2)'!$C$178)+(2*'MATERIALES (2)'!$C$179)+(2*'MATERIALES (2)'!$C$180)+(12*'MATERIALES (2)'!$C$147)+(12*'MATERIALES (2)'!$C$148)+((A336+(2*B336))*'MATERIALES (2)'!$C$199)+((A336+(2*B336))*'MATERIALES (2)'!$C$198)+(((A336*2)*(0.6*2))*'MATERIALES (2)'!$C$130)+(((A336*4)+(B336*2))*'MATERIALES (2)'!$C$154)+(0.5*'MATERIALES (2)'!$C$156)+(((((A336*6)+(B336*2))/0.1)*'MATERIALES (2)'!$C$181)*2)+(2*'MATERIALES (2)'!$C$630)+(((A336*5)*2)*'MATERIALES (2)'!$C$136)+(4*'MATERIALES (2)'!$C$137)</f>
        <v>65300.4</v>
      </c>
      <c r="E336" s="75"/>
      <c r="F336" s="55">
        <f>(((A266*0.6)*2)*'MATERIALES (2)'!$D$86)+(4*'MATERIALES (2)'!$C$218)+(((A266*2)+(0.6*2))*'MATERIALES (2)'!$C$219)+(((A266*2)+(0.6*2))*'MATERIALES (2)'!$C$220)+((((A266*2)+(0.6*2))/15)*'MATERIALES (2)'!$C$221)+((((A266*2)+(0.6*2))/15)*('MATERIALES (2)'!$C$222*0.15))</f>
        <v>14760.225</v>
      </c>
      <c r="G336" s="59">
        <f t="shared" si="99"/>
        <v>380873.51150000002</v>
      </c>
      <c r="H336" s="67">
        <f t="shared" si="100"/>
        <v>698726.79229251959</v>
      </c>
      <c r="M336" s="68">
        <v>0.9</v>
      </c>
      <c r="N336" s="69">
        <v>2</v>
      </c>
      <c r="O336" s="59">
        <f>(((M336+(2*N336))*'MATERIALES (2)'!$C$60)+((M336+(2*N336))*'MATERIALES (2)'!$C$58)+(M336*'MATERIALES (2)'!$C$62)+((M336+((N336/1.33)*2))*'MATERIALES (2)'!$C$61)+(((M336-0.2)*'MATERIALES (2)'!$C$30)*3)+((((M336*4)+(N336*6))*'MATERIALES (2)'!$C$76)*2))*'MATERIALES (2)'!$F$2</f>
        <v>251225.66257894738</v>
      </c>
      <c r="P336" s="59">
        <f>(1*'MATERIALES (2)'!$C$193)+(1*'MATERIALES (2)'!$C$194)+(3*'MATERIALES (2)'!$C$196)+(2*'MATERIALES (2)'!$C$178)+(2*'MATERIALES (2)'!$C$179)+(2*'MATERIALES (2)'!$C$180)+(16*'MATERIALES (2)'!$C$147)+(16*'MATERIALES (2)'!$C$148)+((M336+(2*N336))*'MATERIALES (2)'!$C$199)+((M336+(2*N336))*'MATERIALES (2)'!$C$198)+(((M336*2)+(N336*6))*'MATERIALES (2)'!$C$130)+((((((M336*4)+(N336*6))/0.1))*'MATERIALES (2)'!$C$181)*2)+(2*'MATERIALES (2)'!$C$176)+(((M336*2)+((N336/3)*2))*'MATERIALES (2)'!$C$154)+(0.25*'MATERIALES (2)'!$C$156)+(((M336*5)*2)*'MATERIALES (2)'!$C$136)+(4*'MATERIALES (2)'!$C$137)</f>
        <v>69592</v>
      </c>
      <c r="Q336" s="75"/>
      <c r="R336" s="55">
        <f>((((M336/1.33)*(N336/1.33))*2)*'MATERIALES (2)'!$D$86)+(12*'MATERIALES (2)'!$C$218)+(((M336*2)+((N336/1.33)*6))*'MATERIALES (2)'!$C$219)+(((M336*2)+((N336/1.33)*6))*'MATERIALES (2)'!$C$220)+((((M336*2)+((N336/1.33)*6))/15)*'MATERIALES (2)'!$C$221)+((((M336*2)+((N336/1.33)*6))/15)*('MATERIALES (2)'!$C$222*0.15))</f>
        <v>36736.943579343097</v>
      </c>
      <c r="S336" s="59">
        <f t="shared" si="101"/>
        <v>357554.60615829047</v>
      </c>
      <c r="T336" s="67">
        <f t="shared" si="102"/>
        <v>675787.35845140473</v>
      </c>
    </row>
    <row r="337" spans="1:21" ht="15.75" thickBot="1">
      <c r="A337" s="68">
        <v>0.6</v>
      </c>
      <c r="B337" s="69">
        <v>2.1</v>
      </c>
      <c r="C337" s="59">
        <f>(((A337+(2*B337))*'MATERIALES (2)'!$C$60)+((A337+(2*B337))*'MATERIALES (2)'!$C$58)+(A337*'MATERIALES (2)'!$C$62)+((A337*2)*'MATERIALES (2)'!$C$61)+((((A337*6)+(B337*2))*'MATERIALES (2)'!$C$76)*2)+(((A337-0.2)*'MATERIALES (2)'!$C$30)*((B337-0.12)/0.12)))*'MATERIALES (2)'!$F$2</f>
        <v>229850.52299999999</v>
      </c>
      <c r="D337" s="59">
        <f>(1*'MATERIALES (2)'!$C$193)+(1*'MATERIALES (2)'!$C$194)+(3*'MATERIALES (2)'!$C$196)+(2*'MATERIALES (2)'!$C$178)+(2*'MATERIALES (2)'!$C$179)+(2*'MATERIALES (2)'!$C$180)+(12*'MATERIALES (2)'!$C$147)+(12*'MATERIALES (2)'!$C$148)+((A337+(2*B337))*'MATERIALES (2)'!$C$199)+((A337+(2*B337))*'MATERIALES (2)'!$C$198)+(((A337*2)*(0.6*2))*'MATERIALES (2)'!$C$130)+(((A337*4)+(B337*2))*'MATERIALES (2)'!$C$154)+(0.5*'MATERIALES (2)'!$C$156)+(((((A337*6)+(B337*2))/0.1)*'MATERIALES (2)'!$C$181)*2)+(2*'MATERIALES (2)'!$C$630)+(((A337*5)*2)*'MATERIALES (2)'!$C$136)+(4*'MATERIALES (2)'!$C$137)</f>
        <v>63865.599999999999</v>
      </c>
      <c r="E337" s="75"/>
      <c r="F337" s="55">
        <f>(((A267*0.6)*2)*'MATERIALES (2)'!$D$86)+(4*'MATERIALES (2)'!$C$218)+(((A267*2)+(0.6*2))*'MATERIALES (2)'!$C$219)+(((A267*2)+(0.6*2))*'MATERIALES (2)'!$C$220)+((((A267*2)+(0.6*2))/15)*'MATERIALES (2)'!$C$221)+((((A267*2)+(0.6*2))/15)*('MATERIALES (2)'!$C$222*0.15))</f>
        <v>10570.1</v>
      </c>
      <c r="G337" s="59">
        <f t="shared" si="99"/>
        <v>304286.22299999994</v>
      </c>
      <c r="H337" s="67">
        <f t="shared" si="100"/>
        <v>557164.83413485123</v>
      </c>
      <c r="M337" s="68">
        <v>0.6</v>
      </c>
      <c r="N337" s="69">
        <v>2.1</v>
      </c>
      <c r="O337" s="59">
        <f>(((M337+(2*N337))*'MATERIALES (2)'!$C$60)+((M337+(2*N337))*'MATERIALES (2)'!$C$58)+(M337*'MATERIALES (2)'!$C$62)+((M337+((N337/1.33)*2))*'MATERIALES (2)'!$C$61)+(((M337-0.2)*'MATERIALES (2)'!$C$30)*3)+((((M337*4)+(N337*6))*'MATERIALES (2)'!$C$76)*2))*'MATERIALES (2)'!$F$2</f>
        <v>228829.5151578947</v>
      </c>
      <c r="P337" s="59">
        <f>(1*'MATERIALES (2)'!$C$193)+(1*'MATERIALES (2)'!$C$194)+(3*'MATERIALES (2)'!$C$196)+(2*'MATERIALES (2)'!$C$178)+(2*'MATERIALES (2)'!$C$179)+(2*'MATERIALES (2)'!$C$180)+(16*'MATERIALES (2)'!$C$147)+(16*'MATERIALES (2)'!$C$148)+((M337+(2*N337))*'MATERIALES (2)'!$C$199)+((M337+(2*N337))*'MATERIALES (2)'!$C$198)+(((M337*2)+(N337*6))*'MATERIALES (2)'!$C$130)+((((((M337*4)+(N337*6))/0.1))*'MATERIALES (2)'!$C$181)*2)+(2*'MATERIALES (2)'!$C$176)+(((M337*2)+((N337/3)*2))*'MATERIALES (2)'!$C$154)+(0.25*'MATERIALES (2)'!$C$156)+(((M337*5)*2)*'MATERIALES (2)'!$C$136)+(4*'MATERIALES (2)'!$C$137)</f>
        <v>69042</v>
      </c>
      <c r="Q337" s="75"/>
      <c r="R337" s="55">
        <f>((((M337/1.33)*(N337/1.33))*2)*'MATERIALES (2)'!$D$86)+(12*'MATERIALES (2)'!$C$218)+(((M337*2)+((N337/1.33)*6))*'MATERIALES (2)'!$C$219)+(((M337*2)+((N337/1.33)*6))*'MATERIALES (2)'!$C$220)+((((M337*2)+((N337/1.33)*6))/15)*'MATERIALES (2)'!$C$221)+((((M337*2)+((N337/1.33)*6))/15)*('MATERIALES (2)'!$C$222*0.15))</f>
        <v>31100.078531855954</v>
      </c>
      <c r="S337" s="59">
        <f t="shared" si="101"/>
        <v>328971.59368975065</v>
      </c>
      <c r="T337" s="67">
        <f t="shared" si="102"/>
        <v>619423.42933840747</v>
      </c>
    </row>
    <row r="338" spans="1:21" ht="15.75" thickBot="1">
      <c r="A338" s="68">
        <v>0.7</v>
      </c>
      <c r="B338" s="69">
        <v>2.1</v>
      </c>
      <c r="C338" s="59">
        <f>(((A338+(2*B338))*'MATERIALES (2)'!$C$60)+((A338+(2*B338))*'MATERIALES (2)'!$C$58)+(A338*'MATERIALES (2)'!$C$62)+((A338*2)*'MATERIALES (2)'!$C$61)+((((A338*6)+(B338*2))*'MATERIALES (2)'!$C$76)*2)+(((A338-0.2)*'MATERIALES (2)'!$C$30)*((B338-0.12)/0.12)))*'MATERIALES (2)'!$F$2</f>
        <v>257315.56199999998</v>
      </c>
      <c r="D338" s="59">
        <f>(1*'MATERIALES (2)'!$C$193)+(1*'MATERIALES (2)'!$C$194)+(3*'MATERIALES (2)'!$C$196)+(2*'MATERIALES (2)'!$C$178)+(2*'MATERIALES (2)'!$C$179)+(2*'MATERIALES (2)'!$C$180)+(12*'MATERIALES (2)'!$C$147)+(12*'MATERIALES (2)'!$C$148)+((A338+(2*B338))*'MATERIALES (2)'!$C$199)+((A338+(2*B338))*'MATERIALES (2)'!$C$198)+(((A338*2)*(0.6*2))*'MATERIALES (2)'!$C$130)+(((A338*4)+(B338*2))*'MATERIALES (2)'!$C$154)+(0.5*'MATERIALES (2)'!$C$156)+(((((A338*6)+(B338*2))/0.1)*'MATERIALES (2)'!$C$181)*2)+(2*'MATERIALES (2)'!$C$630)+(((A338*5)*2)*'MATERIALES (2)'!$C$136)+(4*'MATERIALES (2)'!$C$137)</f>
        <v>64441.2</v>
      </c>
      <c r="E338" s="75"/>
      <c r="F338" s="55">
        <f>(((A268*0.6)*2)*'MATERIALES (2)'!$D$86)+(4*'MATERIALES (2)'!$C$218)+(((A268*2)+(0.6*2))*'MATERIALES (2)'!$C$219)+(((A268*2)+(0.6*2))*'MATERIALES (2)'!$C$220)+((((A268*2)+(0.6*2))/15)*'MATERIALES (2)'!$C$221)+((((A268*2)+(0.6*2))/15)*('MATERIALES (2)'!$C$222*0.15))</f>
        <v>11966.808333333331</v>
      </c>
      <c r="G338" s="59">
        <f t="shared" si="99"/>
        <v>333723.57033333334</v>
      </c>
      <c r="H338" s="67">
        <f t="shared" si="100"/>
        <v>611390.65495026752</v>
      </c>
      <c r="M338" s="68">
        <v>0.7</v>
      </c>
      <c r="N338" s="69">
        <v>2.1</v>
      </c>
      <c r="O338" s="59">
        <f>(((M338+(2*N338))*'MATERIALES (2)'!$C$60)+((M338+(2*N338))*'MATERIALES (2)'!$C$58)+(M338*'MATERIALES (2)'!$C$62)+((M338+((N338/1.33)*2))*'MATERIALES (2)'!$C$61)+(((M338-0.2)*'MATERIALES (2)'!$C$30)*3)+((((M338*4)+(N338*6))*'MATERIALES (2)'!$C$76)*2))*'MATERIALES (2)'!$F$2</f>
        <v>239059.98015789472</v>
      </c>
      <c r="P338" s="59">
        <f>(1*'MATERIALES (2)'!$C$193)+(1*'MATERIALES (2)'!$C$194)+(3*'MATERIALES (2)'!$C$196)+(2*'MATERIALES (2)'!$C$178)+(2*'MATERIALES (2)'!$C$179)+(2*'MATERIALES (2)'!$C$180)+(16*'MATERIALES (2)'!$C$147)+(16*'MATERIALES (2)'!$C$148)+((M338+(2*N338))*'MATERIALES (2)'!$C$199)+((M338+(2*N338))*'MATERIALES (2)'!$C$198)+(((M338*2)+(N338*6))*'MATERIALES (2)'!$C$130)+((((((M338*4)+(N338*6))/0.1))*'MATERIALES (2)'!$C$181)*2)+(2*'MATERIALES (2)'!$C$176)+(((M338*2)+((N338/3)*2))*'MATERIALES (2)'!$C$154)+(0.25*'MATERIALES (2)'!$C$156)+(((M338*5)*2)*'MATERIALES (2)'!$C$136)+(4*'MATERIALES (2)'!$C$137)</f>
        <v>69440</v>
      </c>
      <c r="Q338" s="75"/>
      <c r="R338" s="55">
        <f>((((M338/1.33)*(N338/1.33))*2)*'MATERIALES (2)'!$D$86)+(12*'MATERIALES (2)'!$C$218)+(((M338*2)+((N338/1.33)*6))*'MATERIALES (2)'!$C$219)+(((M338*2)+((N338/1.33)*6))*'MATERIALES (2)'!$C$220)+((((M338*2)+((N338/1.33)*6))/15)*'MATERIALES (2)'!$C$221)+((((M338*2)+((N338/1.33)*6))/15)*('MATERIALES (2)'!$C$222*0.15))</f>
        <v>33532.569690674049</v>
      </c>
      <c r="S338" s="59">
        <f t="shared" si="101"/>
        <v>342032.54984856874</v>
      </c>
      <c r="T338" s="67">
        <f t="shared" si="102"/>
        <v>645054.5987038858</v>
      </c>
    </row>
    <row r="339" spans="1:21" ht="15.75" thickBot="1">
      <c r="A339" s="68">
        <v>0.8</v>
      </c>
      <c r="B339" s="69">
        <v>2.1</v>
      </c>
      <c r="C339" s="59">
        <f>(((A339+(2*B339))*'MATERIALES (2)'!$C$60)+((A339+(2*B339))*'MATERIALES (2)'!$C$58)+(A339*'MATERIALES (2)'!$C$62)+((A339*2)*'MATERIALES (2)'!$C$61)+((((A339*6)+(B339*2))*'MATERIALES (2)'!$C$76)*2)+(((A339-0.2)*'MATERIALES (2)'!$C$30)*((B339-0.12)/0.12)))*'MATERIALES (2)'!$F$2</f>
        <v>284780.60100000002</v>
      </c>
      <c r="D339" s="59">
        <f>(1*'MATERIALES (2)'!$C$193)+(1*'MATERIALES (2)'!$C$194)+(3*'MATERIALES (2)'!$C$196)+(2*'MATERIALES (2)'!$C$178)+(2*'MATERIALES (2)'!$C$179)+(2*'MATERIALES (2)'!$C$180)+(12*'MATERIALES (2)'!$C$147)+(12*'MATERIALES (2)'!$C$148)+((A339+(2*B339))*'MATERIALES (2)'!$C$199)+((A339+(2*B339))*'MATERIALES (2)'!$C$198)+(((A339*2)*(0.6*2))*'MATERIALES (2)'!$C$130)+(((A339*4)+(B339*2))*'MATERIALES (2)'!$C$154)+(0.5*'MATERIALES (2)'!$C$156)+(((((A339*6)+(B339*2))/0.1)*'MATERIALES (2)'!$C$181)*2)+(2*'MATERIALES (2)'!$C$630)+(((A339*5)*2)*'MATERIALES (2)'!$C$136)+(4*'MATERIALES (2)'!$C$137)</f>
        <v>65016.800000000003</v>
      </c>
      <c r="E339" s="75"/>
      <c r="F339" s="55">
        <f>(((A269*0.6)*2)*'MATERIALES (2)'!$D$86)+(4*'MATERIALES (2)'!$C$218)+(((A269*2)+(0.6*2))*'MATERIALES (2)'!$C$219)+(((A269*2)+(0.6*2))*'MATERIALES (2)'!$C$220)+((((A269*2)+(0.6*2))/15)*'MATERIALES (2)'!$C$221)+((((A269*2)+(0.6*2))/15)*('MATERIALES (2)'!$C$222*0.15))</f>
        <v>13363.516666666665</v>
      </c>
      <c r="G339" s="59">
        <f t="shared" si="99"/>
        <v>363160.91766666668</v>
      </c>
      <c r="H339" s="67">
        <f t="shared" si="100"/>
        <v>665616.47576568392</v>
      </c>
      <c r="M339" s="68">
        <v>0.8</v>
      </c>
      <c r="N339" s="69">
        <v>2.1</v>
      </c>
      <c r="O339" s="59">
        <f>(((M339+(2*N339))*'MATERIALES (2)'!$C$60)+((M339+(2*N339))*'MATERIALES (2)'!$C$58)+(M339*'MATERIALES (2)'!$C$62)+((M339+((N339/1.33)*2))*'MATERIALES (2)'!$C$61)+(((M339-0.2)*'MATERIALES (2)'!$C$30)*3)+((((M339*4)+(N339*6))*'MATERIALES (2)'!$C$76)*2))*'MATERIALES (2)'!$F$2</f>
        <v>249290.44515789478</v>
      </c>
      <c r="P339" s="59">
        <f>(1*'MATERIALES (2)'!$C$193)+(1*'MATERIALES (2)'!$C$194)+(3*'MATERIALES (2)'!$C$196)+(2*'MATERIALES (2)'!$C$178)+(2*'MATERIALES (2)'!$C$179)+(2*'MATERIALES (2)'!$C$180)+(16*'MATERIALES (2)'!$C$147)+(16*'MATERIALES (2)'!$C$148)+((M339+(2*N339))*'MATERIALES (2)'!$C$199)+((M339+(2*N339))*'MATERIALES (2)'!$C$198)+(((M339*2)+(N339*6))*'MATERIALES (2)'!$C$130)+((((((M339*4)+(N339*6))/0.1))*'MATERIALES (2)'!$C$181)*2)+(2*'MATERIALES (2)'!$C$176)+(((M339*2)+((N339/3)*2))*'MATERIALES (2)'!$C$154)+(0.25*'MATERIALES (2)'!$C$156)+(((M339*5)*2)*'MATERIALES (2)'!$C$136)+(4*'MATERIALES (2)'!$C$137)</f>
        <v>69838</v>
      </c>
      <c r="Q339" s="75"/>
      <c r="R339" s="55">
        <f>((((M339/1.33)*(N339/1.33))*2)*'MATERIALES (2)'!$D$86)+(12*'MATERIALES (2)'!$C$218)+(((M339*2)+((N339/1.33)*6))*'MATERIALES (2)'!$C$219)+(((M339*2)+((N339/1.33)*6))*'MATERIALES (2)'!$C$220)+((((M339*2)+((N339/1.33)*6))/15)*'MATERIALES (2)'!$C$221)+((((M339*2)+((N339/1.33)*6))/15)*('MATERIALES (2)'!$C$222*0.15))</f>
        <v>35965.060849492147</v>
      </c>
      <c r="S339" s="59">
        <f t="shared" si="101"/>
        <v>355093.5060073869</v>
      </c>
      <c r="T339" s="67">
        <f t="shared" si="102"/>
        <v>670685.76806936436</v>
      </c>
    </row>
    <row r="340" spans="1:21" ht="15.75" thickBot="1">
      <c r="A340" s="71">
        <v>0.9</v>
      </c>
      <c r="B340" s="72">
        <v>2.1</v>
      </c>
      <c r="C340" s="60">
        <f>(((A340+(2*B340))*'MATERIALES (2)'!$C$60)+((A340+(2*B340))*'MATERIALES (2)'!$C$58)+(A340*'MATERIALES (2)'!$C$62)+((A340*2)*'MATERIALES (2)'!$C$61)+((((A340*6)+(B340*2))*'MATERIALES (2)'!$C$76)*2)+(((A340-0.2)*'MATERIALES (2)'!$C$30)*((B340-0.12)/0.12)))*'MATERIALES (2)'!$F$2</f>
        <v>312245.64</v>
      </c>
      <c r="D340" s="60">
        <f>(1*'MATERIALES (2)'!$C$193)+(1*'MATERIALES (2)'!$C$194)+(3*'MATERIALES (2)'!$C$196)+(2*'MATERIALES (2)'!$C$178)+(2*'MATERIALES (2)'!$C$179)+(2*'MATERIALES (2)'!$C$180)+(12*'MATERIALES (2)'!$C$147)+(12*'MATERIALES (2)'!$C$148)+((A340+(2*B340))*'MATERIALES (2)'!$C$199)+((A340+(2*B340))*'MATERIALES (2)'!$C$198)+(((A340*2)*(0.6*2))*'MATERIALES (2)'!$C$130)+(((A340*4)+(B340*2))*'MATERIALES (2)'!$C$154)+(0.5*'MATERIALES (2)'!$C$156)+(((((A340*6)+(B340*2))/0.1)*'MATERIALES (2)'!$C$181)*2)+(2*'MATERIALES (2)'!$C$630)+(((A340*5)*2)*'MATERIALES (2)'!$C$136)+(4*'MATERIALES (2)'!$C$137)</f>
        <v>65592.400000000009</v>
      </c>
      <c r="E340" s="76"/>
      <c r="F340" s="56">
        <f>(((A270*0.6)*2)*'MATERIALES (2)'!$D$86)+(4*'MATERIALES (2)'!$C$218)+(((A270*2)+(0.6*2))*'MATERIALES (2)'!$C$219)+(((A270*2)+(0.6*2))*'MATERIALES (2)'!$C$220)+((((A270*2)+(0.6*2))/15)*'MATERIALES (2)'!$C$221)+((((A270*2)+(0.6*2))/15)*('MATERIALES (2)'!$C$222*0.15))</f>
        <v>14760.225</v>
      </c>
      <c r="G340" s="60">
        <f t="shared" si="99"/>
        <v>392598.26500000001</v>
      </c>
      <c r="H340" s="67">
        <f t="shared" si="100"/>
        <v>719842.29658110021</v>
      </c>
      <c r="M340" s="71">
        <v>0.9</v>
      </c>
      <c r="N340" s="72">
        <v>2.1</v>
      </c>
      <c r="O340" s="60">
        <f>(((M340+(2*N340))*'MATERIALES (2)'!$C$60)+((M340+(2*N340))*'MATERIALES (2)'!$C$58)+(M340*'MATERIALES (2)'!$C$62)+((M340+((N340/1.33)*2))*'MATERIALES (2)'!$C$61)+(((M340-0.2)*'MATERIALES (2)'!$C$30)*3)+((((M340*4)+(N340*6))*'MATERIALES (2)'!$C$76)*2))*'MATERIALES (2)'!$F$2</f>
        <v>259520.91015789477</v>
      </c>
      <c r="P340" s="60">
        <f>(1*'MATERIALES (2)'!$C$193)+(1*'MATERIALES (2)'!$C$194)+(3*'MATERIALES (2)'!$C$196)+(2*'MATERIALES (2)'!$C$178)+(2*'MATERIALES (2)'!$C$179)+(2*'MATERIALES (2)'!$C$180)+(16*'MATERIALES (2)'!$C$147)+(16*'MATERIALES (2)'!$C$148)+((M340+(2*N340))*'MATERIALES (2)'!$C$199)+((M340+(2*N340))*'MATERIALES (2)'!$C$198)+(((M340*2)+(N340*6))*'MATERIALES (2)'!$C$130)+((((((M340*4)+(N340*6))/0.1))*'MATERIALES (2)'!$C$181)*2)+(2*'MATERIALES (2)'!$C$176)+(((M340*2)+((N340/3)*2))*'MATERIALES (2)'!$C$154)+(0.25*'MATERIALES (2)'!$C$156)+(((M340*5)*2)*'MATERIALES (2)'!$C$136)+(4*'MATERIALES (2)'!$C$137)</f>
        <v>70236</v>
      </c>
      <c r="Q340" s="76"/>
      <c r="R340" s="56">
        <f>((((M340/1.33)*(N340/1.33))*2)*'MATERIALES (2)'!$D$86)+(12*'MATERIALES (2)'!$C$218)+(((M340*2)+((N340/1.33)*6))*'MATERIALES (2)'!$C$219)+(((M340*2)+((N340/1.33)*6))*'MATERIALES (2)'!$C$220)+((((M340*2)+((N340/1.33)*6))/15)*'MATERIALES (2)'!$C$221)+((((M340*2)+((N340/1.33)*6))/15)*('MATERIALES (2)'!$C$222*0.15))</f>
        <v>38397.552008310238</v>
      </c>
      <c r="S340" s="60">
        <f t="shared" si="101"/>
        <v>368154.46216620499</v>
      </c>
      <c r="T340" s="67">
        <f t="shared" si="102"/>
        <v>696316.93743484281</v>
      </c>
    </row>
    <row r="342" spans="1:21" ht="15.75" thickBot="1">
      <c r="M342" s="9"/>
      <c r="N342" s="9"/>
      <c r="O342" s="743"/>
      <c r="P342" s="9"/>
      <c r="Q342" s="9"/>
      <c r="R342" s="9"/>
      <c r="S342" s="9"/>
      <c r="T342" s="9"/>
      <c r="U342" s="9"/>
    </row>
    <row r="343" spans="1:21" ht="15.75" thickBot="1">
      <c r="A343" s="32"/>
      <c r="B343" s="32"/>
      <c r="C343" s="807">
        <v>1.35</v>
      </c>
      <c r="D343" s="808"/>
      <c r="E343" s="809"/>
      <c r="F343" s="545">
        <v>2</v>
      </c>
      <c r="G343" s="32"/>
      <c r="H343" s="46" t="s">
        <v>163</v>
      </c>
      <c r="M343" s="117"/>
      <c r="N343" s="117"/>
      <c r="O343" s="746"/>
      <c r="P343" s="746"/>
      <c r="Q343" s="746"/>
      <c r="R343" s="746"/>
      <c r="S343" s="117"/>
      <c r="T343" s="744"/>
      <c r="U343" s="9"/>
    </row>
    <row r="344" spans="1:21" ht="15.75" customHeight="1" thickBot="1">
      <c r="A344" s="792" t="s">
        <v>743</v>
      </c>
      <c r="B344" s="793"/>
      <c r="C344" s="793"/>
      <c r="D344" s="793"/>
      <c r="E344" s="793"/>
      <c r="F344" s="793"/>
      <c r="G344" s="793"/>
      <c r="H344" s="794"/>
      <c r="M344" s="94"/>
      <c r="N344" s="94"/>
      <c r="O344" s="94"/>
      <c r="P344" s="94"/>
      <c r="Q344" s="94"/>
      <c r="R344" s="94"/>
      <c r="S344" s="94"/>
      <c r="T344" s="94"/>
      <c r="U344" s="95"/>
    </row>
    <row r="345" spans="1:21" ht="15.75" thickBot="1">
      <c r="A345" s="36" t="s">
        <v>116</v>
      </c>
      <c r="B345" s="36" t="s">
        <v>117</v>
      </c>
      <c r="C345" s="36" t="s">
        <v>162</v>
      </c>
      <c r="D345" s="36" t="s">
        <v>119</v>
      </c>
      <c r="E345" s="36" t="s">
        <v>120</v>
      </c>
      <c r="F345" s="36" t="s">
        <v>118</v>
      </c>
      <c r="G345" s="36" t="s">
        <v>121</v>
      </c>
      <c r="H345" s="36" t="s">
        <v>122</v>
      </c>
      <c r="M345" s="123"/>
      <c r="N345" s="123"/>
      <c r="O345" s="123"/>
      <c r="P345" s="123"/>
      <c r="Q345" s="123"/>
      <c r="R345" s="123"/>
      <c r="S345" s="123"/>
      <c r="T345" s="123"/>
      <c r="U345" s="95"/>
    </row>
    <row r="346" spans="1:21" ht="15.75" thickBot="1">
      <c r="A346" s="795"/>
      <c r="B346" s="796"/>
      <c r="C346" s="796"/>
      <c r="D346" s="796"/>
      <c r="E346" s="796"/>
      <c r="F346" s="796"/>
      <c r="G346" s="796"/>
      <c r="H346" s="797"/>
      <c r="M346" s="94"/>
      <c r="N346" s="94"/>
      <c r="O346" s="94"/>
      <c r="P346" s="94"/>
      <c r="Q346" s="94"/>
      <c r="R346" s="94"/>
      <c r="S346" s="94"/>
      <c r="T346" s="94"/>
      <c r="U346" s="95"/>
    </row>
    <row r="347" spans="1:21" ht="15.75" thickBot="1">
      <c r="A347" s="65">
        <v>0.6</v>
      </c>
      <c r="B347" s="66">
        <v>2</v>
      </c>
      <c r="C347" s="58">
        <f>(((A347+(2*B347))*'MATERIALES (2)'!$C$60)+((A347+(2*B347))*'MATERIALES (2)'!$C$58)+(A347*'MATERIALES (2)'!$C$62)+((A347*1)*'MATERIALES (2)'!$C$61)+((((A347*4)+(B347*2))*'MATERIALES (2)'!$C$76)*2)+(((A347-0.2)*'MATERIALES (2)'!$C$30)*((B347-0.36)/0.12)))*'MATERIALES (2)'!$F$2</f>
        <v>199991.53999999998</v>
      </c>
      <c r="D347" s="58">
        <f>(1*'MATERIALES (2)'!$C$193)+(1*'MATERIALES (2)'!$C$194)+(3*'MATERIALES (2)'!$C$196)+(2*'MATERIALES (2)'!$C$178)+(2*'MATERIALES (2)'!$C$179)+(2*'MATERIALES (2)'!$C$180)+(8*'MATERIALES (2)'!$C$147)+(8*'MATERIALES (2)'!$C$148)+((A347+(2*B347))*'MATERIALES (2)'!$C$199)+((A347+(2*B347))*'MATERIALES (2)'!$C$198)+(((A347*2)*(0.6*2))*'MATERIALES (2)'!$C$130)+(((A347*2)+(B347*2))*'MATERIALES (2)'!$C$154)+(0.5*'MATERIALES (2)'!$C$156)+(2*'MATERIALES (2)'!$C$176)+(((((A347*4)+(B347*2))/0.1)*'MATERIALES (2)'!$C$181)*2)+(((A347*5)*2)*'MATERIALES (2)'!$C$136)+(4*'MATERIALES (2)'!$C$137)</f>
        <v>61895.6</v>
      </c>
      <c r="E347" s="74"/>
      <c r="F347" s="54">
        <f>(((A347*0.6)*2)*'MATERIALES (2)'!$D$86)+(4*'MATERIALES (2)'!$C$218)+(((A347*2)+(0.6*2))*'MATERIALES (2)'!$C$219)+(((A347*2)+(0.6*2))*'MATERIALES (2)'!$C$220)+((((A347*2)+(0.6*2))/15)*'MATERIALES (2)'!$C$221)+((((A347*2)+(0.6*2))/15)*('MATERIALES (2)'!$C$222*0.15))</f>
        <v>10570.1</v>
      </c>
      <c r="G347" s="58">
        <f>SUM(C347:F347)</f>
        <v>272457.24</v>
      </c>
      <c r="H347" s="67">
        <f>((((SUM(C347:E347)*$C$343)+(F347*$F$343))*1.21)*1.05)*1.05</f>
        <v>499842.94442197506</v>
      </c>
      <c r="M347" s="117"/>
      <c r="N347" s="117"/>
      <c r="O347" s="376"/>
      <c r="P347" s="376"/>
      <c r="Q347" s="376"/>
      <c r="R347" s="378"/>
      <c r="S347" s="376"/>
      <c r="T347" s="379"/>
      <c r="U347" s="95"/>
    </row>
    <row r="348" spans="1:21" ht="15.75" thickBot="1">
      <c r="A348" s="68">
        <v>0.7</v>
      </c>
      <c r="B348" s="69">
        <v>2</v>
      </c>
      <c r="C348" s="59">
        <f>(((A348+(2*B348))*'MATERIALES (2)'!$C$60)+((A348+(2*B348))*'MATERIALES (2)'!$C$58)+(A348*'MATERIALES (2)'!$C$62)+((A348*1)*'MATERIALES (2)'!$C$61)+((((A348*4)+(B348*2))*'MATERIALES (2)'!$C$76)*2)+(((A348-0.2)*'MATERIALES (2)'!$C$30)*((B348-0.36)/0.12)))*'MATERIALES (2)'!$F$2</f>
        <v>222228.18100000001</v>
      </c>
      <c r="D348" s="59">
        <f>(1*'MATERIALES (2)'!$C$193)+(1*'MATERIALES (2)'!$C$194)+(3*'MATERIALES (2)'!$C$196)+(2*'MATERIALES (2)'!$C$178)+(2*'MATERIALES (2)'!$C$179)+(2*'MATERIALES (2)'!$C$180)+(8*'MATERIALES (2)'!$C$147)+(8*'MATERIALES (2)'!$C$148)+((A348+(2*B348))*'MATERIALES (2)'!$C$199)+((A348+(2*B348))*'MATERIALES (2)'!$C$198)+(((A348*2)*(0.6*2))*'MATERIALES (2)'!$C$130)+(((A348*2)+(B348*2))*'MATERIALES (2)'!$C$154)+(0.5*'MATERIALES (2)'!$C$156)+(2*'MATERIALES (2)'!$C$176)+(((((A348*4)+(B348*2))/0.1)*'MATERIALES (2)'!$C$181)*2)+(((A348*5)*2)*'MATERIALES (2)'!$C$136)+(4*'MATERIALES (2)'!$C$137)</f>
        <v>62303.199999999997</v>
      </c>
      <c r="E348" s="75"/>
      <c r="F348" s="55">
        <f>(((A348*0.6)*2)*'MATERIALES (2)'!$D$86)+(4*'MATERIALES (2)'!$C$218)+(((A348*2)+(0.6*2))*'MATERIALES (2)'!$C$219)+(((A348*2)+(0.6*2))*'MATERIALES (2)'!$C$220)+((((A348*2)+(0.6*2))/15)*'MATERIALES (2)'!$C$221)+((((A348*2)+(0.6*2))/15)*('MATERIALES (2)'!$C$222*0.15))</f>
        <v>11966.808333333331</v>
      </c>
      <c r="G348" s="59">
        <f t="shared" ref="G348:G354" si="103">SUM(C348:F348)</f>
        <v>296498.18933333334</v>
      </c>
      <c r="H348" s="67">
        <f t="shared" ref="H348:H354" si="104">((((SUM(C348:E348)*$C$343)+(F348*$F$343))*1.21)*1.05)*1.05</f>
        <v>544350.20995075873</v>
      </c>
      <c r="M348" s="117"/>
      <c r="N348" s="117"/>
      <c r="O348" s="376"/>
      <c r="P348" s="376"/>
      <c r="Q348" s="376"/>
      <c r="R348" s="378"/>
      <c r="S348" s="376"/>
      <c r="T348" s="379"/>
      <c r="U348" s="95"/>
    </row>
    <row r="349" spans="1:21" ht="15.75" thickBot="1">
      <c r="A349" s="68">
        <v>0.8</v>
      </c>
      <c r="B349" s="69">
        <v>2</v>
      </c>
      <c r="C349" s="59">
        <f>(((A349+(2*B349))*'MATERIALES (2)'!$C$60)+((A349+(2*B349))*'MATERIALES (2)'!$C$58)+(A349*'MATERIALES (2)'!$C$62)+((A349*1)*'MATERIALES (2)'!$C$61)+((((A349*4)+(B349*2))*'MATERIALES (2)'!$C$76)*2)+(((A349-0.2)*'MATERIALES (2)'!$C$30)*((B349-0.36)/0.12)))*'MATERIALES (2)'!$F$2</f>
        <v>244464.82200000001</v>
      </c>
      <c r="D349" s="59">
        <f>(1*'MATERIALES (2)'!$C$193)+(1*'MATERIALES (2)'!$C$194)+(3*'MATERIALES (2)'!$C$196)+(2*'MATERIALES (2)'!$C$178)+(2*'MATERIALES (2)'!$C$179)+(2*'MATERIALES (2)'!$C$180)+(8*'MATERIALES (2)'!$C$147)+(8*'MATERIALES (2)'!$C$148)+((A349+(2*B349))*'MATERIALES (2)'!$C$199)+((A349+(2*B349))*'MATERIALES (2)'!$C$198)+(((A349*2)*(0.6*2))*'MATERIALES (2)'!$C$130)+(((A349*2)+(B349*2))*'MATERIALES (2)'!$C$154)+(0.5*'MATERIALES (2)'!$C$156)+(2*'MATERIALES (2)'!$C$176)+(((((A349*4)+(B349*2))/0.1)*'MATERIALES (2)'!$C$181)*2)+(((A349*5)*2)*'MATERIALES (2)'!$C$136)+(4*'MATERIALES (2)'!$C$137)</f>
        <v>62710.8</v>
      </c>
      <c r="E349" s="75"/>
      <c r="F349" s="55">
        <f>(((A349*0.6)*2)*'MATERIALES (2)'!$D$86)+(4*'MATERIALES (2)'!$C$218)+(((A349*2)+(0.6*2))*'MATERIALES (2)'!$C$219)+(((A349*2)+(0.6*2))*'MATERIALES (2)'!$C$220)+((((A349*2)+(0.6*2))/15)*'MATERIALES (2)'!$C$221)+((((A349*2)+(0.6*2))/15)*('MATERIALES (2)'!$C$222*0.15))</f>
        <v>13363.516666666665</v>
      </c>
      <c r="G349" s="59">
        <f t="shared" si="103"/>
        <v>320539.13866666669</v>
      </c>
      <c r="H349" s="67">
        <f t="shared" si="104"/>
        <v>588857.47547954263</v>
      </c>
      <c r="M349" s="117"/>
      <c r="N349" s="117"/>
      <c r="O349" s="376"/>
      <c r="P349" s="376"/>
      <c r="Q349" s="376"/>
      <c r="R349" s="378"/>
      <c r="S349" s="376"/>
      <c r="T349" s="379"/>
      <c r="U349" s="95"/>
    </row>
    <row r="350" spans="1:21" ht="15.75" thickBot="1">
      <c r="A350" s="68">
        <v>0.9</v>
      </c>
      <c r="B350" s="69">
        <v>2</v>
      </c>
      <c r="C350" s="59">
        <f>(((A350+(2*B350))*'MATERIALES (2)'!$C$60)+((A350+(2*B350))*'MATERIALES (2)'!$C$58)+(A350*'MATERIALES (2)'!$C$62)+((A350*1)*'MATERIALES (2)'!$C$61)+((((A350*4)+(B350*2))*'MATERIALES (2)'!$C$76)*2)+(((A350-0.2)*'MATERIALES (2)'!$C$30)*((B350-0.36)/0.12)))*'MATERIALES (2)'!$F$2</f>
        <v>266701.46300000005</v>
      </c>
      <c r="D350" s="59">
        <f>(1*'MATERIALES (2)'!$C$193)+(1*'MATERIALES (2)'!$C$194)+(3*'MATERIALES (2)'!$C$196)+(2*'MATERIALES (2)'!$C$178)+(2*'MATERIALES (2)'!$C$179)+(2*'MATERIALES (2)'!$C$180)+(8*'MATERIALES (2)'!$C$147)+(8*'MATERIALES (2)'!$C$148)+((A350+(2*B350))*'MATERIALES (2)'!$C$199)+((A350+(2*B350))*'MATERIALES (2)'!$C$198)+(((A350*2)*(0.6*2))*'MATERIALES (2)'!$C$130)+(((A350*2)+(B350*2))*'MATERIALES (2)'!$C$154)+(0.5*'MATERIALES (2)'!$C$156)+(2*'MATERIALES (2)'!$C$176)+(((((A350*4)+(B350*2))/0.1)*'MATERIALES (2)'!$C$181)*2)+(((A350*5)*2)*'MATERIALES (2)'!$C$136)+(4*'MATERIALES (2)'!$C$137)</f>
        <v>63118.400000000001</v>
      </c>
      <c r="E350" s="75"/>
      <c r="F350" s="55">
        <f>(((A350*0.6)*2)*'MATERIALES (2)'!$D$86)+(4*'MATERIALES (2)'!$C$218)+(((A350*2)+(0.6*2))*'MATERIALES (2)'!$C$219)+(((A350*2)+(0.6*2))*'MATERIALES (2)'!$C$220)+((((A350*2)+(0.6*2))/15)*'MATERIALES (2)'!$C$221)+((((A350*2)+(0.6*2))/15)*('MATERIALES (2)'!$C$222*0.15))</f>
        <v>14760.225</v>
      </c>
      <c r="G350" s="59">
        <f t="shared" si="103"/>
        <v>344580.08800000005</v>
      </c>
      <c r="H350" s="67">
        <f t="shared" si="104"/>
        <v>633364.74100832641</v>
      </c>
      <c r="M350" s="117"/>
      <c r="N350" s="117"/>
      <c r="O350" s="376"/>
      <c r="P350" s="376"/>
      <c r="Q350" s="376"/>
      <c r="R350" s="378"/>
      <c r="S350" s="376"/>
      <c r="T350" s="379"/>
      <c r="U350" s="95"/>
    </row>
    <row r="351" spans="1:21" ht="15.75" thickBot="1">
      <c r="A351" s="68">
        <v>0.6</v>
      </c>
      <c r="B351" s="69">
        <v>2.1</v>
      </c>
      <c r="C351" s="59">
        <f>(((A351+(2*B351))*'MATERIALES (2)'!$C$60)+((A351+(2*B351))*'MATERIALES (2)'!$C$58)+(A351*'MATERIALES (2)'!$C$62)+((A351*1)*'MATERIALES (2)'!$C$61)+((((A351*4)+(B351*2))*'MATERIALES (2)'!$C$76)*2)+(((A351-0.2)*'MATERIALES (2)'!$C$30)*((B351-0.36)/0.12)))*'MATERIALES (2)'!$F$2</f>
        <v>208610.34599999999</v>
      </c>
      <c r="D351" s="59">
        <f>(1*'MATERIALES (2)'!$C$193)+(1*'MATERIALES (2)'!$C$194)+(3*'MATERIALES (2)'!$C$196)+(2*'MATERIALES (2)'!$C$178)+(2*'MATERIALES (2)'!$C$179)+(2*'MATERIALES (2)'!$C$180)+(8*'MATERIALES (2)'!$C$147)+(8*'MATERIALES (2)'!$C$148)+((A351+(2*B351))*'MATERIALES (2)'!$C$199)+((A351+(2*B351))*'MATERIALES (2)'!$C$198)+(((A351*2)*(0.6*2))*'MATERIALES (2)'!$C$130)+(((A351*2)+(B351*2))*'MATERIALES (2)'!$C$154)+(0.5*'MATERIALES (2)'!$C$156)+(2*'MATERIALES (2)'!$C$176)+(((((A351*4)+(B351*2))/0.1)*'MATERIALES (2)'!$C$181)*2)+(((A351*5)*2)*'MATERIALES (2)'!$C$136)+(4*'MATERIALES (2)'!$C$137)</f>
        <v>62187.6</v>
      </c>
      <c r="E351" s="75"/>
      <c r="F351" s="55">
        <f>(((A351*0.6)*2)*'MATERIALES (2)'!$D$86)+(4*'MATERIALES (2)'!$C$218)+(((A351*2)+(0.6*2))*'MATERIALES (2)'!$C$219)+(((A351*2)+(0.6*2))*'MATERIALES (2)'!$C$220)+((((A351*2)+(0.6*2))/15)*'MATERIALES (2)'!$C$221)+((((A351*2)+(0.6*2))/15)*('MATERIALES (2)'!$C$222*0.15))</f>
        <v>10570.1</v>
      </c>
      <c r="G351" s="59">
        <f t="shared" si="103"/>
        <v>281368.04599999997</v>
      </c>
      <c r="H351" s="67">
        <f t="shared" si="104"/>
        <v>515890.71568707755</v>
      </c>
      <c r="M351" s="117"/>
      <c r="N351" s="117"/>
      <c r="O351" s="376"/>
      <c r="P351" s="376"/>
      <c r="Q351" s="376"/>
      <c r="R351" s="378"/>
      <c r="S351" s="376"/>
      <c r="T351" s="379"/>
      <c r="U351" s="95"/>
    </row>
    <row r="352" spans="1:21" ht="15.75" thickBot="1">
      <c r="A352" s="68">
        <v>0.7</v>
      </c>
      <c r="B352" s="69">
        <v>2.1</v>
      </c>
      <c r="C352" s="59">
        <f>(((A352+(2*B352))*'MATERIALES (2)'!$C$60)+((A352+(2*B352))*'MATERIALES (2)'!$C$58)+(A352*'MATERIALES (2)'!$C$62)+((A352*1)*'MATERIALES (2)'!$C$61)+((((A352*4)+(B352*2))*'MATERIALES (2)'!$C$76)*2)+(((A352-0.2)*'MATERIALES (2)'!$C$30)*((B352-0.36)/0.12)))*'MATERIALES (2)'!$F$2</f>
        <v>231784.96949999998</v>
      </c>
      <c r="D352" s="59">
        <f>(1*'MATERIALES (2)'!$C$193)+(1*'MATERIALES (2)'!$C$194)+(3*'MATERIALES (2)'!$C$196)+(2*'MATERIALES (2)'!$C$178)+(2*'MATERIALES (2)'!$C$179)+(2*'MATERIALES (2)'!$C$180)+(8*'MATERIALES (2)'!$C$147)+(8*'MATERIALES (2)'!$C$148)+((A352+(2*B352))*'MATERIALES (2)'!$C$199)+((A352+(2*B352))*'MATERIALES (2)'!$C$198)+(((A352*2)*(0.6*2))*'MATERIALES (2)'!$C$130)+(((A352*2)+(B352*2))*'MATERIALES (2)'!$C$154)+(0.5*'MATERIALES (2)'!$C$156)+(2*'MATERIALES (2)'!$C$176)+(((((A352*4)+(B352*2))/0.1)*'MATERIALES (2)'!$C$181)*2)+(((A352*5)*2)*'MATERIALES (2)'!$C$136)+(4*'MATERIALES (2)'!$C$137)</f>
        <v>62595.199999999997</v>
      </c>
      <c r="E352" s="75"/>
      <c r="F352" s="55">
        <f>(((A352*0.6)*2)*'MATERIALES (2)'!$D$86)+(4*'MATERIALES (2)'!$C$218)+(((A352*2)+(0.6*2))*'MATERIALES (2)'!$C$219)+(((A352*2)+(0.6*2))*'MATERIALES (2)'!$C$220)+((((A352*2)+(0.6*2))/15)*'MATERIALES (2)'!$C$221)+((((A352*2)+(0.6*2))/15)*('MATERIALES (2)'!$C$222*0.15))</f>
        <v>11966.808333333331</v>
      </c>
      <c r="G352" s="59">
        <f t="shared" si="103"/>
        <v>306346.97783333331</v>
      </c>
      <c r="H352" s="67">
        <f t="shared" si="104"/>
        <v>562087.22555702052</v>
      </c>
      <c r="M352" s="117"/>
      <c r="N352" s="117"/>
      <c r="O352" s="376"/>
      <c r="P352" s="376"/>
      <c r="Q352" s="376"/>
      <c r="R352" s="378"/>
      <c r="S352" s="376"/>
      <c r="T352" s="379"/>
      <c r="U352" s="95"/>
    </row>
    <row r="353" spans="1:21" ht="15.75" thickBot="1">
      <c r="A353" s="68">
        <v>0.8</v>
      </c>
      <c r="B353" s="69">
        <v>2.1</v>
      </c>
      <c r="C353" s="59">
        <f>(((A353+(2*B353))*'MATERIALES (2)'!$C$60)+((A353+(2*B353))*'MATERIALES (2)'!$C$58)+(A353*'MATERIALES (2)'!$C$62)+((A353*1)*'MATERIALES (2)'!$C$61)+((((A353*4)+(B353*2))*'MATERIALES (2)'!$C$76)*2)+(((A353-0.2)*'MATERIALES (2)'!$C$30)*((B353-0.36)/0.12)))*'MATERIALES (2)'!$F$2</f>
        <v>254959.59300000005</v>
      </c>
      <c r="D353" s="59">
        <f>(1*'MATERIALES (2)'!$C$193)+(1*'MATERIALES (2)'!$C$194)+(3*'MATERIALES (2)'!$C$196)+(2*'MATERIALES (2)'!$C$178)+(2*'MATERIALES (2)'!$C$179)+(2*'MATERIALES (2)'!$C$180)+(8*'MATERIALES (2)'!$C$147)+(8*'MATERIALES (2)'!$C$148)+((A353+(2*B353))*'MATERIALES (2)'!$C$199)+((A353+(2*B353))*'MATERIALES (2)'!$C$198)+(((A353*2)*(0.6*2))*'MATERIALES (2)'!$C$130)+(((A353*2)+(B353*2))*'MATERIALES (2)'!$C$154)+(0.5*'MATERIALES (2)'!$C$156)+(2*'MATERIALES (2)'!$C$176)+(((((A353*4)+(B353*2))/0.1)*'MATERIALES (2)'!$C$181)*2)+(((A353*5)*2)*'MATERIALES (2)'!$C$136)+(4*'MATERIALES (2)'!$C$137)</f>
        <v>63002.8</v>
      </c>
      <c r="E353" s="75"/>
      <c r="F353" s="55">
        <f>(((A353*0.6)*2)*'MATERIALES (2)'!$D$86)+(4*'MATERIALES (2)'!$C$218)+(((A353*2)+(0.6*2))*'MATERIALES (2)'!$C$219)+(((A353*2)+(0.6*2))*'MATERIALES (2)'!$C$220)+((((A353*2)+(0.6*2))/15)*'MATERIALES (2)'!$C$221)+((((A353*2)+(0.6*2))/15)*('MATERIALES (2)'!$C$222*0.15))</f>
        <v>13363.516666666665</v>
      </c>
      <c r="G353" s="59">
        <f t="shared" si="103"/>
        <v>331325.9096666667</v>
      </c>
      <c r="H353" s="67">
        <f t="shared" si="104"/>
        <v>608283.73542696389</v>
      </c>
      <c r="M353" s="117"/>
      <c r="N353" s="117"/>
      <c r="O353" s="376"/>
      <c r="P353" s="376"/>
      <c r="Q353" s="376"/>
      <c r="R353" s="378"/>
      <c r="S353" s="376"/>
      <c r="T353" s="379"/>
      <c r="U353" s="95"/>
    </row>
    <row r="354" spans="1:21" ht="15.75" thickBot="1">
      <c r="A354" s="71">
        <v>0.9</v>
      </c>
      <c r="B354" s="72">
        <v>2.1</v>
      </c>
      <c r="C354" s="60">
        <f>(((A354+(2*B354))*'MATERIALES (2)'!$C$60)+((A354+(2*B354))*'MATERIALES (2)'!$C$58)+(A354*'MATERIALES (2)'!$C$62)+((A354*1)*'MATERIALES (2)'!$C$61)+((((A354*4)+(B354*2))*'MATERIALES (2)'!$C$76)*2)+(((A354-0.2)*'MATERIALES (2)'!$C$30)*((B354-0.36)/0.12)))*'MATERIALES (2)'!$F$2</f>
        <v>278134.21650000004</v>
      </c>
      <c r="D354" s="60">
        <f>(1*'MATERIALES (2)'!$C$193)+(1*'MATERIALES (2)'!$C$194)+(3*'MATERIALES (2)'!$C$196)+(2*'MATERIALES (2)'!$C$178)+(2*'MATERIALES (2)'!$C$179)+(2*'MATERIALES (2)'!$C$180)+(8*'MATERIALES (2)'!$C$147)+(8*'MATERIALES (2)'!$C$148)+((A354+(2*B354))*'MATERIALES (2)'!$C$199)+((A354+(2*B354))*'MATERIALES (2)'!$C$198)+(((A354*2)*(0.6*2))*'MATERIALES (2)'!$C$130)+(((A354*2)+(B354*2))*'MATERIALES (2)'!$C$154)+(0.5*'MATERIALES (2)'!$C$156)+(2*'MATERIALES (2)'!$C$176)+(((((A354*4)+(B354*2))/0.1)*'MATERIALES (2)'!$C$181)*2)+(((A354*5)*2)*'MATERIALES (2)'!$C$136)+(4*'MATERIALES (2)'!$C$137)</f>
        <v>63410.400000000001</v>
      </c>
      <c r="E354" s="76"/>
      <c r="F354" s="56">
        <f>(((A354*0.6)*2)*'MATERIALES (2)'!$D$86)+(4*'MATERIALES (2)'!$C$218)+(((A354*2)+(0.6*2))*'MATERIALES (2)'!$C$219)+(((A354*2)+(0.6*2))*'MATERIALES (2)'!$C$220)+((((A354*2)+(0.6*2))/15)*'MATERIALES (2)'!$C$221)+((((A354*2)+(0.6*2))/15)*('MATERIALES (2)'!$C$222*0.15))</f>
        <v>14760.225</v>
      </c>
      <c r="G354" s="60">
        <f t="shared" si="103"/>
        <v>356304.84150000004</v>
      </c>
      <c r="H354" s="67">
        <f t="shared" si="104"/>
        <v>654480.24529690715</v>
      </c>
      <c r="M354" s="117"/>
      <c r="N354" s="117"/>
      <c r="O354" s="376"/>
      <c r="P354" s="376"/>
      <c r="Q354" s="376"/>
      <c r="R354" s="378"/>
      <c r="S354" s="376"/>
      <c r="T354" s="379"/>
      <c r="U354" s="95"/>
    </row>
    <row r="355" spans="1:21">
      <c r="M355" s="9"/>
      <c r="N355" s="9"/>
      <c r="O355" s="9"/>
      <c r="P355" s="9"/>
      <c r="Q355" s="9"/>
      <c r="R355" s="9"/>
      <c r="S355" s="9"/>
      <c r="T355" s="9"/>
      <c r="U355" s="9"/>
    </row>
    <row r="356" spans="1:21" ht="15.75" thickBot="1">
      <c r="M356" s="9"/>
      <c r="N356" s="9"/>
      <c r="O356" s="743"/>
      <c r="P356" s="9"/>
      <c r="Q356" s="9"/>
      <c r="R356" s="9"/>
      <c r="S356" s="9"/>
      <c r="T356" s="9"/>
      <c r="U356" s="9"/>
    </row>
    <row r="357" spans="1:21" ht="15.75" thickBot="1">
      <c r="A357" s="32"/>
      <c r="B357" s="32"/>
      <c r="C357" s="807">
        <v>1.35</v>
      </c>
      <c r="D357" s="808"/>
      <c r="E357" s="809"/>
      <c r="F357" s="545">
        <v>2</v>
      </c>
      <c r="G357" s="32"/>
      <c r="H357" s="46" t="s">
        <v>163</v>
      </c>
      <c r="M357" s="117"/>
      <c r="N357" s="117"/>
      <c r="O357" s="746"/>
      <c r="P357" s="746"/>
      <c r="Q357" s="746"/>
      <c r="R357" s="745"/>
      <c r="S357" s="117"/>
      <c r="T357" s="744"/>
      <c r="U357" s="9"/>
    </row>
    <row r="358" spans="1:21" ht="15.75" customHeight="1" thickBot="1">
      <c r="A358" s="792" t="s">
        <v>744</v>
      </c>
      <c r="B358" s="793"/>
      <c r="C358" s="793"/>
      <c r="D358" s="793"/>
      <c r="E358" s="793"/>
      <c r="F358" s="793"/>
      <c r="G358" s="793"/>
      <c r="H358" s="794"/>
      <c r="M358" s="94"/>
      <c r="N358" s="94"/>
      <c r="O358" s="94"/>
      <c r="P358" s="94"/>
      <c r="Q358" s="94"/>
      <c r="R358" s="94"/>
      <c r="S358" s="94"/>
      <c r="T358" s="94"/>
      <c r="U358" s="95"/>
    </row>
    <row r="359" spans="1:21" ht="15.75" thickBot="1">
      <c r="A359" s="36" t="s">
        <v>116</v>
      </c>
      <c r="B359" s="36" t="s">
        <v>117</v>
      </c>
      <c r="C359" s="36" t="s">
        <v>162</v>
      </c>
      <c r="D359" s="36" t="s">
        <v>119</v>
      </c>
      <c r="E359" s="36" t="s">
        <v>120</v>
      </c>
      <c r="F359" s="36" t="s">
        <v>118</v>
      </c>
      <c r="G359" s="36" t="s">
        <v>121</v>
      </c>
      <c r="H359" s="36" t="s">
        <v>122</v>
      </c>
      <c r="M359" s="123"/>
      <c r="N359" s="123"/>
      <c r="O359" s="123"/>
      <c r="P359" s="123"/>
      <c r="Q359" s="123"/>
      <c r="R359" s="123"/>
      <c r="S359" s="123"/>
      <c r="T359" s="123"/>
      <c r="U359" s="95"/>
    </row>
    <row r="360" spans="1:21" ht="15.75" thickBot="1">
      <c r="A360" s="795"/>
      <c r="B360" s="796"/>
      <c r="C360" s="796"/>
      <c r="D360" s="796"/>
      <c r="E360" s="796"/>
      <c r="F360" s="796"/>
      <c r="G360" s="796"/>
      <c r="H360" s="797"/>
      <c r="M360" s="94"/>
      <c r="N360" s="94"/>
      <c r="O360" s="94"/>
      <c r="P360" s="94"/>
      <c r="Q360" s="94"/>
      <c r="R360" s="94"/>
      <c r="S360" s="94"/>
      <c r="T360" s="94"/>
      <c r="U360" s="95"/>
    </row>
    <row r="361" spans="1:21" ht="15.75" thickBot="1">
      <c r="A361" s="65">
        <v>0.6</v>
      </c>
      <c r="B361" s="66">
        <v>2</v>
      </c>
      <c r="C361" s="58">
        <f>(((A361+(2*B361))*'MATERIALES (2)'!$C$60)+((A361+(2*B361))*'MATERIALES (2)'!$C$58)+(A361*'MATERIALES (2)'!$C$62)+(((A361*1)+(0.6*2))*'MATERIALES (2)'!$C$61)+((((A361*4)+(B361*2)+(0.6*4))*'MATERIALES (2)'!$C$76)*2)+(((A361-0.2)*'MATERIALES (2)'!$C$30)*((B361-0.36)/0.12)))*'MATERIALES (2)'!$F$2</f>
        <v>224462.62999999998</v>
      </c>
      <c r="D361" s="58">
        <f>(1*'MATERIALES (2)'!$C$193)+(1*'MATERIALES (2)'!$C$194)+(3*'MATERIALES (2)'!$C$196)+(2*'MATERIALES (2)'!$C$178)+(2*'MATERIALES (2)'!$C$179)+(2*'MATERIALES (2)'!$C$180)+(16*'MATERIALES (2)'!$C$147)+(16*'MATERIALES (2)'!$C$148)+((A361+(2*B361))*'MATERIALES (2)'!$C$199)+((A361+(2*B361))*'MATERIALES (2)'!$C$198)+(((A361*2)*(0.6*6))*'MATERIALES (2)'!$C$130)+(((A361*2)+(B361*2))*'MATERIALES (2)'!$C$154)+(0.5*'MATERIALES (2)'!$C$156)+(2*'MATERIALES (2)'!$C$176)+(((((A361*4)+(0.6*4)+(B361*2))/0.1)*'MATERIALES (2)'!$C$181)*2)+(((A361*5)*2)*'MATERIALES (2)'!$C$136)+(4*'MATERIALES (2)'!$C$137)</f>
        <v>65546.8</v>
      </c>
      <c r="E361" s="74"/>
      <c r="F361" s="54">
        <f>(((M319*0.6)*2)*'MATERIALES (2)'!$D$86)+(12*'MATERIALES (2)'!$C$218)+(((M319*2)+(0.6*6))*'MATERIALES (2)'!$C$219)+(((M319*2)+(0.6*6))*'MATERIALES (2)'!$C$220)+((((M319*2)+(0.6*6))/15)*'MATERIALES (2)'!$C$221)+((((M319*2)+(0.6*6))/15)*('MATERIALES (2)'!$C$222*0.15))</f>
        <v>14949.8</v>
      </c>
      <c r="G361" s="58">
        <f>SUM(C361:F361)</f>
        <v>304959.23</v>
      </c>
      <c r="H361" s="67">
        <f>((((SUM(C361:E361)*$C$357)+(F361*$F$357))*1.21)*1.05)*1.05</f>
        <v>562174.58419526252</v>
      </c>
      <c r="M361" s="117"/>
      <c r="N361" s="117"/>
      <c r="O361" s="376"/>
      <c r="P361" s="376"/>
      <c r="Q361" s="376"/>
      <c r="R361" s="378"/>
      <c r="S361" s="376"/>
      <c r="T361" s="379"/>
      <c r="U361" s="95"/>
    </row>
    <row r="362" spans="1:21" ht="15.75" thickBot="1">
      <c r="A362" s="68">
        <v>0.7</v>
      </c>
      <c r="B362" s="69">
        <v>2</v>
      </c>
      <c r="C362" s="59">
        <f>(((A362+(2*B362))*'MATERIALES (2)'!$C$60)+((A362+(2*B362))*'MATERIALES (2)'!$C$58)+(A362*'MATERIALES (2)'!$C$62)+(((A362*1)+(0.6*2))*'MATERIALES (2)'!$C$61)+((((A362*4)+(B362*2)+(0.6*4))*'MATERIALES (2)'!$C$76)*2)+(((A362-0.2)*'MATERIALES (2)'!$C$30)*((B362-0.36)/0.12)))*'MATERIALES (2)'!$F$2</f>
        <v>246699.27100000001</v>
      </c>
      <c r="D362" s="59">
        <f>(1*'MATERIALES (2)'!$C$193)+(1*'MATERIALES (2)'!$C$194)+(3*'MATERIALES (2)'!$C$196)+(2*'MATERIALES (2)'!$C$178)+(2*'MATERIALES (2)'!$C$179)+(2*'MATERIALES (2)'!$C$180)+(16*'MATERIALES (2)'!$C$147)+(16*'MATERIALES (2)'!$C$148)+((A362+(2*B362))*'MATERIALES (2)'!$C$199)+((A362+(2*B362))*'MATERIALES (2)'!$C$198)+(((A362*2)*(0.6*6))*'MATERIALES (2)'!$C$130)+(((A362*2)+(B362*2))*'MATERIALES (2)'!$C$154)+(0.5*'MATERIALES (2)'!$C$156)+(2*'MATERIALES (2)'!$C$176)+(((((A362*4)+(0.6*4)+(B362*2))/0.1)*'MATERIALES (2)'!$C$181)*2)+(((A362*5)*2)*'MATERIALES (2)'!$C$136)+(4*'MATERIALES (2)'!$C$137)</f>
        <v>66069.599999999991</v>
      </c>
      <c r="E362" s="75"/>
      <c r="F362" s="55">
        <f>(((M320*0.6)*2)*'MATERIALES (2)'!$D$86)+(12*'MATERIALES (2)'!$C$218)+(((M320*2)+(0.6*6))*'MATERIALES (2)'!$C$219)+(((M320*2)+(0.6*6))*'MATERIALES (2)'!$C$220)+((((M320*2)+(0.6*6))/15)*'MATERIALES (2)'!$C$221)+((((M320*2)+(0.6*6))/15)*('MATERIALES (2)'!$C$222*0.15))</f>
        <v>16346.508333333331</v>
      </c>
      <c r="G362" s="59">
        <f t="shared" ref="G362:G368" si="105">SUM(C362:F362)</f>
        <v>329115.37933333335</v>
      </c>
      <c r="H362" s="67">
        <f t="shared" ref="H362:H368" si="106">((((SUM(C362:E362)*$C$357)+(F362*$F$357))*1.21)*1.05)*1.05</f>
        <v>606889.31729204638</v>
      </c>
      <c r="M362" s="117"/>
      <c r="N362" s="117"/>
      <c r="O362" s="376"/>
      <c r="P362" s="376"/>
      <c r="Q362" s="376"/>
      <c r="R362" s="378"/>
      <c r="S362" s="376"/>
      <c r="T362" s="379"/>
      <c r="U362" s="95"/>
    </row>
    <row r="363" spans="1:21" ht="15.75" thickBot="1">
      <c r="A363" s="68">
        <v>0.8</v>
      </c>
      <c r="B363" s="69">
        <v>2</v>
      </c>
      <c r="C363" s="59">
        <f>(((A363+(2*B363))*'MATERIALES (2)'!$C$60)+((A363+(2*B363))*'MATERIALES (2)'!$C$58)+(A363*'MATERIALES (2)'!$C$62)+(((A363*1)+(0.6*2))*'MATERIALES (2)'!$C$61)+((((A363*4)+(B363*2)+(0.6*4))*'MATERIALES (2)'!$C$76)*2)+(((A363-0.2)*'MATERIALES (2)'!$C$30)*((B363-0.36)/0.12)))*'MATERIALES (2)'!$F$2</f>
        <v>268935.91200000001</v>
      </c>
      <c r="D363" s="59">
        <f>(1*'MATERIALES (2)'!$C$193)+(1*'MATERIALES (2)'!$C$194)+(3*'MATERIALES (2)'!$C$196)+(2*'MATERIALES (2)'!$C$178)+(2*'MATERIALES (2)'!$C$179)+(2*'MATERIALES (2)'!$C$180)+(16*'MATERIALES (2)'!$C$147)+(16*'MATERIALES (2)'!$C$148)+((A363+(2*B363))*'MATERIALES (2)'!$C$199)+((A363+(2*B363))*'MATERIALES (2)'!$C$198)+(((A363*2)*(0.6*6))*'MATERIALES (2)'!$C$130)+(((A363*2)+(B363*2))*'MATERIALES (2)'!$C$154)+(0.5*'MATERIALES (2)'!$C$156)+(2*'MATERIALES (2)'!$C$176)+(((((A363*4)+(0.6*4)+(B363*2))/0.1)*'MATERIALES (2)'!$C$181)*2)+(((A363*5)*2)*'MATERIALES (2)'!$C$136)+(4*'MATERIALES (2)'!$C$137)</f>
        <v>66592.399999999994</v>
      </c>
      <c r="E363" s="75"/>
      <c r="F363" s="55">
        <f>(((M321*0.6)*2)*'MATERIALES (2)'!$D$86)+(12*'MATERIALES (2)'!$C$218)+(((M321*2)+(0.6*6))*'MATERIALES (2)'!$C$219)+(((M321*2)+(0.6*6))*'MATERIALES (2)'!$C$220)+((((M321*2)+(0.6*6))/15)*'MATERIALES (2)'!$C$221)+((((M321*2)+(0.6*6))/15)*('MATERIALES (2)'!$C$222*0.15))</f>
        <v>17743.216666666664</v>
      </c>
      <c r="G363" s="59">
        <f t="shared" si="105"/>
        <v>353271.52866666671</v>
      </c>
      <c r="H363" s="67">
        <f t="shared" si="106"/>
        <v>651604.05038883013</v>
      </c>
      <c r="M363" s="117"/>
      <c r="N363" s="117"/>
      <c r="O363" s="376"/>
      <c r="P363" s="376"/>
      <c r="Q363" s="376"/>
      <c r="R363" s="378"/>
      <c r="S363" s="376"/>
      <c r="T363" s="379"/>
      <c r="U363" s="95"/>
    </row>
    <row r="364" spans="1:21" ht="15.75" thickBot="1">
      <c r="A364" s="68">
        <v>0.9</v>
      </c>
      <c r="B364" s="69">
        <v>2</v>
      </c>
      <c r="C364" s="59">
        <f>(((A364+(2*B364))*'MATERIALES (2)'!$C$60)+((A364+(2*B364))*'MATERIALES (2)'!$C$58)+(A364*'MATERIALES (2)'!$C$62)+(((A364*1)+(0.6*2))*'MATERIALES (2)'!$C$61)+((((A364*4)+(B364*2)+(0.6*4))*'MATERIALES (2)'!$C$76)*2)+(((A364-0.2)*'MATERIALES (2)'!$C$30)*((B364-0.36)/0.12)))*'MATERIALES (2)'!$F$2</f>
        <v>291172.55300000001</v>
      </c>
      <c r="D364" s="59">
        <f>(1*'MATERIALES (2)'!$C$193)+(1*'MATERIALES (2)'!$C$194)+(3*'MATERIALES (2)'!$C$196)+(2*'MATERIALES (2)'!$C$178)+(2*'MATERIALES (2)'!$C$179)+(2*'MATERIALES (2)'!$C$180)+(16*'MATERIALES (2)'!$C$147)+(16*'MATERIALES (2)'!$C$148)+((A364+(2*B364))*'MATERIALES (2)'!$C$199)+((A364+(2*B364))*'MATERIALES (2)'!$C$198)+(((A364*2)*(0.6*6))*'MATERIALES (2)'!$C$130)+(((A364*2)+(B364*2))*'MATERIALES (2)'!$C$154)+(0.5*'MATERIALES (2)'!$C$156)+(2*'MATERIALES (2)'!$C$176)+(((((A364*4)+(0.6*4)+(B364*2))/0.1)*'MATERIALES (2)'!$C$181)*2)+(((A364*5)*2)*'MATERIALES (2)'!$C$136)+(4*'MATERIALES (2)'!$C$137)</f>
        <v>67115.199999999997</v>
      </c>
      <c r="E364" s="75"/>
      <c r="F364" s="55">
        <f>(((M322*0.6)*2)*'MATERIALES (2)'!$D$86)+(12*'MATERIALES (2)'!$C$218)+(((M322*2)+(0.6*6))*'MATERIALES (2)'!$C$219)+(((M322*2)+(0.6*6))*'MATERIALES (2)'!$C$220)+((((M322*2)+(0.6*6))/15)*'MATERIALES (2)'!$C$221)+((((M322*2)+(0.6*6))/15)*('MATERIALES (2)'!$C$222*0.15))</f>
        <v>19139.924999999999</v>
      </c>
      <c r="G364" s="59">
        <f t="shared" si="105"/>
        <v>377427.67800000001</v>
      </c>
      <c r="H364" s="67">
        <f t="shared" si="106"/>
        <v>696318.78348561388</v>
      </c>
      <c r="M364" s="117"/>
      <c r="N364" s="117"/>
      <c r="O364" s="376"/>
      <c r="P364" s="376"/>
      <c r="Q364" s="376"/>
      <c r="R364" s="378"/>
      <c r="S364" s="376"/>
      <c r="T364" s="379"/>
      <c r="U364" s="95"/>
    </row>
    <row r="365" spans="1:21" ht="15.75" thickBot="1">
      <c r="A365" s="68">
        <v>0.6</v>
      </c>
      <c r="B365" s="69">
        <v>2.1</v>
      </c>
      <c r="C365" s="59">
        <f>(((A365+(2*B365))*'MATERIALES (2)'!$C$60)+((A365+(2*B365))*'MATERIALES (2)'!$C$58)+(A365*'MATERIALES (2)'!$C$62)+(((A365*1)+(0.6*2))*'MATERIALES (2)'!$C$61)+((((A365*4)+(B365*2)+(0.6*4))*'MATERIALES (2)'!$C$76)*2)+(((A365-0.2)*'MATERIALES (2)'!$C$30)*((B365-0.36)/0.12)))*'MATERIALES (2)'!$F$2</f>
        <v>233081.43599999999</v>
      </c>
      <c r="D365" s="59">
        <f>(1*'MATERIALES (2)'!$C$193)+(1*'MATERIALES (2)'!$C$194)+(3*'MATERIALES (2)'!$C$196)+(2*'MATERIALES (2)'!$C$178)+(2*'MATERIALES (2)'!$C$179)+(2*'MATERIALES (2)'!$C$180)+(16*'MATERIALES (2)'!$C$147)+(16*'MATERIALES (2)'!$C$148)+((A365+(2*B365))*'MATERIALES (2)'!$C$199)+((A365+(2*B365))*'MATERIALES (2)'!$C$198)+(((A365*2)*(0.6*6))*'MATERIALES (2)'!$C$130)+(((A365*2)+(B365*2))*'MATERIALES (2)'!$C$154)+(0.5*'MATERIALES (2)'!$C$156)+(2*'MATERIALES (2)'!$C$176)+(((((A365*4)+(0.6*4)+(B365*2))/0.1)*'MATERIALES (2)'!$C$181)*2)+(((A365*5)*2)*'MATERIALES (2)'!$C$136)+(4*'MATERIALES (2)'!$C$137)</f>
        <v>65838.8</v>
      </c>
      <c r="E365" s="75"/>
      <c r="F365" s="55">
        <f>(((M323*0.6)*2)*'MATERIALES (2)'!$D$86)+(12*'MATERIALES (2)'!$C$218)+(((M323*2)+(0.6*6))*'MATERIALES (2)'!$C$219)+(((M323*2)+(0.6*6))*'MATERIALES (2)'!$C$220)+((((M323*2)+(0.6*6))/15)*'MATERIALES (2)'!$C$221)+((((M323*2)+(0.6*6))/15)*('MATERIALES (2)'!$C$222*0.15))</f>
        <v>14949.8</v>
      </c>
      <c r="G365" s="59">
        <f t="shared" si="105"/>
        <v>313870.03599999996</v>
      </c>
      <c r="H365" s="67">
        <f t="shared" si="106"/>
        <v>578222.35546036495</v>
      </c>
      <c r="M365" s="117"/>
      <c r="N365" s="117"/>
      <c r="O365" s="376"/>
      <c r="P365" s="376"/>
      <c r="Q365" s="376"/>
      <c r="R365" s="378"/>
      <c r="S365" s="376"/>
      <c r="T365" s="379"/>
      <c r="U365" s="95"/>
    </row>
    <row r="366" spans="1:21" ht="15.75" thickBot="1">
      <c r="A366" s="68">
        <v>0.7</v>
      </c>
      <c r="B366" s="69">
        <v>2.1</v>
      </c>
      <c r="C366" s="59">
        <f>(((A366+(2*B366))*'MATERIALES (2)'!$C$60)+((A366+(2*B366))*'MATERIALES (2)'!$C$58)+(A366*'MATERIALES (2)'!$C$62)+(((A366*1)+(0.6*2))*'MATERIALES (2)'!$C$61)+((((A366*4)+(B366*2)+(0.6*4))*'MATERIALES (2)'!$C$76)*2)+(((A366-0.2)*'MATERIALES (2)'!$C$30)*((B366-0.36)/0.12)))*'MATERIALES (2)'!$F$2</f>
        <v>256256.05949999997</v>
      </c>
      <c r="D366" s="59">
        <f>(1*'MATERIALES (2)'!$C$193)+(1*'MATERIALES (2)'!$C$194)+(3*'MATERIALES (2)'!$C$196)+(2*'MATERIALES (2)'!$C$178)+(2*'MATERIALES (2)'!$C$179)+(2*'MATERIALES (2)'!$C$180)+(16*'MATERIALES (2)'!$C$147)+(16*'MATERIALES (2)'!$C$148)+((A366+(2*B366))*'MATERIALES (2)'!$C$199)+((A366+(2*B366))*'MATERIALES (2)'!$C$198)+(((A366*2)*(0.6*6))*'MATERIALES (2)'!$C$130)+(((A366*2)+(B366*2))*'MATERIALES (2)'!$C$154)+(0.5*'MATERIALES (2)'!$C$156)+(2*'MATERIALES (2)'!$C$176)+(((((A366*4)+(0.6*4)+(B366*2))/0.1)*'MATERIALES (2)'!$C$181)*2)+(((A366*5)*2)*'MATERIALES (2)'!$C$136)+(4*'MATERIALES (2)'!$C$137)</f>
        <v>66361.599999999991</v>
      </c>
      <c r="E366" s="75"/>
      <c r="F366" s="55">
        <f>(((M324*0.6)*2)*'MATERIALES (2)'!$D$86)+(12*'MATERIALES (2)'!$C$218)+(((M324*2)+(0.6*6))*'MATERIALES (2)'!$C$219)+(((M324*2)+(0.6*6))*'MATERIALES (2)'!$C$220)+((((M324*2)+(0.6*6))/15)*'MATERIALES (2)'!$C$221)+((((M324*2)+(0.6*6))/15)*('MATERIALES (2)'!$C$222*0.15))</f>
        <v>16346.508333333331</v>
      </c>
      <c r="G366" s="59">
        <f t="shared" si="105"/>
        <v>338964.16783333325</v>
      </c>
      <c r="H366" s="67">
        <f t="shared" si="106"/>
        <v>624626.33289830806</v>
      </c>
      <c r="M366" s="117"/>
      <c r="N366" s="117"/>
      <c r="O366" s="376"/>
      <c r="P366" s="376"/>
      <c r="Q366" s="376"/>
      <c r="R366" s="378"/>
      <c r="S366" s="376"/>
      <c r="T366" s="379"/>
      <c r="U366" s="95"/>
    </row>
    <row r="367" spans="1:21" ht="15.75" thickBot="1">
      <c r="A367" s="68">
        <v>0.8</v>
      </c>
      <c r="B367" s="69">
        <v>2.1</v>
      </c>
      <c r="C367" s="59">
        <f>(((A367+(2*B367))*'MATERIALES (2)'!$C$60)+((A367+(2*B367))*'MATERIALES (2)'!$C$58)+(A367*'MATERIALES (2)'!$C$62)+(((A367*1)+(0.6*2))*'MATERIALES (2)'!$C$61)+((((A367*4)+(B367*2)+(0.6*4))*'MATERIALES (2)'!$C$76)*2)+(((A367-0.2)*'MATERIALES (2)'!$C$30)*((B367-0.36)/0.12)))*'MATERIALES (2)'!$F$2</f>
        <v>279430.68300000002</v>
      </c>
      <c r="D367" s="59">
        <f>(1*'MATERIALES (2)'!$C$193)+(1*'MATERIALES (2)'!$C$194)+(3*'MATERIALES (2)'!$C$196)+(2*'MATERIALES (2)'!$C$178)+(2*'MATERIALES (2)'!$C$179)+(2*'MATERIALES (2)'!$C$180)+(16*'MATERIALES (2)'!$C$147)+(16*'MATERIALES (2)'!$C$148)+((A367+(2*B367))*'MATERIALES (2)'!$C$199)+((A367+(2*B367))*'MATERIALES (2)'!$C$198)+(((A367*2)*(0.6*6))*'MATERIALES (2)'!$C$130)+(((A367*2)+(B367*2))*'MATERIALES (2)'!$C$154)+(0.5*'MATERIALES (2)'!$C$156)+(2*'MATERIALES (2)'!$C$176)+(((((A367*4)+(0.6*4)+(B367*2))/0.1)*'MATERIALES (2)'!$C$181)*2)+(((A367*5)*2)*'MATERIALES (2)'!$C$136)+(4*'MATERIALES (2)'!$C$137)</f>
        <v>66884.399999999994</v>
      </c>
      <c r="E367" s="75"/>
      <c r="F367" s="55">
        <f>(((M325*0.6)*2)*'MATERIALES (2)'!$D$86)+(12*'MATERIALES (2)'!$C$218)+(((M325*2)+(0.6*6))*'MATERIALES (2)'!$C$219)+(((M325*2)+(0.6*6))*'MATERIALES (2)'!$C$220)+((((M325*2)+(0.6*6))/15)*'MATERIALES (2)'!$C$221)+((((M325*2)+(0.6*6))/15)*('MATERIALES (2)'!$C$222*0.15))</f>
        <v>17743.216666666664</v>
      </c>
      <c r="G367" s="59">
        <f t="shared" si="105"/>
        <v>364058.29966666666</v>
      </c>
      <c r="H367" s="67">
        <f t="shared" si="106"/>
        <v>671030.31033625128</v>
      </c>
      <c r="M367" s="117"/>
      <c r="N367" s="117"/>
      <c r="O367" s="376"/>
      <c r="P367" s="376"/>
      <c r="Q367" s="376"/>
      <c r="R367" s="378"/>
      <c r="S367" s="376"/>
      <c r="T367" s="379"/>
      <c r="U367" s="95"/>
    </row>
    <row r="368" spans="1:21" ht="15.75" thickBot="1">
      <c r="A368" s="71">
        <v>0.9</v>
      </c>
      <c r="B368" s="72">
        <v>2.1</v>
      </c>
      <c r="C368" s="60">
        <f>(((A368+(2*B368))*'MATERIALES (2)'!$C$60)+((A368+(2*B368))*'MATERIALES (2)'!$C$58)+(A368*'MATERIALES (2)'!$C$62)+(((A368*1)+(0.6*2))*'MATERIALES (2)'!$C$61)+((((A368*4)+(B368*2)+(0.6*4))*'MATERIALES (2)'!$C$76)*2)+(((A368-0.2)*'MATERIALES (2)'!$C$30)*((B368-0.36)/0.12)))*'MATERIALES (2)'!$F$2</f>
        <v>302605.30650000001</v>
      </c>
      <c r="D368" s="60">
        <f>(1*'MATERIALES (2)'!$C$193)+(1*'MATERIALES (2)'!$C$194)+(3*'MATERIALES (2)'!$C$196)+(2*'MATERIALES (2)'!$C$178)+(2*'MATERIALES (2)'!$C$179)+(2*'MATERIALES (2)'!$C$180)+(16*'MATERIALES (2)'!$C$147)+(16*'MATERIALES (2)'!$C$148)+((A368+(2*B368))*'MATERIALES (2)'!$C$199)+((A368+(2*B368))*'MATERIALES (2)'!$C$198)+(((A368*2)*(0.6*6))*'MATERIALES (2)'!$C$130)+(((A368*2)+(B368*2))*'MATERIALES (2)'!$C$154)+(0.5*'MATERIALES (2)'!$C$156)+(2*'MATERIALES (2)'!$C$176)+(((((A368*4)+(0.6*4)+(B368*2))/0.1)*'MATERIALES (2)'!$C$181)*2)+(((A368*5)*2)*'MATERIALES (2)'!$C$136)+(4*'MATERIALES (2)'!$C$137)</f>
        <v>67407.199999999997</v>
      </c>
      <c r="E368" s="76"/>
      <c r="F368" s="56">
        <f>(((M326*0.6)*2)*'MATERIALES (2)'!$D$86)+(12*'MATERIALES (2)'!$C$218)+(((M326*2)+(0.6*6))*'MATERIALES (2)'!$C$219)+(((M326*2)+(0.6*6))*'MATERIALES (2)'!$C$220)+((((M326*2)+(0.6*6))/15)*'MATERIALES (2)'!$C$221)+((((M326*2)+(0.6*6))/15)*('MATERIALES (2)'!$C$222*0.15))</f>
        <v>19139.924999999999</v>
      </c>
      <c r="G368" s="60">
        <f t="shared" si="105"/>
        <v>389152.43150000001</v>
      </c>
      <c r="H368" s="67">
        <f t="shared" si="106"/>
        <v>717434.2877741945</v>
      </c>
      <c r="M368" s="117"/>
      <c r="N368" s="117"/>
      <c r="O368" s="376"/>
      <c r="P368" s="376"/>
      <c r="Q368" s="376"/>
      <c r="R368" s="378"/>
      <c r="S368" s="376"/>
      <c r="T368" s="379"/>
      <c r="U368" s="95"/>
    </row>
    <row r="369" spans="13:21">
      <c r="M369" s="9"/>
      <c r="N369" s="9"/>
      <c r="O369" s="9"/>
      <c r="P369" s="9"/>
      <c r="Q369" s="9"/>
      <c r="R369" s="9"/>
      <c r="S369" s="9"/>
      <c r="T369" s="9"/>
      <c r="U369" s="9"/>
    </row>
    <row r="370" spans="13:21">
      <c r="M370" s="9"/>
      <c r="N370" s="9"/>
      <c r="O370" s="9"/>
      <c r="P370" s="9"/>
      <c r="Q370" s="9"/>
      <c r="R370" s="9"/>
      <c r="S370" s="9"/>
      <c r="T370" s="9"/>
      <c r="U370" s="9"/>
    </row>
    <row r="371" spans="13:21">
      <c r="M371" s="9"/>
      <c r="N371" s="9"/>
      <c r="O371" s="9"/>
      <c r="P371" s="9"/>
      <c r="Q371" s="9"/>
      <c r="R371" s="9"/>
      <c r="S371" s="9"/>
      <c r="T371" s="9"/>
      <c r="U371" s="9"/>
    </row>
    <row r="372" spans="13:21">
      <c r="M372" s="9"/>
      <c r="N372" s="9"/>
      <c r="O372" s="9"/>
      <c r="P372" s="9"/>
      <c r="Q372" s="9"/>
      <c r="R372" s="9"/>
      <c r="S372" s="9"/>
      <c r="T372" s="9"/>
      <c r="U372" s="9"/>
    </row>
  </sheetData>
  <mergeCells count="177">
    <mergeCell ref="A344:H344"/>
    <mergeCell ref="A346:H346"/>
    <mergeCell ref="A330:H330"/>
    <mergeCell ref="M330:T330"/>
    <mergeCell ref="A332:H332"/>
    <mergeCell ref="C357:E357"/>
    <mergeCell ref="A358:H358"/>
    <mergeCell ref="A360:H360"/>
    <mergeCell ref="M332:T332"/>
    <mergeCell ref="C343:E343"/>
    <mergeCell ref="A316:H316"/>
    <mergeCell ref="M316:T316"/>
    <mergeCell ref="A318:H318"/>
    <mergeCell ref="M318:T318"/>
    <mergeCell ref="C329:E329"/>
    <mergeCell ref="O329:Q329"/>
    <mergeCell ref="A304:H304"/>
    <mergeCell ref="M304:T304"/>
    <mergeCell ref="W304:AD304"/>
    <mergeCell ref="C315:E315"/>
    <mergeCell ref="O315:Q315"/>
    <mergeCell ref="Y300:AB300"/>
    <mergeCell ref="C301:E301"/>
    <mergeCell ref="O301:R301"/>
    <mergeCell ref="Y301:AA301"/>
    <mergeCell ref="A302:H302"/>
    <mergeCell ref="M302:T302"/>
    <mergeCell ref="W302:AD302"/>
    <mergeCell ref="A288:H288"/>
    <mergeCell ref="M288:T288"/>
    <mergeCell ref="A290:H290"/>
    <mergeCell ref="M290:T290"/>
    <mergeCell ref="C300:F300"/>
    <mergeCell ref="O300:R300"/>
    <mergeCell ref="A274:H274"/>
    <mergeCell ref="M274:T274"/>
    <mergeCell ref="A276:H276"/>
    <mergeCell ref="M276:T276"/>
    <mergeCell ref="C287:E287"/>
    <mergeCell ref="O287:Q287"/>
    <mergeCell ref="A260:H260"/>
    <mergeCell ref="M260:T260"/>
    <mergeCell ref="A262:H262"/>
    <mergeCell ref="M262:T262"/>
    <mergeCell ref="C273:E273"/>
    <mergeCell ref="O273:Q273"/>
    <mergeCell ref="U244:U254"/>
    <mergeCell ref="A246:H246"/>
    <mergeCell ref="M246:T246"/>
    <mergeCell ref="C259:E259"/>
    <mergeCell ref="O259:R259"/>
    <mergeCell ref="C243:E243"/>
    <mergeCell ref="O243:Q243"/>
    <mergeCell ref="A244:H244"/>
    <mergeCell ref="I244:I254"/>
    <mergeCell ref="M244:T244"/>
    <mergeCell ref="C229:E229"/>
    <mergeCell ref="O229:Q229"/>
    <mergeCell ref="A230:H230"/>
    <mergeCell ref="M230:T230"/>
    <mergeCell ref="U230:U240"/>
    <mergeCell ref="A232:H232"/>
    <mergeCell ref="M232:T232"/>
    <mergeCell ref="C215:E215"/>
    <mergeCell ref="A216:H216"/>
    <mergeCell ref="M216:T216"/>
    <mergeCell ref="U216:U226"/>
    <mergeCell ref="A218:H218"/>
    <mergeCell ref="M218:T218"/>
    <mergeCell ref="O215:Q215"/>
    <mergeCell ref="C201:E201"/>
    <mergeCell ref="O201:Q201"/>
    <mergeCell ref="A202:H202"/>
    <mergeCell ref="M202:T202"/>
    <mergeCell ref="A204:H204"/>
    <mergeCell ref="M204:T204"/>
    <mergeCell ref="C187:E187"/>
    <mergeCell ref="O187:Q187"/>
    <mergeCell ref="A188:H188"/>
    <mergeCell ref="M188:T188"/>
    <mergeCell ref="A190:H190"/>
    <mergeCell ref="M190:T190"/>
    <mergeCell ref="A174:H174"/>
    <mergeCell ref="M174:T174"/>
    <mergeCell ref="W174:AD174"/>
    <mergeCell ref="A176:H176"/>
    <mergeCell ref="M176:T176"/>
    <mergeCell ref="W176:AD176"/>
    <mergeCell ref="C172:F172"/>
    <mergeCell ref="O172:R172"/>
    <mergeCell ref="Y172:AB172"/>
    <mergeCell ref="C173:E173"/>
    <mergeCell ref="O173:R173"/>
    <mergeCell ref="Y173:AA173"/>
    <mergeCell ref="C159:E159"/>
    <mergeCell ref="O159:Q159"/>
    <mergeCell ref="A160:H160"/>
    <mergeCell ref="M160:T160"/>
    <mergeCell ref="A162:H162"/>
    <mergeCell ref="M162:T162"/>
    <mergeCell ref="C145:E145"/>
    <mergeCell ref="O145:Q145"/>
    <mergeCell ref="A146:H146"/>
    <mergeCell ref="M146:T146"/>
    <mergeCell ref="A148:H148"/>
    <mergeCell ref="M148:T148"/>
    <mergeCell ref="C131:E131"/>
    <mergeCell ref="O131:R131"/>
    <mergeCell ref="A132:H132"/>
    <mergeCell ref="M132:T132"/>
    <mergeCell ref="A134:H134"/>
    <mergeCell ref="M134:T134"/>
    <mergeCell ref="U115:U125"/>
    <mergeCell ref="A117:H117"/>
    <mergeCell ref="M117:T117"/>
    <mergeCell ref="A115:H115"/>
    <mergeCell ref="I115:I125"/>
    <mergeCell ref="M115:T115"/>
    <mergeCell ref="C100:E100"/>
    <mergeCell ref="O100:Q100"/>
    <mergeCell ref="A101:H101"/>
    <mergeCell ref="M101:T101"/>
    <mergeCell ref="U101:U111"/>
    <mergeCell ref="A103:H103"/>
    <mergeCell ref="M103:T103"/>
    <mergeCell ref="C114:E114"/>
    <mergeCell ref="O114:Q114"/>
    <mergeCell ref="C86:E86"/>
    <mergeCell ref="A87:H87"/>
    <mergeCell ref="M87:T87"/>
    <mergeCell ref="U87:U97"/>
    <mergeCell ref="A89:H89"/>
    <mergeCell ref="M89:T89"/>
    <mergeCell ref="C72:E72"/>
    <mergeCell ref="O72:Q72"/>
    <mergeCell ref="A73:H73"/>
    <mergeCell ref="M73:T73"/>
    <mergeCell ref="A75:H75"/>
    <mergeCell ref="M75:T75"/>
    <mergeCell ref="O86:Q86"/>
    <mergeCell ref="C58:E58"/>
    <mergeCell ref="O58:Q58"/>
    <mergeCell ref="A59:H59"/>
    <mergeCell ref="M59:T59"/>
    <mergeCell ref="A61:H61"/>
    <mergeCell ref="M61:T61"/>
    <mergeCell ref="A45:H45"/>
    <mergeCell ref="M45:T45"/>
    <mergeCell ref="W45:AD45"/>
    <mergeCell ref="A47:H47"/>
    <mergeCell ref="M47:T47"/>
    <mergeCell ref="W47:AD47"/>
    <mergeCell ref="C43:F43"/>
    <mergeCell ref="O43:R43"/>
    <mergeCell ref="Y43:AB43"/>
    <mergeCell ref="C44:E44"/>
    <mergeCell ref="O44:R44"/>
    <mergeCell ref="Y44:AA44"/>
    <mergeCell ref="C30:E30"/>
    <mergeCell ref="O30:Q30"/>
    <mergeCell ref="A31:H31"/>
    <mergeCell ref="M31:T31"/>
    <mergeCell ref="A33:H33"/>
    <mergeCell ref="M33:T33"/>
    <mergeCell ref="AX3:AX15"/>
    <mergeCell ref="C16:E16"/>
    <mergeCell ref="O16:Q16"/>
    <mergeCell ref="A17:H17"/>
    <mergeCell ref="M17:T17"/>
    <mergeCell ref="A19:H19"/>
    <mergeCell ref="M19:T19"/>
    <mergeCell ref="C2:E2"/>
    <mergeCell ref="O2:R2"/>
    <mergeCell ref="A3:H3"/>
    <mergeCell ref="M3:T3"/>
    <mergeCell ref="A5:H5"/>
    <mergeCell ref="M5:T5"/>
  </mergeCells>
  <pageMargins left="0.47244094488188981" right="0.39370078740157483" top="0.35433070866141736" bottom="0.35433070866141736" header="0.31496062992125984" footer="0.31496062992125984"/>
  <pageSetup scale="75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52"/>
  <sheetViews>
    <sheetView topLeftCell="A34" workbookViewId="0">
      <selection activeCell="H39" sqref="H39"/>
    </sheetView>
  </sheetViews>
  <sheetFormatPr baseColWidth="10" defaultRowHeight="15"/>
  <cols>
    <col min="3" max="3" width="44.140625" customWidth="1"/>
    <col min="4" max="4" width="14.28515625" customWidth="1"/>
    <col min="5" max="5" width="12.85546875" customWidth="1"/>
    <col min="6" max="6" width="5.140625" customWidth="1"/>
    <col min="8" max="8" width="12.5703125" bestFit="1" customWidth="1"/>
    <col min="13" max="13" width="12.5703125" bestFit="1" customWidth="1"/>
  </cols>
  <sheetData>
    <row r="1" spans="3:7" hidden="1"/>
    <row r="2" spans="3:7" hidden="1"/>
    <row r="3" spans="3:7" hidden="1">
      <c r="E3">
        <v>1.6</v>
      </c>
    </row>
    <row r="4" spans="3:7" hidden="1">
      <c r="C4" t="s">
        <v>841</v>
      </c>
      <c r="E4">
        <v>1.4</v>
      </c>
    </row>
    <row r="5" spans="3:7" hidden="1">
      <c r="D5" t="s">
        <v>824</v>
      </c>
      <c r="E5">
        <v>1.5</v>
      </c>
    </row>
    <row r="6" spans="3:7" ht="15.75" hidden="1" thickBot="1"/>
    <row r="7" spans="3:7" ht="24" hidden="1" thickBot="1">
      <c r="C7" s="935" t="s">
        <v>756</v>
      </c>
      <c r="D7" s="936"/>
      <c r="E7" s="937"/>
    </row>
    <row r="8" spans="3:7" ht="15.75" hidden="1">
      <c r="C8" s="523" t="s">
        <v>758</v>
      </c>
      <c r="D8" s="524">
        <f>(((('MATERIALES (2)'!$C$38*'MATERIALES (2)'!$F$2)*$E$5)*1.21)*1.05)*1.05</f>
        <v>30775.706620312507</v>
      </c>
      <c r="E8" s="525" t="s">
        <v>770</v>
      </c>
    </row>
    <row r="9" spans="3:7" ht="15.75" hidden="1">
      <c r="C9" s="526" t="s">
        <v>757</v>
      </c>
      <c r="D9" s="527">
        <f>(((('MATERIALES (2)'!$C$37*'MATERIALES (2)'!$F$2)*$E$5)*1.21)*1.05)*1.05</f>
        <v>9551.8674621562477</v>
      </c>
      <c r="E9" s="528" t="s">
        <v>770</v>
      </c>
    </row>
    <row r="10" spans="3:7" ht="15.75" hidden="1">
      <c r="C10" s="526" t="s">
        <v>765</v>
      </c>
      <c r="D10" s="527">
        <f>((((('MATERIALES (2)'!$C$41*'MATERIALES (2)'!$F$2)+(4*'MATERIALES (2)'!$C$163))*E5)*1.21)*1.05)*1.05</f>
        <v>19007.9852799375</v>
      </c>
      <c r="E10" s="528" t="s">
        <v>770</v>
      </c>
      <c r="G10" s="539"/>
    </row>
    <row r="11" spans="3:7" ht="15.75" hidden="1">
      <c r="C11" s="526" t="s">
        <v>825</v>
      </c>
      <c r="D11" s="527">
        <f>((((('MATERIALES (2)'!$C$42*'MATERIALES (2)'!$F$1)+(2*'MATERIALES (2)'!$C$135)+(16*'MATERIALES (2)'!$C$134))*$E$4)*1.21)*1.05)*1.05</f>
        <v>15467.916488062501</v>
      </c>
      <c r="E11" s="528" t="s">
        <v>770</v>
      </c>
      <c r="G11" s="539"/>
    </row>
    <row r="12" spans="3:7" ht="15.75" hidden="1">
      <c r="C12" s="526" t="s">
        <v>826</v>
      </c>
      <c r="D12" s="527">
        <f>((((('MATERIALES (2)'!$C$47*'MATERIALES (2)'!$F$2)+(2*'MATERIALES (2)'!$C$178))*$E$5)*1.21)*1.05)*1.05</f>
        <v>20441.108327062502</v>
      </c>
      <c r="E12" s="528" t="s">
        <v>770</v>
      </c>
      <c r="G12" s="539"/>
    </row>
    <row r="13" spans="3:7" ht="15.75" hidden="1">
      <c r="C13" s="526" t="s">
        <v>759</v>
      </c>
      <c r="D13" s="527">
        <f>((((('MATERIALES (2)'!$C$39*'MATERIALES (2)'!$F$1)+(2*'MATERIALES (2)'!$C$164)+(4*'MATERIALES (2)'!$C$134))*$E$5)*1.21)*1.05)*1.05</f>
        <v>26201.630048343748</v>
      </c>
      <c r="E13" s="528" t="s">
        <v>770</v>
      </c>
      <c r="G13" s="539"/>
    </row>
    <row r="14" spans="3:7" ht="15.75" hidden="1">
      <c r="C14" s="526" t="s">
        <v>760</v>
      </c>
      <c r="D14" s="527">
        <f>((((('MATERIALES (2)'!$C$44*'MATERIALES (2)'!$F$2)+('MATERIALES (2)'!$C$75*'MATERIALES (2)'!$F$2)+(4*'MATERIALES (2)'!$C$163)+((1/0.3)*'MATERIALES (2)'!$C$181))*$E$3)*1.21)*1.05)*1.05</f>
        <v>23114.8219302</v>
      </c>
      <c r="E14" s="528" t="s">
        <v>770</v>
      </c>
      <c r="G14" s="539"/>
    </row>
    <row r="15" spans="3:7" ht="15.75" hidden="1">
      <c r="C15" s="526" t="s">
        <v>761</v>
      </c>
      <c r="D15" s="527">
        <f>((((('MATERIALES (2)'!$C$40*'MATERIALES (2)'!$F$1)+(2*'MATERIALES (2)'!$C$212)+((1/0.3)*'MATERIALES (2)'!$C$134))*$E$5)*1.21)*1.05)*1.05</f>
        <v>5496.4731504375004</v>
      </c>
      <c r="E15" s="528" t="s">
        <v>770</v>
      </c>
      <c r="G15" s="539"/>
    </row>
    <row r="16" spans="3:7" ht="15.75" hidden="1">
      <c r="C16" s="526" t="s">
        <v>762</v>
      </c>
      <c r="D16" s="527">
        <f>((((('MATERIALES (2)'!$C$45*'MATERIALES (2)'!$F$2)+(2*'MATERIALES (2)'!$C$211)+((1/0.3)*'MATERIALES (2)'!$C$182))*$E$5)*1.21)*1.05)*1.05</f>
        <v>4627.0757176875013</v>
      </c>
      <c r="E16" s="528" t="s">
        <v>770</v>
      </c>
      <c r="G16" s="539"/>
    </row>
    <row r="17" spans="3:7" ht="15.75" hidden="1">
      <c r="C17" s="526" t="s">
        <v>763</v>
      </c>
      <c r="D17" s="574">
        <f>((((('MATERIALES (2)'!$C$46*'MATERIALES (2)'!$F$1)+(2*'MATERIALES (2)'!$C$214)+(2*'MATERIALES (2)'!$C$216)+((1/0.3)*'MATERIALES (2)'!$C$215))*$E$5)*1.21)*1.05)*1.05</f>
        <v>10973.354476218748</v>
      </c>
      <c r="E17" s="528" t="s">
        <v>770</v>
      </c>
      <c r="G17" s="539"/>
    </row>
    <row r="18" spans="3:7" ht="15.75" hidden="1">
      <c r="C18" s="526" t="s">
        <v>764</v>
      </c>
      <c r="D18" s="527">
        <f>(((('MATERIALES (2)'!$C$153*$E$5))*1.21)*1.05)*1.05</f>
        <v>40020.75</v>
      </c>
      <c r="E18" s="528" t="s">
        <v>771</v>
      </c>
    </row>
    <row r="19" spans="3:7" ht="15.75" hidden="1">
      <c r="C19" s="526" t="s">
        <v>769</v>
      </c>
      <c r="D19" s="527">
        <f>(((('MATERIALES (2)'!$C$224*$E$4))*1.21)*1.05)*1.05</f>
        <v>7377.1582500000013</v>
      </c>
      <c r="E19" s="528" t="s">
        <v>771</v>
      </c>
    </row>
    <row r="20" spans="3:7" ht="15.75" hidden="1">
      <c r="C20" s="526" t="s">
        <v>766</v>
      </c>
      <c r="D20" s="527">
        <f>(((('MATERIALES (2)'!$C$225*$E$4))*1.21)*1.05)*1.05</f>
        <v>90650.333812500001</v>
      </c>
      <c r="E20" s="528" t="s">
        <v>771</v>
      </c>
    </row>
    <row r="21" spans="3:7" ht="15.75" hidden="1">
      <c r="C21" s="526" t="s">
        <v>767</v>
      </c>
      <c r="D21" s="527">
        <f>(((('MATERIALES (2)'!$C$226*$E$4))*1.21)*1.05)*1.05</f>
        <v>274262.19975000003</v>
      </c>
      <c r="E21" s="528" t="s">
        <v>771</v>
      </c>
    </row>
    <row r="22" spans="3:7" ht="16.5" hidden="1" thickBot="1">
      <c r="C22" s="529" t="s">
        <v>768</v>
      </c>
      <c r="D22" s="527">
        <f>(((('MATERIALES (2)'!$C$227*$E$4))*1.21)*1.05)*1.05</f>
        <v>359519.73749999999</v>
      </c>
      <c r="E22" s="531" t="s">
        <v>771</v>
      </c>
    </row>
    <row r="23" spans="3:7" hidden="1"/>
    <row r="24" spans="3:7" hidden="1"/>
    <row r="25" spans="3:7" hidden="1"/>
    <row r="26" spans="3:7" hidden="1"/>
    <row r="27" spans="3:7" hidden="1"/>
    <row r="28" spans="3:7" hidden="1"/>
    <row r="29" spans="3:7" hidden="1"/>
    <row r="30" spans="3:7" hidden="1"/>
    <row r="31" spans="3:7" hidden="1"/>
    <row r="32" spans="3:7" hidden="1"/>
    <row r="33" spans="3:13" ht="46.5" hidden="1" customHeight="1"/>
    <row r="34" spans="3:13" ht="46.5" customHeight="1"/>
    <row r="35" spans="3:13" ht="15.75" thickBot="1"/>
    <row r="36" spans="3:13" ht="30" customHeight="1" thickBot="1">
      <c r="C36" s="935" t="s">
        <v>756</v>
      </c>
      <c r="D36" s="936"/>
      <c r="E36" s="937"/>
    </row>
    <row r="37" spans="3:13" ht="15.75">
      <c r="C37" s="523" t="s">
        <v>758</v>
      </c>
      <c r="D37" s="524">
        <f t="shared" ref="D37:D45" si="0">+D8</f>
        <v>30775.706620312507</v>
      </c>
      <c r="E37" s="525" t="s">
        <v>770</v>
      </c>
    </row>
    <row r="38" spans="3:13" ht="15.75">
      <c r="C38" s="526" t="s">
        <v>757</v>
      </c>
      <c r="D38" s="527">
        <f t="shared" si="0"/>
        <v>9551.8674621562477</v>
      </c>
      <c r="E38" s="528" t="s">
        <v>770</v>
      </c>
    </row>
    <row r="39" spans="3:13" ht="15.75">
      <c r="C39" s="526" t="s">
        <v>765</v>
      </c>
      <c r="D39" s="527">
        <f t="shared" si="0"/>
        <v>19007.9852799375</v>
      </c>
      <c r="E39" s="528" t="s">
        <v>770</v>
      </c>
    </row>
    <row r="40" spans="3:13" ht="15.75">
      <c r="C40" s="526" t="s">
        <v>825</v>
      </c>
      <c r="D40" s="527">
        <f t="shared" si="0"/>
        <v>15467.916488062501</v>
      </c>
      <c r="E40" s="528" t="s">
        <v>770</v>
      </c>
    </row>
    <row r="41" spans="3:13" ht="15.75">
      <c r="C41" s="526" t="s">
        <v>826</v>
      </c>
      <c r="D41" s="527">
        <f t="shared" si="0"/>
        <v>20441.108327062502</v>
      </c>
      <c r="E41" s="528" t="s">
        <v>770</v>
      </c>
    </row>
    <row r="42" spans="3:13" ht="15.75">
      <c r="C42" s="526" t="s">
        <v>759</v>
      </c>
      <c r="D42" s="527">
        <f t="shared" si="0"/>
        <v>26201.630048343748</v>
      </c>
      <c r="E42" s="528" t="s">
        <v>770</v>
      </c>
      <c r="H42" s="540"/>
      <c r="M42" s="540"/>
    </row>
    <row r="43" spans="3:13" ht="15.75">
      <c r="C43" s="526" t="s">
        <v>760</v>
      </c>
      <c r="D43" s="527">
        <f t="shared" si="0"/>
        <v>23114.8219302</v>
      </c>
      <c r="E43" s="528" t="s">
        <v>770</v>
      </c>
      <c r="H43" s="540"/>
    </row>
    <row r="44" spans="3:13" ht="15.75">
      <c r="C44" s="526" t="s">
        <v>761</v>
      </c>
      <c r="D44" s="527">
        <f t="shared" si="0"/>
        <v>5496.4731504375004</v>
      </c>
      <c r="E44" s="528" t="s">
        <v>770</v>
      </c>
    </row>
    <row r="45" spans="3:13" ht="15.75">
      <c r="C45" s="526" t="s">
        <v>762</v>
      </c>
      <c r="D45" s="527">
        <f t="shared" si="0"/>
        <v>4627.0757176875013</v>
      </c>
      <c r="E45" s="528" t="s">
        <v>770</v>
      </c>
    </row>
    <row r="46" spans="3:13" ht="15.75">
      <c r="C46" s="526" t="s">
        <v>763</v>
      </c>
      <c r="D46" s="527">
        <f>+D17</f>
        <v>10973.354476218748</v>
      </c>
      <c r="E46" s="528" t="s">
        <v>770</v>
      </c>
      <c r="H46" s="646"/>
      <c r="I46" s="646"/>
      <c r="J46" s="646"/>
      <c r="K46" s="646"/>
      <c r="L46" s="646"/>
      <c r="M46" s="646"/>
    </row>
    <row r="47" spans="3:13" ht="15.75">
      <c r="C47" s="526" t="s">
        <v>764</v>
      </c>
      <c r="D47" s="527">
        <f>+D18</f>
        <v>40020.75</v>
      </c>
      <c r="E47" s="528" t="s">
        <v>771</v>
      </c>
    </row>
    <row r="48" spans="3:13" ht="15.75">
      <c r="C48" s="526" t="s">
        <v>769</v>
      </c>
      <c r="D48" s="527">
        <f>+D19</f>
        <v>7377.1582500000013</v>
      </c>
      <c r="E48" s="528" t="s">
        <v>771</v>
      </c>
    </row>
    <row r="49" spans="3:7" ht="15.75">
      <c r="C49" s="585" t="s">
        <v>848</v>
      </c>
      <c r="D49" s="993" t="s">
        <v>899</v>
      </c>
      <c r="E49" s="994"/>
    </row>
    <row r="50" spans="3:7" ht="15.75">
      <c r="C50" s="585" t="s">
        <v>847</v>
      </c>
      <c r="D50" s="993" t="s">
        <v>899</v>
      </c>
      <c r="E50" s="994"/>
    </row>
    <row r="51" spans="3:7" ht="16.5" thickBot="1">
      <c r="C51" s="586" t="s">
        <v>846</v>
      </c>
      <c r="D51" s="993" t="s">
        <v>899</v>
      </c>
      <c r="E51" s="994"/>
      <c r="G51" s="646"/>
    </row>
    <row r="52" spans="3:7" ht="19.5" thickBot="1">
      <c r="C52" s="938" t="s">
        <v>859</v>
      </c>
      <c r="D52" s="939"/>
      <c r="E52" s="940"/>
    </row>
  </sheetData>
  <mergeCells count="6">
    <mergeCell ref="C36:E36"/>
    <mergeCell ref="C7:E7"/>
    <mergeCell ref="C52:E52"/>
    <mergeCell ref="D49:E49"/>
    <mergeCell ref="D50:E50"/>
    <mergeCell ref="D51:E51"/>
  </mergeCells>
  <pageMargins left="0.70866141732283472" right="0.70866141732283472" top="0.74803149606299213" bottom="0.74803149606299213" header="0.31496062992125984" footer="0.31496062992125984"/>
  <pageSetup scale="9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6"/>
  <sheetViews>
    <sheetView topLeftCell="A10" zoomScale="90" zoomScaleNormal="90" workbookViewId="0">
      <selection activeCell="C17" sqref="C17"/>
    </sheetView>
  </sheetViews>
  <sheetFormatPr baseColWidth="10" defaultRowHeight="15"/>
  <cols>
    <col min="1" max="1" width="11.42578125" style="32" customWidth="1"/>
    <col min="2" max="2" width="11" style="32" customWidth="1"/>
    <col min="3" max="3" width="11.42578125" style="32" customWidth="1"/>
    <col min="4" max="7" width="11.42578125" style="32"/>
    <col min="8" max="8" width="12" style="2" customWidth="1"/>
    <col min="14" max="14" width="11.42578125" style="32" customWidth="1"/>
    <col min="15" max="15" width="11" style="32" customWidth="1"/>
    <col min="16" max="16" width="11.42578125" style="32" customWidth="1"/>
    <col min="17" max="20" width="11.42578125" style="32"/>
    <col min="21" max="21" width="12.28515625" style="2" bestFit="1" customWidth="1"/>
  </cols>
  <sheetData>
    <row r="1" spans="1:22" ht="15.75" thickBot="1"/>
    <row r="2" spans="1:22" ht="15.75" thickBot="1">
      <c r="C2" s="801">
        <v>0.2</v>
      </c>
      <c r="D2" s="802"/>
      <c r="E2" s="803"/>
      <c r="F2" s="61">
        <v>1</v>
      </c>
      <c r="H2" s="46" t="s">
        <v>163</v>
      </c>
      <c r="P2" s="801">
        <v>0.2</v>
      </c>
      <c r="Q2" s="802"/>
      <c r="R2" s="803"/>
      <c r="S2" s="61">
        <v>1</v>
      </c>
      <c r="U2" s="46" t="s">
        <v>163</v>
      </c>
    </row>
    <row r="3" spans="1:22" ht="15.75" thickBot="1">
      <c r="A3" s="792" t="s">
        <v>167</v>
      </c>
      <c r="B3" s="793"/>
      <c r="C3" s="793"/>
      <c r="D3" s="793"/>
      <c r="E3" s="793"/>
      <c r="F3" s="793"/>
      <c r="G3" s="793"/>
      <c r="H3" s="794"/>
      <c r="N3" s="792" t="s">
        <v>233</v>
      </c>
      <c r="O3" s="793"/>
      <c r="P3" s="793"/>
      <c r="Q3" s="793"/>
      <c r="R3" s="793"/>
      <c r="S3" s="793"/>
      <c r="T3" s="793"/>
      <c r="U3" s="794"/>
    </row>
    <row r="4" spans="1:22" ht="15.75" thickBot="1">
      <c r="A4" s="36" t="s">
        <v>116</v>
      </c>
      <c r="B4" s="36" t="s">
        <v>117</v>
      </c>
      <c r="C4" s="36" t="s">
        <v>162</v>
      </c>
      <c r="D4" s="36" t="s">
        <v>119</v>
      </c>
      <c r="E4" s="36" t="s">
        <v>120</v>
      </c>
      <c r="F4" s="36" t="s">
        <v>118</v>
      </c>
      <c r="G4" s="36" t="s">
        <v>121</v>
      </c>
      <c r="H4" s="36" t="s">
        <v>122</v>
      </c>
      <c r="N4" s="36" t="s">
        <v>116</v>
      </c>
      <c r="O4" s="36" t="s">
        <v>117</v>
      </c>
      <c r="P4" s="36" t="s">
        <v>162</v>
      </c>
      <c r="Q4" s="36" t="s">
        <v>119</v>
      </c>
      <c r="R4" s="36" t="s">
        <v>120</v>
      </c>
      <c r="S4" s="36" t="s">
        <v>118</v>
      </c>
      <c r="T4" s="36" t="s">
        <v>121</v>
      </c>
      <c r="U4" s="36" t="s">
        <v>122</v>
      </c>
    </row>
    <row r="5" spans="1:22" ht="15.75" thickBot="1">
      <c r="A5" s="795"/>
      <c r="B5" s="796"/>
      <c r="C5" s="796"/>
      <c r="D5" s="796"/>
      <c r="E5" s="796"/>
      <c r="F5" s="796"/>
      <c r="G5" s="796"/>
      <c r="H5" s="797"/>
      <c r="N5" s="795"/>
      <c r="O5" s="796"/>
      <c r="P5" s="796"/>
      <c r="Q5" s="796"/>
      <c r="R5" s="796"/>
      <c r="S5" s="796"/>
      <c r="T5" s="796"/>
      <c r="U5" s="797"/>
    </row>
    <row r="6" spans="1:22">
      <c r="A6" s="65">
        <v>0.6</v>
      </c>
      <c r="B6" s="66">
        <v>0.4</v>
      </c>
      <c r="C6" s="58">
        <f>((((A6*2)+(B6*2))*MATERIALES!$C$5)+((A6*2)*MATERIALES!$C$6)+((B6*2)*MATERIALES!$C$7)+((B6*2)*MATERIALES!$C$8))*MATERIALES!$F$2</f>
        <v>1483.1107199999999</v>
      </c>
      <c r="D6" s="58">
        <f>(8*MATERIALES!$C$136)+(8*MATERIALES!$C$137)+(1*MATERIALES!$C$139)+(4*MATERIALES!$C$142)+(8*MATERIALES!$C$144)+((8*4)*MATERIALES!$C$145)+(('HERR CLASICA CORREDIZA'!B6*4)*MATERIALES!$C$140)+((('HERR CLASICA CORREDIZA'!A6*2)+('HERR CLASICA CORREDIZA'!B6*4))*MATERIALES!$C$141)+(4*MATERIALES!$C$148)+((('HERR CLASICA CORREDIZA'!A6*5)*2)*MATERIALES!$C$147)+(4*MATERIALES!$C$146)</f>
        <v>596.60015999999996</v>
      </c>
      <c r="E6" s="74"/>
      <c r="F6" s="54">
        <f>(A6*B6)*MATERIALES!$D$82</f>
        <v>127.19999999999999</v>
      </c>
      <c r="G6" s="58">
        <f>SUM(C6:F6)</f>
        <v>2206.9108799999995</v>
      </c>
      <c r="H6" s="67">
        <f>(SUM(C6:E6)*1.2)+(F6*2)</f>
        <v>2750.0530559999997</v>
      </c>
      <c r="I6" s="53"/>
      <c r="J6">
        <f>(1392.45+139.95)*1.07</f>
        <v>1639.6680000000001</v>
      </c>
      <c r="L6">
        <f>(H6/J6)</f>
        <v>1.6772011504768036</v>
      </c>
      <c r="N6" s="65">
        <v>0.6</v>
      </c>
      <c r="O6" s="66">
        <v>0.4</v>
      </c>
      <c r="P6" s="58">
        <f>((((N6*2)+(O6*2))*MATERIALES!$C$5)+((N6*2)*MATERIALES!$C$6)+((O6*2)*MATERIALES!$C$7)+((O6*2)*MATERIALES!$C$8)+((2*O6)*MATERIALES!$C$20)+(O6*MATERIALES!$C$21))*MATERIALES!$F$2</f>
        <v>1758.8188800000003</v>
      </c>
      <c r="Q6" s="58">
        <f>(8*MATERIALES!$C$136)+(8*MATERIALES!$C$137)+(1*MATERIALES!$C$139)+(4*MATERIALES!$C$142)+(8*MATERIALES!$C$144)+((8*4)*MATERIALES!$C$145)+(('HERR CLASICA CORREDIZA'!O6*4)*MATERIALES!$C$140)+((('HERR CLASICA CORREDIZA'!N6*2)+('HERR CLASICA CORREDIZA'!O6*4))*MATERIALES!$C$141)+(4*MATERIALES!$C$148)+((('HERR CLASICA CORREDIZA'!N6*5)*2)*MATERIALES!$C$147)+(4*MATERIALES!$C$146)+(2*MATERIALES!$C$144)+(2*MATERIALES!$C$168)+(2*MATERIALES!$C$145)+(10*MATERIALES!$C$145)</f>
        <v>659.99856</v>
      </c>
      <c r="R6" s="74"/>
      <c r="S6" s="54">
        <f>(N6*O6)*MATERIALES!$D$82</f>
        <v>127.19999999999999</v>
      </c>
      <c r="T6" s="58">
        <f>SUM(P6:S6)</f>
        <v>2546.0174400000001</v>
      </c>
      <c r="U6" s="67">
        <f>(SUM(P6:R6)*1.2)+(S6*2)</f>
        <v>3156.9809280000004</v>
      </c>
      <c r="V6" s="53"/>
    </row>
    <row r="7" spans="1:22">
      <c r="A7" s="68">
        <v>0.6</v>
      </c>
      <c r="B7" s="69">
        <v>0.6</v>
      </c>
      <c r="C7" s="59">
        <f>((((A7*2)+(B7*2))*MATERIALES!$C$5)+((A7*2)*MATERIALES!$C$6)+((B7*2)*MATERIALES!$C$7)+((B7*2)*MATERIALES!$C$8))*MATERIALES!$F$2</f>
        <v>1841.3740799999998</v>
      </c>
      <c r="D7" s="59">
        <f>(8*MATERIALES!$C$136)+(8*MATERIALES!$C$137)+(1*MATERIALES!$C$139)+(4*MATERIALES!$C$142)+(8*MATERIALES!$C$144)+((8*4)*MATERIALES!$C$145)+(('HERR CLASICA CORREDIZA'!B7*4)*MATERIALES!$C$140)+((('HERR CLASICA CORREDIZA'!A7*2)+('HERR CLASICA CORREDIZA'!B7*4))*MATERIALES!$C$141)+(4*MATERIALES!$C$148)+((('HERR CLASICA CORREDIZA'!A7*5)*2)*MATERIALES!$C$147)+(4*MATERIALES!$C$146)</f>
        <v>618.68975999999998</v>
      </c>
      <c r="E7" s="75"/>
      <c r="F7" s="55">
        <f>(A7*B7)*MATERIALES!$D$82</f>
        <v>190.79999999999998</v>
      </c>
      <c r="G7" s="59">
        <f t="shared" ref="G7:G59" si="0">SUM(C7:F7)</f>
        <v>2650.86384</v>
      </c>
      <c r="H7" s="70">
        <f>(SUM(C7:E7)*1.2)+(F7*2)</f>
        <v>3333.6766079999998</v>
      </c>
      <c r="N7" s="68">
        <v>0.6</v>
      </c>
      <c r="O7" s="69">
        <v>0.6</v>
      </c>
      <c r="P7" s="59">
        <f>((((N7*2)+(O7*2))*MATERIALES!$C$5)+((N7*2)*MATERIALES!$C$6)+((O7*2)*MATERIALES!$C$7)+((O7*2)*MATERIALES!$C$8)+((2*O7)*MATERIALES!$C$20)+(O7*MATERIALES!$C$21))*MATERIALES!$F$2</f>
        <v>2254.9363199999998</v>
      </c>
      <c r="Q7" s="59">
        <f>(8*MATERIALES!$C$136)+(8*MATERIALES!$C$137)+(1*MATERIALES!$C$139)+(4*MATERIALES!$C$142)+(8*MATERIALES!$C$144)+((8*4)*MATERIALES!$C$145)+(('HERR CLASICA CORREDIZA'!O7*4)*MATERIALES!$C$140)+((('HERR CLASICA CORREDIZA'!N7*2)+('HERR CLASICA CORREDIZA'!O7*4))*MATERIALES!$C$141)+(4*MATERIALES!$C$148)+((('HERR CLASICA CORREDIZA'!N7*5)*2)*MATERIALES!$C$147)+(4*MATERIALES!$C$146)+(2*MATERIALES!$C$144)+(2*MATERIALES!$C$168)+(2*MATERIALES!$C$145)+(10*MATERIALES!$C$145)</f>
        <v>682.08816000000002</v>
      </c>
      <c r="R7" s="75"/>
      <c r="S7" s="55">
        <f>(N7*O7)*MATERIALES!$D$82</f>
        <v>190.79999999999998</v>
      </c>
      <c r="T7" s="59">
        <f t="shared" ref="T7:T59" si="1">SUM(P7:S7)</f>
        <v>3127.8244800000002</v>
      </c>
      <c r="U7" s="70">
        <f>(SUM(P7:R7)*1.2)+(S7*2)</f>
        <v>3906.029376</v>
      </c>
    </row>
    <row r="8" spans="1:22">
      <c r="A8" s="68">
        <v>0.8</v>
      </c>
      <c r="B8" s="69">
        <v>0.4</v>
      </c>
      <c r="C8" s="59">
        <f>((((A8*2)+(B8*2))*MATERIALES!$C$5)+((A8*2)*MATERIALES!$C$6)+((B8*2)*MATERIALES!$C$7)+((B8*2)*MATERIALES!$C$8))*MATERIALES!$F$2</f>
        <v>1738.6387200000001</v>
      </c>
      <c r="D8" s="59">
        <f>(8*MATERIALES!$C$136)+(8*MATERIALES!$C$137)+(1*MATERIALES!$C$139)+(4*MATERIALES!$C$142)+(8*MATERIALES!$C$144)+((8*4)*MATERIALES!$C$145)+(('HERR CLASICA CORREDIZA'!B8*4)*MATERIALES!$C$140)+((('HERR CLASICA CORREDIZA'!A8*2)+('HERR CLASICA CORREDIZA'!B8*4))*MATERIALES!$C$141)+(4*MATERIALES!$C$148)+((('HERR CLASICA CORREDIZA'!A8*5)*2)*MATERIALES!$C$147)+(4*MATERIALES!$C$146)</f>
        <v>605.13648000000001</v>
      </c>
      <c r="E8" s="75"/>
      <c r="F8" s="55">
        <f>(A8*B8)*MATERIALES!$D$82</f>
        <v>169.60000000000002</v>
      </c>
      <c r="G8" s="59">
        <f>SUM(C8:F8)</f>
        <v>2513.3751999999999</v>
      </c>
      <c r="H8" s="70">
        <f>(SUM(C8:E8)*1.2)+(F8*2)</f>
        <v>3151.7302399999999</v>
      </c>
      <c r="N8" s="68">
        <v>0.8</v>
      </c>
      <c r="O8" s="69">
        <v>0.4</v>
      </c>
      <c r="P8" s="59">
        <f>((((N8*2)+(O8*2))*MATERIALES!$C$5)+((N8*2)*MATERIALES!$C$6)+((O8*2)*MATERIALES!$C$7)+((O8*2)*MATERIALES!$C$8)+((2*O8)*MATERIALES!$C$20)+(O8*MATERIALES!$C$21))*MATERIALES!$F$2</f>
        <v>2014.3468800000003</v>
      </c>
      <c r="Q8" s="59">
        <f>(8*MATERIALES!$C$136)+(8*MATERIALES!$C$137)+(1*MATERIALES!$C$139)+(4*MATERIALES!$C$142)+(8*MATERIALES!$C$144)+((8*4)*MATERIALES!$C$145)+(('HERR CLASICA CORREDIZA'!O8*4)*MATERIALES!$C$140)+((('HERR CLASICA CORREDIZA'!N8*2)+('HERR CLASICA CORREDIZA'!O8*4))*MATERIALES!$C$141)+(4*MATERIALES!$C$148)+((('HERR CLASICA CORREDIZA'!N8*5)*2)*MATERIALES!$C$147)+(4*MATERIALES!$C$146)+(2*MATERIALES!$C$144)+(2*MATERIALES!$C$168)+(2*MATERIALES!$C$145)+(10*MATERIALES!$C$145)</f>
        <v>668.53488000000004</v>
      </c>
      <c r="R8" s="75"/>
      <c r="S8" s="55">
        <f>(N8*O8)*MATERIALES!$D$82</f>
        <v>169.60000000000002</v>
      </c>
      <c r="T8" s="59">
        <f t="shared" si="1"/>
        <v>2852.4817600000001</v>
      </c>
      <c r="U8" s="70">
        <f t="shared" ref="U8:U58" si="2">(SUM(P8:R8)*1.2)+(S8*2)</f>
        <v>3558.6581120000001</v>
      </c>
    </row>
    <row r="9" spans="1:22">
      <c r="A9" s="68">
        <v>0.8</v>
      </c>
      <c r="B9" s="69">
        <v>0.6</v>
      </c>
      <c r="C9" s="59">
        <f>((((A9*2)+(B9*2))*MATERIALES!$C$5)+((A9*2)*MATERIALES!$C$6)+((B9*2)*MATERIALES!$C$7)+((B9*2)*MATERIALES!$C$8))*MATERIALES!$F$2</f>
        <v>2096.9020799999998</v>
      </c>
      <c r="D9" s="59">
        <f>(8*MATERIALES!$C$136)+(8*MATERIALES!$C$137)+(1*MATERIALES!$C$139)+(4*MATERIALES!$C$142)+(8*MATERIALES!$C$144)+((8*4)*MATERIALES!$C$145)+(('HERR CLASICA CORREDIZA'!B9*4)*MATERIALES!$C$140)+((('HERR CLASICA CORREDIZA'!A9*2)+('HERR CLASICA CORREDIZA'!B9*4))*MATERIALES!$C$141)+(4*MATERIALES!$C$148)+((('HERR CLASICA CORREDIZA'!A9*5)*2)*MATERIALES!$C$147)+(4*MATERIALES!$C$146)</f>
        <v>627.22608000000002</v>
      </c>
      <c r="E9" s="75"/>
      <c r="F9" s="55">
        <f>(A9*B9)*MATERIALES!$D$82</f>
        <v>254.39999999999998</v>
      </c>
      <c r="G9" s="59">
        <f t="shared" si="0"/>
        <v>2978.5281599999998</v>
      </c>
      <c r="H9" s="70">
        <f>(SUM(C9:E9)*1.2)+(F9*2)</f>
        <v>3777.7537919999995</v>
      </c>
      <c r="N9" s="68">
        <v>0.8</v>
      </c>
      <c r="O9" s="69">
        <v>0.6</v>
      </c>
      <c r="P9" s="59">
        <f>((((N9*2)+(O9*2))*MATERIALES!$C$5)+((N9*2)*MATERIALES!$C$6)+((O9*2)*MATERIALES!$C$7)+((O9*2)*MATERIALES!$C$8)+((2*O9)*MATERIALES!$C$20)+(O9*MATERIALES!$C$21))*MATERIALES!$F$2</f>
        <v>2510.4643199999996</v>
      </c>
      <c r="Q9" s="59">
        <f>(8*MATERIALES!$C$136)+(8*MATERIALES!$C$137)+(1*MATERIALES!$C$139)+(4*MATERIALES!$C$142)+(8*MATERIALES!$C$144)+((8*4)*MATERIALES!$C$145)+(('HERR CLASICA CORREDIZA'!O9*4)*MATERIALES!$C$140)+((('HERR CLASICA CORREDIZA'!N9*2)+('HERR CLASICA CORREDIZA'!O9*4))*MATERIALES!$C$141)+(4*MATERIALES!$C$148)+((('HERR CLASICA CORREDIZA'!N9*5)*2)*MATERIALES!$C$147)+(4*MATERIALES!$C$146)+(2*MATERIALES!$C$144)+(2*MATERIALES!$C$168)+(2*MATERIALES!$C$145)+(10*MATERIALES!$C$145)</f>
        <v>690.62448000000006</v>
      </c>
      <c r="R9" s="75"/>
      <c r="S9" s="55">
        <f>(N9*O9)*MATERIALES!$D$82</f>
        <v>254.39999999999998</v>
      </c>
      <c r="T9" s="59">
        <f t="shared" si="1"/>
        <v>3455.4887999999996</v>
      </c>
      <c r="U9" s="70">
        <f t="shared" si="2"/>
        <v>4350.1065599999993</v>
      </c>
    </row>
    <row r="10" spans="1:22">
      <c r="A10" s="68">
        <v>1</v>
      </c>
      <c r="B10" s="69">
        <v>0.4</v>
      </c>
      <c r="C10" s="59">
        <f>((((A10*2)+(B10*2))*MATERIALES!$C$5)+((A10*2)*MATERIALES!$C$6)+((B10*2)*MATERIALES!$C$7)+((B10*2)*MATERIALES!$C$8))*MATERIALES!$F$2</f>
        <v>1994.1667199999999</v>
      </c>
      <c r="D10" s="59">
        <f>(8*MATERIALES!$C$136)+(8*MATERIALES!$C$137)+(1*MATERIALES!$C$139)+(4*MATERIALES!$C$142)+(8*MATERIALES!$C$144)+((8*4)*MATERIALES!$C$145)+(('HERR CLASICA CORREDIZA'!B10*4)*MATERIALES!$C$140)+((('HERR CLASICA CORREDIZA'!A10*2)+('HERR CLASICA CORREDIZA'!B10*4))*MATERIALES!$C$141)+(4*MATERIALES!$C$148)+((('HERR CLASICA CORREDIZA'!A10*5)*2)*MATERIALES!$C$147)+(4*MATERIALES!$C$146)</f>
        <v>613.67280000000005</v>
      </c>
      <c r="E10" s="75"/>
      <c r="F10" s="55">
        <f>(A10*B10)*MATERIALES!$D$82</f>
        <v>212</v>
      </c>
      <c r="G10" s="59">
        <f t="shared" si="0"/>
        <v>2819.83952</v>
      </c>
      <c r="H10" s="70">
        <f t="shared" ref="H10:H59" si="3">(SUM(C10:E10)*1.2)+(F10*2)</f>
        <v>3553.407424</v>
      </c>
      <c r="N10" s="68">
        <v>1</v>
      </c>
      <c r="O10" s="69">
        <v>0.4</v>
      </c>
      <c r="P10" s="59">
        <f>((((N10*2)+(O10*2))*MATERIALES!$C$5)+((N10*2)*MATERIALES!$C$6)+((O10*2)*MATERIALES!$C$7)+((O10*2)*MATERIALES!$C$8)+((2*O10)*MATERIALES!$C$20)+(O10*MATERIALES!$C$21))*MATERIALES!$F$2</f>
        <v>2269.8748800000003</v>
      </c>
      <c r="Q10" s="59">
        <f>(8*MATERIALES!$C$136)+(8*MATERIALES!$C$137)+(1*MATERIALES!$C$139)+(4*MATERIALES!$C$142)+(8*MATERIALES!$C$144)+((8*4)*MATERIALES!$C$145)+(('HERR CLASICA CORREDIZA'!O10*4)*MATERIALES!$C$140)+((('HERR CLASICA CORREDIZA'!N10*2)+('HERR CLASICA CORREDIZA'!O10*4))*MATERIALES!$C$141)+(4*MATERIALES!$C$148)+((('HERR CLASICA CORREDIZA'!N10*5)*2)*MATERIALES!$C$147)+(4*MATERIALES!$C$146)+(2*MATERIALES!$C$144)+(2*MATERIALES!$C$168)+(2*MATERIALES!$C$145)+(10*MATERIALES!$C$145)</f>
        <v>677.07120000000009</v>
      </c>
      <c r="R10" s="75"/>
      <c r="S10" s="55">
        <f>(N10*O10)*MATERIALES!$D$82</f>
        <v>212</v>
      </c>
      <c r="T10" s="59">
        <f t="shared" si="1"/>
        <v>3158.9460800000006</v>
      </c>
      <c r="U10" s="70">
        <f t="shared" si="2"/>
        <v>3960.3352960000007</v>
      </c>
    </row>
    <row r="11" spans="1:22">
      <c r="A11" s="68">
        <v>1</v>
      </c>
      <c r="B11" s="69">
        <v>0.6</v>
      </c>
      <c r="C11" s="59">
        <f>((((A11*2)+(B11*2))*MATERIALES!$C$5)+((A11*2)*MATERIALES!$C$6)+((B11*2)*MATERIALES!$C$7)+((B11*2)*MATERIALES!$C$8))*MATERIALES!$F$2</f>
        <v>2352.4300800000001</v>
      </c>
      <c r="D11" s="59">
        <f>(8*MATERIALES!$C$136)+(8*MATERIALES!$C$137)+(1*MATERIALES!$C$139)+(4*MATERIALES!$C$142)+(8*MATERIALES!$C$144)+((8*4)*MATERIALES!$C$145)+(('HERR CLASICA CORREDIZA'!B11*4)*MATERIALES!$C$140)+((('HERR CLASICA CORREDIZA'!A11*2)+('HERR CLASICA CORREDIZA'!B11*4))*MATERIALES!$C$141)+(4*MATERIALES!$C$148)+((('HERR CLASICA CORREDIZA'!A11*5)*2)*MATERIALES!$C$147)+(4*MATERIALES!$C$146)</f>
        <v>635.76240000000007</v>
      </c>
      <c r="E11" s="75"/>
      <c r="F11" s="55">
        <f>(A11*B11)*MATERIALES!$D$82</f>
        <v>318</v>
      </c>
      <c r="G11" s="59">
        <f t="shared" si="0"/>
        <v>3306.1924800000002</v>
      </c>
      <c r="H11" s="70">
        <f t="shared" si="3"/>
        <v>4221.8309760000002</v>
      </c>
      <c r="N11" s="68">
        <v>1</v>
      </c>
      <c r="O11" s="69">
        <v>0.6</v>
      </c>
      <c r="P11" s="59">
        <f>((((N11*2)+(O11*2))*MATERIALES!$C$5)+((N11*2)*MATERIALES!$C$6)+((O11*2)*MATERIALES!$C$7)+((O11*2)*MATERIALES!$C$8)+((2*O11)*MATERIALES!$C$20)+(O11*MATERIALES!$C$21))*MATERIALES!$F$2</f>
        <v>2765.9923199999998</v>
      </c>
      <c r="Q11" s="59">
        <f>(8*MATERIALES!$C$136)+(8*MATERIALES!$C$137)+(1*MATERIALES!$C$139)+(4*MATERIALES!$C$142)+(8*MATERIALES!$C$144)+((8*4)*MATERIALES!$C$145)+(('HERR CLASICA CORREDIZA'!O11*4)*MATERIALES!$C$140)+((('HERR CLASICA CORREDIZA'!N11*2)+('HERR CLASICA CORREDIZA'!O11*4))*MATERIALES!$C$141)+(4*MATERIALES!$C$148)+((('HERR CLASICA CORREDIZA'!N11*5)*2)*MATERIALES!$C$147)+(4*MATERIALES!$C$146)+(2*MATERIALES!$C$144)+(2*MATERIALES!$C$168)+(2*MATERIALES!$C$145)+(10*MATERIALES!$C$145)</f>
        <v>699.16080000000011</v>
      </c>
      <c r="R11" s="75"/>
      <c r="S11" s="55">
        <f>(N11*O11)*MATERIALES!$D$82</f>
        <v>318</v>
      </c>
      <c r="T11" s="59">
        <f t="shared" si="1"/>
        <v>3783.1531199999999</v>
      </c>
      <c r="U11" s="70">
        <f t="shared" si="2"/>
        <v>4794.1837439999999</v>
      </c>
    </row>
    <row r="12" spans="1:22">
      <c r="A12" s="68">
        <v>1</v>
      </c>
      <c r="B12" s="69">
        <v>0.8</v>
      </c>
      <c r="C12" s="59">
        <f>((((A12*2)+(B12*2))*MATERIALES!$C$5)+((A12*2)*MATERIALES!$C$6)+((B12*2)*MATERIALES!$C$7)+((B12*2)*MATERIALES!$C$8))*MATERIALES!$F$2</f>
        <v>2710.69344</v>
      </c>
      <c r="D12" s="59">
        <f>(8*MATERIALES!$C$136)+(8*MATERIALES!$C$137)+(1*MATERIALES!$C$139)+(4*MATERIALES!$C$142)+(8*MATERIALES!$C$144)+((8*4)*MATERIALES!$C$145)+(('HERR CLASICA CORREDIZA'!B12*4)*MATERIALES!$C$140)+((('HERR CLASICA CORREDIZA'!A12*2)+('HERR CLASICA CORREDIZA'!B12*4))*MATERIALES!$C$141)+(4*MATERIALES!$C$148)+((('HERR CLASICA CORREDIZA'!A12*5)*2)*MATERIALES!$C$147)+(4*MATERIALES!$C$146)</f>
        <v>657.85200000000009</v>
      </c>
      <c r="E12" s="75"/>
      <c r="F12" s="55">
        <f>(A12*B12)*MATERIALES!$D$82</f>
        <v>424</v>
      </c>
      <c r="G12" s="59">
        <f t="shared" si="0"/>
        <v>3792.5454399999999</v>
      </c>
      <c r="H12" s="70">
        <f t="shared" si="3"/>
        <v>4890.2545279999995</v>
      </c>
      <c r="N12" s="68">
        <v>1</v>
      </c>
      <c r="O12" s="69">
        <v>0.8</v>
      </c>
      <c r="P12" s="59">
        <f>((((N12*2)+(O12*2))*MATERIALES!$C$5)+((N12*2)*MATERIALES!$C$6)+((O12*2)*MATERIALES!$C$7)+((O12*2)*MATERIALES!$C$8)+((2*O12)*MATERIALES!$C$20)+(O12*MATERIALES!$C$21))*MATERIALES!$F$2</f>
        <v>3262.1097600000007</v>
      </c>
      <c r="Q12" s="59">
        <f>(8*MATERIALES!$C$136)+(8*MATERIALES!$C$137)+(1*MATERIALES!$C$139)+(4*MATERIALES!$C$142)+(8*MATERIALES!$C$144)+((8*4)*MATERIALES!$C$145)+(('HERR CLASICA CORREDIZA'!O12*4)*MATERIALES!$C$140)+((('HERR CLASICA CORREDIZA'!N12*2)+('HERR CLASICA CORREDIZA'!O12*4))*MATERIALES!$C$141)+(4*MATERIALES!$C$148)+((('HERR CLASICA CORREDIZA'!N12*5)*2)*MATERIALES!$C$147)+(4*MATERIALES!$C$146)+(2*MATERIALES!$C$144)+(2*MATERIALES!$C$168)+(2*MATERIALES!$C$145)+(10*MATERIALES!$C$145)</f>
        <v>721.25040000000013</v>
      </c>
      <c r="R12" s="75"/>
      <c r="S12" s="55">
        <f>(N12*O12)*MATERIALES!$D$82</f>
        <v>424</v>
      </c>
      <c r="T12" s="59">
        <f t="shared" si="1"/>
        <v>4407.3601600000011</v>
      </c>
      <c r="U12" s="70">
        <f t="shared" si="2"/>
        <v>5628.0321920000015</v>
      </c>
    </row>
    <row r="13" spans="1:22">
      <c r="A13" s="68">
        <v>1</v>
      </c>
      <c r="B13" s="69">
        <v>1</v>
      </c>
      <c r="C13" s="59">
        <f>((((A13*2)+(B13*2))*MATERIALES!$C$5)+((A13*2)*MATERIALES!$C$6)+((B13*2)*MATERIALES!$C$7)+((B13*2)*MATERIALES!$C$8))*MATERIALES!$F$2</f>
        <v>3068.9567999999999</v>
      </c>
      <c r="D13" s="59">
        <f>(8*MATERIALES!$C$136)+(8*MATERIALES!$C$137)+(1*MATERIALES!$C$139)+(4*MATERIALES!$C$142)+(8*MATERIALES!$C$144)+((8*4)*MATERIALES!$C$145)+(('HERR CLASICA CORREDIZA'!B13*4)*MATERIALES!$C$140)+((('HERR CLASICA CORREDIZA'!A13*2)+('HERR CLASICA CORREDIZA'!B13*4))*MATERIALES!$C$141)+(4*MATERIALES!$C$148)+((('HERR CLASICA CORREDIZA'!A13*5)*2)*MATERIALES!$C$147)+(4*MATERIALES!$C$146)</f>
        <v>679.94160000000011</v>
      </c>
      <c r="E13" s="75"/>
      <c r="F13" s="55">
        <f>(A13*B13)*MATERIALES!$D$82</f>
        <v>530</v>
      </c>
      <c r="G13" s="59">
        <f t="shared" si="0"/>
        <v>4278.8984</v>
      </c>
      <c r="H13" s="70">
        <f>(SUM(C13:E13)*1.2)+(F13*2)</f>
        <v>5558.6780799999997</v>
      </c>
      <c r="N13" s="68">
        <v>1</v>
      </c>
      <c r="O13" s="69">
        <v>1</v>
      </c>
      <c r="P13" s="59">
        <f>((((N13*2)+(O13*2))*MATERIALES!$C$5)+((N13*2)*MATERIALES!$C$6)+((O13*2)*MATERIALES!$C$7)+((O13*2)*MATERIALES!$C$8)+((2*O13)*MATERIALES!$C$20)+(O13*MATERIALES!$C$21))*MATERIALES!$F$2</f>
        <v>3758.2271999999994</v>
      </c>
      <c r="Q13" s="59">
        <f>(8*MATERIALES!$C$136)+(8*MATERIALES!$C$137)+(1*MATERIALES!$C$139)+(4*MATERIALES!$C$142)+(8*MATERIALES!$C$144)+((8*4)*MATERIALES!$C$145)+(('HERR CLASICA CORREDIZA'!O13*4)*MATERIALES!$C$140)+((('HERR CLASICA CORREDIZA'!N13*2)+('HERR CLASICA CORREDIZA'!O13*4))*MATERIALES!$C$141)+(4*MATERIALES!$C$148)+((('HERR CLASICA CORREDIZA'!N13*5)*2)*MATERIALES!$C$147)+(4*MATERIALES!$C$146)+(2*MATERIALES!$C$144)+(2*MATERIALES!$C$168)+(2*MATERIALES!$C$145)+(10*MATERIALES!$C$145)</f>
        <v>743.34000000000015</v>
      </c>
      <c r="R13" s="75"/>
      <c r="S13" s="55">
        <f>(N13*O13)*MATERIALES!$D$82</f>
        <v>530</v>
      </c>
      <c r="T13" s="59">
        <f t="shared" si="1"/>
        <v>5031.5671999999995</v>
      </c>
      <c r="U13" s="70">
        <f t="shared" si="2"/>
        <v>6461.8806399999994</v>
      </c>
    </row>
    <row r="14" spans="1:22">
      <c r="A14" s="68">
        <v>1</v>
      </c>
      <c r="B14" s="69">
        <v>1.1000000000000001</v>
      </c>
      <c r="C14" s="59">
        <f>((((A14*2)+(B14*2))*MATERIALES!$C$5)+((A14*2)*MATERIALES!$C$6)+((B14*2)*MATERIALES!$C$7)+((B14*2)*MATERIALES!$C$8))*MATERIALES!$F$2</f>
        <v>3248.0884799999999</v>
      </c>
      <c r="D14" s="59">
        <f>(8*MATERIALES!$C$136)+(8*MATERIALES!$C$137)+(1*MATERIALES!$C$139)+(4*MATERIALES!$C$142)+(8*MATERIALES!$C$144)+((8*4)*MATERIALES!$C$145)+(('HERR CLASICA CORREDIZA'!B14*4)*MATERIALES!$C$140)+((('HERR CLASICA CORREDIZA'!A14*2)+('HERR CLASICA CORREDIZA'!B14*4))*MATERIALES!$C$141)+(4*MATERIALES!$C$148)+((('HERR CLASICA CORREDIZA'!A14*5)*2)*MATERIALES!$C$147)+(4*MATERIALES!$C$146)</f>
        <v>690.9864</v>
      </c>
      <c r="E14" s="75"/>
      <c r="F14" s="55">
        <f>(A14*B14)*MATERIALES!$D$82</f>
        <v>583</v>
      </c>
      <c r="G14" s="59">
        <f t="shared" si="0"/>
        <v>4522.0748800000001</v>
      </c>
      <c r="H14" s="70">
        <f t="shared" si="3"/>
        <v>5892.8898559999998</v>
      </c>
      <c r="N14" s="68">
        <v>1</v>
      </c>
      <c r="O14" s="69">
        <v>1.1000000000000001</v>
      </c>
      <c r="P14" s="59">
        <f>((((N14*2)+(O14*2))*MATERIALES!$C$5)+((N14*2)*MATERIALES!$C$6)+((O14*2)*MATERIALES!$C$7)+((O14*2)*MATERIALES!$C$8)+((2*O14)*MATERIALES!$C$20)+(O14*MATERIALES!$C$21))*MATERIALES!$F$2</f>
        <v>4006.2859199999998</v>
      </c>
      <c r="Q14" s="59">
        <f>(8*MATERIALES!$C$136)+(8*MATERIALES!$C$137)+(1*MATERIALES!$C$139)+(4*MATERIALES!$C$142)+(8*MATERIALES!$C$144)+((8*4)*MATERIALES!$C$145)+(('HERR CLASICA CORREDIZA'!O14*4)*MATERIALES!$C$140)+((('HERR CLASICA CORREDIZA'!N14*2)+('HERR CLASICA CORREDIZA'!O14*4))*MATERIALES!$C$141)+(4*MATERIALES!$C$148)+((('HERR CLASICA CORREDIZA'!N14*5)*2)*MATERIALES!$C$147)+(4*MATERIALES!$C$146)+(2*MATERIALES!$C$144)+(2*MATERIALES!$C$168)+(2*MATERIALES!$C$145)+(10*MATERIALES!$C$145)</f>
        <v>754.38480000000004</v>
      </c>
      <c r="R14" s="75"/>
      <c r="S14" s="55">
        <f>(N14*O14)*MATERIALES!$D$82</f>
        <v>583</v>
      </c>
      <c r="T14" s="59">
        <f t="shared" si="1"/>
        <v>5343.6707200000001</v>
      </c>
      <c r="U14" s="70">
        <f t="shared" si="2"/>
        <v>6878.8048639999997</v>
      </c>
    </row>
    <row r="15" spans="1:22">
      <c r="A15" s="68">
        <v>1</v>
      </c>
      <c r="B15" s="69">
        <v>1.2</v>
      </c>
      <c r="C15" s="59">
        <f>((((A15*2)+(B15*2))*MATERIALES!$C$5)+((A15*2)*MATERIALES!$C$6)+((B15*2)*MATERIALES!$C$7)+((B15*2)*MATERIALES!$C$8))*MATERIALES!$F$2</f>
        <v>3427.2201600000003</v>
      </c>
      <c r="D15" s="59">
        <f>(8*MATERIALES!$C$136)+(8*MATERIALES!$C$137)+(1*MATERIALES!$C$139)+(4*MATERIALES!$C$142)+(8*MATERIALES!$C$144)+((8*4)*MATERIALES!$C$145)+(('HERR CLASICA CORREDIZA'!B15*4)*MATERIALES!$C$140)+((('HERR CLASICA CORREDIZA'!A15*2)+('HERR CLASICA CORREDIZA'!B15*4))*MATERIALES!$C$141)+(4*MATERIALES!$C$148)+((('HERR CLASICA CORREDIZA'!A15*5)*2)*MATERIALES!$C$147)+(4*MATERIALES!$C$146)</f>
        <v>702.03120000000013</v>
      </c>
      <c r="E15" s="75"/>
      <c r="F15" s="55">
        <f>(A15*B15)*MATERIALES!$D$82</f>
        <v>636</v>
      </c>
      <c r="G15" s="59">
        <f t="shared" si="0"/>
        <v>4765.2513600000002</v>
      </c>
      <c r="H15" s="70">
        <f t="shared" si="3"/>
        <v>6227.1016319999999</v>
      </c>
      <c r="N15" s="68">
        <v>1</v>
      </c>
      <c r="O15" s="69">
        <v>1.2</v>
      </c>
      <c r="P15" s="59">
        <f>((((N15*2)+(O15*2))*MATERIALES!$C$5)+((N15*2)*MATERIALES!$C$6)+((O15*2)*MATERIALES!$C$7)+((O15*2)*MATERIALES!$C$8)+((2*O15)*MATERIALES!$C$20)+(O15*MATERIALES!$C$21))*MATERIALES!$F$2</f>
        <v>4254.3446400000003</v>
      </c>
      <c r="Q15" s="59">
        <f>(8*MATERIALES!$C$136)+(8*MATERIALES!$C$137)+(1*MATERIALES!$C$139)+(4*MATERIALES!$C$142)+(8*MATERIALES!$C$144)+((8*4)*MATERIALES!$C$145)+(('HERR CLASICA CORREDIZA'!O15*4)*MATERIALES!$C$140)+((('HERR CLASICA CORREDIZA'!N15*2)+('HERR CLASICA CORREDIZA'!O15*4))*MATERIALES!$C$141)+(4*MATERIALES!$C$148)+((('HERR CLASICA CORREDIZA'!N15*5)*2)*MATERIALES!$C$147)+(4*MATERIALES!$C$146)+(2*MATERIALES!$C$144)+(2*MATERIALES!$C$168)+(2*MATERIALES!$C$145)+(10*MATERIALES!$C$145)</f>
        <v>765.42960000000016</v>
      </c>
      <c r="R15" s="75"/>
      <c r="S15" s="55">
        <f>(N15*O15)*MATERIALES!$D$82</f>
        <v>636</v>
      </c>
      <c r="T15" s="59">
        <f t="shared" si="1"/>
        <v>5655.7742400000006</v>
      </c>
      <c r="U15" s="70">
        <f t="shared" si="2"/>
        <v>7295.729088000001</v>
      </c>
    </row>
    <row r="16" spans="1:22">
      <c r="A16" s="68">
        <v>1</v>
      </c>
      <c r="B16" s="69">
        <v>1.5</v>
      </c>
      <c r="C16" s="59">
        <f>((((A16*2)+(B16*2))*MATERIALES!$C$5)+((A16*2)*MATERIALES!$C$6)+((B16*2)*MATERIALES!$C$7)+((B16*2)*MATERIALES!$C$8))*MATERIALES!$F$2</f>
        <v>3964.6152000000002</v>
      </c>
      <c r="D16" s="59">
        <f>(8*MATERIALES!$C$136)+(8*MATERIALES!$C$137)+(1*MATERIALES!$C$139)+(4*MATERIALES!$C$142)+(8*MATERIALES!$C$144)+((8*4)*MATERIALES!$C$145)+(('HERR CLASICA CORREDIZA'!B16*4)*MATERIALES!$C$140)+((('HERR CLASICA CORREDIZA'!A16*2)+('HERR CLASICA CORREDIZA'!B16*4))*MATERIALES!$C$141)+(4*MATERIALES!$C$148)+((('HERR CLASICA CORREDIZA'!A16*5)*2)*MATERIALES!$C$147)+(4*MATERIALES!$C$146)</f>
        <v>735.16560000000004</v>
      </c>
      <c r="E16" s="75"/>
      <c r="F16" s="55">
        <f>(A16*B16)*MATERIALES!$D$82</f>
        <v>795</v>
      </c>
      <c r="G16" s="59">
        <f t="shared" si="0"/>
        <v>5494.7808000000005</v>
      </c>
      <c r="H16" s="70">
        <f t="shared" si="3"/>
        <v>7229.7369600000002</v>
      </c>
      <c r="N16" s="68">
        <v>1</v>
      </c>
      <c r="O16" s="69">
        <v>1.5</v>
      </c>
      <c r="P16" s="59">
        <f>((((N16*2)+(O16*2))*MATERIALES!$C$5)+((N16*2)*MATERIALES!$C$6)+((O16*2)*MATERIALES!$C$7)+((O16*2)*MATERIALES!$C$8)+((2*O16)*MATERIALES!$C$20)+(O16*MATERIALES!$C$21))*MATERIALES!$F$2</f>
        <v>4998.5208000000002</v>
      </c>
      <c r="Q16" s="59">
        <f>(8*MATERIALES!$C$136)+(8*MATERIALES!$C$137)+(1*MATERIALES!$C$139)+(4*MATERIALES!$C$142)+(8*MATERIALES!$C$144)+((8*4)*MATERIALES!$C$145)+(('HERR CLASICA CORREDIZA'!O16*4)*MATERIALES!$C$140)+((('HERR CLASICA CORREDIZA'!N16*2)+('HERR CLASICA CORREDIZA'!O16*4))*MATERIALES!$C$141)+(4*MATERIALES!$C$148)+((('HERR CLASICA CORREDIZA'!N16*5)*2)*MATERIALES!$C$147)+(4*MATERIALES!$C$146)+(2*MATERIALES!$C$144)+(2*MATERIALES!$C$168)+(2*MATERIALES!$C$145)+(10*MATERIALES!$C$145)</f>
        <v>798.56400000000008</v>
      </c>
      <c r="R16" s="75"/>
      <c r="S16" s="55">
        <f>(N16*O16)*MATERIALES!$D$82</f>
        <v>795</v>
      </c>
      <c r="T16" s="59">
        <f t="shared" si="1"/>
        <v>6592.0848000000005</v>
      </c>
      <c r="U16" s="70">
        <f t="shared" si="2"/>
        <v>8546.5017599999992</v>
      </c>
    </row>
    <row r="17" spans="1:22">
      <c r="A17" s="68">
        <v>1.2</v>
      </c>
      <c r="B17" s="69">
        <v>0.4</v>
      </c>
      <c r="C17" s="59">
        <f>((((A17*2)+(B17*2))*MATERIALES!$C$5)+((A17*2)*MATERIALES!$C$6)+((B17*2)*MATERIALES!$C$7)+((B17*2)*MATERIALES!$C$8))*MATERIALES!$F$2</f>
        <v>2249.6947200000004</v>
      </c>
      <c r="D17" s="59">
        <f>(8*MATERIALES!$C$136)+(8*MATERIALES!$C$137)+(1*MATERIALES!$C$139)+(4*MATERIALES!$C$142)+(8*MATERIALES!$C$144)+((8*4)*MATERIALES!$C$145)+(('HERR CLASICA CORREDIZA'!B17*4)*MATERIALES!$C$140)+((('HERR CLASICA CORREDIZA'!A17*2)+('HERR CLASICA CORREDIZA'!B17*4))*MATERIALES!$C$141)+(4*MATERIALES!$C$148)+((('HERR CLASICA CORREDIZA'!A17*5)*2)*MATERIALES!$C$147)+(4*MATERIALES!$C$146)</f>
        <v>622.20911999999998</v>
      </c>
      <c r="E17" s="75"/>
      <c r="F17" s="55">
        <f>(A17*B17)*MATERIALES!$D$82</f>
        <v>254.39999999999998</v>
      </c>
      <c r="G17" s="59">
        <f t="shared" si="0"/>
        <v>3126.3038400000005</v>
      </c>
      <c r="H17" s="70">
        <f t="shared" si="3"/>
        <v>3955.0846080000001</v>
      </c>
      <c r="N17" s="68">
        <v>1.2</v>
      </c>
      <c r="O17" s="69">
        <v>0.4</v>
      </c>
      <c r="P17" s="59">
        <f>((((N17*2)+(O17*2))*MATERIALES!$C$5)+((N17*2)*MATERIALES!$C$6)+((O17*2)*MATERIALES!$C$7)+((O17*2)*MATERIALES!$C$8)+((2*O17)*MATERIALES!$C$20)+(O17*MATERIALES!$C$21))*MATERIALES!$F$2</f>
        <v>2525.4028800000006</v>
      </c>
      <c r="Q17" s="59">
        <f>(8*MATERIALES!$C$136)+(8*MATERIALES!$C$137)+(1*MATERIALES!$C$139)+(4*MATERIALES!$C$142)+(8*MATERIALES!$C$144)+((8*4)*MATERIALES!$C$145)+(('HERR CLASICA CORREDIZA'!O17*4)*MATERIALES!$C$140)+((('HERR CLASICA CORREDIZA'!N17*2)+('HERR CLASICA CORREDIZA'!O17*4))*MATERIALES!$C$141)+(4*MATERIALES!$C$148)+((('HERR CLASICA CORREDIZA'!N17*5)*2)*MATERIALES!$C$147)+(4*MATERIALES!$C$146)+(2*MATERIALES!$C$144)+(2*MATERIALES!$C$168)+(2*MATERIALES!$C$145)+(10*MATERIALES!$C$145)</f>
        <v>685.60752000000002</v>
      </c>
      <c r="R17" s="75"/>
      <c r="S17" s="55">
        <f>(N17*O17)*MATERIALES!$D$82</f>
        <v>254.39999999999998</v>
      </c>
      <c r="T17" s="59">
        <f t="shared" si="1"/>
        <v>3465.4104000000007</v>
      </c>
      <c r="U17" s="70">
        <f t="shared" si="2"/>
        <v>4362.0124800000003</v>
      </c>
    </row>
    <row r="18" spans="1:22">
      <c r="A18" s="68">
        <v>1.2</v>
      </c>
      <c r="B18" s="69">
        <v>0.6</v>
      </c>
      <c r="C18" s="59">
        <f>((((A18*2)+(B18*2))*MATERIALES!$C$5)+((A18*2)*MATERIALES!$C$6)+((B18*2)*MATERIALES!$C$7)+((B18*2)*MATERIALES!$C$8))*MATERIALES!$F$2</f>
        <v>2607.9580799999999</v>
      </c>
      <c r="D18" s="59">
        <f>(8*MATERIALES!$C$136)+(8*MATERIALES!$C$137)+(1*MATERIALES!$C$139)+(4*MATERIALES!$C$142)+(8*MATERIALES!$C$144)+((8*4)*MATERIALES!$C$145)+(('HERR CLASICA CORREDIZA'!B18*4)*MATERIALES!$C$140)+((('HERR CLASICA CORREDIZA'!A18*2)+('HERR CLASICA CORREDIZA'!B18*4))*MATERIALES!$C$141)+(4*MATERIALES!$C$148)+((('HERR CLASICA CORREDIZA'!A18*5)*2)*MATERIALES!$C$147)+(4*MATERIALES!$C$146)</f>
        <v>644.29872</v>
      </c>
      <c r="E18" s="75"/>
      <c r="F18" s="55">
        <f>(A18*B18)*MATERIALES!$D$82</f>
        <v>381.59999999999997</v>
      </c>
      <c r="G18" s="59">
        <f t="shared" si="0"/>
        <v>3633.8568</v>
      </c>
      <c r="H18" s="70">
        <f t="shared" si="3"/>
        <v>4665.90816</v>
      </c>
      <c r="N18" s="68">
        <v>1.2</v>
      </c>
      <c r="O18" s="69">
        <v>0.6</v>
      </c>
      <c r="P18" s="59">
        <f>((((N18*2)+(O18*2))*MATERIALES!$C$5)+((N18*2)*MATERIALES!$C$6)+((O18*2)*MATERIALES!$C$7)+((O18*2)*MATERIALES!$C$8)+((2*O18)*MATERIALES!$C$20)+(O18*MATERIALES!$C$21))*MATERIALES!$F$2</f>
        <v>3021.5203199999996</v>
      </c>
      <c r="Q18" s="59">
        <f>(8*MATERIALES!$C$136)+(8*MATERIALES!$C$137)+(1*MATERIALES!$C$139)+(4*MATERIALES!$C$142)+(8*MATERIALES!$C$144)+((8*4)*MATERIALES!$C$145)+(('HERR CLASICA CORREDIZA'!O18*4)*MATERIALES!$C$140)+((('HERR CLASICA CORREDIZA'!N18*2)+('HERR CLASICA CORREDIZA'!O18*4))*MATERIALES!$C$141)+(4*MATERIALES!$C$148)+((('HERR CLASICA CORREDIZA'!N18*5)*2)*MATERIALES!$C$147)+(4*MATERIALES!$C$146)+(2*MATERIALES!$C$144)+(2*MATERIALES!$C$168)+(2*MATERIALES!$C$145)+(10*MATERIALES!$C$145)</f>
        <v>707.69712000000004</v>
      </c>
      <c r="R18" s="75"/>
      <c r="S18" s="55">
        <f>(N18*O18)*MATERIALES!$D$82</f>
        <v>381.59999999999997</v>
      </c>
      <c r="T18" s="59">
        <f t="shared" si="1"/>
        <v>4110.8174399999998</v>
      </c>
      <c r="U18" s="70">
        <f t="shared" si="2"/>
        <v>5238.2609279999988</v>
      </c>
    </row>
    <row r="19" spans="1:22">
      <c r="A19" s="68">
        <v>1.2</v>
      </c>
      <c r="B19" s="69">
        <v>0.8</v>
      </c>
      <c r="C19" s="59">
        <f>((((A19*2)+(B19*2))*MATERIALES!$C$5)+((A19*2)*MATERIALES!$C$6)+((B19*2)*MATERIALES!$C$7)+((B19*2)*MATERIALES!$C$8))*MATERIALES!$F$2</f>
        <v>2966.2214399999998</v>
      </c>
      <c r="D19" s="59">
        <f>(8*MATERIALES!$C$136)+(8*MATERIALES!$C$137)+(1*MATERIALES!$C$139)+(4*MATERIALES!$C$142)+(8*MATERIALES!$C$144)+((8*4)*MATERIALES!$C$145)+(('HERR CLASICA CORREDIZA'!B19*4)*MATERIALES!$C$140)+((('HERR CLASICA CORREDIZA'!A19*2)+('HERR CLASICA CORREDIZA'!B19*4))*MATERIALES!$C$141)+(4*MATERIALES!$C$148)+((('HERR CLASICA CORREDIZA'!A19*5)*2)*MATERIALES!$C$147)+(4*MATERIALES!$C$146)</f>
        <v>666.38832000000002</v>
      </c>
      <c r="E19" s="75"/>
      <c r="F19" s="55">
        <f>(A19*B19)*MATERIALES!$D$82</f>
        <v>508.79999999999995</v>
      </c>
      <c r="G19" s="59">
        <f t="shared" si="0"/>
        <v>4141.4097599999996</v>
      </c>
      <c r="H19" s="70">
        <f t="shared" si="3"/>
        <v>5376.7317119999989</v>
      </c>
      <c r="J19">
        <f>((2411.58+410.16)*1.07)</f>
        <v>3019.2617999999998</v>
      </c>
      <c r="L19">
        <f>(H19/J19)</f>
        <v>1.7808100350887093</v>
      </c>
      <c r="N19" s="68">
        <v>1.2</v>
      </c>
      <c r="O19" s="69">
        <v>0.8</v>
      </c>
      <c r="P19" s="59">
        <f>((((N19*2)+(O19*2))*MATERIALES!$C$5)+((N19*2)*MATERIALES!$C$6)+((O19*2)*MATERIALES!$C$7)+((O19*2)*MATERIALES!$C$8)+((2*O19)*MATERIALES!$C$20)+(O19*MATERIALES!$C$21))*MATERIALES!$F$2</f>
        <v>3517.6377600000005</v>
      </c>
      <c r="Q19" s="59">
        <f>(8*MATERIALES!$C$136)+(8*MATERIALES!$C$137)+(1*MATERIALES!$C$139)+(4*MATERIALES!$C$142)+(8*MATERIALES!$C$144)+((8*4)*MATERIALES!$C$145)+(('HERR CLASICA CORREDIZA'!O19*4)*MATERIALES!$C$140)+((('HERR CLASICA CORREDIZA'!N19*2)+('HERR CLASICA CORREDIZA'!O19*4))*MATERIALES!$C$141)+(4*MATERIALES!$C$148)+((('HERR CLASICA CORREDIZA'!N19*5)*2)*MATERIALES!$C$147)+(4*MATERIALES!$C$146)+(2*MATERIALES!$C$144)+(2*MATERIALES!$C$168)+(2*MATERIALES!$C$145)+(10*MATERIALES!$C$145)</f>
        <v>729.78672000000006</v>
      </c>
      <c r="R19" s="75"/>
      <c r="S19" s="55">
        <f>(N19*O19)*MATERIALES!$D$82</f>
        <v>508.79999999999995</v>
      </c>
      <c r="T19" s="59">
        <f t="shared" si="1"/>
        <v>4756.2244800000008</v>
      </c>
      <c r="U19" s="70">
        <f t="shared" si="2"/>
        <v>6114.509376</v>
      </c>
    </row>
    <row r="20" spans="1:22">
      <c r="A20" s="68">
        <v>1.2</v>
      </c>
      <c r="B20" s="69">
        <v>1</v>
      </c>
      <c r="C20" s="59">
        <f>((((A20*2)+(B20*2))*MATERIALES!$C$5)+((A20*2)*MATERIALES!$C$6)+((B20*2)*MATERIALES!$C$7)+((B20*2)*MATERIALES!$C$8))*MATERIALES!$F$2</f>
        <v>3324.4848000000002</v>
      </c>
      <c r="D20" s="59">
        <f>(8*MATERIALES!$C$136)+(8*MATERIALES!$C$137)+(1*MATERIALES!$C$139)+(4*MATERIALES!$C$142)+(8*MATERIALES!$C$144)+((8*4)*MATERIALES!$C$145)+(('HERR CLASICA CORREDIZA'!B20*4)*MATERIALES!$C$140)+((('HERR CLASICA CORREDIZA'!A20*2)+('HERR CLASICA CORREDIZA'!B20*4))*MATERIALES!$C$141)+(4*MATERIALES!$C$148)+((('HERR CLASICA CORREDIZA'!A20*5)*2)*MATERIALES!$C$147)+(4*MATERIALES!$C$146)</f>
        <v>688.47792000000004</v>
      </c>
      <c r="E20" s="75"/>
      <c r="F20" s="55">
        <f>(A20*B20)*MATERIALES!$D$82</f>
        <v>636</v>
      </c>
      <c r="G20" s="59">
        <f t="shared" si="0"/>
        <v>4648.9627200000004</v>
      </c>
      <c r="H20" s="70">
        <f t="shared" si="3"/>
        <v>6087.5552640000005</v>
      </c>
      <c r="N20" s="68">
        <v>1.2</v>
      </c>
      <c r="O20" s="69">
        <v>1</v>
      </c>
      <c r="P20" s="59">
        <f>((((N20*2)+(O20*2))*MATERIALES!$C$5)+((N20*2)*MATERIALES!$C$6)+((O20*2)*MATERIALES!$C$7)+((O20*2)*MATERIALES!$C$8)+((2*O20)*MATERIALES!$C$20)+(O20*MATERIALES!$C$21))*MATERIALES!$F$2</f>
        <v>4013.7552000000001</v>
      </c>
      <c r="Q20" s="59">
        <f>(8*MATERIALES!$C$136)+(8*MATERIALES!$C$137)+(1*MATERIALES!$C$139)+(4*MATERIALES!$C$142)+(8*MATERIALES!$C$144)+((8*4)*MATERIALES!$C$145)+(('HERR CLASICA CORREDIZA'!O20*4)*MATERIALES!$C$140)+((('HERR CLASICA CORREDIZA'!N20*2)+('HERR CLASICA CORREDIZA'!O20*4))*MATERIALES!$C$141)+(4*MATERIALES!$C$148)+((('HERR CLASICA CORREDIZA'!N20*5)*2)*MATERIALES!$C$147)+(4*MATERIALES!$C$146)+(2*MATERIALES!$C$144)+(2*MATERIALES!$C$168)+(2*MATERIALES!$C$145)+(10*MATERIALES!$C$145)</f>
        <v>751.87632000000008</v>
      </c>
      <c r="R20" s="75"/>
      <c r="S20" s="55">
        <f>(N20*O20)*MATERIALES!$D$82</f>
        <v>636</v>
      </c>
      <c r="T20" s="59">
        <f t="shared" si="1"/>
        <v>5401.6315199999999</v>
      </c>
      <c r="U20" s="70">
        <f t="shared" si="2"/>
        <v>6990.7578239999993</v>
      </c>
    </row>
    <row r="21" spans="1:22">
      <c r="A21" s="68">
        <v>1.2</v>
      </c>
      <c r="B21" s="69">
        <v>1.1000000000000001</v>
      </c>
      <c r="C21" s="59">
        <f>((((A21*2)+(B21*2))*MATERIALES!$C$5)+((A21*2)*MATERIALES!$C$6)+((B21*2)*MATERIALES!$C$7)+((B21*2)*MATERIALES!$C$8))*MATERIALES!$F$2</f>
        <v>3503.6164799999997</v>
      </c>
      <c r="D21" s="59">
        <f>(8*MATERIALES!$C$136)+(8*MATERIALES!$C$137)+(1*MATERIALES!$C$139)+(4*MATERIALES!$C$142)+(8*MATERIALES!$C$144)+((8*4)*MATERIALES!$C$145)+(('HERR CLASICA CORREDIZA'!B21*4)*MATERIALES!$C$140)+((('HERR CLASICA CORREDIZA'!A21*2)+('HERR CLASICA CORREDIZA'!B21*4))*MATERIALES!$C$141)+(4*MATERIALES!$C$148)+((('HERR CLASICA CORREDIZA'!A21*5)*2)*MATERIALES!$C$147)+(4*MATERIALES!$C$146)</f>
        <v>699.52271999999994</v>
      </c>
      <c r="E21" s="75"/>
      <c r="F21" s="55">
        <f>(A21*B21)*MATERIALES!$D$82</f>
        <v>699.6</v>
      </c>
      <c r="G21" s="59">
        <f t="shared" si="0"/>
        <v>4902.7392</v>
      </c>
      <c r="H21" s="70">
        <f t="shared" si="3"/>
        <v>6442.9670399999995</v>
      </c>
      <c r="N21" s="68">
        <v>1.2</v>
      </c>
      <c r="O21" s="69">
        <v>1.1000000000000001</v>
      </c>
      <c r="P21" s="59">
        <f>((((N21*2)+(O21*2))*MATERIALES!$C$5)+((N21*2)*MATERIALES!$C$6)+((O21*2)*MATERIALES!$C$7)+((O21*2)*MATERIALES!$C$8)+((2*O21)*MATERIALES!$C$20)+(O21*MATERIALES!$C$21))*MATERIALES!$F$2</f>
        <v>4261.8139199999996</v>
      </c>
      <c r="Q21" s="59">
        <f>(8*MATERIALES!$C$136)+(8*MATERIALES!$C$137)+(1*MATERIALES!$C$139)+(4*MATERIALES!$C$142)+(8*MATERIALES!$C$144)+((8*4)*MATERIALES!$C$145)+(('HERR CLASICA CORREDIZA'!O21*4)*MATERIALES!$C$140)+((('HERR CLASICA CORREDIZA'!N21*2)+('HERR CLASICA CORREDIZA'!O21*4))*MATERIALES!$C$141)+(4*MATERIALES!$C$148)+((('HERR CLASICA CORREDIZA'!N21*5)*2)*MATERIALES!$C$147)+(4*MATERIALES!$C$146)+(2*MATERIALES!$C$144)+(2*MATERIALES!$C$168)+(2*MATERIALES!$C$145)+(10*MATERIALES!$C$145)</f>
        <v>762.92111999999997</v>
      </c>
      <c r="R21" s="75"/>
      <c r="S21" s="55">
        <f>(N21*O21)*MATERIALES!$D$82</f>
        <v>699.6</v>
      </c>
      <c r="T21" s="59">
        <f t="shared" si="1"/>
        <v>5724.3350399999999</v>
      </c>
      <c r="U21" s="70">
        <f t="shared" si="2"/>
        <v>7428.8820479999995</v>
      </c>
    </row>
    <row r="22" spans="1:22">
      <c r="A22" s="68">
        <v>1.2</v>
      </c>
      <c r="B22" s="69">
        <v>1.2</v>
      </c>
      <c r="C22" s="59">
        <f>((((A22*2)+(B22*2))*MATERIALES!$C$5)+((A22*2)*MATERIALES!$C$6)+((B22*2)*MATERIALES!$C$7)+((B22*2)*MATERIALES!$C$8))*MATERIALES!$F$2</f>
        <v>3682.7481599999996</v>
      </c>
      <c r="D22" s="59">
        <f>(8*MATERIALES!$C$136)+(8*MATERIALES!$C$137)+(1*MATERIALES!$C$139)+(4*MATERIALES!$C$142)+(8*MATERIALES!$C$144)+((8*4)*MATERIALES!$C$145)+(('HERR CLASICA CORREDIZA'!B22*4)*MATERIALES!$C$140)+((('HERR CLASICA CORREDIZA'!A22*2)+('HERR CLASICA CORREDIZA'!B22*4))*MATERIALES!$C$141)+(4*MATERIALES!$C$148)+((('HERR CLASICA CORREDIZA'!A22*5)*2)*MATERIALES!$C$147)+(4*MATERIALES!$C$146)</f>
        <v>710.56752000000006</v>
      </c>
      <c r="E22" s="75"/>
      <c r="F22" s="55">
        <f>(A22*B22)*MATERIALES!$D$82</f>
        <v>763.19999999999993</v>
      </c>
      <c r="G22" s="59">
        <f t="shared" si="0"/>
        <v>5156.5156799999995</v>
      </c>
      <c r="H22" s="70">
        <f t="shared" si="3"/>
        <v>6798.3788159999995</v>
      </c>
      <c r="N22" s="68">
        <v>1.2</v>
      </c>
      <c r="O22" s="69">
        <v>1.2</v>
      </c>
      <c r="P22" s="59">
        <f>((((N22*2)+(O22*2))*MATERIALES!$C$5)+((N22*2)*MATERIALES!$C$6)+((O22*2)*MATERIALES!$C$7)+((O22*2)*MATERIALES!$C$8)+((2*O22)*MATERIALES!$C$20)+(O22*MATERIALES!$C$21))*MATERIALES!$F$2</f>
        <v>4509.8726399999996</v>
      </c>
      <c r="Q22" s="59">
        <f>(8*MATERIALES!$C$136)+(8*MATERIALES!$C$137)+(1*MATERIALES!$C$139)+(4*MATERIALES!$C$142)+(8*MATERIALES!$C$144)+((8*4)*MATERIALES!$C$145)+(('HERR CLASICA CORREDIZA'!O22*4)*MATERIALES!$C$140)+((('HERR CLASICA CORREDIZA'!N22*2)+('HERR CLASICA CORREDIZA'!O22*4))*MATERIALES!$C$141)+(4*MATERIALES!$C$148)+((('HERR CLASICA CORREDIZA'!N22*5)*2)*MATERIALES!$C$147)+(4*MATERIALES!$C$146)+(2*MATERIALES!$C$144)+(2*MATERIALES!$C$168)+(2*MATERIALES!$C$145)+(10*MATERIALES!$C$145)</f>
        <v>773.9659200000001</v>
      </c>
      <c r="R22" s="75"/>
      <c r="S22" s="55">
        <f>(N22*O22)*MATERIALES!$D$82</f>
        <v>763.19999999999993</v>
      </c>
      <c r="T22" s="59">
        <f t="shared" si="1"/>
        <v>6047.03856</v>
      </c>
      <c r="U22" s="70">
        <f t="shared" si="2"/>
        <v>7867.0062719999996</v>
      </c>
    </row>
    <row r="23" spans="1:22">
      <c r="A23" s="68">
        <v>1.2</v>
      </c>
      <c r="B23" s="69">
        <v>1.5</v>
      </c>
      <c r="C23" s="59">
        <f>((((A23*2)+(B23*2))*MATERIALES!$C$5)+((A23*2)*MATERIALES!$C$6)+((B23*2)*MATERIALES!$C$7)+((B23*2)*MATERIALES!$C$8))*MATERIALES!$F$2</f>
        <v>4220.1432000000004</v>
      </c>
      <c r="D23" s="59">
        <f>(8*MATERIALES!$C$136)+(8*MATERIALES!$C$137)+(1*MATERIALES!$C$139)+(4*MATERIALES!$C$142)+(8*MATERIALES!$C$144)+((8*4)*MATERIALES!$C$145)+(('HERR CLASICA CORREDIZA'!B23*4)*MATERIALES!$C$140)+((('HERR CLASICA CORREDIZA'!A23*2)+('HERR CLASICA CORREDIZA'!B23*4))*MATERIALES!$C$141)+(4*MATERIALES!$C$148)+((('HERR CLASICA CORREDIZA'!A23*5)*2)*MATERIALES!$C$147)+(4*MATERIALES!$C$146)</f>
        <v>743.70191999999997</v>
      </c>
      <c r="E23" s="75"/>
      <c r="F23" s="55">
        <f>(A23*B23)*MATERIALES!$D$82</f>
        <v>953.99999999999989</v>
      </c>
      <c r="G23" s="59">
        <f t="shared" si="0"/>
        <v>5917.84512</v>
      </c>
      <c r="H23" s="70">
        <f t="shared" si="3"/>
        <v>7864.6141440000001</v>
      </c>
      <c r="N23" s="68">
        <v>1.2</v>
      </c>
      <c r="O23" s="69">
        <v>1.5</v>
      </c>
      <c r="P23" s="59">
        <f>((((N23*2)+(O23*2))*MATERIALES!$C$5)+((N23*2)*MATERIALES!$C$6)+((O23*2)*MATERIALES!$C$7)+((O23*2)*MATERIALES!$C$8)+((2*O23)*MATERIALES!$C$20)+(O23*MATERIALES!$C$21))*MATERIALES!$F$2</f>
        <v>5254.0488000000005</v>
      </c>
      <c r="Q23" s="59">
        <f>(8*MATERIALES!$C$136)+(8*MATERIALES!$C$137)+(1*MATERIALES!$C$139)+(4*MATERIALES!$C$142)+(8*MATERIALES!$C$144)+((8*4)*MATERIALES!$C$145)+(('HERR CLASICA CORREDIZA'!O23*4)*MATERIALES!$C$140)+((('HERR CLASICA CORREDIZA'!N23*2)+('HERR CLASICA CORREDIZA'!O23*4))*MATERIALES!$C$141)+(4*MATERIALES!$C$148)+((('HERR CLASICA CORREDIZA'!N23*5)*2)*MATERIALES!$C$147)+(4*MATERIALES!$C$146)+(2*MATERIALES!$C$144)+(2*MATERIALES!$C$168)+(2*MATERIALES!$C$145)+(10*MATERIALES!$C$145)</f>
        <v>807.10032000000001</v>
      </c>
      <c r="R23" s="75"/>
      <c r="S23" s="55">
        <f>(N23*O23)*MATERIALES!$D$82</f>
        <v>953.99999999999989</v>
      </c>
      <c r="T23" s="59">
        <f t="shared" si="1"/>
        <v>7015.14912</v>
      </c>
      <c r="U23" s="70">
        <f t="shared" si="2"/>
        <v>9181.378944</v>
      </c>
    </row>
    <row r="24" spans="1:22">
      <c r="A24" s="68">
        <v>1.2</v>
      </c>
      <c r="B24" s="69">
        <v>1.8</v>
      </c>
      <c r="C24" s="59">
        <f>((((A24*2)+(B24*2))*MATERIALES!$C$5)+((A24*2)*MATERIALES!$C$6)+((B24*2)*MATERIALES!$C$7)+((B24*2)*MATERIALES!$C$8))*MATERIALES!$F$2</f>
        <v>4757.5382399999999</v>
      </c>
      <c r="D24" s="59">
        <f>(8*MATERIALES!$C$136)+(8*MATERIALES!$C$137)+(1*MATERIALES!$C$139)+(4*MATERIALES!$C$142)+(8*MATERIALES!$C$144)+((8*4)*MATERIALES!$C$145)+(('HERR CLASICA CORREDIZA'!B24*4)*MATERIALES!$C$140)+((('HERR CLASICA CORREDIZA'!A24*2)+('HERR CLASICA CORREDIZA'!B24*4))*MATERIALES!$C$141)+(4*MATERIALES!$C$148)+((('HERR CLASICA CORREDIZA'!A24*5)*2)*MATERIALES!$C$147)+(4*MATERIALES!$C$146)</f>
        <v>776.83632000000011</v>
      </c>
      <c r="E24" s="75"/>
      <c r="F24" s="55">
        <f>(A24*B24)*MATERIALES!$D$82</f>
        <v>1144.8000000000002</v>
      </c>
      <c r="G24" s="59">
        <f t="shared" si="0"/>
        <v>6679.1745600000004</v>
      </c>
      <c r="H24" s="70">
        <f t="shared" si="3"/>
        <v>8930.8494720000017</v>
      </c>
      <c r="N24" s="68">
        <v>1.2</v>
      </c>
      <c r="O24" s="69">
        <v>1.8</v>
      </c>
      <c r="P24" s="59">
        <f>((((N24*2)+(O24*2))*MATERIALES!$C$5)+((N24*2)*MATERIALES!$C$6)+((O24*2)*MATERIALES!$C$7)+((O24*2)*MATERIALES!$C$8)+((2*O24)*MATERIALES!$C$20)+(O24*MATERIALES!$C$21))*MATERIALES!$F$2</f>
        <v>5998.2249600000005</v>
      </c>
      <c r="Q24" s="59">
        <f>(8*MATERIALES!$C$136)+(8*MATERIALES!$C$137)+(1*MATERIALES!$C$139)+(4*MATERIALES!$C$142)+(8*MATERIALES!$C$144)+((8*4)*MATERIALES!$C$145)+(('HERR CLASICA CORREDIZA'!O24*4)*MATERIALES!$C$140)+((('HERR CLASICA CORREDIZA'!N24*2)+('HERR CLASICA CORREDIZA'!O24*4))*MATERIALES!$C$141)+(4*MATERIALES!$C$148)+((('HERR CLASICA CORREDIZA'!N24*5)*2)*MATERIALES!$C$147)+(4*MATERIALES!$C$146)+(2*MATERIALES!$C$144)+(2*MATERIALES!$C$168)+(2*MATERIALES!$C$145)+(10*MATERIALES!$C$145)</f>
        <v>840.23472000000015</v>
      </c>
      <c r="R24" s="75"/>
      <c r="S24" s="55">
        <f>(N24*O24)*MATERIALES!$D$82</f>
        <v>1144.8000000000002</v>
      </c>
      <c r="T24" s="59">
        <f t="shared" si="1"/>
        <v>7983.259680000001</v>
      </c>
      <c r="U24" s="70">
        <f t="shared" si="2"/>
        <v>10495.751616000001</v>
      </c>
    </row>
    <row r="25" spans="1:22">
      <c r="A25" s="68">
        <v>1.5</v>
      </c>
      <c r="B25" s="69">
        <v>0.4</v>
      </c>
      <c r="C25" s="59">
        <f>((((A25*2)+(B25*2))*MATERIALES!$C$5)+((A25*2)*MATERIALES!$C$6)+((B25*2)*MATERIALES!$C$7)+((B25*2)*MATERIALES!$C$8))*MATERIALES!$F$2</f>
        <v>2632.9867199999999</v>
      </c>
      <c r="D25" s="59">
        <f>(8*MATERIALES!$C$136)+(8*MATERIALES!$C$137)+(1*MATERIALES!$C$139)+(4*MATERIALES!$C$142)+(8*MATERIALES!$C$144)+((8*4)*MATERIALES!$C$145)+(('HERR CLASICA CORREDIZA'!B25*4)*MATERIALES!$C$140)+((('HERR CLASICA CORREDIZA'!A25*2)+('HERR CLASICA CORREDIZA'!B25*4))*MATERIALES!$C$141)+(4*MATERIALES!$C$148)+((('HERR CLASICA CORREDIZA'!A25*5)*2)*MATERIALES!$C$147)+(4*MATERIALES!$C$146)</f>
        <v>635.0136</v>
      </c>
      <c r="E25" s="75"/>
      <c r="F25" s="55">
        <f>(A25*B25)*MATERIALES!$D$82</f>
        <v>318.00000000000006</v>
      </c>
      <c r="G25" s="59">
        <f t="shared" si="0"/>
        <v>3586.0003200000001</v>
      </c>
      <c r="H25" s="70">
        <f t="shared" si="3"/>
        <v>4557.6003840000003</v>
      </c>
      <c r="N25" s="68">
        <v>1.5</v>
      </c>
      <c r="O25" s="69">
        <v>0.4</v>
      </c>
      <c r="P25" s="59">
        <f>((((N25*2)+(O25*2))*MATERIALES!$C$5)+((N25*2)*MATERIALES!$C$6)+((O25*2)*MATERIALES!$C$7)+((O25*2)*MATERIALES!$C$8)+((2*O25)*MATERIALES!$C$20)+(O25*MATERIALES!$C$21))*MATERIALES!$F$2</f>
        <v>2908.6948799999996</v>
      </c>
      <c r="Q25" s="59">
        <f>(8*MATERIALES!$C$136)+(8*MATERIALES!$C$137)+(1*MATERIALES!$C$139)+(4*MATERIALES!$C$142)+(8*MATERIALES!$C$144)+((8*4)*MATERIALES!$C$145)+(('HERR CLASICA CORREDIZA'!O25*4)*MATERIALES!$C$140)+((('HERR CLASICA CORREDIZA'!N25*2)+('HERR CLASICA CORREDIZA'!O25*4))*MATERIALES!$C$141)+(4*MATERIALES!$C$148)+((('HERR CLASICA CORREDIZA'!N25*5)*2)*MATERIALES!$C$147)+(4*MATERIALES!$C$146)+(2*MATERIALES!$C$144)+(2*MATERIALES!$C$168)+(2*MATERIALES!$C$145)+(10*MATERIALES!$C$145)</f>
        <v>698.41200000000003</v>
      </c>
      <c r="R25" s="75"/>
      <c r="S25" s="55">
        <f>(N25*O25)*MATERIALES!$D$82</f>
        <v>318.00000000000006</v>
      </c>
      <c r="T25" s="59">
        <f t="shared" si="1"/>
        <v>3925.1068799999994</v>
      </c>
      <c r="U25" s="70">
        <f t="shared" si="2"/>
        <v>4964.5282559999987</v>
      </c>
    </row>
    <row r="26" spans="1:22">
      <c r="A26" s="68">
        <v>1.5</v>
      </c>
      <c r="B26" s="69">
        <v>0.6</v>
      </c>
      <c r="C26" s="59">
        <f>((((A26*2)+(B26*2))*MATERIALES!$C$5)+((A26*2)*MATERIALES!$C$6)+((B26*2)*MATERIALES!$C$7)+((B26*2)*MATERIALES!$C$8))*MATERIALES!$F$2</f>
        <v>2991.2500800000003</v>
      </c>
      <c r="D26" s="59">
        <f>(8*MATERIALES!$C$136)+(8*MATERIALES!$C$137)+(1*MATERIALES!$C$139)+(4*MATERIALES!$C$142)+(8*MATERIALES!$C$144)+((8*4)*MATERIALES!$C$145)+(('HERR CLASICA CORREDIZA'!B26*4)*MATERIALES!$C$140)+((('HERR CLASICA CORREDIZA'!A26*2)+('HERR CLASICA CORREDIZA'!B26*4))*MATERIALES!$C$141)+(4*MATERIALES!$C$148)+((('HERR CLASICA CORREDIZA'!A26*5)*2)*MATERIALES!$C$147)+(4*MATERIALES!$C$146)</f>
        <v>657.10320000000002</v>
      </c>
      <c r="E26" s="75"/>
      <c r="F26" s="55">
        <f>(A26*B26)*MATERIALES!$D$82</f>
        <v>476.99999999999994</v>
      </c>
      <c r="G26" s="59">
        <f t="shared" si="0"/>
        <v>4125.3532800000003</v>
      </c>
      <c r="H26" s="70">
        <f t="shared" si="3"/>
        <v>5332.0239360000005</v>
      </c>
      <c r="N26" s="68">
        <v>1.5</v>
      </c>
      <c r="O26" s="69">
        <v>0.6</v>
      </c>
      <c r="P26" s="59">
        <f>((((N26*2)+(O26*2))*MATERIALES!$C$5)+((N26*2)*MATERIALES!$C$6)+((O26*2)*MATERIALES!$C$7)+((O26*2)*MATERIALES!$C$8)+((2*O26)*MATERIALES!$C$20)+(O26*MATERIALES!$C$21))*MATERIALES!$F$2</f>
        <v>3404.8123200000005</v>
      </c>
      <c r="Q26" s="59">
        <f>(8*MATERIALES!$C$136)+(8*MATERIALES!$C$137)+(1*MATERIALES!$C$139)+(4*MATERIALES!$C$142)+(8*MATERIALES!$C$144)+((8*4)*MATERIALES!$C$145)+(('HERR CLASICA CORREDIZA'!O26*4)*MATERIALES!$C$140)+((('HERR CLASICA CORREDIZA'!N26*2)+('HERR CLASICA CORREDIZA'!O26*4))*MATERIALES!$C$141)+(4*MATERIALES!$C$148)+((('HERR CLASICA CORREDIZA'!N26*5)*2)*MATERIALES!$C$147)+(4*MATERIALES!$C$146)+(2*MATERIALES!$C$144)+(2*MATERIALES!$C$168)+(2*MATERIALES!$C$145)+(10*MATERIALES!$C$145)</f>
        <v>720.50160000000005</v>
      </c>
      <c r="R26" s="75"/>
      <c r="S26" s="55">
        <f>(N26*O26)*MATERIALES!$D$82</f>
        <v>476.99999999999994</v>
      </c>
      <c r="T26" s="59">
        <f t="shared" si="1"/>
        <v>4602.3139200000005</v>
      </c>
      <c r="U26" s="70">
        <f t="shared" si="2"/>
        <v>5904.3767040000002</v>
      </c>
    </row>
    <row r="27" spans="1:22">
      <c r="A27" s="68">
        <v>1.5</v>
      </c>
      <c r="B27" s="69">
        <v>0.8</v>
      </c>
      <c r="C27" s="59">
        <f>((((A27*2)+(B27*2))*MATERIALES!$C$5)+((A27*2)*MATERIALES!$C$6)+((B27*2)*MATERIALES!$C$7)+((B27*2)*MATERIALES!$C$8))*MATERIALES!$F$2</f>
        <v>3349.5134400000006</v>
      </c>
      <c r="D27" s="59">
        <f>(8*MATERIALES!$C$136)+(8*MATERIALES!$C$137)+(1*MATERIALES!$C$139)+(4*MATERIALES!$C$142)+(8*MATERIALES!$C$144)+((8*4)*MATERIALES!$C$145)+(('HERR CLASICA CORREDIZA'!B27*4)*MATERIALES!$C$140)+((('HERR CLASICA CORREDIZA'!A27*2)+('HERR CLASICA CORREDIZA'!B27*4))*MATERIALES!$C$141)+(4*MATERIALES!$C$148)+((('HERR CLASICA CORREDIZA'!A27*5)*2)*MATERIALES!$C$147)+(4*MATERIALES!$C$146)</f>
        <v>679.19280000000003</v>
      </c>
      <c r="E27" s="75"/>
      <c r="F27" s="55">
        <f>(A27*B27)*MATERIALES!$D$82</f>
        <v>636.00000000000011</v>
      </c>
      <c r="G27" s="59">
        <f t="shared" si="0"/>
        <v>4664.7062400000004</v>
      </c>
      <c r="H27" s="70">
        <f t="shared" si="3"/>
        <v>6106.4474880000007</v>
      </c>
      <c r="N27" s="68">
        <v>1.5</v>
      </c>
      <c r="O27" s="69">
        <v>0.8</v>
      </c>
      <c r="P27" s="59">
        <f>((((N27*2)+(O27*2))*MATERIALES!$C$5)+((N27*2)*MATERIALES!$C$6)+((O27*2)*MATERIALES!$C$7)+((O27*2)*MATERIALES!$C$8)+((2*O27)*MATERIALES!$C$20)+(O27*MATERIALES!$C$21))*MATERIALES!$F$2</f>
        <v>3900.9297600000009</v>
      </c>
      <c r="Q27" s="59">
        <f>(8*MATERIALES!$C$136)+(8*MATERIALES!$C$137)+(1*MATERIALES!$C$139)+(4*MATERIALES!$C$142)+(8*MATERIALES!$C$144)+((8*4)*MATERIALES!$C$145)+(('HERR CLASICA CORREDIZA'!O27*4)*MATERIALES!$C$140)+((('HERR CLASICA CORREDIZA'!N27*2)+('HERR CLASICA CORREDIZA'!O27*4))*MATERIALES!$C$141)+(4*MATERIALES!$C$148)+((('HERR CLASICA CORREDIZA'!N27*5)*2)*MATERIALES!$C$147)+(4*MATERIALES!$C$146)+(2*MATERIALES!$C$144)+(2*MATERIALES!$C$168)+(2*MATERIALES!$C$145)+(10*MATERIALES!$C$145)</f>
        <v>742.59120000000007</v>
      </c>
      <c r="R27" s="75"/>
      <c r="S27" s="55">
        <f>(N27*O27)*MATERIALES!$D$82</f>
        <v>636.00000000000011</v>
      </c>
      <c r="T27" s="59">
        <f t="shared" si="1"/>
        <v>5279.5209600000007</v>
      </c>
      <c r="U27" s="70">
        <f t="shared" si="2"/>
        <v>6844.2251520000009</v>
      </c>
    </row>
    <row r="28" spans="1:22">
      <c r="A28" s="68">
        <v>1.5</v>
      </c>
      <c r="B28" s="69">
        <v>1</v>
      </c>
      <c r="C28" s="59">
        <f>((((A28*2)+(B28*2))*MATERIALES!$C$5)+((A28*2)*MATERIALES!$C$6)+((B28*2)*MATERIALES!$C$7)+((B28*2)*MATERIALES!$C$8))*MATERIALES!$F$2</f>
        <v>3707.7768000000005</v>
      </c>
      <c r="D28" s="59">
        <f>(8*MATERIALES!$C$136)+(8*MATERIALES!$C$137)+(1*MATERIALES!$C$139)+(4*MATERIALES!$C$142)+(8*MATERIALES!$C$144)+((8*4)*MATERIALES!$C$145)+(('HERR CLASICA CORREDIZA'!B28*4)*MATERIALES!$C$140)+((('HERR CLASICA CORREDIZA'!A28*2)+('HERR CLASICA CORREDIZA'!B28*4))*MATERIALES!$C$141)+(4*MATERIALES!$C$148)+((('HERR CLASICA CORREDIZA'!A28*5)*2)*MATERIALES!$C$147)+(4*MATERIALES!$C$146)</f>
        <v>701.28240000000005</v>
      </c>
      <c r="E28" s="75"/>
      <c r="F28" s="55">
        <f>(A28*B28)*MATERIALES!$D$82</f>
        <v>795</v>
      </c>
      <c r="G28" s="59">
        <f t="shared" si="0"/>
        <v>5204.0592000000006</v>
      </c>
      <c r="H28" s="70">
        <f t="shared" si="3"/>
        <v>6880.8710400000009</v>
      </c>
      <c r="N28" s="68">
        <v>1.5</v>
      </c>
      <c r="O28" s="69">
        <v>1</v>
      </c>
      <c r="P28" s="59">
        <f>((((N28*2)+(O28*2))*MATERIALES!$C$5)+((N28*2)*MATERIALES!$C$6)+((O28*2)*MATERIALES!$C$7)+((O28*2)*MATERIALES!$C$8)+((2*O28)*MATERIALES!$C$20)+(O28*MATERIALES!$C$21))*MATERIALES!$F$2</f>
        <v>4397.0472000000009</v>
      </c>
      <c r="Q28" s="59">
        <f>(8*MATERIALES!$C$136)+(8*MATERIALES!$C$137)+(1*MATERIALES!$C$139)+(4*MATERIALES!$C$142)+(8*MATERIALES!$C$144)+((8*4)*MATERIALES!$C$145)+(('HERR CLASICA CORREDIZA'!O28*4)*MATERIALES!$C$140)+((('HERR CLASICA CORREDIZA'!N28*2)+('HERR CLASICA CORREDIZA'!O28*4))*MATERIALES!$C$141)+(4*MATERIALES!$C$148)+((('HERR CLASICA CORREDIZA'!N28*5)*2)*MATERIALES!$C$147)+(4*MATERIALES!$C$146)+(2*MATERIALES!$C$144)+(2*MATERIALES!$C$168)+(2*MATERIALES!$C$145)+(10*MATERIALES!$C$145)</f>
        <v>764.68080000000009</v>
      </c>
      <c r="R28" s="75"/>
      <c r="S28" s="55">
        <f>(N28*O28)*MATERIALES!$D$82</f>
        <v>795</v>
      </c>
      <c r="T28" s="59">
        <f t="shared" si="1"/>
        <v>5956.728000000001</v>
      </c>
      <c r="U28" s="70">
        <f t="shared" si="2"/>
        <v>7784.0736000000006</v>
      </c>
    </row>
    <row r="29" spans="1:22">
      <c r="A29" s="68">
        <v>1.5</v>
      </c>
      <c r="B29" s="69">
        <v>1.1000000000000001</v>
      </c>
      <c r="C29" s="59">
        <f>((((A29*2)+(B29*2))*MATERIALES!$C$5)+((A29*2)*MATERIALES!$C$6)+((B29*2)*MATERIALES!$C$7)+((B29*2)*MATERIALES!$C$8))*MATERIALES!$F$2</f>
        <v>3886.9084800000001</v>
      </c>
      <c r="D29" s="59">
        <f>(8*MATERIALES!$C$136)+(8*MATERIALES!$C$137)+(1*MATERIALES!$C$139)+(4*MATERIALES!$C$142)+(8*MATERIALES!$C$144)+((8*4)*MATERIALES!$C$145)+(('HERR CLASICA CORREDIZA'!B29*4)*MATERIALES!$C$140)+((('HERR CLASICA CORREDIZA'!A29*2)+('HERR CLASICA CORREDIZA'!B29*4))*MATERIALES!$C$141)+(4*MATERIALES!$C$148)+((('HERR CLASICA CORREDIZA'!A29*5)*2)*MATERIALES!$C$147)+(4*MATERIALES!$C$146)</f>
        <v>712.32719999999995</v>
      </c>
      <c r="E29" s="75"/>
      <c r="F29" s="55">
        <f>(A29*B29)*MATERIALES!$D$82</f>
        <v>874.50000000000011</v>
      </c>
      <c r="G29" s="59">
        <f t="shared" si="0"/>
        <v>5473.7356799999998</v>
      </c>
      <c r="H29" s="70">
        <f t="shared" si="3"/>
        <v>7268.0828159999992</v>
      </c>
      <c r="N29" s="68">
        <v>1.5</v>
      </c>
      <c r="O29" s="69">
        <v>1.1000000000000001</v>
      </c>
      <c r="P29" s="59">
        <f>((((N29*2)+(O29*2))*MATERIALES!$C$5)+((N29*2)*MATERIALES!$C$6)+((O29*2)*MATERIALES!$C$7)+((O29*2)*MATERIALES!$C$8)+((2*O29)*MATERIALES!$C$20)+(O29*MATERIALES!$C$21))*MATERIALES!$F$2</f>
        <v>4645.10592</v>
      </c>
      <c r="Q29" s="59">
        <f>(8*MATERIALES!$C$136)+(8*MATERIALES!$C$137)+(1*MATERIALES!$C$139)+(4*MATERIALES!$C$142)+(8*MATERIALES!$C$144)+((8*4)*MATERIALES!$C$145)+(('HERR CLASICA CORREDIZA'!O29*4)*MATERIALES!$C$140)+((('HERR CLASICA CORREDIZA'!N29*2)+('HERR CLASICA CORREDIZA'!O29*4))*MATERIALES!$C$141)+(4*MATERIALES!$C$148)+((('HERR CLASICA CORREDIZA'!N29*5)*2)*MATERIALES!$C$147)+(4*MATERIALES!$C$146)+(2*MATERIALES!$C$144)+(2*MATERIALES!$C$168)+(2*MATERIALES!$C$145)+(10*MATERIALES!$C$145)</f>
        <v>775.72559999999999</v>
      </c>
      <c r="R29" s="75"/>
      <c r="S29" s="55">
        <f>(N29*O29)*MATERIALES!$D$82</f>
        <v>874.50000000000011</v>
      </c>
      <c r="T29" s="59">
        <f t="shared" si="1"/>
        <v>6295.3315199999997</v>
      </c>
      <c r="U29" s="70">
        <f t="shared" si="2"/>
        <v>8253.997824</v>
      </c>
    </row>
    <row r="30" spans="1:22">
      <c r="A30" s="68">
        <v>1.5</v>
      </c>
      <c r="B30" s="69">
        <v>1.2</v>
      </c>
      <c r="C30" s="59">
        <f>((((A30*2)+(B30*2))*MATERIALES!$C$5)+((A30*2)*MATERIALES!$C$6)+((B30*2)*MATERIALES!$C$7)+((B30*2)*MATERIALES!$C$8))*MATERIALES!$F$2</f>
        <v>4066.0401600000005</v>
      </c>
      <c r="D30" s="59">
        <f>(8*MATERIALES!$C$136)+(8*MATERIALES!$C$137)+(1*MATERIALES!$C$139)+(4*MATERIALES!$C$142)+(8*MATERIALES!$C$144)+((8*4)*MATERIALES!$C$145)+(('HERR CLASICA CORREDIZA'!B30*4)*MATERIALES!$C$140)+((('HERR CLASICA CORREDIZA'!A30*2)+('HERR CLASICA CORREDIZA'!B30*4))*MATERIALES!$C$141)+(4*MATERIALES!$C$148)+((('HERR CLASICA CORREDIZA'!A30*5)*2)*MATERIALES!$C$147)+(4*MATERIALES!$C$146)</f>
        <v>723.37200000000007</v>
      </c>
      <c r="E30" s="75"/>
      <c r="F30" s="55">
        <f>(A30*B30)*MATERIALES!$D$82</f>
        <v>953.99999999999989</v>
      </c>
      <c r="G30" s="59">
        <f t="shared" si="0"/>
        <v>5743.4121600000008</v>
      </c>
      <c r="H30" s="70">
        <f t="shared" si="3"/>
        <v>7655.2945920000011</v>
      </c>
      <c r="N30" s="68">
        <v>1.5</v>
      </c>
      <c r="O30" s="69">
        <v>1.2</v>
      </c>
      <c r="P30" s="59">
        <f>((((N30*2)+(O30*2))*MATERIALES!$C$5)+((N30*2)*MATERIALES!$C$6)+((O30*2)*MATERIALES!$C$7)+((O30*2)*MATERIALES!$C$8)+((2*O30)*MATERIALES!$C$20)+(O30*MATERIALES!$C$21))*MATERIALES!$F$2</f>
        <v>4893.16464</v>
      </c>
      <c r="Q30" s="59">
        <f>(8*MATERIALES!$C$136)+(8*MATERIALES!$C$137)+(1*MATERIALES!$C$139)+(4*MATERIALES!$C$142)+(8*MATERIALES!$C$144)+((8*4)*MATERIALES!$C$145)+(('HERR CLASICA CORREDIZA'!O30*4)*MATERIALES!$C$140)+((('HERR CLASICA CORREDIZA'!N30*2)+('HERR CLASICA CORREDIZA'!O30*4))*MATERIALES!$C$141)+(4*MATERIALES!$C$148)+((('HERR CLASICA CORREDIZA'!N30*5)*2)*MATERIALES!$C$147)+(4*MATERIALES!$C$146)+(2*MATERIALES!$C$144)+(2*MATERIALES!$C$168)+(2*MATERIALES!$C$145)+(10*MATERIALES!$C$145)</f>
        <v>786.77040000000011</v>
      </c>
      <c r="R30" s="75"/>
      <c r="S30" s="55">
        <f>(N30*O30)*MATERIALES!$D$82</f>
        <v>953.99999999999989</v>
      </c>
      <c r="T30" s="59">
        <f t="shared" si="1"/>
        <v>6633.9350400000003</v>
      </c>
      <c r="U30" s="70">
        <f t="shared" si="2"/>
        <v>8723.9220480000004</v>
      </c>
    </row>
    <row r="31" spans="1:22">
      <c r="A31" s="68">
        <v>1.5</v>
      </c>
      <c r="B31" s="69">
        <v>1.5</v>
      </c>
      <c r="C31" s="59">
        <f>((((A31*2)+(B31*2))*MATERIALES!$C$5)+((A31*2)*MATERIALES!$C$6)+((B31*2)*MATERIALES!$C$7)+((B31*2)*MATERIALES!$C$8))*MATERIALES!$F$2</f>
        <v>4603.4351999999999</v>
      </c>
      <c r="D31" s="59">
        <f>(8*MATERIALES!$C$136)+(8*MATERIALES!$C$137)+(1*MATERIALES!$C$139)+(4*MATERIALES!$C$142)+(8*MATERIALES!$C$144)+((8*4)*MATERIALES!$C$145)+(('HERR CLASICA CORREDIZA'!B31*4)*MATERIALES!$C$140)+((('HERR CLASICA CORREDIZA'!A31*2)+('HERR CLASICA CORREDIZA'!B31*4))*MATERIALES!$C$141)+(4*MATERIALES!$C$148)+((('HERR CLASICA CORREDIZA'!A31*5)*2)*MATERIALES!$C$147)+(4*MATERIALES!$C$146)</f>
        <v>756.50639999999999</v>
      </c>
      <c r="E31" s="75"/>
      <c r="F31" s="55">
        <f>(A31*B31)*MATERIALES!$D$82</f>
        <v>1192.5</v>
      </c>
      <c r="G31" s="59">
        <f t="shared" si="0"/>
        <v>6552.4416000000001</v>
      </c>
      <c r="H31" s="70">
        <f t="shared" si="3"/>
        <v>8816.9299199999987</v>
      </c>
      <c r="N31" s="68">
        <v>1.5</v>
      </c>
      <c r="O31" s="69">
        <v>1.5</v>
      </c>
      <c r="P31" s="59">
        <f>((((N31*2)+(O31*2))*MATERIALES!$C$5)+((N31*2)*MATERIALES!$C$6)+((O31*2)*MATERIALES!$C$7)+((O31*2)*MATERIALES!$C$8)+((2*O31)*MATERIALES!$C$20)+(O31*MATERIALES!$C$21))*MATERIALES!$F$2</f>
        <v>5637.3408000000009</v>
      </c>
      <c r="Q31" s="59">
        <f>(8*MATERIALES!$C$136)+(8*MATERIALES!$C$137)+(1*MATERIALES!$C$139)+(4*MATERIALES!$C$142)+(8*MATERIALES!$C$144)+((8*4)*MATERIALES!$C$145)+(('HERR CLASICA CORREDIZA'!O31*4)*MATERIALES!$C$140)+((('HERR CLASICA CORREDIZA'!N31*2)+('HERR CLASICA CORREDIZA'!O31*4))*MATERIALES!$C$141)+(4*MATERIALES!$C$148)+((('HERR CLASICA CORREDIZA'!N31*5)*2)*MATERIALES!$C$147)+(4*MATERIALES!$C$146)+(2*MATERIALES!$C$144)+(2*MATERIALES!$C$168)+(2*MATERIALES!$C$145)+(10*MATERIALES!$C$145)</f>
        <v>819.90480000000002</v>
      </c>
      <c r="R31" s="75"/>
      <c r="S31" s="55">
        <f>(N31*O31)*MATERIALES!$D$82</f>
        <v>1192.5</v>
      </c>
      <c r="T31" s="59">
        <f t="shared" si="1"/>
        <v>7649.7456000000011</v>
      </c>
      <c r="U31" s="70">
        <f t="shared" si="2"/>
        <v>10133.694720000001</v>
      </c>
    </row>
    <row r="32" spans="1:22" ht="15" customHeight="1">
      <c r="A32" s="68">
        <v>1.5</v>
      </c>
      <c r="B32" s="69">
        <v>1.8</v>
      </c>
      <c r="C32" s="59">
        <f>((((A32*2)+(B32*2))*MATERIALES!$C$5)+((A32*2)*MATERIALES!$C$6)+((B32*2)*MATERIALES!$C$7)+((B32*2)*MATERIALES!$C$8))*MATERIALES!$F$2</f>
        <v>5140.8302400000002</v>
      </c>
      <c r="D32" s="59">
        <f>(8*MATERIALES!$C$136)+(8*MATERIALES!$C$137)+(1*MATERIALES!$C$139)+(4*MATERIALES!$C$142)+(8*MATERIALES!$C$144)+((8*4)*MATERIALES!$C$145)+(('HERR CLASICA CORREDIZA'!B32*4)*MATERIALES!$C$140)+((('HERR CLASICA CORREDIZA'!A32*2)+('HERR CLASICA CORREDIZA'!B32*4))*MATERIALES!$C$141)+(4*MATERIALES!$C$148)+((('HERR CLASICA CORREDIZA'!A32*5)*2)*MATERIALES!$C$147)+(4*MATERIALES!$C$146)</f>
        <v>789.64080000000013</v>
      </c>
      <c r="E32" s="75"/>
      <c r="F32" s="55">
        <f>(A32*B32)*MATERIALES!$D$82</f>
        <v>1431</v>
      </c>
      <c r="G32" s="59">
        <f t="shared" si="0"/>
        <v>7361.4710400000004</v>
      </c>
      <c r="H32" s="70">
        <f t="shared" si="3"/>
        <v>9978.565247999999</v>
      </c>
      <c r="I32" s="57"/>
      <c r="N32" s="68">
        <v>1.5</v>
      </c>
      <c r="O32" s="69">
        <v>1.8</v>
      </c>
      <c r="P32" s="59">
        <f>((((N32*2)+(O32*2))*MATERIALES!$C$5)+((N32*2)*MATERIALES!$C$6)+((O32*2)*MATERIALES!$C$7)+((O32*2)*MATERIALES!$C$8)+((2*O32)*MATERIALES!$C$20)+(O32*MATERIALES!$C$21))*MATERIALES!$F$2</f>
        <v>6381.5169599999999</v>
      </c>
      <c r="Q32" s="59">
        <f>(8*MATERIALES!$C$136)+(8*MATERIALES!$C$137)+(1*MATERIALES!$C$139)+(4*MATERIALES!$C$142)+(8*MATERIALES!$C$144)+((8*4)*MATERIALES!$C$145)+(('HERR CLASICA CORREDIZA'!O32*4)*MATERIALES!$C$140)+((('HERR CLASICA CORREDIZA'!N32*2)+('HERR CLASICA CORREDIZA'!O32*4))*MATERIALES!$C$141)+(4*MATERIALES!$C$148)+((('HERR CLASICA CORREDIZA'!N32*5)*2)*MATERIALES!$C$147)+(4*MATERIALES!$C$146)+(2*MATERIALES!$C$144)+(2*MATERIALES!$C$168)+(2*MATERIALES!$C$145)+(10*MATERIALES!$C$145)</f>
        <v>853.03920000000016</v>
      </c>
      <c r="R32" s="75"/>
      <c r="S32" s="55">
        <f>(N32*O32)*MATERIALES!$D$82</f>
        <v>1431</v>
      </c>
      <c r="T32" s="59">
        <f t="shared" si="1"/>
        <v>8665.5561600000001</v>
      </c>
      <c r="U32" s="70">
        <f t="shared" si="2"/>
        <v>11543.467392</v>
      </c>
      <c r="V32" s="57"/>
    </row>
    <row r="33" spans="1:22">
      <c r="A33" s="68">
        <v>1.8</v>
      </c>
      <c r="B33" s="69">
        <v>0.8</v>
      </c>
      <c r="C33" s="59">
        <f>((((A33*2)+(B33*2))*MATERIALES!$C$5)+((A33*2)*MATERIALES!$C$6)+((B33*2)*MATERIALES!$C$7)+((B33*2)*MATERIALES!$C$8))*MATERIALES!$F$2</f>
        <v>3732.8054400000005</v>
      </c>
      <c r="D33" s="59">
        <f>(8*MATERIALES!$C$136)+(8*MATERIALES!$C$137)+(1*MATERIALES!$C$139)+(4*MATERIALES!$C$142)+(8*MATERIALES!$C$144)+((8*4)*MATERIALES!$C$145)+(('HERR CLASICA CORREDIZA'!B33*4)*MATERIALES!$C$140)+((('HERR CLASICA CORREDIZA'!A33*2)+('HERR CLASICA CORREDIZA'!B33*4))*MATERIALES!$C$141)+(4*MATERIALES!$C$148)+((('HERR CLASICA CORREDIZA'!A33*5)*2)*MATERIALES!$C$147)+(4*MATERIALES!$C$146)</f>
        <v>691.99728000000005</v>
      </c>
      <c r="E33" s="75"/>
      <c r="F33" s="55">
        <f>(A33*B33)*MATERIALES!$D$82</f>
        <v>763.2</v>
      </c>
      <c r="G33" s="59">
        <f t="shared" si="0"/>
        <v>5188.0027200000004</v>
      </c>
      <c r="H33" s="70">
        <f t="shared" si="3"/>
        <v>6836.1632640000007</v>
      </c>
      <c r="I33" s="57"/>
      <c r="J33" s="53"/>
      <c r="N33" s="68">
        <v>1.8</v>
      </c>
      <c r="O33" s="69">
        <v>0.8</v>
      </c>
      <c r="P33" s="59">
        <f>((((N33*2)+(O33*2))*MATERIALES!$C$5)+((N33*2)*MATERIALES!$C$6)+((O33*2)*MATERIALES!$C$7)+((O33*2)*MATERIALES!$C$8)+((2*O33)*MATERIALES!$C$20)+(O33*MATERIALES!$C$21))*MATERIALES!$F$2</f>
        <v>4284.2217600000013</v>
      </c>
      <c r="Q33" s="59">
        <f>(8*MATERIALES!$C$136)+(8*MATERIALES!$C$137)+(1*MATERIALES!$C$139)+(4*MATERIALES!$C$142)+(8*MATERIALES!$C$144)+((8*4)*MATERIALES!$C$145)+(('HERR CLASICA CORREDIZA'!O33*4)*MATERIALES!$C$140)+((('HERR CLASICA CORREDIZA'!N33*2)+('HERR CLASICA CORREDIZA'!O33*4))*MATERIALES!$C$141)+(4*MATERIALES!$C$148)+((('HERR CLASICA CORREDIZA'!N33*5)*2)*MATERIALES!$C$147)+(4*MATERIALES!$C$146)+(2*MATERIALES!$C$144)+(2*MATERIALES!$C$168)+(2*MATERIALES!$C$145)+(10*MATERIALES!$C$145)</f>
        <v>755.39568000000008</v>
      </c>
      <c r="R33" s="75"/>
      <c r="S33" s="55">
        <f>(N33*O33)*MATERIALES!$D$82</f>
        <v>763.2</v>
      </c>
      <c r="T33" s="59">
        <f t="shared" si="1"/>
        <v>5802.8174400000016</v>
      </c>
      <c r="U33" s="70">
        <f t="shared" si="2"/>
        <v>7573.9409280000018</v>
      </c>
      <c r="V33" s="57"/>
    </row>
    <row r="34" spans="1:22">
      <c r="A34" s="68">
        <v>1.8</v>
      </c>
      <c r="B34" s="69">
        <v>1</v>
      </c>
      <c r="C34" s="59">
        <f>((((A34*2)+(B34*2))*MATERIALES!$C$5)+((A34*2)*MATERIALES!$C$6)+((B34*2)*MATERIALES!$C$7)+((B34*2)*MATERIALES!$C$8))*MATERIALES!$F$2</f>
        <v>4091.0688</v>
      </c>
      <c r="D34" s="59">
        <f>(8*MATERIALES!$C$136)+(8*MATERIALES!$C$137)+(1*MATERIALES!$C$139)+(4*MATERIALES!$C$142)+(8*MATERIALES!$C$144)+((8*4)*MATERIALES!$C$145)+(('HERR CLASICA CORREDIZA'!B34*4)*MATERIALES!$C$140)+((('HERR CLASICA CORREDIZA'!A34*2)+('HERR CLASICA CORREDIZA'!B34*4))*MATERIALES!$C$141)+(4*MATERIALES!$C$148)+((('HERR CLASICA CORREDIZA'!A34*5)*2)*MATERIALES!$C$147)+(4*MATERIALES!$C$146)</f>
        <v>714.08688000000006</v>
      </c>
      <c r="E34" s="75"/>
      <c r="F34" s="55">
        <f>(A34*B34)*MATERIALES!$D$82</f>
        <v>954</v>
      </c>
      <c r="G34" s="59">
        <f t="shared" si="0"/>
        <v>5759.1556799999998</v>
      </c>
      <c r="H34" s="70">
        <f t="shared" si="3"/>
        <v>7674.1868159999995</v>
      </c>
      <c r="I34" s="57"/>
      <c r="N34" s="68">
        <v>1.8</v>
      </c>
      <c r="O34" s="69">
        <v>1</v>
      </c>
      <c r="P34" s="59">
        <f>((((N34*2)+(O34*2))*MATERIALES!$C$5)+((N34*2)*MATERIALES!$C$6)+((O34*2)*MATERIALES!$C$7)+((O34*2)*MATERIALES!$C$8)+((2*O34)*MATERIALES!$C$20)+(O34*MATERIALES!$C$21))*MATERIALES!$F$2</f>
        <v>4780.3392000000003</v>
      </c>
      <c r="Q34" s="59">
        <f>(8*MATERIALES!$C$136)+(8*MATERIALES!$C$137)+(1*MATERIALES!$C$139)+(4*MATERIALES!$C$142)+(8*MATERIALES!$C$144)+((8*4)*MATERIALES!$C$145)+(('HERR CLASICA CORREDIZA'!O34*4)*MATERIALES!$C$140)+((('HERR CLASICA CORREDIZA'!N34*2)+('HERR CLASICA CORREDIZA'!O34*4))*MATERIALES!$C$141)+(4*MATERIALES!$C$148)+((('HERR CLASICA CORREDIZA'!N34*5)*2)*MATERIALES!$C$147)+(4*MATERIALES!$C$146)+(2*MATERIALES!$C$144)+(2*MATERIALES!$C$168)+(2*MATERIALES!$C$145)+(10*MATERIALES!$C$145)</f>
        <v>777.4852800000001</v>
      </c>
      <c r="R34" s="75"/>
      <c r="S34" s="55">
        <f>(N34*O34)*MATERIALES!$D$82</f>
        <v>954</v>
      </c>
      <c r="T34" s="59">
        <f t="shared" si="1"/>
        <v>6511.8244800000002</v>
      </c>
      <c r="U34" s="70">
        <f t="shared" si="2"/>
        <v>8577.3893759999992</v>
      </c>
      <c r="V34" s="57"/>
    </row>
    <row r="35" spans="1:22">
      <c r="A35" s="68">
        <v>1.8</v>
      </c>
      <c r="B35" s="69">
        <v>1.1000000000000001</v>
      </c>
      <c r="C35" s="59">
        <f>((((A35*2)+(B35*2))*MATERIALES!$C$5)+((A35*2)*MATERIALES!$C$6)+((B35*2)*MATERIALES!$C$7)+((B35*2)*MATERIALES!$C$8))*MATERIALES!$F$2</f>
        <v>4270.2004800000004</v>
      </c>
      <c r="D35" s="59">
        <f>(8*MATERIALES!$C$136)+(8*MATERIALES!$C$137)+(1*MATERIALES!$C$139)+(4*MATERIALES!$C$142)+(8*MATERIALES!$C$144)+((8*4)*MATERIALES!$C$145)+(('HERR CLASICA CORREDIZA'!B35*4)*MATERIALES!$C$140)+((('HERR CLASICA CORREDIZA'!A35*2)+('HERR CLASICA CORREDIZA'!B35*4))*MATERIALES!$C$141)+(4*MATERIALES!$C$148)+((('HERR CLASICA CORREDIZA'!A35*5)*2)*MATERIALES!$C$147)+(4*MATERIALES!$C$146)</f>
        <v>725.13167999999996</v>
      </c>
      <c r="E35" s="75"/>
      <c r="F35" s="55">
        <f>(A35*B35)*MATERIALES!$D$82</f>
        <v>1049.4000000000001</v>
      </c>
      <c r="G35" s="59">
        <f t="shared" si="0"/>
        <v>6044.7321599999996</v>
      </c>
      <c r="H35" s="70">
        <f t="shared" si="3"/>
        <v>8093.1985919999997</v>
      </c>
      <c r="I35" s="57"/>
      <c r="N35" s="68">
        <v>1.8</v>
      </c>
      <c r="O35" s="69">
        <v>1.1000000000000001</v>
      </c>
      <c r="P35" s="59">
        <f>((((N35*2)+(O35*2))*MATERIALES!$C$5)+((N35*2)*MATERIALES!$C$6)+((O35*2)*MATERIALES!$C$7)+((O35*2)*MATERIALES!$C$8)+((2*O35)*MATERIALES!$C$20)+(O35*MATERIALES!$C$21))*MATERIALES!$F$2</f>
        <v>5028.3979200000003</v>
      </c>
      <c r="Q35" s="59">
        <f>(8*MATERIALES!$C$136)+(8*MATERIALES!$C$137)+(1*MATERIALES!$C$139)+(4*MATERIALES!$C$142)+(8*MATERIALES!$C$144)+((8*4)*MATERIALES!$C$145)+(('HERR CLASICA CORREDIZA'!O35*4)*MATERIALES!$C$140)+((('HERR CLASICA CORREDIZA'!N35*2)+('HERR CLASICA CORREDIZA'!O35*4))*MATERIALES!$C$141)+(4*MATERIALES!$C$148)+((('HERR CLASICA CORREDIZA'!N35*5)*2)*MATERIALES!$C$147)+(4*MATERIALES!$C$146)+(2*MATERIALES!$C$144)+(2*MATERIALES!$C$168)+(2*MATERIALES!$C$145)+(10*MATERIALES!$C$145)</f>
        <v>788.53008</v>
      </c>
      <c r="R35" s="75"/>
      <c r="S35" s="55">
        <f>(N35*O35)*MATERIALES!$D$82</f>
        <v>1049.4000000000001</v>
      </c>
      <c r="T35" s="59">
        <f t="shared" si="1"/>
        <v>6866.3279999999995</v>
      </c>
      <c r="U35" s="70">
        <f t="shared" si="2"/>
        <v>9079.1136000000006</v>
      </c>
      <c r="V35" s="57"/>
    </row>
    <row r="36" spans="1:22">
      <c r="A36" s="68">
        <v>1.8</v>
      </c>
      <c r="B36" s="69">
        <v>1.2</v>
      </c>
      <c r="C36" s="59">
        <f>((((A36*2)+(B36*2))*MATERIALES!$C$5)+((A36*2)*MATERIALES!$C$6)+((B36*2)*MATERIALES!$C$7)+((B36*2)*MATERIALES!$C$8))*MATERIALES!$F$2</f>
        <v>4449.3321599999999</v>
      </c>
      <c r="D36" s="59">
        <f>(8*MATERIALES!$C$136)+(8*MATERIALES!$C$137)+(1*MATERIALES!$C$139)+(4*MATERIALES!$C$142)+(8*MATERIALES!$C$144)+((8*4)*MATERIALES!$C$145)+(('HERR CLASICA CORREDIZA'!B36*4)*MATERIALES!$C$140)+((('HERR CLASICA CORREDIZA'!A36*2)+('HERR CLASICA CORREDIZA'!B36*4))*MATERIALES!$C$141)+(4*MATERIALES!$C$148)+((('HERR CLASICA CORREDIZA'!A36*5)*2)*MATERIALES!$C$147)+(4*MATERIALES!$C$146)</f>
        <v>736.17648000000008</v>
      </c>
      <c r="E36" s="75"/>
      <c r="F36" s="55">
        <f>(A36*B36)*MATERIALES!$D$82</f>
        <v>1144.8000000000002</v>
      </c>
      <c r="G36" s="59">
        <f t="shared" si="0"/>
        <v>6330.3086400000002</v>
      </c>
      <c r="H36" s="70">
        <f t="shared" si="3"/>
        <v>8512.210368</v>
      </c>
      <c r="I36" s="57"/>
      <c r="N36" s="68">
        <v>1.8</v>
      </c>
      <c r="O36" s="69">
        <v>1.2</v>
      </c>
      <c r="P36" s="59">
        <f>((((N36*2)+(O36*2))*MATERIALES!$C$5)+((N36*2)*MATERIALES!$C$6)+((O36*2)*MATERIALES!$C$7)+((O36*2)*MATERIALES!$C$8)+((2*O36)*MATERIALES!$C$20)+(O36*MATERIALES!$C$21))*MATERIALES!$F$2</f>
        <v>5276.4566399999994</v>
      </c>
      <c r="Q36" s="59">
        <f>(8*MATERIALES!$C$136)+(8*MATERIALES!$C$137)+(1*MATERIALES!$C$139)+(4*MATERIALES!$C$142)+(8*MATERIALES!$C$144)+((8*4)*MATERIALES!$C$145)+(('HERR CLASICA CORREDIZA'!O36*4)*MATERIALES!$C$140)+((('HERR CLASICA CORREDIZA'!N36*2)+('HERR CLASICA CORREDIZA'!O36*4))*MATERIALES!$C$141)+(4*MATERIALES!$C$148)+((('HERR CLASICA CORREDIZA'!N36*5)*2)*MATERIALES!$C$147)+(4*MATERIALES!$C$146)+(2*MATERIALES!$C$144)+(2*MATERIALES!$C$168)+(2*MATERIALES!$C$145)+(10*MATERIALES!$C$145)</f>
        <v>799.57488000000012</v>
      </c>
      <c r="R36" s="75"/>
      <c r="S36" s="55">
        <f>(N36*O36)*MATERIALES!$D$82</f>
        <v>1144.8000000000002</v>
      </c>
      <c r="T36" s="59">
        <f t="shared" si="1"/>
        <v>7220.8315199999997</v>
      </c>
      <c r="U36" s="70">
        <f t="shared" si="2"/>
        <v>9580.8378239999984</v>
      </c>
      <c r="V36" s="57"/>
    </row>
    <row r="37" spans="1:22">
      <c r="A37" s="68">
        <v>1.8</v>
      </c>
      <c r="B37" s="69">
        <v>1.5</v>
      </c>
      <c r="C37" s="59">
        <f>((((A37*2)+(B37*2))*MATERIALES!$C$5)+((A37*2)*MATERIALES!$C$6)+((B37*2)*MATERIALES!$C$7)+((B37*2)*MATERIALES!$C$8))*MATERIALES!$F$2</f>
        <v>4986.7272000000003</v>
      </c>
      <c r="D37" s="59">
        <f>(8*MATERIALES!$C$136)+(8*MATERIALES!$C$137)+(1*MATERIALES!$C$139)+(4*MATERIALES!$C$142)+(8*MATERIALES!$C$144)+((8*4)*MATERIALES!$C$145)+(('HERR CLASICA CORREDIZA'!B37*4)*MATERIALES!$C$140)+((('HERR CLASICA CORREDIZA'!A37*2)+('HERR CLASICA CORREDIZA'!B37*4))*MATERIALES!$C$141)+(4*MATERIALES!$C$148)+((('HERR CLASICA CORREDIZA'!A37*5)*2)*MATERIALES!$C$147)+(4*MATERIALES!$C$146)</f>
        <v>769.31088</v>
      </c>
      <c r="E37" s="75"/>
      <c r="F37" s="55">
        <f>(A37*B37)*MATERIALES!$D$82</f>
        <v>1431</v>
      </c>
      <c r="G37" s="59">
        <f t="shared" si="0"/>
        <v>7187.0380800000003</v>
      </c>
      <c r="H37" s="70">
        <f t="shared" si="3"/>
        <v>9769.245696</v>
      </c>
      <c r="I37" s="57"/>
      <c r="N37" s="68">
        <v>1.8</v>
      </c>
      <c r="O37" s="69">
        <v>1.5</v>
      </c>
      <c r="P37" s="59">
        <f>((((N37*2)+(O37*2))*MATERIALES!$C$5)+((N37*2)*MATERIALES!$C$6)+((O37*2)*MATERIALES!$C$7)+((O37*2)*MATERIALES!$C$8)+((2*O37)*MATERIALES!$C$20)+(O37*MATERIALES!$C$21))*MATERIALES!$F$2</f>
        <v>6020.6328000000003</v>
      </c>
      <c r="Q37" s="59">
        <f>(8*MATERIALES!$C$136)+(8*MATERIALES!$C$137)+(1*MATERIALES!$C$139)+(4*MATERIALES!$C$142)+(8*MATERIALES!$C$144)+((8*4)*MATERIALES!$C$145)+(('HERR CLASICA CORREDIZA'!O37*4)*MATERIALES!$C$140)+((('HERR CLASICA CORREDIZA'!N37*2)+('HERR CLASICA CORREDIZA'!O37*4))*MATERIALES!$C$141)+(4*MATERIALES!$C$148)+((('HERR CLASICA CORREDIZA'!N37*5)*2)*MATERIALES!$C$147)+(4*MATERIALES!$C$146)+(2*MATERIALES!$C$144)+(2*MATERIALES!$C$168)+(2*MATERIALES!$C$145)+(10*MATERIALES!$C$145)</f>
        <v>832.70928000000004</v>
      </c>
      <c r="R37" s="75"/>
      <c r="S37" s="55">
        <f>(N37*O37)*MATERIALES!$D$82</f>
        <v>1431</v>
      </c>
      <c r="T37" s="59">
        <f t="shared" si="1"/>
        <v>8284.3420800000004</v>
      </c>
      <c r="U37" s="70">
        <f t="shared" si="2"/>
        <v>11086.010496000001</v>
      </c>
      <c r="V37" s="57"/>
    </row>
    <row r="38" spans="1:22">
      <c r="A38" s="68">
        <v>1.8</v>
      </c>
      <c r="B38" s="69">
        <v>1.8</v>
      </c>
      <c r="C38" s="59">
        <f>((((A38*2)+(B38*2))*MATERIALES!$C$5)+((A38*2)*MATERIALES!$C$6)+((B38*2)*MATERIALES!$C$7)+((B38*2)*MATERIALES!$C$8))*MATERIALES!$F$2</f>
        <v>5524.1222400000006</v>
      </c>
      <c r="D38" s="59">
        <f>(8*MATERIALES!$C$136)+(8*MATERIALES!$C$137)+(1*MATERIALES!$C$139)+(4*MATERIALES!$C$142)+(8*MATERIALES!$C$144)+((8*4)*MATERIALES!$C$145)+(('HERR CLASICA CORREDIZA'!B38*4)*MATERIALES!$C$140)+((('HERR CLASICA CORREDIZA'!A38*2)+('HERR CLASICA CORREDIZA'!B38*4))*MATERIALES!$C$141)+(4*MATERIALES!$C$148)+((('HERR CLASICA CORREDIZA'!A38*5)*2)*MATERIALES!$C$147)+(4*MATERIALES!$C$146)</f>
        <v>802.44528000000014</v>
      </c>
      <c r="E38" s="75"/>
      <c r="F38" s="55">
        <f>(A38*B38)*MATERIALES!$D$82</f>
        <v>1717.2</v>
      </c>
      <c r="G38" s="59">
        <f t="shared" si="0"/>
        <v>8043.7675200000003</v>
      </c>
      <c r="H38" s="70">
        <f t="shared" si="3"/>
        <v>11026.281024</v>
      </c>
      <c r="I38" s="57"/>
      <c r="N38" s="68">
        <v>1.8</v>
      </c>
      <c r="O38" s="69">
        <v>1.8</v>
      </c>
      <c r="P38" s="59">
        <f>((((N38*2)+(O38*2))*MATERIALES!$C$5)+((N38*2)*MATERIALES!$C$6)+((O38*2)*MATERIALES!$C$7)+((O38*2)*MATERIALES!$C$8)+((2*O38)*MATERIALES!$C$20)+(O38*MATERIALES!$C$21))*MATERIALES!$F$2</f>
        <v>6764.8089600000003</v>
      </c>
      <c r="Q38" s="59">
        <f>(8*MATERIALES!$C$136)+(8*MATERIALES!$C$137)+(1*MATERIALES!$C$139)+(4*MATERIALES!$C$142)+(8*MATERIALES!$C$144)+((8*4)*MATERIALES!$C$145)+(('HERR CLASICA CORREDIZA'!O38*4)*MATERIALES!$C$140)+((('HERR CLASICA CORREDIZA'!N38*2)+('HERR CLASICA CORREDIZA'!O38*4))*MATERIALES!$C$141)+(4*MATERIALES!$C$148)+((('HERR CLASICA CORREDIZA'!N38*5)*2)*MATERIALES!$C$147)+(4*MATERIALES!$C$146)+(2*MATERIALES!$C$144)+(2*MATERIALES!$C$168)+(2*MATERIALES!$C$145)+(10*MATERIALES!$C$145)</f>
        <v>865.84368000000018</v>
      </c>
      <c r="R38" s="75"/>
      <c r="S38" s="55">
        <f>(N38*O38)*MATERIALES!$D$82</f>
        <v>1717.2</v>
      </c>
      <c r="T38" s="59">
        <f t="shared" si="1"/>
        <v>9347.852640000001</v>
      </c>
      <c r="U38" s="70">
        <f t="shared" si="2"/>
        <v>12591.183168</v>
      </c>
      <c r="V38" s="57"/>
    </row>
    <row r="39" spans="1:22">
      <c r="A39" s="68">
        <v>2</v>
      </c>
      <c r="B39" s="69">
        <v>0.8</v>
      </c>
      <c r="C39" s="59">
        <f>((((A39*2)+(B39*2))*MATERIALES!$C$5)+((A39*2)*MATERIALES!$C$6)+((B39*2)*MATERIALES!$C$7)+((B39*2)*MATERIALES!$C$8))*MATERIALES!$F$2</f>
        <v>3988.3334399999999</v>
      </c>
      <c r="D39" s="59">
        <f>(8*MATERIALES!$C$136)+(8*MATERIALES!$C$137)+(1*MATERIALES!$C$139)+(4*MATERIALES!$C$142)+(8*MATERIALES!$C$144)+((8*4)*MATERIALES!$C$145)+(('HERR CLASICA CORREDIZA'!B39*4)*MATERIALES!$C$140)+((('HERR CLASICA CORREDIZA'!A39*2)+('HERR CLASICA CORREDIZA'!B39*4))*MATERIALES!$C$141)+(4*MATERIALES!$C$148)+((('HERR CLASICA CORREDIZA'!A39*5)*2)*MATERIALES!$C$147)+(4*MATERIALES!$C$146)</f>
        <v>700.53359999999998</v>
      </c>
      <c r="E39" s="75"/>
      <c r="F39" s="55">
        <f>(A39*B39)*MATERIALES!$D$82</f>
        <v>848</v>
      </c>
      <c r="G39" s="59">
        <f t="shared" si="0"/>
        <v>5536.8670400000001</v>
      </c>
      <c r="H39" s="70">
        <f t="shared" si="3"/>
        <v>7322.6404480000001</v>
      </c>
      <c r="I39" s="57"/>
      <c r="N39" s="68">
        <v>2</v>
      </c>
      <c r="O39" s="69">
        <v>0.8</v>
      </c>
      <c r="P39" s="59">
        <f>((((N39*2)+(O39*2))*MATERIALES!$C$5)+((N39*2)*MATERIALES!$C$6)+((O39*2)*MATERIALES!$C$7)+((O39*2)*MATERIALES!$C$8)+((2*O39)*MATERIALES!$C$20)+(O39*MATERIALES!$C$21))*MATERIALES!$F$2</f>
        <v>4539.7497600000006</v>
      </c>
      <c r="Q39" s="59">
        <f>(8*MATERIALES!$C$136)+(8*MATERIALES!$C$137)+(1*MATERIALES!$C$139)+(4*MATERIALES!$C$142)+(8*MATERIALES!$C$144)+((8*4)*MATERIALES!$C$145)+(('HERR CLASICA CORREDIZA'!O39*4)*MATERIALES!$C$140)+((('HERR CLASICA CORREDIZA'!N39*2)+('HERR CLASICA CORREDIZA'!O39*4))*MATERIALES!$C$141)+(4*MATERIALES!$C$148)+((('HERR CLASICA CORREDIZA'!N39*5)*2)*MATERIALES!$C$147)+(4*MATERIALES!$C$146)+(2*MATERIALES!$C$144)+(2*MATERIALES!$C$168)+(2*MATERIALES!$C$145)+(10*MATERIALES!$C$145)</f>
        <v>763.93200000000002</v>
      </c>
      <c r="R39" s="75"/>
      <c r="S39" s="55">
        <f>(N39*O39)*MATERIALES!$D$82</f>
        <v>848</v>
      </c>
      <c r="T39" s="59">
        <f t="shared" si="1"/>
        <v>6151.6817600000004</v>
      </c>
      <c r="U39" s="70">
        <f t="shared" si="2"/>
        <v>8060.4181120000003</v>
      </c>
      <c r="V39" s="57"/>
    </row>
    <row r="40" spans="1:22">
      <c r="A40" s="68">
        <v>2</v>
      </c>
      <c r="B40" s="69">
        <v>1</v>
      </c>
      <c r="C40" s="59">
        <f>((((A40*2)+(B40*2))*MATERIALES!$C$5)+((A40*2)*MATERIALES!$C$6)+((B40*2)*MATERIALES!$C$7)+((B40*2)*MATERIALES!$C$8))*MATERIALES!$F$2</f>
        <v>4346.5968000000003</v>
      </c>
      <c r="D40" s="59">
        <f>(8*MATERIALES!$C$136)+(8*MATERIALES!$C$137)+(1*MATERIALES!$C$139)+(4*MATERIALES!$C$142)+(8*MATERIALES!$C$144)+((8*4)*MATERIALES!$C$145)+(('HERR CLASICA CORREDIZA'!B40*4)*MATERIALES!$C$140)+((('HERR CLASICA CORREDIZA'!A40*2)+('HERR CLASICA CORREDIZA'!B40*4))*MATERIALES!$C$141)+(4*MATERIALES!$C$148)+((('HERR CLASICA CORREDIZA'!A40*5)*2)*MATERIALES!$C$147)+(4*MATERIALES!$C$146)</f>
        <v>722.6232</v>
      </c>
      <c r="E40" s="75"/>
      <c r="F40" s="55">
        <f>(A40*B40)*MATERIALES!$D$82</f>
        <v>1060</v>
      </c>
      <c r="G40" s="59">
        <f t="shared" si="0"/>
        <v>6129.22</v>
      </c>
      <c r="H40" s="70">
        <f t="shared" si="3"/>
        <v>8203.0640000000003</v>
      </c>
      <c r="I40" s="57"/>
      <c r="N40" s="68">
        <v>2</v>
      </c>
      <c r="O40" s="69">
        <v>1</v>
      </c>
      <c r="P40" s="59">
        <f>((((N40*2)+(O40*2))*MATERIALES!$C$5)+((N40*2)*MATERIALES!$C$6)+((O40*2)*MATERIALES!$C$7)+((O40*2)*MATERIALES!$C$8)+((2*O40)*MATERIALES!$C$20)+(O40*MATERIALES!$C$21))*MATERIALES!$F$2</f>
        <v>5035.8672000000006</v>
      </c>
      <c r="Q40" s="59">
        <f>(8*MATERIALES!$C$136)+(8*MATERIALES!$C$137)+(1*MATERIALES!$C$139)+(4*MATERIALES!$C$142)+(8*MATERIALES!$C$144)+((8*4)*MATERIALES!$C$145)+(('HERR CLASICA CORREDIZA'!O40*4)*MATERIALES!$C$140)+((('HERR CLASICA CORREDIZA'!N40*2)+('HERR CLASICA CORREDIZA'!O40*4))*MATERIALES!$C$141)+(4*MATERIALES!$C$148)+((('HERR CLASICA CORREDIZA'!N40*5)*2)*MATERIALES!$C$147)+(4*MATERIALES!$C$146)+(2*MATERIALES!$C$144)+(2*MATERIALES!$C$168)+(2*MATERIALES!$C$145)+(10*MATERIALES!$C$145)</f>
        <v>786.02160000000003</v>
      </c>
      <c r="R40" s="75"/>
      <c r="S40" s="55">
        <f>(N40*O40)*MATERIALES!$D$82</f>
        <v>1060</v>
      </c>
      <c r="T40" s="59">
        <f t="shared" si="1"/>
        <v>6881.8888000000006</v>
      </c>
      <c r="U40" s="70">
        <f t="shared" si="2"/>
        <v>9106.26656</v>
      </c>
      <c r="V40" s="57"/>
    </row>
    <row r="41" spans="1:22">
      <c r="A41" s="68">
        <v>2</v>
      </c>
      <c r="B41" s="69">
        <v>1.1000000000000001</v>
      </c>
      <c r="C41" s="59">
        <f>((((A41*2)+(B41*2))*MATERIALES!$C$5)+((A41*2)*MATERIALES!$C$6)+((B41*2)*MATERIALES!$C$7)+((B41*2)*MATERIALES!$C$8))*MATERIALES!$F$2</f>
        <v>4525.7284800000007</v>
      </c>
      <c r="D41" s="59">
        <f>(8*MATERIALES!$C$136)+(8*MATERIALES!$C$137)+(1*MATERIALES!$C$139)+(4*MATERIALES!$C$142)+(8*MATERIALES!$C$144)+((8*4)*MATERIALES!$C$145)+(('HERR CLASICA CORREDIZA'!B41*4)*MATERIALES!$C$140)+((('HERR CLASICA CORREDIZA'!A41*2)+('HERR CLASICA CORREDIZA'!B41*4))*MATERIALES!$C$141)+(4*MATERIALES!$C$148)+((('HERR CLASICA CORREDIZA'!A41*5)*2)*MATERIALES!$C$147)+(4*MATERIALES!$C$146)</f>
        <v>733.66800000000012</v>
      </c>
      <c r="E41" s="75"/>
      <c r="F41" s="55">
        <f>(A41*B41)*MATERIALES!$D$82</f>
        <v>1166</v>
      </c>
      <c r="G41" s="59">
        <f t="shared" si="0"/>
        <v>6425.3964800000012</v>
      </c>
      <c r="H41" s="70">
        <f t="shared" si="3"/>
        <v>8643.2757760000022</v>
      </c>
      <c r="I41" s="57"/>
      <c r="N41" s="68">
        <v>2</v>
      </c>
      <c r="O41" s="69">
        <v>1.1000000000000001</v>
      </c>
      <c r="P41" s="59">
        <f>((((N41*2)+(O41*2))*MATERIALES!$C$5)+((N41*2)*MATERIALES!$C$6)+((O41*2)*MATERIALES!$C$7)+((O41*2)*MATERIALES!$C$8)+((2*O41)*MATERIALES!$C$20)+(O41*MATERIALES!$C$21))*MATERIALES!$F$2</f>
        <v>5283.9259200000006</v>
      </c>
      <c r="Q41" s="59">
        <f>(8*MATERIALES!$C$136)+(8*MATERIALES!$C$137)+(1*MATERIALES!$C$139)+(4*MATERIALES!$C$142)+(8*MATERIALES!$C$144)+((8*4)*MATERIALES!$C$145)+(('HERR CLASICA CORREDIZA'!O41*4)*MATERIALES!$C$140)+((('HERR CLASICA CORREDIZA'!N41*2)+('HERR CLASICA CORREDIZA'!O41*4))*MATERIALES!$C$141)+(4*MATERIALES!$C$148)+((('HERR CLASICA CORREDIZA'!N41*5)*2)*MATERIALES!$C$147)+(4*MATERIALES!$C$146)+(2*MATERIALES!$C$144)+(2*MATERIALES!$C$168)+(2*MATERIALES!$C$145)+(10*MATERIALES!$C$145)</f>
        <v>797.06640000000016</v>
      </c>
      <c r="R41" s="75"/>
      <c r="S41" s="55">
        <f>(N41*O41)*MATERIALES!$D$82</f>
        <v>1166</v>
      </c>
      <c r="T41" s="59">
        <f t="shared" si="1"/>
        <v>7246.9923200000012</v>
      </c>
      <c r="U41" s="70">
        <f t="shared" si="2"/>
        <v>9629.1907840000022</v>
      </c>
      <c r="V41" s="57"/>
    </row>
    <row r="42" spans="1:22">
      <c r="A42" s="68">
        <v>2</v>
      </c>
      <c r="B42" s="69">
        <v>1.2</v>
      </c>
      <c r="C42" s="59">
        <f>((((A42*2)+(B42*2))*MATERIALES!$C$5)+((A42*2)*MATERIALES!$C$6)+((B42*2)*MATERIALES!$C$7)+((B42*2)*MATERIALES!$C$8))*MATERIALES!$F$2</f>
        <v>4704.8601600000002</v>
      </c>
      <c r="D42" s="59">
        <f>(8*MATERIALES!$C$136)+(8*MATERIALES!$C$137)+(1*MATERIALES!$C$139)+(4*MATERIALES!$C$142)+(8*MATERIALES!$C$144)+((8*4)*MATERIALES!$C$145)+(('HERR CLASICA CORREDIZA'!B42*4)*MATERIALES!$C$140)+((('HERR CLASICA CORREDIZA'!A42*2)+('HERR CLASICA CORREDIZA'!B42*4))*MATERIALES!$C$141)+(4*MATERIALES!$C$148)+((('HERR CLASICA CORREDIZA'!A42*5)*2)*MATERIALES!$C$147)+(4*MATERIALES!$C$146)</f>
        <v>744.71280000000002</v>
      </c>
      <c r="E42" s="75"/>
      <c r="F42" s="55">
        <f>(A42*B42)*MATERIALES!$D$82</f>
        <v>1272</v>
      </c>
      <c r="G42" s="59">
        <f t="shared" si="0"/>
        <v>6721.5729600000004</v>
      </c>
      <c r="H42" s="70">
        <f t="shared" si="3"/>
        <v>9083.4875520000005</v>
      </c>
      <c r="I42" s="57"/>
      <c r="N42" s="68">
        <v>2</v>
      </c>
      <c r="O42" s="69">
        <v>1.2</v>
      </c>
      <c r="P42" s="59">
        <f>((((N42*2)+(O42*2))*MATERIALES!$C$5)+((N42*2)*MATERIALES!$C$6)+((O42*2)*MATERIALES!$C$7)+((O42*2)*MATERIALES!$C$8)+((2*O42)*MATERIALES!$C$20)+(O42*MATERIALES!$C$21))*MATERIALES!$F$2</f>
        <v>5531.9846399999997</v>
      </c>
      <c r="Q42" s="59">
        <f>(8*MATERIALES!$C$136)+(8*MATERIALES!$C$137)+(1*MATERIALES!$C$139)+(4*MATERIALES!$C$142)+(8*MATERIALES!$C$144)+((8*4)*MATERIALES!$C$145)+(('HERR CLASICA CORREDIZA'!O42*4)*MATERIALES!$C$140)+((('HERR CLASICA CORREDIZA'!N42*2)+('HERR CLASICA CORREDIZA'!O42*4))*MATERIALES!$C$141)+(4*MATERIALES!$C$148)+((('HERR CLASICA CORREDIZA'!N42*5)*2)*MATERIALES!$C$147)+(4*MATERIALES!$C$146)+(2*MATERIALES!$C$144)+(2*MATERIALES!$C$168)+(2*MATERIALES!$C$145)+(10*MATERIALES!$C$145)</f>
        <v>808.11120000000005</v>
      </c>
      <c r="R42" s="75"/>
      <c r="S42" s="55">
        <f>(N42*O42)*MATERIALES!$D$82</f>
        <v>1272</v>
      </c>
      <c r="T42" s="59">
        <f t="shared" si="1"/>
        <v>7612.09584</v>
      </c>
      <c r="U42" s="70">
        <f t="shared" si="2"/>
        <v>10152.115008000001</v>
      </c>
      <c r="V42" s="57"/>
    </row>
    <row r="43" spans="1:22">
      <c r="A43" s="68">
        <v>2</v>
      </c>
      <c r="B43" s="69">
        <v>1.5</v>
      </c>
      <c r="C43" s="59">
        <f>((((A43*2)+(B43*2))*MATERIALES!$C$5)+((A43*2)*MATERIALES!$C$6)+((B43*2)*MATERIALES!$C$7)+((B43*2)*MATERIALES!$C$8))*MATERIALES!$F$2</f>
        <v>5242.2551999999996</v>
      </c>
      <c r="D43" s="59">
        <f>(8*MATERIALES!$C$136)+(8*MATERIALES!$C$137)+(1*MATERIALES!$C$139)+(4*MATERIALES!$C$142)+(8*MATERIALES!$C$144)+((8*4)*MATERIALES!$C$145)+(('HERR CLASICA CORREDIZA'!B43*4)*MATERIALES!$C$140)+((('HERR CLASICA CORREDIZA'!A43*2)+('HERR CLASICA CORREDIZA'!B43*4))*MATERIALES!$C$141)+(4*MATERIALES!$C$148)+((('HERR CLASICA CORREDIZA'!A43*5)*2)*MATERIALES!$C$147)+(4*MATERIALES!$C$146)</f>
        <v>777.84720000000004</v>
      </c>
      <c r="E43" s="75"/>
      <c r="F43" s="55">
        <f>(A43*B43)*MATERIALES!$D$82</f>
        <v>1590</v>
      </c>
      <c r="G43" s="59">
        <f t="shared" si="0"/>
        <v>7610.1023999999998</v>
      </c>
      <c r="H43" s="70">
        <f t="shared" si="3"/>
        <v>10404.122879999999</v>
      </c>
      <c r="I43" s="57"/>
      <c r="N43" s="68">
        <v>2</v>
      </c>
      <c r="O43" s="69">
        <v>1.5</v>
      </c>
      <c r="P43" s="59">
        <f>((((N43*2)+(O43*2))*MATERIALES!$C$5)+((N43*2)*MATERIALES!$C$6)+((O43*2)*MATERIALES!$C$7)+((O43*2)*MATERIALES!$C$8)+((2*O43)*MATERIALES!$C$20)+(O43*MATERIALES!$C$21))*MATERIALES!$F$2</f>
        <v>6276.1608000000006</v>
      </c>
      <c r="Q43" s="59">
        <f>(8*MATERIALES!$C$136)+(8*MATERIALES!$C$137)+(1*MATERIALES!$C$139)+(4*MATERIALES!$C$142)+(8*MATERIALES!$C$144)+((8*4)*MATERIALES!$C$145)+(('HERR CLASICA CORREDIZA'!O43*4)*MATERIALES!$C$140)+((('HERR CLASICA CORREDIZA'!N43*2)+('HERR CLASICA CORREDIZA'!O43*4))*MATERIALES!$C$141)+(4*MATERIALES!$C$148)+((('HERR CLASICA CORREDIZA'!N43*5)*2)*MATERIALES!$C$147)+(4*MATERIALES!$C$146)+(2*MATERIALES!$C$144)+(2*MATERIALES!$C$168)+(2*MATERIALES!$C$145)+(10*MATERIALES!$C$145)</f>
        <v>841.24560000000008</v>
      </c>
      <c r="R43" s="75"/>
      <c r="S43" s="55">
        <f>(N43*O43)*MATERIALES!$D$82</f>
        <v>1590</v>
      </c>
      <c r="T43" s="59">
        <f t="shared" si="1"/>
        <v>8707.4063999999998</v>
      </c>
      <c r="U43" s="70">
        <f t="shared" si="2"/>
        <v>11720.88768</v>
      </c>
      <c r="V43" s="57"/>
    </row>
    <row r="44" spans="1:22">
      <c r="A44" s="68">
        <v>2</v>
      </c>
      <c r="B44" s="69">
        <v>1.8</v>
      </c>
      <c r="C44" s="59">
        <f>((((A44*2)+(B44*2))*MATERIALES!$C$5)+((A44*2)*MATERIALES!$C$6)+((B44*2)*MATERIALES!$C$7)+((B44*2)*MATERIALES!$C$8))*MATERIALES!$F$2</f>
        <v>5779.6502399999999</v>
      </c>
      <c r="D44" s="59">
        <f>(8*MATERIALES!$C$136)+(8*MATERIALES!$C$137)+(1*MATERIALES!$C$139)+(4*MATERIALES!$C$142)+(8*MATERIALES!$C$144)+((8*4)*MATERIALES!$C$145)+(('HERR CLASICA CORREDIZA'!B44*4)*MATERIALES!$C$140)+((('HERR CLASICA CORREDIZA'!A44*2)+('HERR CLASICA CORREDIZA'!B44*4))*MATERIALES!$C$141)+(4*MATERIALES!$C$148)+((('HERR CLASICA CORREDIZA'!A44*5)*2)*MATERIALES!$C$147)+(4*MATERIALES!$C$146)</f>
        <v>810.98160000000007</v>
      </c>
      <c r="E44" s="75"/>
      <c r="F44" s="55">
        <f>(A44*B44)*MATERIALES!$D$82</f>
        <v>1908</v>
      </c>
      <c r="G44" s="59">
        <f t="shared" si="0"/>
        <v>8498.63184</v>
      </c>
      <c r="H44" s="70">
        <f t="shared" si="3"/>
        <v>11724.758207999999</v>
      </c>
      <c r="I44" s="57"/>
      <c r="J44" s="77"/>
      <c r="N44" s="68">
        <v>2</v>
      </c>
      <c r="O44" s="69">
        <v>1.8</v>
      </c>
      <c r="P44" s="59">
        <f>((((N44*2)+(O44*2))*MATERIALES!$C$5)+((N44*2)*MATERIALES!$C$6)+((O44*2)*MATERIALES!$C$7)+((O44*2)*MATERIALES!$C$8)+((2*O44)*MATERIALES!$C$20)+(O44*MATERIALES!$C$21))*MATERIALES!$F$2</f>
        <v>7020.3369600000005</v>
      </c>
      <c r="Q44" s="59">
        <f>(8*MATERIALES!$C$136)+(8*MATERIALES!$C$137)+(1*MATERIALES!$C$139)+(4*MATERIALES!$C$142)+(8*MATERIALES!$C$144)+((8*4)*MATERIALES!$C$145)+(('HERR CLASICA CORREDIZA'!O44*4)*MATERIALES!$C$140)+((('HERR CLASICA CORREDIZA'!N44*2)+('HERR CLASICA CORREDIZA'!O44*4))*MATERIALES!$C$141)+(4*MATERIALES!$C$148)+((('HERR CLASICA CORREDIZA'!N44*5)*2)*MATERIALES!$C$147)+(4*MATERIALES!$C$146)+(2*MATERIALES!$C$144)+(2*MATERIALES!$C$168)+(2*MATERIALES!$C$145)+(10*MATERIALES!$C$145)</f>
        <v>874.38000000000011</v>
      </c>
      <c r="R44" s="75"/>
      <c r="S44" s="55">
        <f>(N44*O44)*MATERIALES!$D$82</f>
        <v>1908</v>
      </c>
      <c r="T44" s="59">
        <f t="shared" si="1"/>
        <v>9802.7169600000016</v>
      </c>
      <c r="U44" s="70">
        <f t="shared" si="2"/>
        <v>13289.660352000001</v>
      </c>
      <c r="V44" s="57"/>
    </row>
    <row r="45" spans="1:22">
      <c r="A45" s="68">
        <v>2</v>
      </c>
      <c r="B45" s="69">
        <v>1.8</v>
      </c>
      <c r="C45" s="59">
        <f>((((A45*2)+(B45*2))*MATERIALES!$C$5)+((A45*2)*MATERIALES!$C$6)+((B45*2)*MATERIALES!$C$7)+((B45*2)*MATERIALES!$C$8))*MATERIALES!$F$2</f>
        <v>5779.6502399999999</v>
      </c>
      <c r="D45" s="59">
        <f>(8*MATERIALES!$C$136)+(8*MATERIALES!$C$137)+(1*MATERIALES!$C$139)+(4*MATERIALES!$C$142)+(8*MATERIALES!$C$144)+((8*4)*MATERIALES!$C$145)+(('HERR CLASICA CORREDIZA'!B45*4)*MATERIALES!$C$140)+((('HERR CLASICA CORREDIZA'!A45*2)+('HERR CLASICA CORREDIZA'!B45*4))*MATERIALES!$C$141)+(4*MATERIALES!$C$148)+((('HERR CLASICA CORREDIZA'!A45*5)*2)*MATERIALES!$C$147)+(4*MATERIALES!$C$146)</f>
        <v>810.98160000000007</v>
      </c>
      <c r="E45" s="75"/>
      <c r="F45" s="55">
        <f>(A45*B45)*MATERIALES!$D$82</f>
        <v>1908</v>
      </c>
      <c r="G45" s="59">
        <f t="shared" si="0"/>
        <v>8498.63184</v>
      </c>
      <c r="H45" s="70">
        <f t="shared" si="3"/>
        <v>11724.758207999999</v>
      </c>
      <c r="I45" s="57"/>
      <c r="N45" s="68">
        <v>2</v>
      </c>
      <c r="O45" s="69">
        <v>1.8</v>
      </c>
      <c r="P45" s="59">
        <f>((((N45*2)+(O45*2))*MATERIALES!$C$5)+((N45*2)*MATERIALES!$C$6)+((O45*2)*MATERIALES!$C$7)+((O45*2)*MATERIALES!$C$8)+((2*O45)*MATERIALES!$C$20)+(O45*MATERIALES!$C$21))*MATERIALES!$F$2</f>
        <v>7020.3369600000005</v>
      </c>
      <c r="Q45" s="59">
        <f>(8*MATERIALES!$C$136)+(8*MATERIALES!$C$137)+(1*MATERIALES!$C$139)+(4*MATERIALES!$C$142)+(8*MATERIALES!$C$144)+((8*4)*MATERIALES!$C$145)+(('HERR CLASICA CORREDIZA'!O45*4)*MATERIALES!$C$140)+((('HERR CLASICA CORREDIZA'!N45*2)+('HERR CLASICA CORREDIZA'!O45*4))*MATERIALES!$C$141)+(4*MATERIALES!$C$148)+((('HERR CLASICA CORREDIZA'!N45*5)*2)*MATERIALES!$C$147)+(4*MATERIALES!$C$146)+(2*MATERIALES!$C$144)+(2*MATERIALES!$C$168)+(2*MATERIALES!$C$145)+(10*MATERIALES!$C$145)</f>
        <v>874.38000000000011</v>
      </c>
      <c r="R45" s="75"/>
      <c r="S45" s="55">
        <f>(N45*O45)*MATERIALES!$D$82</f>
        <v>1908</v>
      </c>
      <c r="T45" s="59">
        <f t="shared" si="1"/>
        <v>9802.7169600000016</v>
      </c>
      <c r="U45" s="70">
        <f t="shared" si="2"/>
        <v>13289.660352000001</v>
      </c>
      <c r="V45" s="57"/>
    </row>
    <row r="46" spans="1:22">
      <c r="A46" s="68">
        <v>2.2000000000000002</v>
      </c>
      <c r="B46" s="69">
        <v>0.4</v>
      </c>
      <c r="C46" s="59">
        <f>((((A46*2)+(B46*2))*MATERIALES!$C$5)+((A46*2)*MATERIALES!$C$6)+((B46*2)*MATERIALES!$C$7)+((B46*2)*MATERIALES!$C$8))*MATERIALES!$F$2</f>
        <v>3527.3347200000003</v>
      </c>
      <c r="D46" s="59">
        <f>(8*MATERIALES!$C$136)+(8*MATERIALES!$C$137)+(1*MATERIALES!$C$139)+(4*MATERIALES!$C$142)+(8*MATERIALES!$C$144)+((8*4)*MATERIALES!$C$145)+(('HERR CLASICA CORREDIZA'!B46*4)*MATERIALES!$C$140)+((('HERR CLASICA CORREDIZA'!A46*2)+('HERR CLASICA CORREDIZA'!B46*4))*MATERIALES!$C$141)+(4*MATERIALES!$C$148)+((('HERR CLASICA CORREDIZA'!A46*5)*2)*MATERIALES!$C$147)+(4*MATERIALES!$C$146)</f>
        <v>664.8907200000001</v>
      </c>
      <c r="E46" s="75"/>
      <c r="F46" s="55">
        <f>(A46*B46)*MATERIALES!$D$82</f>
        <v>466.40000000000003</v>
      </c>
      <c r="G46" s="59">
        <f t="shared" si="0"/>
        <v>4658.6254399999998</v>
      </c>
      <c r="H46" s="70">
        <f t="shared" si="3"/>
        <v>5963.4705279999998</v>
      </c>
      <c r="I46" s="57"/>
      <c r="N46" s="68">
        <v>2.2000000000000002</v>
      </c>
      <c r="O46" s="69">
        <v>0.4</v>
      </c>
      <c r="P46" s="59">
        <f>((((N46*2)+(O46*2))*MATERIALES!$C$5)+((N46*2)*MATERIALES!$C$6)+((O46*2)*MATERIALES!$C$7)+((O46*2)*MATERIALES!$C$8)+((2*O46)*MATERIALES!$C$20)+(O46*MATERIALES!$C$21))*MATERIALES!$F$2</f>
        <v>3803.0428800000004</v>
      </c>
      <c r="Q46" s="59">
        <f>(8*MATERIALES!$C$136)+(8*MATERIALES!$C$137)+(1*MATERIALES!$C$139)+(4*MATERIALES!$C$142)+(8*MATERIALES!$C$144)+((8*4)*MATERIALES!$C$145)+(('HERR CLASICA CORREDIZA'!O46*4)*MATERIALES!$C$140)+((('HERR CLASICA CORREDIZA'!N46*2)+('HERR CLASICA CORREDIZA'!O46*4))*MATERIALES!$C$141)+(4*MATERIALES!$C$148)+((('HERR CLASICA CORREDIZA'!N46*5)*2)*MATERIALES!$C$147)+(4*MATERIALES!$C$146)+(2*MATERIALES!$C$144)+(2*MATERIALES!$C$168)+(2*MATERIALES!$C$145)+(10*MATERIALES!$C$145)</f>
        <v>728.28912000000014</v>
      </c>
      <c r="R46" s="75"/>
      <c r="S46" s="55">
        <f>(N46*O46)*MATERIALES!$D$82</f>
        <v>466.40000000000003</v>
      </c>
      <c r="T46" s="59">
        <f t="shared" si="1"/>
        <v>4997.732</v>
      </c>
      <c r="U46" s="70">
        <f t="shared" si="2"/>
        <v>6370.3984</v>
      </c>
      <c r="V46" s="57"/>
    </row>
    <row r="47" spans="1:22">
      <c r="A47" s="68">
        <v>2.2000000000000002</v>
      </c>
      <c r="B47" s="69">
        <v>0.6</v>
      </c>
      <c r="C47" s="59">
        <f>((((A47*2)+(B47*2))*MATERIALES!$C$5)+((A47*2)*MATERIALES!$C$6)+((B47*2)*MATERIALES!$C$7)+((B47*2)*MATERIALES!$C$8))*MATERIALES!$F$2</f>
        <v>3885.5980800000007</v>
      </c>
      <c r="D47" s="59">
        <f>(8*MATERIALES!$C$136)+(8*MATERIALES!$C$137)+(1*MATERIALES!$C$139)+(4*MATERIALES!$C$142)+(8*MATERIALES!$C$144)+((8*4)*MATERIALES!$C$145)+(('HERR CLASICA CORREDIZA'!B47*4)*MATERIALES!$C$140)+((('HERR CLASICA CORREDIZA'!A47*2)+('HERR CLASICA CORREDIZA'!B47*4))*MATERIALES!$C$141)+(4*MATERIALES!$C$148)+((('HERR CLASICA CORREDIZA'!A47*5)*2)*MATERIALES!$C$147)+(4*MATERIALES!$C$146)</f>
        <v>686.98032000000012</v>
      </c>
      <c r="E47" s="75"/>
      <c r="F47" s="55">
        <f>(A47*B47)*MATERIALES!$D$82</f>
        <v>699.6</v>
      </c>
      <c r="G47" s="59">
        <f t="shared" si="0"/>
        <v>5272.1784000000007</v>
      </c>
      <c r="H47" s="70">
        <f t="shared" si="3"/>
        <v>6886.2940799999997</v>
      </c>
      <c r="I47" s="57"/>
      <c r="N47" s="68">
        <v>2.2000000000000002</v>
      </c>
      <c r="O47" s="69">
        <v>0.6</v>
      </c>
      <c r="P47" s="59">
        <f>((((N47*2)+(O47*2))*MATERIALES!$C$5)+((N47*2)*MATERIALES!$C$6)+((O47*2)*MATERIALES!$C$7)+((O47*2)*MATERIALES!$C$8)+((2*O47)*MATERIALES!$C$20)+(O47*MATERIALES!$C$21))*MATERIALES!$F$2</f>
        <v>4299.1603200000009</v>
      </c>
      <c r="Q47" s="59">
        <f>(8*MATERIALES!$C$136)+(8*MATERIALES!$C$137)+(1*MATERIALES!$C$139)+(4*MATERIALES!$C$142)+(8*MATERIALES!$C$144)+((8*4)*MATERIALES!$C$145)+(('HERR CLASICA CORREDIZA'!O47*4)*MATERIALES!$C$140)+((('HERR CLASICA CORREDIZA'!N47*2)+('HERR CLASICA CORREDIZA'!O47*4))*MATERIALES!$C$141)+(4*MATERIALES!$C$148)+((('HERR CLASICA CORREDIZA'!N47*5)*2)*MATERIALES!$C$147)+(4*MATERIALES!$C$146)+(2*MATERIALES!$C$144)+(2*MATERIALES!$C$168)+(2*MATERIALES!$C$145)+(10*MATERIALES!$C$145)</f>
        <v>750.37872000000016</v>
      </c>
      <c r="R47" s="75"/>
      <c r="S47" s="55">
        <f>(N47*O47)*MATERIALES!$D$82</f>
        <v>699.6</v>
      </c>
      <c r="T47" s="59">
        <f t="shared" si="1"/>
        <v>5749.1390400000018</v>
      </c>
      <c r="U47" s="70">
        <f t="shared" si="2"/>
        <v>7458.6468480000012</v>
      </c>
      <c r="V47" s="57"/>
    </row>
    <row r="48" spans="1:22">
      <c r="A48" s="68">
        <v>2.2000000000000002</v>
      </c>
      <c r="B48" s="69">
        <v>0.8</v>
      </c>
      <c r="C48" s="59">
        <f>((((A48*2)+(B48*2))*MATERIALES!$C$5)+((A48*2)*MATERIALES!$C$6)+((B48*2)*MATERIALES!$C$7)+((B48*2)*MATERIALES!$C$8))*MATERIALES!$F$2</f>
        <v>4243.8614400000006</v>
      </c>
      <c r="D48" s="59">
        <f>(8*MATERIALES!$C$136)+(8*MATERIALES!$C$137)+(1*MATERIALES!$C$139)+(4*MATERIALES!$C$142)+(8*MATERIALES!$C$144)+((8*4)*MATERIALES!$C$145)+(('HERR CLASICA CORREDIZA'!B48*4)*MATERIALES!$C$140)+((('HERR CLASICA CORREDIZA'!A48*2)+('HERR CLASICA CORREDIZA'!B48*4))*MATERIALES!$C$141)+(4*MATERIALES!$C$148)+((('HERR CLASICA CORREDIZA'!A48*5)*2)*MATERIALES!$C$147)+(4*MATERIALES!$C$146)</f>
        <v>709.06992000000002</v>
      </c>
      <c r="E48" s="75"/>
      <c r="F48" s="55">
        <f>(A48*B48)*MATERIALES!$D$82</f>
        <v>932.80000000000007</v>
      </c>
      <c r="G48" s="59">
        <f t="shared" si="0"/>
        <v>5885.7313600000007</v>
      </c>
      <c r="H48" s="70">
        <f t="shared" si="3"/>
        <v>7809.1176320000004</v>
      </c>
      <c r="I48" s="57"/>
      <c r="N48" s="68">
        <v>2.2000000000000002</v>
      </c>
      <c r="O48" s="69">
        <v>0.8</v>
      </c>
      <c r="P48" s="59">
        <f>((((N48*2)+(O48*2))*MATERIALES!$C$5)+((N48*2)*MATERIALES!$C$6)+((O48*2)*MATERIALES!$C$7)+((O48*2)*MATERIALES!$C$8)+((2*O48)*MATERIALES!$C$20)+(O48*MATERIALES!$C$21))*MATERIALES!$F$2</f>
        <v>4795.2777600000009</v>
      </c>
      <c r="Q48" s="59">
        <f>(8*MATERIALES!$C$136)+(8*MATERIALES!$C$137)+(1*MATERIALES!$C$139)+(4*MATERIALES!$C$142)+(8*MATERIALES!$C$144)+((8*4)*MATERIALES!$C$145)+(('HERR CLASICA CORREDIZA'!O48*4)*MATERIALES!$C$140)+((('HERR CLASICA CORREDIZA'!N48*2)+('HERR CLASICA CORREDIZA'!O48*4))*MATERIALES!$C$141)+(4*MATERIALES!$C$148)+((('HERR CLASICA CORREDIZA'!N48*5)*2)*MATERIALES!$C$147)+(4*MATERIALES!$C$146)+(2*MATERIALES!$C$144)+(2*MATERIALES!$C$168)+(2*MATERIALES!$C$145)+(10*MATERIALES!$C$145)</f>
        <v>772.46832000000006</v>
      </c>
      <c r="R48" s="75"/>
      <c r="S48" s="55">
        <f>(N48*O48)*MATERIALES!$D$82</f>
        <v>932.80000000000007</v>
      </c>
      <c r="T48" s="59">
        <f t="shared" si="1"/>
        <v>6500.546080000001</v>
      </c>
      <c r="U48" s="70">
        <f t="shared" si="2"/>
        <v>8546.8952960000006</v>
      </c>
      <c r="V48" s="57"/>
    </row>
    <row r="49" spans="1:22">
      <c r="A49" s="68">
        <v>2.2000000000000002</v>
      </c>
      <c r="B49" s="69">
        <v>1</v>
      </c>
      <c r="C49" s="59">
        <f>((((A49*2)+(B49*2))*MATERIALES!$C$5)+((A49*2)*MATERIALES!$C$6)+((B49*2)*MATERIALES!$C$7)+((B49*2)*MATERIALES!$C$8))*MATERIALES!$F$2</f>
        <v>4602.1248000000005</v>
      </c>
      <c r="D49" s="59">
        <f>(8*MATERIALES!$C$136)+(8*MATERIALES!$C$137)+(1*MATERIALES!$C$139)+(4*MATERIALES!$C$142)+(8*MATERIALES!$C$144)+((8*4)*MATERIALES!$C$145)+(('HERR CLASICA CORREDIZA'!B49*4)*MATERIALES!$C$140)+((('HERR CLASICA CORREDIZA'!A49*2)+('HERR CLASICA CORREDIZA'!B49*4))*MATERIALES!$C$141)+(4*MATERIALES!$C$148)+((('HERR CLASICA CORREDIZA'!A49*5)*2)*MATERIALES!$C$147)+(4*MATERIALES!$C$146)</f>
        <v>731.15952000000016</v>
      </c>
      <c r="E49" s="75"/>
      <c r="F49" s="55">
        <f>(A49*B49)*MATERIALES!$D$82</f>
        <v>1166</v>
      </c>
      <c r="G49" s="59">
        <f t="shared" si="0"/>
        <v>6499.2843200000007</v>
      </c>
      <c r="H49" s="70">
        <f t="shared" si="3"/>
        <v>8731.9411839999993</v>
      </c>
      <c r="I49" s="57"/>
      <c r="N49" s="68">
        <v>2.2000000000000002</v>
      </c>
      <c r="O49" s="69">
        <v>1</v>
      </c>
      <c r="P49" s="59">
        <f>((((N49*2)+(O49*2))*MATERIALES!$C$5)+((N49*2)*MATERIALES!$C$6)+((O49*2)*MATERIALES!$C$7)+((O49*2)*MATERIALES!$C$8)+((2*O49)*MATERIALES!$C$20)+(O49*MATERIALES!$C$21))*MATERIALES!$F$2</f>
        <v>5291.3952000000008</v>
      </c>
      <c r="Q49" s="59">
        <f>(8*MATERIALES!$C$136)+(8*MATERIALES!$C$137)+(1*MATERIALES!$C$139)+(4*MATERIALES!$C$142)+(8*MATERIALES!$C$144)+((8*4)*MATERIALES!$C$145)+(('HERR CLASICA CORREDIZA'!O49*4)*MATERIALES!$C$140)+((('HERR CLASICA CORREDIZA'!N49*2)+('HERR CLASICA CORREDIZA'!O49*4))*MATERIALES!$C$141)+(4*MATERIALES!$C$148)+((('HERR CLASICA CORREDIZA'!N49*5)*2)*MATERIALES!$C$147)+(4*MATERIALES!$C$146)+(2*MATERIALES!$C$144)+(2*MATERIALES!$C$168)+(2*MATERIALES!$C$145)+(10*MATERIALES!$C$145)</f>
        <v>794.55792000000019</v>
      </c>
      <c r="R49" s="75"/>
      <c r="S49" s="55">
        <f>(N49*O49)*MATERIALES!$D$82</f>
        <v>1166</v>
      </c>
      <c r="T49" s="59">
        <f t="shared" si="1"/>
        <v>7251.953120000001</v>
      </c>
      <c r="U49" s="70">
        <f t="shared" si="2"/>
        <v>9635.1437440000009</v>
      </c>
      <c r="V49" s="57"/>
    </row>
    <row r="50" spans="1:22">
      <c r="A50" s="68">
        <v>2.2000000000000002</v>
      </c>
      <c r="B50" s="69">
        <v>1.2</v>
      </c>
      <c r="C50" s="59">
        <f>((((A50*2)+(B50*2))*MATERIALES!$C$5)+((A50*2)*MATERIALES!$C$6)+((B50*2)*MATERIALES!$C$7)+((B50*2)*MATERIALES!$C$8))*MATERIALES!$F$2</f>
        <v>4960.3881600000004</v>
      </c>
      <c r="D50" s="59">
        <f>(8*MATERIALES!$C$136)+(8*MATERIALES!$C$137)+(1*MATERIALES!$C$139)+(4*MATERIALES!$C$142)+(8*MATERIALES!$C$144)+((8*4)*MATERIALES!$C$145)+(('HERR CLASICA CORREDIZA'!B50*4)*MATERIALES!$C$140)+((('HERR CLASICA CORREDIZA'!A50*2)+('HERR CLASICA CORREDIZA'!B50*4))*MATERIALES!$C$141)+(4*MATERIALES!$C$148)+((('HERR CLASICA CORREDIZA'!A50*5)*2)*MATERIALES!$C$147)+(4*MATERIALES!$C$146)</f>
        <v>753.24911999999995</v>
      </c>
      <c r="E50" s="75"/>
      <c r="F50" s="55">
        <f>(A50*B50)*MATERIALES!$D$82</f>
        <v>1399.2</v>
      </c>
      <c r="G50" s="59">
        <f t="shared" si="0"/>
        <v>7112.8372800000006</v>
      </c>
      <c r="H50" s="70">
        <f t="shared" si="3"/>
        <v>9654.764736000001</v>
      </c>
      <c r="I50" s="57"/>
      <c r="N50" s="68">
        <v>2.2000000000000002</v>
      </c>
      <c r="O50" s="69">
        <v>1.2</v>
      </c>
      <c r="P50" s="59">
        <f>((((N50*2)+(O50*2))*MATERIALES!$C$5)+((N50*2)*MATERIALES!$C$6)+((O50*2)*MATERIALES!$C$7)+((O50*2)*MATERIALES!$C$8)+((2*O50)*MATERIALES!$C$20)+(O50*MATERIALES!$C$21))*MATERIALES!$F$2</f>
        <v>5787.5126399999999</v>
      </c>
      <c r="Q50" s="59">
        <f>(8*MATERIALES!$C$136)+(8*MATERIALES!$C$137)+(1*MATERIALES!$C$139)+(4*MATERIALES!$C$142)+(8*MATERIALES!$C$144)+((8*4)*MATERIALES!$C$145)+(('HERR CLASICA CORREDIZA'!O50*4)*MATERIALES!$C$140)+((('HERR CLASICA CORREDIZA'!N50*2)+('HERR CLASICA CORREDIZA'!O50*4))*MATERIALES!$C$141)+(4*MATERIALES!$C$148)+((('HERR CLASICA CORREDIZA'!N50*5)*2)*MATERIALES!$C$147)+(4*MATERIALES!$C$146)+(2*MATERIALES!$C$144)+(2*MATERIALES!$C$168)+(2*MATERIALES!$C$145)+(10*MATERIALES!$C$145)</f>
        <v>816.64751999999999</v>
      </c>
      <c r="R50" s="75"/>
      <c r="S50" s="55">
        <f>(N50*O50)*MATERIALES!$D$82</f>
        <v>1399.2</v>
      </c>
      <c r="T50" s="59">
        <f t="shared" si="1"/>
        <v>8003.3601599999993</v>
      </c>
      <c r="U50" s="70">
        <f t="shared" si="2"/>
        <v>10723.392191999999</v>
      </c>
      <c r="V50" s="57"/>
    </row>
    <row r="51" spans="1:22">
      <c r="A51" s="68">
        <v>2.2000000000000002</v>
      </c>
      <c r="B51" s="69">
        <v>1.5</v>
      </c>
      <c r="C51" s="59">
        <f>((((A51*2)+(B51*2))*MATERIALES!$C$5)+((A51*2)*MATERIALES!$C$6)+((B51*2)*MATERIALES!$C$7)+((B51*2)*MATERIALES!$C$8))*MATERIALES!$F$2</f>
        <v>5497.7832000000008</v>
      </c>
      <c r="D51" s="59">
        <f>(8*MATERIALES!$C$136)+(8*MATERIALES!$C$137)+(1*MATERIALES!$C$139)+(4*MATERIALES!$C$142)+(8*MATERIALES!$C$144)+((8*4)*MATERIALES!$C$145)+(('HERR CLASICA CORREDIZA'!B51*4)*MATERIALES!$C$140)+((('HERR CLASICA CORREDIZA'!A51*2)+('HERR CLASICA CORREDIZA'!B51*4))*MATERIALES!$C$141)+(4*MATERIALES!$C$148)+((('HERR CLASICA CORREDIZA'!A51*5)*2)*MATERIALES!$C$147)+(4*MATERIALES!$C$146)</f>
        <v>786.38352000000009</v>
      </c>
      <c r="E51" s="75"/>
      <c r="F51" s="55">
        <f>(A51*B51)*MATERIALES!$D$82</f>
        <v>1749.0000000000002</v>
      </c>
      <c r="G51" s="59">
        <f t="shared" si="0"/>
        <v>8033.1667200000011</v>
      </c>
      <c r="H51" s="70">
        <f t="shared" si="3"/>
        <v>11039.000064000002</v>
      </c>
      <c r="I51" s="57"/>
      <c r="N51" s="68">
        <v>2.2000000000000002</v>
      </c>
      <c r="O51" s="69">
        <v>1.5</v>
      </c>
      <c r="P51" s="59">
        <f>((((N51*2)+(O51*2))*MATERIALES!$C$5)+((N51*2)*MATERIALES!$C$6)+((O51*2)*MATERIALES!$C$7)+((O51*2)*MATERIALES!$C$8)+((2*O51)*MATERIALES!$C$20)+(O51*MATERIALES!$C$21))*MATERIALES!$F$2</f>
        <v>6531.6888000000008</v>
      </c>
      <c r="Q51" s="59">
        <f>(8*MATERIALES!$C$136)+(8*MATERIALES!$C$137)+(1*MATERIALES!$C$139)+(4*MATERIALES!$C$142)+(8*MATERIALES!$C$144)+((8*4)*MATERIALES!$C$145)+(('HERR CLASICA CORREDIZA'!O51*4)*MATERIALES!$C$140)+((('HERR CLASICA CORREDIZA'!N51*2)+('HERR CLASICA CORREDIZA'!O51*4))*MATERIALES!$C$141)+(4*MATERIALES!$C$148)+((('HERR CLASICA CORREDIZA'!N51*5)*2)*MATERIALES!$C$147)+(4*MATERIALES!$C$146)+(2*MATERIALES!$C$144)+(2*MATERIALES!$C$168)+(2*MATERIALES!$C$145)+(10*MATERIALES!$C$145)</f>
        <v>849.78192000000013</v>
      </c>
      <c r="R51" s="75"/>
      <c r="S51" s="55">
        <f>(N51*O51)*MATERIALES!$D$82</f>
        <v>1749.0000000000002</v>
      </c>
      <c r="T51" s="59">
        <f t="shared" si="1"/>
        <v>9130.4707200000012</v>
      </c>
      <c r="U51" s="70">
        <f t="shared" si="2"/>
        <v>12355.764864000001</v>
      </c>
      <c r="V51" s="57"/>
    </row>
    <row r="52" spans="1:22">
      <c r="A52" s="68">
        <v>2.2000000000000002</v>
      </c>
      <c r="B52" s="69">
        <v>1.8</v>
      </c>
      <c r="C52" s="59">
        <f>((((A52*2)+(B52*2))*MATERIALES!$C$5)+((A52*2)*MATERIALES!$C$6)+((B52*2)*MATERIALES!$C$7)+((B52*2)*MATERIALES!$C$8))*MATERIALES!$F$2</f>
        <v>6035.1782400000002</v>
      </c>
      <c r="D52" s="59">
        <f>(8*MATERIALES!$C$136)+(8*MATERIALES!$C$137)+(1*MATERIALES!$C$139)+(4*MATERIALES!$C$142)+(8*MATERIALES!$C$144)+((8*4)*MATERIALES!$C$145)+(('HERR CLASICA CORREDIZA'!B52*4)*MATERIALES!$C$140)+((('HERR CLASICA CORREDIZA'!A52*2)+('HERR CLASICA CORREDIZA'!B52*4))*MATERIALES!$C$141)+(4*MATERIALES!$C$148)+((('HERR CLASICA CORREDIZA'!A52*5)*2)*MATERIALES!$C$147)+(4*MATERIALES!$C$146)</f>
        <v>819.51792</v>
      </c>
      <c r="E52" s="75"/>
      <c r="F52" s="55">
        <f>(A52*B52)*MATERIALES!$D$82</f>
        <v>2098.8000000000002</v>
      </c>
      <c r="G52" s="59">
        <f t="shared" si="0"/>
        <v>8953.4961600000006</v>
      </c>
      <c r="H52" s="70">
        <f t="shared" si="3"/>
        <v>12423.235392000001</v>
      </c>
      <c r="I52" s="57"/>
      <c r="N52" s="68">
        <v>2.2000000000000002</v>
      </c>
      <c r="O52" s="69">
        <v>1.8</v>
      </c>
      <c r="P52" s="59">
        <f>((((N52*2)+(O52*2))*MATERIALES!$C$5)+((N52*2)*MATERIALES!$C$6)+((O52*2)*MATERIALES!$C$7)+((O52*2)*MATERIALES!$C$8)+((2*O52)*MATERIALES!$C$20)+(O52*MATERIALES!$C$21))*MATERIALES!$F$2</f>
        <v>7275.8649600000008</v>
      </c>
      <c r="Q52" s="59">
        <f>(8*MATERIALES!$C$136)+(8*MATERIALES!$C$137)+(1*MATERIALES!$C$139)+(4*MATERIALES!$C$142)+(8*MATERIALES!$C$144)+((8*4)*MATERIALES!$C$145)+(('HERR CLASICA CORREDIZA'!O52*4)*MATERIALES!$C$140)+((('HERR CLASICA CORREDIZA'!N52*2)+('HERR CLASICA CORREDIZA'!O52*4))*MATERIALES!$C$141)+(4*MATERIALES!$C$148)+((('HERR CLASICA CORREDIZA'!N52*5)*2)*MATERIALES!$C$147)+(4*MATERIALES!$C$146)+(2*MATERIALES!$C$144)+(2*MATERIALES!$C$168)+(2*MATERIALES!$C$145)+(10*MATERIALES!$C$145)</f>
        <v>882.91632000000004</v>
      </c>
      <c r="R52" s="75"/>
      <c r="S52" s="55">
        <f>(N52*O52)*MATERIALES!$D$82</f>
        <v>2098.8000000000002</v>
      </c>
      <c r="T52" s="59">
        <f t="shared" si="1"/>
        <v>10257.581280000002</v>
      </c>
      <c r="U52" s="70">
        <f t="shared" si="2"/>
        <v>13988.137536000002</v>
      </c>
      <c r="V52" s="57"/>
    </row>
    <row r="53" spans="1:22">
      <c r="A53" s="68">
        <v>2.4</v>
      </c>
      <c r="B53" s="69">
        <v>0.4</v>
      </c>
      <c r="C53" s="59">
        <f>((((A53*2)+(B53*2))*MATERIALES!$C$5)+((A53*2)*MATERIALES!$C$6)+((B53*2)*MATERIALES!$C$7)+((B53*2)*MATERIALES!$C$8))*MATERIALES!$F$2</f>
        <v>3782.8627199999996</v>
      </c>
      <c r="D53" s="59">
        <f>(8*MATERIALES!$C$136)+(8*MATERIALES!$C$137)+(1*MATERIALES!$C$139)+(4*MATERIALES!$C$142)+(8*MATERIALES!$C$144)+((8*4)*MATERIALES!$C$145)+(('HERR CLASICA CORREDIZA'!B53*4)*MATERIALES!$C$140)+((('HERR CLASICA CORREDIZA'!A53*2)+('HERR CLASICA CORREDIZA'!B53*4))*MATERIALES!$C$141)+(4*MATERIALES!$C$148)+((('HERR CLASICA CORREDIZA'!A53*5)*2)*MATERIALES!$C$147)+(4*MATERIALES!$C$146)</f>
        <v>673.42704000000003</v>
      </c>
      <c r="E53" s="75"/>
      <c r="F53" s="55">
        <f>(A53*B53)*MATERIALES!$D$82</f>
        <v>508.79999999999995</v>
      </c>
      <c r="G53" s="59">
        <f t="shared" si="0"/>
        <v>4965.0897599999998</v>
      </c>
      <c r="H53" s="70">
        <f t="shared" si="3"/>
        <v>6365.147712</v>
      </c>
      <c r="I53" s="57"/>
      <c r="N53" s="68">
        <v>2.4</v>
      </c>
      <c r="O53" s="69">
        <v>0.4</v>
      </c>
      <c r="P53" s="59">
        <f>((((N53*2)+(O53*2))*MATERIALES!$C$5)+((N53*2)*MATERIALES!$C$6)+((O53*2)*MATERIALES!$C$7)+((O53*2)*MATERIALES!$C$8)+((2*O53)*MATERIALES!$C$20)+(O53*MATERIALES!$C$21))*MATERIALES!$F$2</f>
        <v>4058.5708799999998</v>
      </c>
      <c r="Q53" s="59">
        <f>(8*MATERIALES!$C$136)+(8*MATERIALES!$C$137)+(1*MATERIALES!$C$139)+(4*MATERIALES!$C$142)+(8*MATERIALES!$C$144)+((8*4)*MATERIALES!$C$145)+(('HERR CLASICA CORREDIZA'!O53*4)*MATERIALES!$C$140)+((('HERR CLASICA CORREDIZA'!N53*2)+('HERR CLASICA CORREDIZA'!O53*4))*MATERIALES!$C$141)+(4*MATERIALES!$C$148)+((('HERR CLASICA CORREDIZA'!N53*5)*2)*MATERIALES!$C$147)+(4*MATERIALES!$C$146)+(2*MATERIALES!$C$144)+(2*MATERIALES!$C$168)+(2*MATERIALES!$C$145)+(10*MATERIALES!$C$145)</f>
        <v>736.82544000000007</v>
      </c>
      <c r="R53" s="75"/>
      <c r="S53" s="55">
        <f>(N53*O53)*MATERIALES!$D$82</f>
        <v>508.79999999999995</v>
      </c>
      <c r="T53" s="59">
        <f t="shared" si="1"/>
        <v>5304.19632</v>
      </c>
      <c r="U53" s="70">
        <f t="shared" si="2"/>
        <v>6772.0755840000002</v>
      </c>
      <c r="V53" s="57"/>
    </row>
    <row r="54" spans="1:22">
      <c r="A54" s="42">
        <v>2.4</v>
      </c>
      <c r="B54" s="37">
        <v>0.6</v>
      </c>
      <c r="C54" s="38">
        <f>((((A54*2)+(B54*2))*MATERIALES!$C$5)+((A54*2)*MATERIALES!$C$6)+((B54*2)*MATERIALES!$C$7)+((B54*2)*MATERIALES!$C$8))*MATERIALES!$F$2</f>
        <v>4141.12608</v>
      </c>
      <c r="D54" s="38">
        <f>(8*MATERIALES!$C$136)+(8*MATERIALES!$C$137)+(1*MATERIALES!$C$139)+(4*MATERIALES!$C$142)+(8*MATERIALES!$C$144)+((8*4)*MATERIALES!$C$145)+(('HERR CLASICA CORREDIZA'!B54*4)*MATERIALES!$C$140)+((('HERR CLASICA CORREDIZA'!A54*2)+('HERR CLASICA CORREDIZA'!B54*4))*MATERIALES!$C$141)+(4*MATERIALES!$C$148)+((('HERR CLASICA CORREDIZA'!A54*5)*2)*MATERIALES!$C$147)+(4*MATERIALES!$C$146)</f>
        <v>695.51664000000005</v>
      </c>
      <c r="E54" s="75"/>
      <c r="F54" s="39">
        <f>(A54*B54)*MATERIALES!$D$82</f>
        <v>763.19999999999993</v>
      </c>
      <c r="G54" s="38">
        <f t="shared" si="0"/>
        <v>5599.8427199999996</v>
      </c>
      <c r="H54" s="70">
        <f t="shared" si="3"/>
        <v>7330.3712639999994</v>
      </c>
      <c r="I54" s="57"/>
      <c r="N54" s="68">
        <v>2.4</v>
      </c>
      <c r="O54" s="69">
        <v>0.6</v>
      </c>
      <c r="P54" s="59">
        <f>((((N54*2)+(O54*2))*MATERIALES!$C$5)+((N54*2)*MATERIALES!$C$6)+((O54*2)*MATERIALES!$C$7)+((O54*2)*MATERIALES!$C$8)+((2*O54)*MATERIALES!$C$20)+(O54*MATERIALES!$C$21))*MATERIALES!$F$2</f>
        <v>4554.6883199999993</v>
      </c>
      <c r="Q54" s="59">
        <f>(8*MATERIALES!$C$136)+(8*MATERIALES!$C$137)+(1*MATERIALES!$C$139)+(4*MATERIALES!$C$142)+(8*MATERIALES!$C$144)+((8*4)*MATERIALES!$C$145)+(('HERR CLASICA CORREDIZA'!O54*4)*MATERIALES!$C$140)+((('HERR CLASICA CORREDIZA'!N54*2)+('HERR CLASICA CORREDIZA'!O54*4))*MATERIALES!$C$141)+(4*MATERIALES!$C$148)+((('HERR CLASICA CORREDIZA'!N54*5)*2)*MATERIALES!$C$147)+(4*MATERIALES!$C$146)+(2*MATERIALES!$C$144)+(2*MATERIALES!$C$168)+(2*MATERIALES!$C$145)+(10*MATERIALES!$C$145)</f>
        <v>758.91504000000009</v>
      </c>
      <c r="R54" s="75"/>
      <c r="S54" s="55">
        <f>(N54*O54)*MATERIALES!$D$82</f>
        <v>763.19999999999993</v>
      </c>
      <c r="T54" s="59">
        <f t="shared" si="1"/>
        <v>6076.803359999999</v>
      </c>
      <c r="U54" s="70">
        <f t="shared" si="2"/>
        <v>7902.7240319999983</v>
      </c>
      <c r="V54" s="57"/>
    </row>
    <row r="55" spans="1:22">
      <c r="A55" s="42">
        <v>2.4</v>
      </c>
      <c r="B55" s="37">
        <v>0.8</v>
      </c>
      <c r="C55" s="38">
        <f>((((A55*2)+(B55*2))*MATERIALES!$C$5)+((A55*2)*MATERIALES!$C$6)+((B55*2)*MATERIALES!$C$7)+((B55*2)*MATERIALES!$C$8))*MATERIALES!$F$2</f>
        <v>4499.3894400000008</v>
      </c>
      <c r="D55" s="38">
        <f>(8*MATERIALES!$C$136)+(8*MATERIALES!$C$137)+(1*MATERIALES!$C$139)+(4*MATERIALES!$C$142)+(8*MATERIALES!$C$144)+((8*4)*MATERIALES!$C$145)+(('HERR CLASICA CORREDIZA'!B55*4)*MATERIALES!$C$140)+((('HERR CLASICA CORREDIZA'!A55*2)+('HERR CLASICA CORREDIZA'!B55*4))*MATERIALES!$C$141)+(4*MATERIALES!$C$148)+((('HERR CLASICA CORREDIZA'!A55*5)*2)*MATERIALES!$C$147)+(4*MATERIALES!$C$146)</f>
        <v>717.60624000000007</v>
      </c>
      <c r="E55" s="75"/>
      <c r="F55" s="39">
        <f>(A55*B55)*MATERIALES!$D$82</f>
        <v>1017.5999999999999</v>
      </c>
      <c r="G55" s="38">
        <f t="shared" si="0"/>
        <v>6234.5956800000004</v>
      </c>
      <c r="H55" s="70">
        <f t="shared" si="3"/>
        <v>8295.5948160000007</v>
      </c>
      <c r="I55" s="57"/>
      <c r="N55" s="68">
        <v>2.4</v>
      </c>
      <c r="O55" s="69">
        <v>0.8</v>
      </c>
      <c r="P55" s="59">
        <f>((((N55*2)+(O55*2))*MATERIALES!$C$5)+((N55*2)*MATERIALES!$C$6)+((O55*2)*MATERIALES!$C$7)+((O55*2)*MATERIALES!$C$8)+((2*O55)*MATERIALES!$C$20)+(O55*MATERIALES!$C$21))*MATERIALES!$F$2</f>
        <v>5050.8057600000011</v>
      </c>
      <c r="Q55" s="59">
        <f>(8*MATERIALES!$C$136)+(8*MATERIALES!$C$137)+(1*MATERIALES!$C$139)+(4*MATERIALES!$C$142)+(8*MATERIALES!$C$144)+((8*4)*MATERIALES!$C$145)+(('HERR CLASICA CORREDIZA'!O55*4)*MATERIALES!$C$140)+((('HERR CLASICA CORREDIZA'!N55*2)+('HERR CLASICA CORREDIZA'!O55*4))*MATERIALES!$C$141)+(4*MATERIALES!$C$148)+((('HERR CLASICA CORREDIZA'!N55*5)*2)*MATERIALES!$C$147)+(4*MATERIALES!$C$146)+(2*MATERIALES!$C$144)+(2*MATERIALES!$C$168)+(2*MATERIALES!$C$145)+(10*MATERIALES!$C$145)</f>
        <v>781.00464000000011</v>
      </c>
      <c r="R55" s="75"/>
      <c r="S55" s="55">
        <f>(N55*O55)*MATERIALES!$D$82</f>
        <v>1017.5999999999999</v>
      </c>
      <c r="T55" s="59">
        <f t="shared" si="1"/>
        <v>6849.4104000000007</v>
      </c>
      <c r="U55" s="70">
        <f t="shared" si="2"/>
        <v>9033.3724800000018</v>
      </c>
      <c r="V55" s="57"/>
    </row>
    <row r="56" spans="1:22">
      <c r="A56" s="42">
        <v>2.4</v>
      </c>
      <c r="B56" s="37">
        <v>1</v>
      </c>
      <c r="C56" s="38">
        <f>((((A56*2)+(B56*2))*MATERIALES!$C$5)+((A56*2)*MATERIALES!$C$6)+((B56*2)*MATERIALES!$C$7)+((B56*2)*MATERIALES!$C$8))*MATERIALES!$F$2</f>
        <v>4857.6527999999998</v>
      </c>
      <c r="D56" s="38">
        <f>(8*MATERIALES!$C$136)+(8*MATERIALES!$C$137)+(1*MATERIALES!$C$139)+(4*MATERIALES!$C$142)+(8*MATERIALES!$C$144)+((8*4)*MATERIALES!$C$145)+(('HERR CLASICA CORREDIZA'!B56*4)*MATERIALES!$C$140)+((('HERR CLASICA CORREDIZA'!A56*2)+('HERR CLASICA CORREDIZA'!B56*4))*MATERIALES!$C$141)+(4*MATERIALES!$C$148)+((('HERR CLASICA CORREDIZA'!A56*5)*2)*MATERIALES!$C$147)+(4*MATERIALES!$C$146)</f>
        <v>739.69584000000009</v>
      </c>
      <c r="E56" s="75"/>
      <c r="F56" s="39">
        <f>(A56*B56)*MATERIALES!$D$82</f>
        <v>1272</v>
      </c>
      <c r="G56" s="38">
        <f t="shared" si="0"/>
        <v>6869.3486400000002</v>
      </c>
      <c r="H56" s="70">
        <f t="shared" si="3"/>
        <v>9260.8183680000002</v>
      </c>
      <c r="I56" s="57"/>
      <c r="N56" s="68">
        <v>2.4</v>
      </c>
      <c r="O56" s="69">
        <v>1</v>
      </c>
      <c r="P56" s="59">
        <f>((((N56*2)+(O56*2))*MATERIALES!$C$5)+((N56*2)*MATERIALES!$C$6)+((O56*2)*MATERIALES!$C$7)+((O56*2)*MATERIALES!$C$8)+((2*O56)*MATERIALES!$C$20)+(O56*MATERIALES!$C$21))*MATERIALES!$F$2</f>
        <v>5546.9232000000002</v>
      </c>
      <c r="Q56" s="59">
        <f>(8*MATERIALES!$C$136)+(8*MATERIALES!$C$137)+(1*MATERIALES!$C$139)+(4*MATERIALES!$C$142)+(8*MATERIALES!$C$144)+((8*4)*MATERIALES!$C$145)+(('HERR CLASICA CORREDIZA'!O56*4)*MATERIALES!$C$140)+((('HERR CLASICA CORREDIZA'!N56*2)+('HERR CLASICA CORREDIZA'!O56*4))*MATERIALES!$C$141)+(4*MATERIALES!$C$148)+((('HERR CLASICA CORREDIZA'!N56*5)*2)*MATERIALES!$C$147)+(4*MATERIALES!$C$146)+(2*MATERIALES!$C$144)+(2*MATERIALES!$C$168)+(2*MATERIALES!$C$145)+(10*MATERIALES!$C$145)</f>
        <v>803.09424000000013</v>
      </c>
      <c r="R56" s="75"/>
      <c r="S56" s="55">
        <f>(N56*O56)*MATERIALES!$D$82</f>
        <v>1272</v>
      </c>
      <c r="T56" s="59">
        <f t="shared" si="1"/>
        <v>7622.0174400000005</v>
      </c>
      <c r="U56" s="70">
        <f t="shared" si="2"/>
        <v>10164.020928</v>
      </c>
      <c r="V56" s="57"/>
    </row>
    <row r="57" spans="1:22">
      <c r="A57" s="42">
        <v>2.4</v>
      </c>
      <c r="B57" s="37">
        <v>1.2</v>
      </c>
      <c r="C57" s="38">
        <f>((((A57*2)+(B57*2))*MATERIALES!$C$5)+((A57*2)*MATERIALES!$C$6)+((B57*2)*MATERIALES!$C$7)+((B57*2)*MATERIALES!$C$8))*MATERIALES!$F$2</f>
        <v>5215.9161599999998</v>
      </c>
      <c r="D57" s="38">
        <f>(8*MATERIALES!$C$136)+(8*MATERIALES!$C$137)+(1*MATERIALES!$C$139)+(4*MATERIALES!$C$142)+(8*MATERIALES!$C$144)+((8*4)*MATERIALES!$C$145)+(('HERR CLASICA CORREDIZA'!B57*4)*MATERIALES!$C$140)+((('HERR CLASICA CORREDIZA'!A57*2)+('HERR CLASICA CORREDIZA'!B57*4))*MATERIALES!$C$141)+(4*MATERIALES!$C$148)+((('HERR CLASICA CORREDIZA'!A57*5)*2)*MATERIALES!$C$147)+(4*MATERIALES!$C$146)</f>
        <v>761.78544000000011</v>
      </c>
      <c r="E57" s="75"/>
      <c r="F57" s="39">
        <f>(A57*B57)*MATERIALES!$D$82</f>
        <v>1526.3999999999999</v>
      </c>
      <c r="G57" s="38">
        <f t="shared" si="0"/>
        <v>7504.1016</v>
      </c>
      <c r="H57" s="70">
        <f t="shared" si="3"/>
        <v>10226.04192</v>
      </c>
      <c r="I57" s="57"/>
      <c r="N57" s="68">
        <v>2.4</v>
      </c>
      <c r="O57" s="69">
        <v>1.2</v>
      </c>
      <c r="P57" s="59">
        <f>((((N57*2)+(O57*2))*MATERIALES!$C$5)+((N57*2)*MATERIALES!$C$6)+((O57*2)*MATERIALES!$C$7)+((O57*2)*MATERIALES!$C$8)+((2*O57)*MATERIALES!$C$20)+(O57*MATERIALES!$C$21))*MATERIALES!$F$2</f>
        <v>6043.0406399999993</v>
      </c>
      <c r="Q57" s="59">
        <f>(8*MATERIALES!$C$136)+(8*MATERIALES!$C$137)+(1*MATERIALES!$C$139)+(4*MATERIALES!$C$142)+(8*MATERIALES!$C$144)+((8*4)*MATERIALES!$C$145)+(('HERR CLASICA CORREDIZA'!O57*4)*MATERIALES!$C$140)+((('HERR CLASICA CORREDIZA'!N57*2)+('HERR CLASICA CORREDIZA'!O57*4))*MATERIALES!$C$141)+(4*MATERIALES!$C$148)+((('HERR CLASICA CORREDIZA'!N57*5)*2)*MATERIALES!$C$147)+(4*MATERIALES!$C$146)+(2*MATERIALES!$C$144)+(2*MATERIALES!$C$168)+(2*MATERIALES!$C$145)+(10*MATERIALES!$C$145)</f>
        <v>825.18384000000015</v>
      </c>
      <c r="R57" s="75"/>
      <c r="S57" s="55">
        <f>(N57*O57)*MATERIALES!$D$82</f>
        <v>1526.3999999999999</v>
      </c>
      <c r="T57" s="59">
        <f t="shared" si="1"/>
        <v>8394.6244799999986</v>
      </c>
      <c r="U57" s="70">
        <f t="shared" si="2"/>
        <v>11294.669375999998</v>
      </c>
      <c r="V57" s="57"/>
    </row>
    <row r="58" spans="1:22">
      <c r="A58" s="42">
        <v>2.4</v>
      </c>
      <c r="B58" s="37">
        <v>1.5</v>
      </c>
      <c r="C58" s="38">
        <f>((((A58*2)+(B58*2))*MATERIALES!$C$5)+((A58*2)*MATERIALES!$C$6)+((B58*2)*MATERIALES!$C$7)+((B58*2)*MATERIALES!$C$8))*MATERIALES!$F$2</f>
        <v>5753.3111999999992</v>
      </c>
      <c r="D58" s="38">
        <f>(8*MATERIALES!$C$136)+(8*MATERIALES!$C$137)+(1*MATERIALES!$C$139)+(4*MATERIALES!$C$142)+(8*MATERIALES!$C$144)+((8*4)*MATERIALES!$C$145)+(('HERR CLASICA CORREDIZA'!B58*4)*MATERIALES!$C$140)+((('HERR CLASICA CORREDIZA'!A58*2)+('HERR CLASICA CORREDIZA'!B58*4))*MATERIALES!$C$141)+(4*MATERIALES!$C$148)+((('HERR CLASICA CORREDIZA'!A58*5)*2)*MATERIALES!$C$147)+(4*MATERIALES!$C$146)</f>
        <v>794.91984000000002</v>
      </c>
      <c r="E58" s="75"/>
      <c r="F58" s="39">
        <f>(A58*B58)*MATERIALES!$D$82</f>
        <v>1907.9999999999998</v>
      </c>
      <c r="G58" s="38">
        <f t="shared" si="0"/>
        <v>8456.2310399999988</v>
      </c>
      <c r="H58" s="70">
        <f t="shared" si="3"/>
        <v>11673.877247999997</v>
      </c>
      <c r="I58" s="57"/>
      <c r="N58" s="68">
        <v>2.4</v>
      </c>
      <c r="O58" s="69">
        <v>1.5</v>
      </c>
      <c r="P58" s="59">
        <f>((((N58*2)+(O58*2))*MATERIALES!$C$5)+((N58*2)*MATERIALES!$C$6)+((O58*2)*MATERIALES!$C$7)+((O58*2)*MATERIALES!$C$8)+((2*O58)*MATERIALES!$C$20)+(O58*MATERIALES!$C$21))*MATERIALES!$F$2</f>
        <v>6787.2168000000001</v>
      </c>
      <c r="Q58" s="59">
        <f>(8*MATERIALES!$C$136)+(8*MATERIALES!$C$137)+(1*MATERIALES!$C$139)+(4*MATERIALES!$C$142)+(8*MATERIALES!$C$144)+((8*4)*MATERIALES!$C$145)+(('HERR CLASICA CORREDIZA'!O58*4)*MATERIALES!$C$140)+((('HERR CLASICA CORREDIZA'!N58*2)+('HERR CLASICA CORREDIZA'!O58*4))*MATERIALES!$C$141)+(4*MATERIALES!$C$148)+((('HERR CLASICA CORREDIZA'!N58*5)*2)*MATERIALES!$C$147)+(4*MATERIALES!$C$146)+(2*MATERIALES!$C$144)+(2*MATERIALES!$C$168)+(2*MATERIALES!$C$145)+(10*MATERIALES!$C$145)</f>
        <v>858.31824000000006</v>
      </c>
      <c r="R58" s="75"/>
      <c r="S58" s="55">
        <f>(N58*O58)*MATERIALES!$D$82</f>
        <v>1907.9999999999998</v>
      </c>
      <c r="T58" s="59">
        <f t="shared" si="1"/>
        <v>9553.5350400000007</v>
      </c>
      <c r="U58" s="70">
        <f t="shared" si="2"/>
        <v>12990.642048</v>
      </c>
      <c r="V58" s="57"/>
    </row>
    <row r="59" spans="1:22" ht="15.75" thickBot="1">
      <c r="A59" s="44">
        <v>2.4</v>
      </c>
      <c r="B59" s="45">
        <v>1.8</v>
      </c>
      <c r="C59" s="50">
        <f>((((A59*2)+(B59*2))*MATERIALES!$C$5)+((A59*2)*MATERIALES!$C$6)+((B59*2)*MATERIALES!$C$7)+((B59*2)*MATERIALES!$C$8))*MATERIALES!$F$2</f>
        <v>6290.7062400000004</v>
      </c>
      <c r="D59" s="50">
        <f>(8*MATERIALES!$C$136)+(8*MATERIALES!$C$137)+(1*MATERIALES!$C$139)+(4*MATERIALES!$C$142)+(8*MATERIALES!$C$144)+((8*4)*MATERIALES!$C$145)+(('HERR CLASICA CORREDIZA'!B59*4)*MATERIALES!$C$140)+((('HERR CLASICA CORREDIZA'!A59*2)+('HERR CLASICA CORREDIZA'!B59*4))*MATERIALES!$C$141)+(4*MATERIALES!$C$148)+((('HERR CLASICA CORREDIZA'!A59*5)*2)*MATERIALES!$C$147)+(4*MATERIALES!$C$146)</f>
        <v>828.05424000000016</v>
      </c>
      <c r="E59" s="76"/>
      <c r="F59" s="51">
        <f>(A59*B59)*MATERIALES!$D$82</f>
        <v>2289.6000000000004</v>
      </c>
      <c r="G59" s="50">
        <f t="shared" si="0"/>
        <v>9408.3604800000012</v>
      </c>
      <c r="H59" s="73">
        <f t="shared" si="3"/>
        <v>13121.712576000002</v>
      </c>
      <c r="I59" s="57"/>
      <c r="N59" s="71">
        <v>2.4</v>
      </c>
      <c r="O59" s="72">
        <v>1.8</v>
      </c>
      <c r="P59" s="60">
        <f>((((N59*2)+(O59*2))*MATERIALES!$C$5)+((N59*2)*MATERIALES!$C$6)+((O59*2)*MATERIALES!$C$7)+((O59*2)*MATERIALES!$C$8)+((2*O59)*MATERIALES!$C$20)+(O59*MATERIALES!$C$21))*MATERIALES!$F$2</f>
        <v>7531.392960000001</v>
      </c>
      <c r="Q59" s="60">
        <f>(8*MATERIALES!$C$136)+(8*MATERIALES!$C$137)+(1*MATERIALES!$C$139)+(4*MATERIALES!$C$142)+(8*MATERIALES!$C$144)+((8*4)*MATERIALES!$C$145)+(('HERR CLASICA CORREDIZA'!O59*4)*MATERIALES!$C$140)+((('HERR CLASICA CORREDIZA'!N59*2)+('HERR CLASICA CORREDIZA'!O59*4))*MATERIALES!$C$141)+(4*MATERIALES!$C$148)+((('HERR CLASICA CORREDIZA'!N59*5)*2)*MATERIALES!$C$147)+(4*MATERIALES!$C$146)+(2*MATERIALES!$C$144)+(2*MATERIALES!$C$168)+(2*MATERIALES!$C$145)+(10*MATERIALES!$C$145)</f>
        <v>891.4526400000002</v>
      </c>
      <c r="R59" s="76"/>
      <c r="S59" s="56">
        <f>(N59*O59)*MATERIALES!$D$82</f>
        <v>2289.6000000000004</v>
      </c>
      <c r="T59" s="60">
        <f t="shared" si="1"/>
        <v>10712.445600000001</v>
      </c>
      <c r="U59" s="73">
        <f>(SUM(P59:R59)*1.2)+(S59*2)</f>
        <v>14686.614720000001</v>
      </c>
      <c r="V59" s="57"/>
    </row>
    <row r="62" spans="1:22" ht="15.75" thickBot="1">
      <c r="A62" s="64"/>
      <c r="N62" s="64"/>
    </row>
    <row r="63" spans="1:22" ht="15.75" thickBot="1">
      <c r="C63" s="801">
        <v>0.2</v>
      </c>
      <c r="D63" s="802"/>
      <c r="E63" s="803"/>
      <c r="F63" s="61">
        <v>1</v>
      </c>
      <c r="H63" s="62" t="s">
        <v>163</v>
      </c>
      <c r="P63" s="801">
        <v>0.2</v>
      </c>
      <c r="Q63" s="802"/>
      <c r="R63" s="803"/>
      <c r="S63" s="61">
        <v>1</v>
      </c>
      <c r="U63" s="62" t="s">
        <v>163</v>
      </c>
    </row>
    <row r="64" spans="1:22" ht="15.75" thickBot="1">
      <c r="A64" s="792" t="s">
        <v>168</v>
      </c>
      <c r="B64" s="793"/>
      <c r="C64" s="793"/>
      <c r="D64" s="793"/>
      <c r="E64" s="793"/>
      <c r="F64" s="793"/>
      <c r="G64" s="793"/>
      <c r="H64" s="794"/>
      <c r="N64" s="792" t="s">
        <v>234</v>
      </c>
      <c r="O64" s="793"/>
      <c r="P64" s="793"/>
      <c r="Q64" s="793"/>
      <c r="R64" s="793"/>
      <c r="S64" s="793"/>
      <c r="T64" s="793"/>
      <c r="U64" s="794"/>
    </row>
    <row r="65" spans="1:22" ht="15.75" thickBot="1">
      <c r="A65" s="36" t="s">
        <v>116</v>
      </c>
      <c r="B65" s="36" t="s">
        <v>117</v>
      </c>
      <c r="C65" s="36" t="s">
        <v>162</v>
      </c>
      <c r="D65" s="36" t="s">
        <v>119</v>
      </c>
      <c r="E65" s="36" t="s">
        <v>120</v>
      </c>
      <c r="F65" s="36" t="s">
        <v>118</v>
      </c>
      <c r="G65" s="36" t="s">
        <v>121</v>
      </c>
      <c r="H65" s="36" t="s">
        <v>122</v>
      </c>
      <c r="N65" s="36" t="s">
        <v>116</v>
      </c>
      <c r="O65" s="36" t="s">
        <v>117</v>
      </c>
      <c r="P65" s="36" t="s">
        <v>162</v>
      </c>
      <c r="Q65" s="36" t="s">
        <v>119</v>
      </c>
      <c r="R65" s="36" t="s">
        <v>120</v>
      </c>
      <c r="S65" s="36" t="s">
        <v>118</v>
      </c>
      <c r="T65" s="36" t="s">
        <v>121</v>
      </c>
      <c r="U65" s="36" t="s">
        <v>122</v>
      </c>
    </row>
    <row r="66" spans="1:22" ht="15.75" thickBot="1">
      <c r="A66" s="795"/>
      <c r="B66" s="796"/>
      <c r="C66" s="796"/>
      <c r="D66" s="796"/>
      <c r="E66" s="796"/>
      <c r="F66" s="796"/>
      <c r="G66" s="796"/>
      <c r="H66" s="797"/>
      <c r="N66" s="795"/>
      <c r="O66" s="796"/>
      <c r="P66" s="796"/>
      <c r="Q66" s="796"/>
      <c r="R66" s="796"/>
      <c r="S66" s="796"/>
      <c r="T66" s="796"/>
      <c r="U66" s="797"/>
    </row>
    <row r="67" spans="1:22">
      <c r="A67" s="65">
        <v>1.2</v>
      </c>
      <c r="B67" s="66">
        <v>2</v>
      </c>
      <c r="C67" s="58">
        <f>((((A67*2)+(B67*2))*MATERIALES!$C$5)+(A67*MATERIALES!$C$6)+(A67*MATERIALES!$C$9)+((B67*2)*MATERIALES!$C$7)+((B67*2)*MATERIALES!$C$8)+(A67*MATERIALES!$C$6))*MATERIALES!$F$2</f>
        <v>5752.6559999999999</v>
      </c>
      <c r="D67" s="58">
        <f>(8*MATERIALES!$C$136)+(12*MATERIALES!$C$137)+(1*MATERIALES!$C$139)+(4*MATERIALES!$C$143)+(12*MATERIALES!$C$144)+((8*4)*MATERIALES!$C$145)+(('HERR CLASICA CORREDIZA'!B67*4)*MATERIALES!$C$140)+((('HERR CLASICA CORREDIZA'!A67*4)+('HERR CLASICA CORREDIZA'!B67*4))*MATERIALES!$C$141)+(4*MATERIALES!$C$148)+((('HERR CLASICA CORREDIZA'!A67*5)*2)*MATERIALES!$C$147)+(4*MATERIALES!$C$146)</f>
        <v>932.88624000000004</v>
      </c>
      <c r="E67" s="74"/>
      <c r="F67" s="54">
        <f>(A67*B67)*MATERIALES!$D$82</f>
        <v>1272</v>
      </c>
      <c r="G67" s="58">
        <f>SUM(C67:F67)</f>
        <v>7957.5422399999998</v>
      </c>
      <c r="H67" s="67">
        <f>(SUM(C67:E67)*1.2)+(F67*2)</f>
        <v>10566.650688</v>
      </c>
      <c r="I67" s="53"/>
      <c r="N67" s="65">
        <v>1.2</v>
      </c>
      <c r="O67" s="66">
        <v>2</v>
      </c>
      <c r="P67" s="58">
        <f>((((N67*2)+(O67*2))*MATERIALES!$C$5)+(N67*MATERIALES!$C$6)+(N67*MATERIALES!$C$9)+((O67*2)*MATERIALES!$C$7)+((O67*2)*MATERIALES!$C$8)+(N67*MATERIALES!$C$6)+((2*O67)*MATERIALES!$C$20)+(O67*MATERIALES!$C$21))*MATERIALES!$F$2</f>
        <v>7131.1967999999997</v>
      </c>
      <c r="Q67" s="58">
        <f>(8*MATERIALES!$C$136)+(12*MATERIALES!$C$137)+(1*MATERIALES!$C$139)+(4*MATERIALES!$C$143)+(12*MATERIALES!$C$144)+((8*4)*MATERIALES!$C$145)+(('HERR CLASICA CORREDIZA'!O67*4)*MATERIALES!$C$140)+((('HERR CLASICA CORREDIZA'!N67*4)+('HERR CLASICA CORREDIZA'!O67*4))*MATERIALES!$C$141)+(4*MATERIALES!$C$148)+((('HERR CLASICA CORREDIZA'!N67*5)*2)*MATERIALES!$C$147)+(4*MATERIALES!$C$146)+(2*MATERIALES!$C$144)+(2*MATERIALES!$C$168)+(2*MATERIALES!$C$145)+(10*MATERIALES!$C$145)</f>
        <v>996.28464000000008</v>
      </c>
      <c r="R67" s="74"/>
      <c r="S67" s="54">
        <f>(N67*O67)*MATERIALES!$D$82</f>
        <v>1272</v>
      </c>
      <c r="T67" s="58">
        <f>SUM(P67:S67)</f>
        <v>9399.4814399999996</v>
      </c>
      <c r="U67" s="67">
        <f>(SUM(P67:R67)*1.2)+(S67*2)</f>
        <v>12296.977728</v>
      </c>
      <c r="V67" s="53"/>
    </row>
    <row r="68" spans="1:22">
      <c r="A68" s="68">
        <v>1.5</v>
      </c>
      <c r="B68" s="69">
        <v>2</v>
      </c>
      <c r="C68" s="59">
        <f>((((A68*2)+(B68*2))*MATERIALES!$C$5)+(A68*MATERIALES!$C$6)+(A68*MATERIALES!$C$9)+((B68*2)*MATERIALES!$C$7)+((B68*2)*MATERIALES!$C$8)+(A68*MATERIALES!$C$6))*MATERIALES!$F$2</f>
        <v>6295.1616000000004</v>
      </c>
      <c r="D68" s="59">
        <f>(8*MATERIALES!$C$136)+(12*MATERIALES!$C$137)+(1*MATERIALES!$C$139)+(4*MATERIALES!$C$143)+(12*MATERIALES!$C$144)+((8*4)*MATERIALES!$C$145)+(('HERR CLASICA CORREDIZA'!B68*4)*MATERIALES!$C$140)+((('HERR CLASICA CORREDIZA'!A68*4)+('HERR CLASICA CORREDIZA'!B68*4))*MATERIALES!$C$141)+(4*MATERIALES!$C$148)+((('HERR CLASICA CORREDIZA'!A68*5)*2)*MATERIALES!$C$147)+(4*MATERIALES!$C$146)</f>
        <v>958.49520000000007</v>
      </c>
      <c r="E68" s="75"/>
      <c r="F68" s="55">
        <f>(A68*B68)*MATERIALES!$D$82</f>
        <v>1590</v>
      </c>
      <c r="G68" s="59">
        <f t="shared" ref="G68:G72" si="4">SUM(C68:F68)</f>
        <v>8843.6568000000007</v>
      </c>
      <c r="H68" s="70">
        <f>(SUM(C68:E68)*1.2)+(F68*2)</f>
        <v>11884.38816</v>
      </c>
      <c r="N68" s="68">
        <v>1.5</v>
      </c>
      <c r="O68" s="69">
        <v>2</v>
      </c>
      <c r="P68" s="59">
        <f>((((N68*2)+(O68*2))*MATERIALES!$C$5)+(N68*MATERIALES!$C$6)+(N68*MATERIALES!$C$9)+((O68*2)*MATERIALES!$C$7)+((O68*2)*MATERIALES!$C$8)+(N68*MATERIALES!$C$6)+((2*O68)*MATERIALES!$C$20)+(O68*MATERIALES!$C$21))*MATERIALES!$F$2</f>
        <v>7673.7024000000001</v>
      </c>
      <c r="Q68" s="59">
        <f>(8*MATERIALES!$C$136)+(12*MATERIALES!$C$137)+(1*MATERIALES!$C$139)+(4*MATERIALES!$C$143)+(12*MATERIALES!$C$144)+((8*4)*MATERIALES!$C$145)+(('HERR CLASICA CORREDIZA'!O68*4)*MATERIALES!$C$140)+((('HERR CLASICA CORREDIZA'!N68*4)+('HERR CLASICA CORREDIZA'!O68*4))*MATERIALES!$C$141)+(4*MATERIALES!$C$148)+((('HERR CLASICA CORREDIZA'!N68*5)*2)*MATERIALES!$C$147)+(4*MATERIALES!$C$146)+(2*MATERIALES!$C$144)+(2*MATERIALES!$C$168)+(2*MATERIALES!$C$145)+(10*MATERIALES!$C$145)</f>
        <v>1021.8936000000001</v>
      </c>
      <c r="R68" s="75"/>
      <c r="S68" s="55">
        <f>(N68*O68)*MATERIALES!$D$82</f>
        <v>1590</v>
      </c>
      <c r="T68" s="59">
        <f t="shared" ref="T68:T72" si="5">SUM(P68:S68)</f>
        <v>10285.596</v>
      </c>
      <c r="U68" s="70">
        <f t="shared" ref="U68:U72" si="6">(SUM(P68:R68)*1.2)+(S68*2)</f>
        <v>13614.715199999999</v>
      </c>
    </row>
    <row r="69" spans="1:22">
      <c r="A69" s="68">
        <v>1.8</v>
      </c>
      <c r="B69" s="69">
        <v>2</v>
      </c>
      <c r="C69" s="59">
        <f>((((A69*2)+(B69*2))*MATERIALES!$C$5)+(A69*MATERIALES!$C$6)+(A69*MATERIALES!$C$9)+((B69*2)*MATERIALES!$C$7)+((B69*2)*MATERIALES!$C$8)+(A69*MATERIALES!$C$6))*MATERIALES!$F$2</f>
        <v>6837.6672000000008</v>
      </c>
      <c r="D69" s="59">
        <f>(8*MATERIALES!$C$136)+(12*MATERIALES!$C$137)+(1*MATERIALES!$C$139)+(4*MATERIALES!$C$143)+(12*MATERIALES!$C$144)+((8*4)*MATERIALES!$C$145)+(('HERR CLASICA CORREDIZA'!B69*4)*MATERIALES!$C$140)+((('HERR CLASICA CORREDIZA'!A69*4)+('HERR CLASICA CORREDIZA'!B69*4))*MATERIALES!$C$141)+(4*MATERIALES!$C$148)+((('HERR CLASICA CORREDIZA'!A69*5)*2)*MATERIALES!$C$147)+(4*MATERIALES!$C$146)</f>
        <v>984.10416000000009</v>
      </c>
      <c r="E69" s="75"/>
      <c r="F69" s="55">
        <f>(A69*B69)*MATERIALES!$D$82</f>
        <v>1908</v>
      </c>
      <c r="G69" s="59">
        <f t="shared" si="4"/>
        <v>9729.7713600000006</v>
      </c>
      <c r="H69" s="70">
        <f t="shared" ref="H69:H71" si="7">(SUM(C69:E69)*1.2)+(F69*2)</f>
        <v>13202.125632000001</v>
      </c>
      <c r="N69" s="68">
        <v>1.8</v>
      </c>
      <c r="O69" s="69">
        <v>2</v>
      </c>
      <c r="P69" s="59">
        <f>((((N69*2)+(O69*2))*MATERIALES!$C$5)+(N69*MATERIALES!$C$6)+(N69*MATERIALES!$C$9)+((O69*2)*MATERIALES!$C$7)+((O69*2)*MATERIALES!$C$8)+(N69*MATERIALES!$C$6)+((2*O69)*MATERIALES!$C$20)+(O69*MATERIALES!$C$21))*MATERIALES!$F$2</f>
        <v>8216.2080000000005</v>
      </c>
      <c r="Q69" s="59">
        <f>(8*MATERIALES!$C$136)+(12*MATERIALES!$C$137)+(1*MATERIALES!$C$139)+(4*MATERIALES!$C$143)+(12*MATERIALES!$C$144)+((8*4)*MATERIALES!$C$145)+(('HERR CLASICA CORREDIZA'!O69*4)*MATERIALES!$C$140)+((('HERR CLASICA CORREDIZA'!N69*4)+('HERR CLASICA CORREDIZA'!O69*4))*MATERIALES!$C$141)+(4*MATERIALES!$C$148)+((('HERR CLASICA CORREDIZA'!N69*5)*2)*MATERIALES!$C$147)+(4*MATERIALES!$C$146)+(2*MATERIALES!$C$144)+(2*MATERIALES!$C$168)+(2*MATERIALES!$C$145)+(10*MATERIALES!$C$145)</f>
        <v>1047.5025600000001</v>
      </c>
      <c r="R69" s="75"/>
      <c r="S69" s="55">
        <f>(N69*O69)*MATERIALES!$D$82</f>
        <v>1908</v>
      </c>
      <c r="T69" s="59">
        <f t="shared" si="5"/>
        <v>11171.710560000001</v>
      </c>
      <c r="U69" s="70">
        <f t="shared" si="6"/>
        <v>14932.452672000001</v>
      </c>
    </row>
    <row r="70" spans="1:22">
      <c r="A70" s="68">
        <v>2</v>
      </c>
      <c r="B70" s="69">
        <v>2</v>
      </c>
      <c r="C70" s="59">
        <f>((((A70*2)+(B70*2))*MATERIALES!$C$5)+(A70*MATERIALES!$C$6)+(A70*MATERIALES!$C$9)+((B70*2)*MATERIALES!$C$7)+((B70*2)*MATERIALES!$C$8)+(A70*MATERIALES!$C$6))*MATERIALES!$F$2</f>
        <v>7199.3376000000017</v>
      </c>
      <c r="D70" s="59">
        <f>(8*MATERIALES!$C$136)+(12*MATERIALES!$C$137)+(1*MATERIALES!$C$139)+(4*MATERIALES!$C$143)+(12*MATERIALES!$C$144)+((8*4)*MATERIALES!$C$145)+(('HERR CLASICA CORREDIZA'!B70*4)*MATERIALES!$C$140)+((('HERR CLASICA CORREDIZA'!A70*4)+('HERR CLASICA CORREDIZA'!B70*4))*MATERIALES!$C$141)+(4*MATERIALES!$C$148)+((('HERR CLASICA CORREDIZA'!A70*5)*2)*MATERIALES!$C$147)+(4*MATERIALES!$C$146)</f>
        <v>1001.1768000000002</v>
      </c>
      <c r="E70" s="75"/>
      <c r="F70" s="55">
        <f>(A70*B70)*MATERIALES!$D$82</f>
        <v>2120</v>
      </c>
      <c r="G70" s="59">
        <f t="shared" si="4"/>
        <v>10320.514400000002</v>
      </c>
      <c r="H70" s="70">
        <f t="shared" si="7"/>
        <v>14080.617280000002</v>
      </c>
      <c r="N70" s="68">
        <v>2</v>
      </c>
      <c r="O70" s="69">
        <v>2</v>
      </c>
      <c r="P70" s="59">
        <f>((((N70*2)+(O70*2))*MATERIALES!$C$5)+(N70*MATERIALES!$C$6)+(N70*MATERIALES!$C$9)+((O70*2)*MATERIALES!$C$7)+((O70*2)*MATERIALES!$C$8)+(N70*MATERIALES!$C$6)+((2*O70)*MATERIALES!$C$20)+(O70*MATERIALES!$C$21))*MATERIALES!$F$2</f>
        <v>8577.8784000000014</v>
      </c>
      <c r="Q70" s="59">
        <f>(8*MATERIALES!$C$136)+(12*MATERIALES!$C$137)+(1*MATERIALES!$C$139)+(4*MATERIALES!$C$143)+(12*MATERIALES!$C$144)+((8*4)*MATERIALES!$C$145)+(('HERR CLASICA CORREDIZA'!O70*4)*MATERIALES!$C$140)+((('HERR CLASICA CORREDIZA'!N70*4)+('HERR CLASICA CORREDIZA'!O70*4))*MATERIALES!$C$141)+(4*MATERIALES!$C$148)+((('HERR CLASICA CORREDIZA'!N70*5)*2)*MATERIALES!$C$147)+(4*MATERIALES!$C$146)+(2*MATERIALES!$C$144)+(2*MATERIALES!$C$168)+(2*MATERIALES!$C$145)+(10*MATERIALES!$C$145)</f>
        <v>1064.5752000000002</v>
      </c>
      <c r="R70" s="75"/>
      <c r="S70" s="55">
        <f>(N70*O70)*MATERIALES!$D$82</f>
        <v>2120</v>
      </c>
      <c r="T70" s="59">
        <f t="shared" si="5"/>
        <v>11762.453600000001</v>
      </c>
      <c r="U70" s="70">
        <f t="shared" si="6"/>
        <v>15810.944320000001</v>
      </c>
    </row>
    <row r="71" spans="1:22">
      <c r="A71" s="68">
        <v>2.4</v>
      </c>
      <c r="B71" s="69">
        <v>2</v>
      </c>
      <c r="C71" s="59">
        <f>((((A71*2)+(B71*2))*MATERIALES!$C$5)+(A71*MATERIALES!$C$6)+(A71*MATERIALES!$C$9)+((B71*2)*MATERIALES!$C$7)+((B71*2)*MATERIALES!$C$8)+(A71*MATERIALES!$C$6))*MATERIALES!$F$2</f>
        <v>7922.6784000000025</v>
      </c>
      <c r="D71" s="59">
        <f>(8*MATERIALES!$C$136)+(12*MATERIALES!$C$137)+(1*MATERIALES!$C$139)+(4*MATERIALES!$C$143)+(12*MATERIALES!$C$144)+((8*4)*MATERIALES!$C$145)+(('HERR CLASICA CORREDIZA'!B71*4)*MATERIALES!$C$140)+((('HERR CLASICA CORREDIZA'!A71*4)+('HERR CLASICA CORREDIZA'!B71*4))*MATERIALES!$C$141)+(4*MATERIALES!$C$148)+((('HERR CLASICA CORREDIZA'!A71*5)*2)*MATERIALES!$C$147)+(4*MATERIALES!$C$146)</f>
        <v>1035.3220800000001</v>
      </c>
      <c r="E71" s="75"/>
      <c r="F71" s="55">
        <f>(A71*B71)*MATERIALES!$D$82</f>
        <v>2544</v>
      </c>
      <c r="G71" s="59">
        <f t="shared" si="4"/>
        <v>11502.000480000002</v>
      </c>
      <c r="H71" s="70">
        <f t="shared" si="7"/>
        <v>15837.600576000003</v>
      </c>
      <c r="N71" s="68">
        <v>2.4</v>
      </c>
      <c r="O71" s="69">
        <v>2</v>
      </c>
      <c r="P71" s="59">
        <f>((((N71*2)+(O71*2))*MATERIALES!$C$5)+(N71*MATERIALES!$C$6)+(N71*MATERIALES!$C$9)+((O71*2)*MATERIALES!$C$7)+((O71*2)*MATERIALES!$C$8)+(N71*MATERIALES!$C$6)+((2*O71)*MATERIALES!$C$20)+(O71*MATERIALES!$C$21))*MATERIALES!$F$2</f>
        <v>9301.2192000000014</v>
      </c>
      <c r="Q71" s="59">
        <f>(8*MATERIALES!$C$136)+(12*MATERIALES!$C$137)+(1*MATERIALES!$C$139)+(4*MATERIALES!$C$143)+(12*MATERIALES!$C$144)+((8*4)*MATERIALES!$C$145)+(('HERR CLASICA CORREDIZA'!O71*4)*MATERIALES!$C$140)+((('HERR CLASICA CORREDIZA'!N71*4)+('HERR CLASICA CORREDIZA'!O71*4))*MATERIALES!$C$141)+(4*MATERIALES!$C$148)+((('HERR CLASICA CORREDIZA'!N71*5)*2)*MATERIALES!$C$147)+(4*MATERIALES!$C$146)+(2*MATERIALES!$C$144)+(2*MATERIALES!$C$168)+(2*MATERIALES!$C$145)+(10*MATERIALES!$C$145)</f>
        <v>1098.7204800000002</v>
      </c>
      <c r="R71" s="75"/>
      <c r="S71" s="55">
        <f>(N71*O71)*MATERIALES!$D$82</f>
        <v>2544</v>
      </c>
      <c r="T71" s="59">
        <f t="shared" si="5"/>
        <v>12943.939680000001</v>
      </c>
      <c r="U71" s="70">
        <f t="shared" si="6"/>
        <v>17567.927616000001</v>
      </c>
    </row>
    <row r="72" spans="1:22" ht="15.75" thickBot="1">
      <c r="A72" s="71">
        <v>2.4</v>
      </c>
      <c r="B72" s="72">
        <v>2</v>
      </c>
      <c r="C72" s="60">
        <f>((((A72*2)+(B72*2))*MATERIALES!$C$5)+(A72*MATERIALES!$C$6)+(A72*MATERIALES!$C$9)+((B72*2)*MATERIALES!$C$7)+((B72*2)*MATERIALES!$C$8)+(A72*MATERIALES!$C$6))*MATERIALES!$F$2</f>
        <v>7922.6784000000025</v>
      </c>
      <c r="D72" s="60">
        <f>(8*MATERIALES!$C$136)+(12*MATERIALES!$C$137)+(1*MATERIALES!$C$139)+(4*MATERIALES!$C$143)+(12*MATERIALES!$C$144)+((8*4)*MATERIALES!$C$145)+(('HERR CLASICA CORREDIZA'!B72*4)*MATERIALES!$C$140)+((('HERR CLASICA CORREDIZA'!A72*4)+('HERR CLASICA CORREDIZA'!B72*4))*MATERIALES!$C$141)+(4*MATERIALES!$C$148)+((('HERR CLASICA CORREDIZA'!A72*5)*2)*MATERIALES!$C$147)+(4*MATERIALES!$C$146)</f>
        <v>1035.3220800000001</v>
      </c>
      <c r="E72" s="76"/>
      <c r="F72" s="56">
        <f>(A72*B72)*MATERIALES!$D$82</f>
        <v>2544</v>
      </c>
      <c r="G72" s="60">
        <f t="shared" si="4"/>
        <v>11502.000480000002</v>
      </c>
      <c r="H72" s="73">
        <f>(SUM(C72:E72)*1.2)+(F72*2)</f>
        <v>15837.600576000003</v>
      </c>
      <c r="N72" s="71">
        <v>2.4</v>
      </c>
      <c r="O72" s="72">
        <v>2</v>
      </c>
      <c r="P72" s="60">
        <f>((((N72*2)+(O72*2))*MATERIALES!$C$5)+(N72*MATERIALES!$C$6)+(N72*MATERIALES!$C$9)+((O72*2)*MATERIALES!$C$7)+((O72*2)*MATERIALES!$C$8)+(N72*MATERIALES!$C$6)+((2*O72)*MATERIALES!$C$20)+(O72*MATERIALES!$C$21))*MATERIALES!$F$2</f>
        <v>9301.2192000000014</v>
      </c>
      <c r="Q72" s="60">
        <f>(8*MATERIALES!$C$136)+(12*MATERIALES!$C$137)+(1*MATERIALES!$C$139)+(4*MATERIALES!$C$143)+(12*MATERIALES!$C$144)+((8*4)*MATERIALES!$C$145)+(('HERR CLASICA CORREDIZA'!O72*4)*MATERIALES!$C$140)+((('HERR CLASICA CORREDIZA'!N72*4)+('HERR CLASICA CORREDIZA'!O72*4))*MATERIALES!$C$141)+(4*MATERIALES!$C$148)+((('HERR CLASICA CORREDIZA'!N72*5)*2)*MATERIALES!$C$147)+(4*MATERIALES!$C$146)+(2*MATERIALES!$C$144)+(2*MATERIALES!$C$168)+(2*MATERIALES!$C$145)+(10*MATERIALES!$C$145)</f>
        <v>1098.7204800000002</v>
      </c>
      <c r="R72" s="76"/>
      <c r="S72" s="56">
        <f>(N72*O72)*MATERIALES!$D$82</f>
        <v>2544</v>
      </c>
      <c r="T72" s="60">
        <f t="shared" si="5"/>
        <v>12943.939680000001</v>
      </c>
      <c r="U72" s="73">
        <f t="shared" si="6"/>
        <v>17567.927616000001</v>
      </c>
    </row>
    <row r="74" spans="1:22">
      <c r="A74" s="64"/>
      <c r="N74" s="64"/>
    </row>
    <row r="75" spans="1:22" ht="15.75" thickBot="1">
      <c r="A75" s="64"/>
      <c r="N75" s="64"/>
    </row>
    <row r="76" spans="1:22" ht="15.75" thickBot="1">
      <c r="C76" s="801">
        <v>0.2</v>
      </c>
      <c r="D76" s="802"/>
      <c r="E76" s="803"/>
      <c r="F76" s="61">
        <v>1</v>
      </c>
      <c r="H76" s="62" t="s">
        <v>163</v>
      </c>
      <c r="P76" s="801">
        <v>0.2</v>
      </c>
      <c r="Q76" s="802"/>
      <c r="R76" s="803"/>
      <c r="S76" s="61">
        <v>1</v>
      </c>
      <c r="U76" s="62" t="s">
        <v>163</v>
      </c>
    </row>
    <row r="77" spans="1:22" ht="15.75" thickBot="1">
      <c r="A77" s="792" t="s">
        <v>205</v>
      </c>
      <c r="B77" s="793"/>
      <c r="C77" s="793"/>
      <c r="D77" s="793"/>
      <c r="E77" s="793"/>
      <c r="F77" s="793"/>
      <c r="G77" s="793"/>
      <c r="H77" s="794"/>
      <c r="N77" s="792" t="s">
        <v>235</v>
      </c>
      <c r="O77" s="793"/>
      <c r="P77" s="793"/>
      <c r="Q77" s="793"/>
      <c r="R77" s="793"/>
      <c r="S77" s="793"/>
      <c r="T77" s="793"/>
      <c r="U77" s="794"/>
    </row>
    <row r="78" spans="1:22" ht="15.75" thickBot="1">
      <c r="A78" s="36" t="s">
        <v>116</v>
      </c>
      <c r="B78" s="36" t="s">
        <v>117</v>
      </c>
      <c r="C78" s="36" t="s">
        <v>162</v>
      </c>
      <c r="D78" s="36" t="s">
        <v>119</v>
      </c>
      <c r="E78" s="36" t="s">
        <v>120</v>
      </c>
      <c r="F78" s="36" t="s">
        <v>118</v>
      </c>
      <c r="G78" s="36" t="s">
        <v>121</v>
      </c>
      <c r="H78" s="36" t="s">
        <v>122</v>
      </c>
      <c r="N78" s="36" t="s">
        <v>116</v>
      </c>
      <c r="O78" s="36" t="s">
        <v>117</v>
      </c>
      <c r="P78" s="36" t="s">
        <v>162</v>
      </c>
      <c r="Q78" s="36" t="s">
        <v>119</v>
      </c>
      <c r="R78" s="36" t="s">
        <v>120</v>
      </c>
      <c r="S78" s="36" t="s">
        <v>118</v>
      </c>
      <c r="T78" s="36" t="s">
        <v>121</v>
      </c>
      <c r="U78" s="36" t="s">
        <v>122</v>
      </c>
    </row>
    <row r="79" spans="1:22" ht="15.75" thickBot="1">
      <c r="A79" s="795"/>
      <c r="B79" s="796"/>
      <c r="C79" s="796"/>
      <c r="D79" s="796"/>
      <c r="E79" s="796"/>
      <c r="F79" s="796"/>
      <c r="G79" s="796"/>
      <c r="H79" s="797"/>
      <c r="N79" s="795"/>
      <c r="O79" s="796"/>
      <c r="P79" s="796"/>
      <c r="Q79" s="796"/>
      <c r="R79" s="796"/>
      <c r="S79" s="796"/>
      <c r="T79" s="796"/>
      <c r="U79" s="797"/>
    </row>
    <row r="80" spans="1:22">
      <c r="A80" s="40">
        <v>1.2</v>
      </c>
      <c r="B80" s="41">
        <v>2</v>
      </c>
      <c r="C80" s="47">
        <f>((((A80*1)+(B80*2))*MATERIALES!$C$5)+(A80*MATERIALES!$C$6)+(A80*MATERIALES!$C$9)+((B80*2)*MATERIALES!$C$7)+((B80*2)*MATERIALES!$C$8)+(A80*MATERIALES!$C$6)+(A80*MATERIALES!$C$10))*MATERIALES!$F$2</f>
        <v>5930.3462400000017</v>
      </c>
      <c r="D80" s="47">
        <f>(8*MATERIALES!$C$136)+(12*MATERIALES!$C$137)+(1*MATERIALES!$C$139)+(4*MATERIALES!$C$143)+(12*MATERIALES!$C$144)+((8*2)*MATERIALES!$C$145)+(('HERR CLASICA CORREDIZA'!B80*4)*MATERIALES!$C$140)+((('HERR CLASICA CORREDIZA'!A80*4)+('HERR CLASICA CORREDIZA'!B80*4))*MATERIALES!$C$141)+(4*MATERIALES!$C$148)+((('HERR CLASICA CORREDIZA'!A80*5)*2)*MATERIALES!$C$147)+(2*MATERIALES!$C$146)+(4*MATERIALES!$C$158)</f>
        <v>784.31184000000019</v>
      </c>
      <c r="E80" s="74"/>
      <c r="F80" s="48">
        <f>(A80*B80)*MATERIALES!$D$82</f>
        <v>1272</v>
      </c>
      <c r="G80" s="47">
        <f>SUM(C80:F80)</f>
        <v>7986.658080000002</v>
      </c>
      <c r="H80" s="49">
        <f>(SUM(C80:E80)*1.2)+(F80*2)</f>
        <v>10601.589696000003</v>
      </c>
      <c r="I80" s="53"/>
      <c r="N80" s="65">
        <v>1.2</v>
      </c>
      <c r="O80" s="66">
        <v>2</v>
      </c>
      <c r="P80" s="58">
        <f>((((N80*1)+(O80*2))*MATERIALES!$C$5)+(N80*MATERIALES!$C$6)+(N80*MATERIALES!$C$9)+((O80*2)*MATERIALES!$C$7)+((O80*2)*MATERIALES!$C$8)+(N80*MATERIALES!$C$6)+(N80*MATERIALES!$C$10)+((2*O80)*MATERIALES!$C$20)+(O80*MATERIALES!$C$21))*MATERIALES!$F$2</f>
        <v>7308.8870400000005</v>
      </c>
      <c r="Q80" s="58">
        <f>(8*MATERIALES!$C$136)+(12*MATERIALES!$C$137)+(1*MATERIALES!$C$139)+(4*MATERIALES!$C$143)+(12*MATERIALES!$C$144)+((8*2)*MATERIALES!$C$145)+(('HERR CLASICA CORREDIZA'!O80*4)*MATERIALES!$C$140)+((('HERR CLASICA CORREDIZA'!N80*4)+('HERR CLASICA CORREDIZA'!O80*4))*MATERIALES!$C$141)+(4*MATERIALES!$C$148)+((('HERR CLASICA CORREDIZA'!N80*5)*2)*MATERIALES!$C$147)+(2*MATERIALES!$C$146)+(4*MATERIALES!$C$158)+(2*MATERIALES!$C$144)+(2*MATERIALES!$C$168)+(2*MATERIALES!$C$145)+(10*MATERIALES!$C$145)</f>
        <v>847.71024000000023</v>
      </c>
      <c r="R80" s="74"/>
      <c r="S80" s="54">
        <f>(N80*O80)*MATERIALES!$D$82</f>
        <v>1272</v>
      </c>
      <c r="T80" s="58">
        <f>SUM(P80:S80)</f>
        <v>9428.5972800000018</v>
      </c>
      <c r="U80" s="67">
        <f>(SUM(P80:R80)*1.2)+(S80*2)</f>
        <v>12331.916736000001</v>
      </c>
      <c r="V80" s="53"/>
    </row>
    <row r="81" spans="1:21">
      <c r="A81" s="42">
        <v>1.5</v>
      </c>
      <c r="B81" s="37">
        <v>2</v>
      </c>
      <c r="C81" s="38">
        <f>((((A81*1)+(B81*2))*MATERIALES!$C$5)+(A81*MATERIALES!$C$6)+(A81*MATERIALES!$C$9)+((B81*2)*MATERIALES!$C$7)+((B81*2)*MATERIALES!$C$8)+(A81*MATERIALES!$C$6)+(A81*MATERIALES!$C$10))*MATERIALES!$F$2</f>
        <v>6517.2744000000002</v>
      </c>
      <c r="D81" s="38">
        <f>(8*MATERIALES!$C$136)+(12*MATERIALES!$C$137)+(1*MATERIALES!$C$139)+(4*MATERIALES!$C$143)+(12*MATERIALES!$C$144)+((8*2)*MATERIALES!$C$145)+(('HERR CLASICA CORREDIZA'!B81*4)*MATERIALES!$C$140)+((('HERR CLASICA CORREDIZA'!A81*4)+('HERR CLASICA CORREDIZA'!B81*4))*MATERIALES!$C$141)+(4*MATERIALES!$C$148)+((('HERR CLASICA CORREDIZA'!A81*5)*2)*MATERIALES!$C$147)+(2*MATERIALES!$C$146)+(4*MATERIALES!$C$158)</f>
        <v>809.9208000000001</v>
      </c>
      <c r="E81" s="75"/>
      <c r="F81" s="39">
        <f>(A81*B81)*MATERIALES!$D$82</f>
        <v>1590</v>
      </c>
      <c r="G81" s="38">
        <f t="shared" ref="G81:G85" si="8">SUM(C81:F81)</f>
        <v>8917.1952000000001</v>
      </c>
      <c r="H81" s="43">
        <f>(SUM(C81:E81)*1.2)+(F81*2)</f>
        <v>11972.634239999999</v>
      </c>
      <c r="N81" s="68">
        <v>1.5</v>
      </c>
      <c r="O81" s="69">
        <v>2</v>
      </c>
      <c r="P81" s="59">
        <f>((((N81*1)+(O81*2))*MATERIALES!$C$5)+(N81*MATERIALES!$C$6)+(N81*MATERIALES!$C$9)+((O81*2)*MATERIALES!$C$7)+((O81*2)*MATERIALES!$C$8)+(N81*MATERIALES!$C$6)+(N81*MATERIALES!$C$10)+((2*O81)*MATERIALES!$C$20)+(O81*MATERIALES!$C$21))*MATERIALES!$F$2</f>
        <v>7895.8151999999991</v>
      </c>
      <c r="Q81" s="59">
        <f>(8*MATERIALES!$C$136)+(12*MATERIALES!$C$137)+(1*MATERIALES!$C$139)+(4*MATERIALES!$C$143)+(12*MATERIALES!$C$144)+((8*2)*MATERIALES!$C$145)+(('HERR CLASICA CORREDIZA'!O81*4)*MATERIALES!$C$140)+((('HERR CLASICA CORREDIZA'!N81*4)+('HERR CLASICA CORREDIZA'!O81*4))*MATERIALES!$C$141)+(4*MATERIALES!$C$148)+((('HERR CLASICA CORREDIZA'!N81*5)*2)*MATERIALES!$C$147)+(2*MATERIALES!$C$146)+(4*MATERIALES!$C$158)+(2*MATERIALES!$C$144)+(2*MATERIALES!$C$168)+(2*MATERIALES!$C$145)+(10*MATERIALES!$C$145)</f>
        <v>873.31920000000014</v>
      </c>
      <c r="R81" s="75"/>
      <c r="S81" s="55">
        <f>(N81*O81)*MATERIALES!$D$82</f>
        <v>1590</v>
      </c>
      <c r="T81" s="59">
        <f t="shared" ref="T81:T85" si="9">SUM(P81:S81)</f>
        <v>10359.134399999999</v>
      </c>
      <c r="U81" s="70">
        <f>(SUM(P81:R81)*1.2)+(S81*2)</f>
        <v>13702.961279999998</v>
      </c>
    </row>
    <row r="82" spans="1:21">
      <c r="A82" s="42">
        <v>1.8</v>
      </c>
      <c r="B82" s="37">
        <v>2</v>
      </c>
      <c r="C82" s="38">
        <f>((((A82*1)+(B82*2))*MATERIALES!$C$5)+(A82*MATERIALES!$C$6)+(A82*MATERIALES!$C$9)+((B82*2)*MATERIALES!$C$7)+((B82*2)*MATERIALES!$C$8)+(A82*MATERIALES!$C$6)+(A82*MATERIALES!$C$10))*MATERIALES!$F$2</f>
        <v>7104.2025600000006</v>
      </c>
      <c r="D82" s="38">
        <f>(8*MATERIALES!$C$136)+(12*MATERIALES!$C$137)+(1*MATERIALES!$C$139)+(4*MATERIALES!$C$143)+(12*MATERIALES!$C$144)+((8*2)*MATERIALES!$C$145)+(('HERR CLASICA CORREDIZA'!B82*4)*MATERIALES!$C$140)+((('HERR CLASICA CORREDIZA'!A82*4)+('HERR CLASICA CORREDIZA'!B82*4))*MATERIALES!$C$141)+(4*MATERIALES!$C$148)+((('HERR CLASICA CORREDIZA'!A82*5)*2)*MATERIALES!$C$147)+(2*MATERIALES!$C$146)+(4*MATERIALES!$C$158)</f>
        <v>835.52976000000001</v>
      </c>
      <c r="E82" s="75"/>
      <c r="F82" s="39">
        <f>(A82*B82)*MATERIALES!$D$82</f>
        <v>1908</v>
      </c>
      <c r="G82" s="38">
        <f t="shared" si="8"/>
        <v>9847.732320000001</v>
      </c>
      <c r="H82" s="43">
        <f t="shared" ref="H82:H84" si="10">(SUM(C82:E82)*1.2)+(F82*2)</f>
        <v>13343.678784000002</v>
      </c>
      <c r="N82" s="68">
        <v>1.8</v>
      </c>
      <c r="O82" s="69">
        <v>2</v>
      </c>
      <c r="P82" s="59">
        <f>((((N82*1)+(O82*2))*MATERIALES!$C$5)+(N82*MATERIALES!$C$6)+(N82*MATERIALES!$C$9)+((O82*2)*MATERIALES!$C$7)+((O82*2)*MATERIALES!$C$8)+(N82*MATERIALES!$C$6)+(N82*MATERIALES!$C$10)+((2*O82)*MATERIALES!$C$20)+(O82*MATERIALES!$C$21))*MATERIALES!$F$2</f>
        <v>8482.7433600000004</v>
      </c>
      <c r="Q82" s="59">
        <f>(8*MATERIALES!$C$136)+(12*MATERIALES!$C$137)+(1*MATERIALES!$C$139)+(4*MATERIALES!$C$143)+(12*MATERIALES!$C$144)+((8*2)*MATERIALES!$C$145)+(('HERR CLASICA CORREDIZA'!O82*4)*MATERIALES!$C$140)+((('HERR CLASICA CORREDIZA'!N82*4)+('HERR CLASICA CORREDIZA'!O82*4))*MATERIALES!$C$141)+(4*MATERIALES!$C$148)+((('HERR CLASICA CORREDIZA'!N82*5)*2)*MATERIALES!$C$147)+(2*MATERIALES!$C$146)+(4*MATERIALES!$C$158)+(2*MATERIALES!$C$144)+(2*MATERIALES!$C$168)+(2*MATERIALES!$C$145)+(10*MATERIALES!$C$145)</f>
        <v>898.92816000000005</v>
      </c>
      <c r="R82" s="75"/>
      <c r="S82" s="55">
        <f>(N82*O82)*MATERIALES!$D$82</f>
        <v>1908</v>
      </c>
      <c r="T82" s="59">
        <f t="shared" si="9"/>
        <v>11289.67152</v>
      </c>
      <c r="U82" s="70">
        <f t="shared" ref="U82:U84" si="11">(SUM(P82:R82)*1.2)+(S82*2)</f>
        <v>15074.005824</v>
      </c>
    </row>
    <row r="83" spans="1:21">
      <c r="A83" s="42">
        <v>2</v>
      </c>
      <c r="B83" s="37">
        <v>2</v>
      </c>
      <c r="C83" s="38">
        <f>((((A83*1)+(B83*2))*MATERIALES!$C$5)+(A83*MATERIALES!$C$6)+(A83*MATERIALES!$C$9)+((B83*2)*MATERIALES!$C$7)+((B83*2)*MATERIALES!$C$8)+(A83*MATERIALES!$C$6)+(A83*MATERIALES!$C$10))*MATERIALES!$F$2</f>
        <v>7495.4880000000003</v>
      </c>
      <c r="D83" s="38">
        <f>(8*MATERIALES!$C$136)+(12*MATERIALES!$C$137)+(1*MATERIALES!$C$139)+(4*MATERIALES!$C$143)+(12*MATERIALES!$C$144)+((8*2)*MATERIALES!$C$145)+(('HERR CLASICA CORREDIZA'!B83*4)*MATERIALES!$C$140)+((('HERR CLASICA CORREDIZA'!A83*4)+('HERR CLASICA CORREDIZA'!B83*4))*MATERIALES!$C$141)+(4*MATERIALES!$C$148)+((('HERR CLASICA CORREDIZA'!A83*5)*2)*MATERIALES!$C$147)+(2*MATERIALES!$C$146)+(4*MATERIALES!$C$158)</f>
        <v>852.6024000000001</v>
      </c>
      <c r="E83" s="75"/>
      <c r="F83" s="39">
        <f>(A83*B83)*MATERIALES!$D$82</f>
        <v>2120</v>
      </c>
      <c r="G83" s="38">
        <f t="shared" si="8"/>
        <v>10468.090400000001</v>
      </c>
      <c r="H83" s="43">
        <f t="shared" si="10"/>
        <v>14257.708480000001</v>
      </c>
      <c r="N83" s="68">
        <v>2</v>
      </c>
      <c r="O83" s="69">
        <v>2</v>
      </c>
      <c r="P83" s="59">
        <f>((((N83*1)+(O83*2))*MATERIALES!$C$5)+(N83*MATERIALES!$C$6)+(N83*MATERIALES!$C$9)+((O83*2)*MATERIALES!$C$7)+((O83*2)*MATERIALES!$C$8)+(N83*MATERIALES!$C$6)+(N83*MATERIALES!$C$10)+((2*O83)*MATERIALES!$C$20)+(O83*MATERIALES!$C$21))*MATERIALES!$F$2</f>
        <v>8874.0288</v>
      </c>
      <c r="Q83" s="59">
        <f>(8*MATERIALES!$C$136)+(12*MATERIALES!$C$137)+(1*MATERIALES!$C$139)+(4*MATERIALES!$C$143)+(12*MATERIALES!$C$144)+((8*2)*MATERIALES!$C$145)+(('HERR CLASICA CORREDIZA'!O83*4)*MATERIALES!$C$140)+((('HERR CLASICA CORREDIZA'!N83*4)+('HERR CLASICA CORREDIZA'!O83*4))*MATERIALES!$C$141)+(4*MATERIALES!$C$148)+((('HERR CLASICA CORREDIZA'!N83*5)*2)*MATERIALES!$C$147)+(2*MATERIALES!$C$146)+(4*MATERIALES!$C$158)+(2*MATERIALES!$C$144)+(2*MATERIALES!$C$168)+(2*MATERIALES!$C$145)+(10*MATERIALES!$C$145)</f>
        <v>916.00080000000014</v>
      </c>
      <c r="R83" s="75"/>
      <c r="S83" s="55">
        <f>(N83*O83)*MATERIALES!$D$82</f>
        <v>2120</v>
      </c>
      <c r="T83" s="59">
        <f t="shared" si="9"/>
        <v>11910.0296</v>
      </c>
      <c r="U83" s="70">
        <f t="shared" si="11"/>
        <v>15988.035519999999</v>
      </c>
    </row>
    <row r="84" spans="1:21">
      <c r="A84" s="42">
        <v>2.4</v>
      </c>
      <c r="B84" s="37">
        <v>2</v>
      </c>
      <c r="C84" s="38">
        <f>((((A84*1)+(B84*2))*MATERIALES!$C$5)+(A84*MATERIALES!$C$6)+(A84*MATERIALES!$C$9)+((B84*2)*MATERIALES!$C$7)+((B84*2)*MATERIALES!$C$8)+(A84*MATERIALES!$C$6)+(A84*MATERIALES!$C$10))*MATERIALES!$F$2</f>
        <v>8278.0588800000005</v>
      </c>
      <c r="D84" s="38">
        <f>(8*MATERIALES!$C$136)+(12*MATERIALES!$C$137)+(1*MATERIALES!$C$139)+(4*MATERIALES!$C$143)+(12*MATERIALES!$C$144)+((8*2)*MATERIALES!$C$145)+(('HERR CLASICA CORREDIZA'!B84*4)*MATERIALES!$C$140)+((('HERR CLASICA CORREDIZA'!A84*4)+('HERR CLASICA CORREDIZA'!B84*4))*MATERIALES!$C$141)+(4*MATERIALES!$C$148)+((('HERR CLASICA CORREDIZA'!A84*5)*2)*MATERIALES!$C$147)+(2*MATERIALES!$C$146)+(4*MATERIALES!$C$158)</f>
        <v>886.74768000000006</v>
      </c>
      <c r="E84" s="75"/>
      <c r="F84" s="39">
        <f>(A84*B84)*MATERIALES!$D$82</f>
        <v>2544</v>
      </c>
      <c r="G84" s="38">
        <f t="shared" si="8"/>
        <v>11708.806560000001</v>
      </c>
      <c r="H84" s="43">
        <f t="shared" si="10"/>
        <v>16085.767872</v>
      </c>
      <c r="N84" s="68">
        <v>2.4</v>
      </c>
      <c r="O84" s="69">
        <v>2</v>
      </c>
      <c r="P84" s="59">
        <f>((((N84*1)+(O84*2))*MATERIALES!$C$5)+(N84*MATERIALES!$C$6)+(N84*MATERIALES!$C$9)+((O84*2)*MATERIALES!$C$7)+((O84*2)*MATERIALES!$C$8)+(N84*MATERIALES!$C$6)+(N84*MATERIALES!$C$10)+((2*O84)*MATERIALES!$C$20)+(O84*MATERIALES!$C$21))*MATERIALES!$F$2</f>
        <v>9656.5996799999994</v>
      </c>
      <c r="Q84" s="59">
        <f>(8*MATERIALES!$C$136)+(12*MATERIALES!$C$137)+(1*MATERIALES!$C$139)+(4*MATERIALES!$C$143)+(12*MATERIALES!$C$144)+((8*2)*MATERIALES!$C$145)+(('HERR CLASICA CORREDIZA'!O84*4)*MATERIALES!$C$140)+((('HERR CLASICA CORREDIZA'!N84*4)+('HERR CLASICA CORREDIZA'!O84*4))*MATERIALES!$C$141)+(4*MATERIALES!$C$148)+((('HERR CLASICA CORREDIZA'!N84*5)*2)*MATERIALES!$C$147)+(2*MATERIALES!$C$146)+(4*MATERIALES!$C$158)+(2*MATERIALES!$C$144)+(2*MATERIALES!$C$168)+(2*MATERIALES!$C$145)+(10*MATERIALES!$C$145)</f>
        <v>950.1460800000001</v>
      </c>
      <c r="R84" s="75"/>
      <c r="S84" s="55">
        <f>(N84*O84)*MATERIALES!$D$82</f>
        <v>2544</v>
      </c>
      <c r="T84" s="59">
        <f t="shared" si="9"/>
        <v>13150.74576</v>
      </c>
      <c r="U84" s="70">
        <f t="shared" si="11"/>
        <v>17816.094912</v>
      </c>
    </row>
    <row r="85" spans="1:21" ht="15.75" thickBot="1">
      <c r="A85" s="44">
        <v>2.4</v>
      </c>
      <c r="B85" s="45">
        <v>2</v>
      </c>
      <c r="C85" s="50">
        <f>((((A85*1)+(B85*2))*MATERIALES!$C$5)+(A85*MATERIALES!$C$6)+(A85*MATERIALES!$C$9)+((B85*2)*MATERIALES!$C$7)+((B85*2)*MATERIALES!$C$8)+(A85*MATERIALES!$C$6)+(A85*MATERIALES!$C$10))*MATERIALES!$F$2</f>
        <v>8278.0588800000005</v>
      </c>
      <c r="D85" s="50">
        <f>(8*MATERIALES!$C$136)+(12*MATERIALES!$C$137)+(1*MATERIALES!$C$139)+(4*MATERIALES!$C$143)+(12*MATERIALES!$C$144)+((8*2)*MATERIALES!$C$145)+(('HERR CLASICA CORREDIZA'!B85*4)*MATERIALES!$C$140)+((('HERR CLASICA CORREDIZA'!A85*4)+('HERR CLASICA CORREDIZA'!B85*4))*MATERIALES!$C$141)+(4*MATERIALES!$C$148)+((('HERR CLASICA CORREDIZA'!A85*5)*2)*MATERIALES!$C$147)+(2*MATERIALES!$C$146)+(4*MATERIALES!$C$158)</f>
        <v>886.74768000000006</v>
      </c>
      <c r="E85" s="76"/>
      <c r="F85" s="51">
        <f>(A85*B85)*MATERIALES!$D$82</f>
        <v>2544</v>
      </c>
      <c r="G85" s="50">
        <f t="shared" si="8"/>
        <v>11708.806560000001</v>
      </c>
      <c r="H85" s="52">
        <f>(SUM(C85:E85)*1.2)+(F85*2)</f>
        <v>16085.767872</v>
      </c>
      <c r="N85" s="71">
        <v>2.4</v>
      </c>
      <c r="O85" s="72">
        <v>2</v>
      </c>
      <c r="P85" s="60">
        <f>((((N85*1)+(O85*2))*MATERIALES!$C$5)+(N85*MATERIALES!$C$6)+(N85*MATERIALES!$C$9)+((O85*2)*MATERIALES!$C$7)+((O85*2)*MATERIALES!$C$8)+(N85*MATERIALES!$C$6)+(N85*MATERIALES!$C$10)+((2*O85)*MATERIALES!$C$20)+(O85*MATERIALES!$C$21))*MATERIALES!$F$2</f>
        <v>9656.5996799999994</v>
      </c>
      <c r="Q85" s="60">
        <f>(8*MATERIALES!$C$136)+(12*MATERIALES!$C$137)+(1*MATERIALES!$C$139)+(4*MATERIALES!$C$143)+(12*MATERIALES!$C$144)+((8*2)*MATERIALES!$C$145)+(('HERR CLASICA CORREDIZA'!O85*4)*MATERIALES!$C$140)+((('HERR CLASICA CORREDIZA'!N85*4)+('HERR CLASICA CORREDIZA'!O85*4))*MATERIALES!$C$141)+(4*MATERIALES!$C$148)+((('HERR CLASICA CORREDIZA'!N85*5)*2)*MATERIALES!$C$147)+(2*MATERIALES!$C$146)+(4*MATERIALES!$C$158)+(2*MATERIALES!$C$144)+(2*MATERIALES!$C$168)+(2*MATERIALES!$C$145)+(10*MATERIALES!$C$145)</f>
        <v>950.1460800000001</v>
      </c>
      <c r="R85" s="76"/>
      <c r="S85" s="56">
        <f>(N85*O85)*MATERIALES!$D$82</f>
        <v>2544</v>
      </c>
      <c r="T85" s="60">
        <f t="shared" si="9"/>
        <v>13150.74576</v>
      </c>
      <c r="U85" s="73">
        <f>(SUM(P85:R85)*1.2)+(S85*2)</f>
        <v>17816.094912</v>
      </c>
    </row>
    <row r="87" spans="1:21" s="81" customFormat="1">
      <c r="A87" s="79"/>
      <c r="B87" s="79"/>
      <c r="C87" s="79"/>
      <c r="D87" s="79"/>
      <c r="E87" s="79"/>
      <c r="F87" s="79"/>
      <c r="G87" s="79"/>
      <c r="H87" s="80"/>
      <c r="N87" s="79"/>
      <c r="O87" s="79"/>
      <c r="P87" s="79"/>
      <c r="Q87" s="79"/>
      <c r="R87" s="79"/>
      <c r="S87" s="79"/>
      <c r="T87" s="79"/>
      <c r="U87" s="80"/>
    </row>
    <row r="88" spans="1:21" ht="15.75" thickBot="1"/>
    <row r="89" spans="1:21" ht="15.75" thickBot="1">
      <c r="C89" s="801">
        <v>0.3</v>
      </c>
      <c r="D89" s="802"/>
      <c r="E89" s="802"/>
      <c r="F89" s="803"/>
      <c r="H89" s="46" t="s">
        <v>163</v>
      </c>
      <c r="P89" s="801">
        <v>0.3</v>
      </c>
      <c r="Q89" s="802"/>
      <c r="R89" s="802"/>
      <c r="S89" s="803"/>
      <c r="U89" s="62" t="s">
        <v>163</v>
      </c>
    </row>
    <row r="90" spans="1:21" ht="15.75" thickBot="1">
      <c r="A90" s="792" t="s">
        <v>237</v>
      </c>
      <c r="B90" s="793"/>
      <c r="C90" s="793"/>
      <c r="D90" s="793"/>
      <c r="E90" s="793"/>
      <c r="F90" s="793"/>
      <c r="G90" s="793"/>
      <c r="H90" s="794"/>
      <c r="N90" s="792" t="s">
        <v>247</v>
      </c>
      <c r="O90" s="793"/>
      <c r="P90" s="793"/>
      <c r="Q90" s="793"/>
      <c r="R90" s="793"/>
      <c r="S90" s="793"/>
      <c r="T90" s="793"/>
      <c r="U90" s="794"/>
    </row>
    <row r="91" spans="1:21" ht="15.75" thickBot="1">
      <c r="A91" s="36" t="s">
        <v>116</v>
      </c>
      <c r="B91" s="36" t="s">
        <v>117</v>
      </c>
      <c r="C91" s="36" t="s">
        <v>162</v>
      </c>
      <c r="D91" s="36" t="s">
        <v>119</v>
      </c>
      <c r="E91" s="36" t="s">
        <v>120</v>
      </c>
      <c r="F91" s="36" t="s">
        <v>238</v>
      </c>
      <c r="G91" s="36" t="s">
        <v>121</v>
      </c>
      <c r="H91" s="36" t="s">
        <v>122</v>
      </c>
      <c r="N91" s="36" t="s">
        <v>116</v>
      </c>
      <c r="O91" s="36" t="s">
        <v>117</v>
      </c>
      <c r="P91" s="36" t="s">
        <v>162</v>
      </c>
      <c r="Q91" s="36" t="s">
        <v>119</v>
      </c>
      <c r="R91" s="36" t="s">
        <v>120</v>
      </c>
      <c r="S91" s="36" t="s">
        <v>238</v>
      </c>
      <c r="T91" s="36" t="s">
        <v>121</v>
      </c>
      <c r="U91" s="36" t="s">
        <v>122</v>
      </c>
    </row>
    <row r="92" spans="1:21" ht="15.75" thickBot="1">
      <c r="A92" s="795"/>
      <c r="B92" s="796"/>
      <c r="C92" s="796"/>
      <c r="D92" s="796"/>
      <c r="E92" s="796"/>
      <c r="F92" s="796"/>
      <c r="G92" s="796"/>
      <c r="H92" s="797"/>
      <c r="N92" s="795"/>
      <c r="O92" s="796"/>
      <c r="P92" s="796"/>
      <c r="Q92" s="796"/>
      <c r="R92" s="796"/>
      <c r="S92" s="796"/>
      <c r="T92" s="796"/>
      <c r="U92" s="797"/>
    </row>
    <row r="93" spans="1:21">
      <c r="A93" s="65">
        <v>0.6</v>
      </c>
      <c r="B93" s="66">
        <v>0.4</v>
      </c>
      <c r="C93" s="58">
        <f>(((A93)+(B93*2))*MATERIALES!$C$16)*MATERIALES!$F$2</f>
        <v>285.27407999999997</v>
      </c>
      <c r="D93" s="58">
        <f>(16*MATERIALES!$C$145)+(2*MATERIALES!$C$172)+(2*MATERIALES!$C$173)+(4*MATERIALES!$C$171)+(((A93)+(B93*2))*MATERIALES!$C$170)</f>
        <v>116.3032</v>
      </c>
      <c r="E93" s="74"/>
      <c r="F93" s="54">
        <f>((A93/2)*B93)*MATERIALES!$C$169</f>
        <v>98.28</v>
      </c>
      <c r="G93" s="58">
        <f>SUM(C93:F93)</f>
        <v>499.85727999999995</v>
      </c>
      <c r="H93" s="67">
        <f>SUM(C93:F93)*1.3</f>
        <v>649.81446399999993</v>
      </c>
      <c r="N93" s="65">
        <v>1.2</v>
      </c>
      <c r="O93" s="66">
        <v>2</v>
      </c>
      <c r="P93" s="58">
        <f>((((N93)+(O93*2))*MATERIALES!$C$16)+(N93*MATERIALES!$C$17))*MATERIALES!$F$2</f>
        <v>1486.5177600000002</v>
      </c>
      <c r="Q93" s="58">
        <f>(16*MATERIALES!$C$145)+(2*MATERIALES!$C$172)+(2*MATERIALES!$C$173)+(4*MATERIALES!$C$171)+(((N93*2)+(O93*2))*MATERIALES!$C$170)+(4*MATERIALES!$C$174)</f>
        <v>176.6336</v>
      </c>
      <c r="R93" s="74"/>
      <c r="S93" s="54">
        <f>((N93/2)*O93)*MATERIALES!$C$169</f>
        <v>982.8</v>
      </c>
      <c r="T93" s="58">
        <f>SUM(P93:S93)</f>
        <v>2645.95136</v>
      </c>
      <c r="U93" s="67">
        <f>(SUM(P93:R93)*1.3)+(S93*2)</f>
        <v>4127.6967679999998</v>
      </c>
    </row>
    <row r="94" spans="1:21">
      <c r="A94" s="68">
        <v>0.6</v>
      </c>
      <c r="B94" s="69">
        <v>0.6</v>
      </c>
      <c r="C94" s="59">
        <f>(((A94)+(B94*2))*MATERIALES!$C$16)*MATERIALES!$F$2</f>
        <v>366.78095999999999</v>
      </c>
      <c r="D94" s="59">
        <f>(16*MATERIALES!$C$145)+(2*MATERIALES!$C$172)+(2*MATERIALES!$C$173)+(4*MATERIALES!$C$171)+(((A94)+(B94*2))*MATERIALES!$C$170)</f>
        <v>119.8184</v>
      </c>
      <c r="E94" s="75"/>
      <c r="F94" s="55">
        <f>((A94/2)*B94)*MATERIALES!$C$169</f>
        <v>147.41999999999999</v>
      </c>
      <c r="G94" s="59">
        <f>SUM(C94:F94)</f>
        <v>634.01936000000001</v>
      </c>
      <c r="H94" s="70">
        <f t="shared" ref="H94:H146" si="12">SUM(C94:F94)*1.3</f>
        <v>824.22516800000005</v>
      </c>
      <c r="N94" s="68">
        <v>1.5</v>
      </c>
      <c r="O94" s="69">
        <v>2</v>
      </c>
      <c r="P94" s="59">
        <f>((((N94)+(O94*2))*MATERIALES!$C$16)+(N94*MATERIALES!$C$17))*MATERIALES!$F$2</f>
        <v>1654.38</v>
      </c>
      <c r="Q94" s="59">
        <f>(16*MATERIALES!$C$145)+(2*MATERIALES!$C$172)+(2*MATERIALES!$C$173)+(4*MATERIALES!$C$171)+(((N94*2)+(O94*2))*MATERIALES!$C$170)+(4*MATERIALES!$C$174)</f>
        <v>181.90640000000002</v>
      </c>
      <c r="R94" s="75"/>
      <c r="S94" s="55">
        <f>((N94/2)*O94)*MATERIALES!$C$169</f>
        <v>1228.5</v>
      </c>
      <c r="T94" s="59">
        <f t="shared" ref="T94:T98" si="13">SUM(P94:S94)</f>
        <v>3064.7864</v>
      </c>
      <c r="U94" s="70">
        <f t="shared" ref="U94:U95" si="14">(SUM(P94:R94)*1.3)+(S94*2)</f>
        <v>4844.1723199999997</v>
      </c>
    </row>
    <row r="95" spans="1:21">
      <c r="A95" s="68">
        <v>0.8</v>
      </c>
      <c r="B95" s="69">
        <v>0.4</v>
      </c>
      <c r="C95" s="59">
        <f>(((A95)+(B95*2))*MATERIALES!$C$16)*MATERIALES!$F$2</f>
        <v>326.02752000000004</v>
      </c>
      <c r="D95" s="59">
        <f>(16*MATERIALES!$C$145)+(2*MATERIALES!$C$172)+(2*MATERIALES!$C$173)+(4*MATERIALES!$C$171)+(((A95)+(B95*2))*MATERIALES!$C$170)</f>
        <v>118.0608</v>
      </c>
      <c r="E95" s="75"/>
      <c r="F95" s="55">
        <f>((A95/2)*B95)*MATERIALES!$C$169</f>
        <v>131.04000000000002</v>
      </c>
      <c r="G95" s="59">
        <f t="shared" ref="G95:G146" si="15">SUM(C95:F95)</f>
        <v>575.12832000000003</v>
      </c>
      <c r="H95" s="70">
        <f t="shared" si="12"/>
        <v>747.66681600000004</v>
      </c>
      <c r="N95" s="68">
        <v>1.8</v>
      </c>
      <c r="O95" s="69">
        <v>2</v>
      </c>
      <c r="P95" s="59">
        <f>((((N95)+(O95*2))*MATERIALES!$C$16)+(N95*MATERIALES!$C$17))*MATERIALES!$F$2</f>
        <v>1822.2422400000003</v>
      </c>
      <c r="Q95" s="59">
        <f>(16*MATERIALES!$C$145)+(2*MATERIALES!$C$172)+(2*MATERIALES!$C$173)+(4*MATERIALES!$C$171)+(((N95*2)+(O95*2))*MATERIALES!$C$170)+(4*MATERIALES!$C$174)</f>
        <v>187.17919999999998</v>
      </c>
      <c r="R95" s="75"/>
      <c r="S95" s="55">
        <f>((N95/2)*O95)*MATERIALES!$C$169</f>
        <v>1474.2</v>
      </c>
      <c r="T95" s="59">
        <f t="shared" si="13"/>
        <v>3483.6214400000003</v>
      </c>
      <c r="U95" s="70">
        <f t="shared" si="14"/>
        <v>5560.6478720000005</v>
      </c>
    </row>
    <row r="96" spans="1:21">
      <c r="A96" s="68">
        <v>0.8</v>
      </c>
      <c r="B96" s="69">
        <v>0.6</v>
      </c>
      <c r="C96" s="59">
        <f>(((A96)+(B96*2))*MATERIALES!$C$16)*MATERIALES!$F$2</f>
        <v>407.53440000000001</v>
      </c>
      <c r="D96" s="59">
        <f>(16*MATERIALES!$C$145)+(2*MATERIALES!$C$172)+(2*MATERIALES!$C$173)+(4*MATERIALES!$C$171)+(((A96)+(B96*2))*MATERIALES!$C$170)</f>
        <v>121.57599999999999</v>
      </c>
      <c r="E96" s="75"/>
      <c r="F96" s="55">
        <f>((A96/2)*B96)*MATERIALES!$C$169</f>
        <v>196.56</v>
      </c>
      <c r="G96" s="59">
        <f t="shared" si="15"/>
        <v>725.67039999999997</v>
      </c>
      <c r="H96" s="70">
        <f t="shared" si="12"/>
        <v>943.37152000000003</v>
      </c>
      <c r="N96" s="68">
        <v>2</v>
      </c>
      <c r="O96" s="69">
        <v>2</v>
      </c>
      <c r="P96" s="59">
        <f>((((N96)+(O96*2))*MATERIALES!$C$16)+(N96*MATERIALES!$C$17))*MATERIALES!$F$2</f>
        <v>1934.1504000000002</v>
      </c>
      <c r="Q96" s="59">
        <f>(16*MATERIALES!$C$145)+(2*MATERIALES!$C$172)+(2*MATERIALES!$C$173)+(4*MATERIALES!$C$171)+(((N96*2)+(O96*2))*MATERIALES!$C$170)+(4*MATERIALES!$C$174)</f>
        <v>190.6944</v>
      </c>
      <c r="R96" s="75"/>
      <c r="S96" s="55">
        <f>((N96/2)*O96)*MATERIALES!$C$169</f>
        <v>1638</v>
      </c>
      <c r="T96" s="59">
        <f t="shared" si="13"/>
        <v>3762.8448000000003</v>
      </c>
      <c r="U96" s="70">
        <f>(SUM(P96:R96)*1.3)+(S96*2)</f>
        <v>6038.2982400000001</v>
      </c>
    </row>
    <row r="97" spans="1:21">
      <c r="A97" s="68">
        <v>1</v>
      </c>
      <c r="B97" s="69">
        <v>0.4</v>
      </c>
      <c r="C97" s="59">
        <f>(((A97)+(B97*2))*MATERIALES!$C$16)*MATERIALES!$F$2</f>
        <v>366.78095999999999</v>
      </c>
      <c r="D97" s="59">
        <f>(16*MATERIALES!$C$145)+(2*MATERIALES!$C$172)+(2*MATERIALES!$C$173)+(4*MATERIALES!$C$171)+(((A97)+(B97*2))*MATERIALES!$C$170)</f>
        <v>119.8184</v>
      </c>
      <c r="E97" s="75"/>
      <c r="F97" s="55">
        <f>((A97/2)*B97)*MATERIALES!$C$169</f>
        <v>163.80000000000001</v>
      </c>
      <c r="G97" s="59">
        <f t="shared" si="15"/>
        <v>650.39936</v>
      </c>
      <c r="H97" s="70">
        <f t="shared" si="12"/>
        <v>845.51916800000004</v>
      </c>
      <c r="N97" s="68">
        <v>2.4</v>
      </c>
      <c r="O97" s="69">
        <v>2</v>
      </c>
      <c r="P97" s="59">
        <f>((((N97)+(O97*2))*MATERIALES!$C$16)+(N97*MATERIALES!$C$17))*MATERIALES!$F$2</f>
        <v>2157.9667200000004</v>
      </c>
      <c r="Q97" s="59">
        <f>(16*MATERIALES!$C$145)+(2*MATERIALES!$C$172)+(2*MATERIALES!$C$173)+(4*MATERIALES!$C$171)+(((N97*2)+(O97*2))*MATERIALES!$C$170)+(4*MATERIALES!$C$174)</f>
        <v>197.72480000000002</v>
      </c>
      <c r="R97" s="75"/>
      <c r="S97" s="55">
        <f>((N97/2)*O97)*MATERIALES!$C$169</f>
        <v>1965.6</v>
      </c>
      <c r="T97" s="59">
        <f t="shared" si="13"/>
        <v>4321.2915200000007</v>
      </c>
      <c r="U97" s="70">
        <f t="shared" ref="U97:U98" si="16">(SUM(P97:R97)*1.3)+(S97*2)</f>
        <v>6993.5989760000002</v>
      </c>
    </row>
    <row r="98" spans="1:21" ht="15.75" thickBot="1">
      <c r="A98" s="68">
        <v>1</v>
      </c>
      <c r="B98" s="69">
        <v>0.6</v>
      </c>
      <c r="C98" s="59">
        <f>(((A98)+(B98*2))*MATERIALES!$C$16)*MATERIALES!$F$2</f>
        <v>448.28784000000007</v>
      </c>
      <c r="D98" s="59">
        <f>(16*MATERIALES!$C$145)+(2*MATERIALES!$C$172)+(2*MATERIALES!$C$173)+(4*MATERIALES!$C$171)+(((A98)+(B98*2))*MATERIALES!$C$170)</f>
        <v>123.3336</v>
      </c>
      <c r="E98" s="75"/>
      <c r="F98" s="55">
        <f>((A98/2)*B98)*MATERIALES!$C$169</f>
        <v>245.7</v>
      </c>
      <c r="G98" s="59">
        <f t="shared" si="15"/>
        <v>817.32144000000017</v>
      </c>
      <c r="H98" s="70">
        <f t="shared" si="12"/>
        <v>1062.5178720000004</v>
      </c>
      <c r="N98" s="71">
        <v>2.4</v>
      </c>
      <c r="O98" s="72">
        <v>2</v>
      </c>
      <c r="P98" s="60">
        <f>((((N98)+(O98*2))*MATERIALES!$C$16)+(N98*MATERIALES!$C$17))*MATERIALES!$F$2</f>
        <v>2157.9667200000004</v>
      </c>
      <c r="Q98" s="60">
        <f>(16*MATERIALES!$C$145)+(2*MATERIALES!$C$172)+(2*MATERIALES!$C$173)+(4*MATERIALES!$C$171)+(((N98*2)+(O98*2))*MATERIALES!$C$170)+(4*MATERIALES!$C$174)</f>
        <v>197.72480000000002</v>
      </c>
      <c r="R98" s="76"/>
      <c r="S98" s="56">
        <f>((N98/2)*O98)*MATERIALES!$C$169</f>
        <v>1965.6</v>
      </c>
      <c r="T98" s="60">
        <f t="shared" si="13"/>
        <v>4321.2915200000007</v>
      </c>
      <c r="U98" s="73">
        <f t="shared" si="16"/>
        <v>6993.5989760000002</v>
      </c>
    </row>
    <row r="99" spans="1:21">
      <c r="A99" s="68">
        <v>1</v>
      </c>
      <c r="B99" s="69">
        <v>0.8</v>
      </c>
      <c r="C99" s="59">
        <f>(((A99)+(B99*2))*MATERIALES!$C$16)*MATERIALES!$F$2</f>
        <v>529.79471999999998</v>
      </c>
      <c r="D99" s="59">
        <f>(16*MATERIALES!$C$145)+(2*MATERIALES!$C$172)+(2*MATERIALES!$C$173)+(4*MATERIALES!$C$171)+(((A99)+(B99*2))*MATERIALES!$C$170)</f>
        <v>126.8488</v>
      </c>
      <c r="E99" s="75"/>
      <c r="F99" s="55">
        <f>((A99/2)*B99)*MATERIALES!$C$169</f>
        <v>327.60000000000002</v>
      </c>
      <c r="G99" s="59">
        <f t="shared" si="15"/>
        <v>984.24351999999999</v>
      </c>
      <c r="H99" s="70">
        <f t="shared" si="12"/>
        <v>1279.516576</v>
      </c>
    </row>
    <row r="100" spans="1:21">
      <c r="A100" s="68">
        <v>1</v>
      </c>
      <c r="B100" s="69">
        <v>1</v>
      </c>
      <c r="C100" s="59">
        <f>(((A100)+(B100*2))*MATERIALES!$C$16)*MATERIALES!$F$2</f>
        <v>611.30160000000012</v>
      </c>
      <c r="D100" s="59">
        <f>(16*MATERIALES!$C$145)+(2*MATERIALES!$C$172)+(2*MATERIALES!$C$173)+(4*MATERIALES!$C$171)+(((A100)+(B100*2))*MATERIALES!$C$170)</f>
        <v>130.364</v>
      </c>
      <c r="E100" s="75"/>
      <c r="F100" s="55">
        <f>((A100/2)*B100)*MATERIALES!$C$169</f>
        <v>409.5</v>
      </c>
      <c r="G100" s="59">
        <f t="shared" si="15"/>
        <v>1151.1656000000003</v>
      </c>
      <c r="H100" s="70">
        <f t="shared" si="12"/>
        <v>1496.5152800000003</v>
      </c>
    </row>
    <row r="101" spans="1:21">
      <c r="A101" s="68">
        <v>1</v>
      </c>
      <c r="B101" s="69">
        <v>1.1000000000000001</v>
      </c>
      <c r="C101" s="59">
        <f>(((A101)+(B101*2))*MATERIALES!$C$16)*MATERIALES!$F$2</f>
        <v>652.05504000000008</v>
      </c>
      <c r="D101" s="59">
        <f>(16*MATERIALES!$C$145)+(2*MATERIALES!$C$172)+(2*MATERIALES!$C$173)+(4*MATERIALES!$C$171)+(((A101)+(B101*2))*MATERIALES!$C$170)</f>
        <v>132.1216</v>
      </c>
      <c r="E101" s="75"/>
      <c r="F101" s="55">
        <f>((A101/2)*B101)*MATERIALES!$C$169</f>
        <v>450.45000000000005</v>
      </c>
      <c r="G101" s="59">
        <f t="shared" si="15"/>
        <v>1234.6266400000002</v>
      </c>
      <c r="H101" s="70">
        <f t="shared" si="12"/>
        <v>1605.0146320000003</v>
      </c>
    </row>
    <row r="102" spans="1:21">
      <c r="A102" s="68">
        <v>1</v>
      </c>
      <c r="B102" s="69">
        <v>1.2</v>
      </c>
      <c r="C102" s="59">
        <f>(((A102)+(B102*2))*MATERIALES!$C$16)*MATERIALES!$F$2</f>
        <v>692.80848000000003</v>
      </c>
      <c r="D102" s="59">
        <f>(16*MATERIALES!$C$145)+(2*MATERIALES!$C$172)+(2*MATERIALES!$C$173)+(4*MATERIALES!$C$171)+(((A102)+(B102*2))*MATERIALES!$C$170)</f>
        <v>133.8792</v>
      </c>
      <c r="E102" s="75"/>
      <c r="F102" s="55">
        <f>((A102/2)*B102)*MATERIALES!$C$169</f>
        <v>491.4</v>
      </c>
      <c r="G102" s="59">
        <f t="shared" si="15"/>
        <v>1318.0876800000001</v>
      </c>
      <c r="H102" s="70">
        <f t="shared" si="12"/>
        <v>1713.5139840000002</v>
      </c>
    </row>
    <row r="103" spans="1:21">
      <c r="A103" s="68">
        <v>1</v>
      </c>
      <c r="B103" s="69">
        <v>1.5</v>
      </c>
      <c r="C103" s="59">
        <f>(((A103)+(B103*2))*MATERIALES!$C$16)*MATERIALES!$F$2</f>
        <v>815.06880000000001</v>
      </c>
      <c r="D103" s="59">
        <f>(16*MATERIALES!$C$145)+(2*MATERIALES!$C$172)+(2*MATERIALES!$C$173)+(4*MATERIALES!$C$171)+(((A103)+(B103*2))*MATERIALES!$C$170)</f>
        <v>139.15199999999999</v>
      </c>
      <c r="E103" s="75"/>
      <c r="F103" s="55">
        <f>((A103/2)*B103)*MATERIALES!$C$169</f>
        <v>614.25</v>
      </c>
      <c r="G103" s="59">
        <f t="shared" si="15"/>
        <v>1568.4708000000001</v>
      </c>
      <c r="H103" s="70">
        <f t="shared" si="12"/>
        <v>2039.0120400000001</v>
      </c>
    </row>
    <row r="104" spans="1:21">
      <c r="A104" s="68">
        <v>1.2</v>
      </c>
      <c r="B104" s="69">
        <v>0.4</v>
      </c>
      <c r="C104" s="59">
        <f>(((A104)+(B104*2))*MATERIALES!$C$16)*MATERIALES!$F$2</f>
        <v>407.53440000000001</v>
      </c>
      <c r="D104" s="59">
        <f>(16*MATERIALES!$C$145)+(2*MATERIALES!$C$172)+(2*MATERIALES!$C$173)+(4*MATERIALES!$C$171)+(((A104)+(B104*2))*MATERIALES!$C$170)</f>
        <v>121.57599999999999</v>
      </c>
      <c r="E104" s="75"/>
      <c r="F104" s="55">
        <f>((A104/2)*B104)*MATERIALES!$C$169</f>
        <v>196.56</v>
      </c>
      <c r="G104" s="59">
        <f t="shared" si="15"/>
        <v>725.67039999999997</v>
      </c>
      <c r="H104" s="70">
        <f t="shared" si="12"/>
        <v>943.37152000000003</v>
      </c>
    </row>
    <row r="105" spans="1:21">
      <c r="A105" s="68">
        <v>1.2</v>
      </c>
      <c r="B105" s="69">
        <v>0.6</v>
      </c>
      <c r="C105" s="59">
        <f>(((A105)+(B105*2))*MATERIALES!$C$16)*MATERIALES!$F$2</f>
        <v>489.04128000000003</v>
      </c>
      <c r="D105" s="59">
        <f>(16*MATERIALES!$C$145)+(2*MATERIALES!$C$172)+(2*MATERIALES!$C$173)+(4*MATERIALES!$C$171)+(((A105)+(B105*2))*MATERIALES!$C$170)</f>
        <v>125.0912</v>
      </c>
      <c r="E105" s="75"/>
      <c r="F105" s="55">
        <f>((A105/2)*B105)*MATERIALES!$C$169</f>
        <v>294.83999999999997</v>
      </c>
      <c r="G105" s="59">
        <f t="shared" si="15"/>
        <v>908.9724799999999</v>
      </c>
      <c r="H105" s="70">
        <f t="shared" si="12"/>
        <v>1181.6642239999999</v>
      </c>
    </row>
    <row r="106" spans="1:21">
      <c r="A106" s="68">
        <v>1.2</v>
      </c>
      <c r="B106" s="69">
        <v>0.8</v>
      </c>
      <c r="C106" s="59">
        <f>(((A106)+(B106*2))*MATERIALES!$C$16)*MATERIALES!$F$2</f>
        <v>570.54815999999994</v>
      </c>
      <c r="D106" s="59">
        <f>(16*MATERIALES!$C$145)+(2*MATERIALES!$C$172)+(2*MATERIALES!$C$173)+(4*MATERIALES!$C$171)+(((A106)+(B106*2))*MATERIALES!$C$170)</f>
        <v>128.60640000000001</v>
      </c>
      <c r="E106" s="75"/>
      <c r="F106" s="55">
        <f>((A106/2)*B106)*MATERIALES!$C$169</f>
        <v>393.12</v>
      </c>
      <c r="G106" s="59">
        <f t="shared" si="15"/>
        <v>1092.2745599999998</v>
      </c>
      <c r="H106" s="70">
        <f t="shared" si="12"/>
        <v>1419.9569279999998</v>
      </c>
    </row>
    <row r="107" spans="1:21">
      <c r="A107" s="68">
        <v>1.2</v>
      </c>
      <c r="B107" s="69">
        <v>1</v>
      </c>
      <c r="C107" s="59">
        <f>(((A107)+(B107*2))*MATERIALES!$C$16)*MATERIALES!$F$2</f>
        <v>652.05504000000008</v>
      </c>
      <c r="D107" s="59">
        <f>(16*MATERIALES!$C$145)+(2*MATERIALES!$C$172)+(2*MATERIALES!$C$173)+(4*MATERIALES!$C$171)+(((A107)+(B107*2))*MATERIALES!$C$170)</f>
        <v>132.1216</v>
      </c>
      <c r="E107" s="75"/>
      <c r="F107" s="55">
        <f>((A107/2)*B107)*MATERIALES!$C$169</f>
        <v>491.4</v>
      </c>
      <c r="G107" s="59">
        <f t="shared" si="15"/>
        <v>1275.5766400000002</v>
      </c>
      <c r="H107" s="70">
        <f t="shared" si="12"/>
        <v>1658.2496320000002</v>
      </c>
    </row>
    <row r="108" spans="1:21">
      <c r="A108" s="68">
        <v>1.2</v>
      </c>
      <c r="B108" s="69">
        <v>1.1000000000000001</v>
      </c>
      <c r="C108" s="59">
        <f>(((A108)+(B108*2))*MATERIALES!$C$16)*MATERIALES!$F$2</f>
        <v>692.80848000000015</v>
      </c>
      <c r="D108" s="59">
        <f>(16*MATERIALES!$C$145)+(2*MATERIALES!$C$172)+(2*MATERIALES!$C$173)+(4*MATERIALES!$C$171)+(((A108)+(B108*2))*MATERIALES!$C$170)</f>
        <v>133.8792</v>
      </c>
      <c r="E108" s="75"/>
      <c r="F108" s="55">
        <f>((A108/2)*B108)*MATERIALES!$C$169</f>
        <v>540.54000000000008</v>
      </c>
      <c r="G108" s="59">
        <f t="shared" si="15"/>
        <v>1367.2276800000002</v>
      </c>
      <c r="H108" s="70">
        <f t="shared" si="12"/>
        <v>1777.3959840000002</v>
      </c>
    </row>
    <row r="109" spans="1:21">
      <c r="A109" s="68">
        <v>1.2</v>
      </c>
      <c r="B109" s="69">
        <v>1.2</v>
      </c>
      <c r="C109" s="59">
        <f>(((A109)+(B109*2))*MATERIALES!$C$16)*MATERIALES!$F$2</f>
        <v>733.56191999999999</v>
      </c>
      <c r="D109" s="59">
        <f>(16*MATERIALES!$C$145)+(2*MATERIALES!$C$172)+(2*MATERIALES!$C$173)+(4*MATERIALES!$C$171)+(((A109)+(B109*2))*MATERIALES!$C$170)</f>
        <v>135.63679999999999</v>
      </c>
      <c r="E109" s="75"/>
      <c r="F109" s="55">
        <f>((A109/2)*B109)*MATERIALES!$C$169</f>
        <v>589.67999999999995</v>
      </c>
      <c r="G109" s="59">
        <f t="shared" si="15"/>
        <v>1458.8787199999999</v>
      </c>
      <c r="H109" s="70">
        <f t="shared" si="12"/>
        <v>1896.542336</v>
      </c>
    </row>
    <row r="110" spans="1:21">
      <c r="A110" s="68">
        <v>1.2</v>
      </c>
      <c r="B110" s="69">
        <v>1.5</v>
      </c>
      <c r="C110" s="59">
        <f>(((A110)+(B110*2))*MATERIALES!$C$16)*MATERIALES!$F$2</f>
        <v>855.82224000000008</v>
      </c>
      <c r="D110" s="59">
        <f>(16*MATERIALES!$C$145)+(2*MATERIALES!$C$172)+(2*MATERIALES!$C$173)+(4*MATERIALES!$C$171)+(((A110)+(B110*2))*MATERIALES!$C$170)</f>
        <v>140.90960000000001</v>
      </c>
      <c r="E110" s="75"/>
      <c r="F110" s="55">
        <f>((A110/2)*B110)*MATERIALES!$C$169</f>
        <v>737.09999999999991</v>
      </c>
      <c r="G110" s="59">
        <f t="shared" si="15"/>
        <v>1733.8318400000001</v>
      </c>
      <c r="H110" s="70">
        <f t="shared" si="12"/>
        <v>2253.9813920000001</v>
      </c>
    </row>
    <row r="111" spans="1:21">
      <c r="A111" s="68">
        <v>1.2</v>
      </c>
      <c r="B111" s="69">
        <v>1.8</v>
      </c>
      <c r="C111" s="59">
        <f>(((A111)+(B111*2))*MATERIALES!$C$16)*MATERIALES!$F$2</f>
        <v>978.08256000000006</v>
      </c>
      <c r="D111" s="59">
        <f>(16*MATERIALES!$C$145)+(2*MATERIALES!$C$172)+(2*MATERIALES!$C$173)+(4*MATERIALES!$C$171)+(((A111)+(B111*2))*MATERIALES!$C$170)</f>
        <v>146.1824</v>
      </c>
      <c r="E111" s="75"/>
      <c r="F111" s="55">
        <f>((A111/2)*B111)*MATERIALES!$C$169</f>
        <v>884.5200000000001</v>
      </c>
      <c r="G111" s="59">
        <f t="shared" si="15"/>
        <v>2008.78496</v>
      </c>
      <c r="H111" s="70">
        <f t="shared" si="12"/>
        <v>2611.4204479999999</v>
      </c>
    </row>
    <row r="112" spans="1:21">
      <c r="A112" s="68">
        <v>1.5</v>
      </c>
      <c r="B112" s="69">
        <v>0.4</v>
      </c>
      <c r="C112" s="59">
        <f>(((A112)+(B112*2))*MATERIALES!$C$16)*MATERIALES!$F$2</f>
        <v>468.66455999999999</v>
      </c>
      <c r="D112" s="59">
        <f>(16*MATERIALES!$C$145)+(2*MATERIALES!$C$172)+(2*MATERIALES!$C$173)+(4*MATERIALES!$C$171)+(((A112)+(B112*2))*MATERIALES!$C$170)</f>
        <v>124.2124</v>
      </c>
      <c r="E112" s="75"/>
      <c r="F112" s="55">
        <f>((A112/2)*B112)*MATERIALES!$C$169</f>
        <v>245.70000000000005</v>
      </c>
      <c r="G112" s="59">
        <f t="shared" si="15"/>
        <v>838.5769600000001</v>
      </c>
      <c r="H112" s="70">
        <f t="shared" si="12"/>
        <v>1090.1500480000002</v>
      </c>
    </row>
    <row r="113" spans="1:8">
      <c r="A113" s="68">
        <v>1.5</v>
      </c>
      <c r="B113" s="69">
        <v>0.6</v>
      </c>
      <c r="C113" s="59">
        <f>(((A113)+(B113*2))*MATERIALES!$C$16)*MATERIALES!$F$2</f>
        <v>550.17144000000008</v>
      </c>
      <c r="D113" s="59">
        <f>(16*MATERIALES!$C$145)+(2*MATERIALES!$C$172)+(2*MATERIALES!$C$173)+(4*MATERIALES!$C$171)+(((A113)+(B113*2))*MATERIALES!$C$170)</f>
        <v>127.7276</v>
      </c>
      <c r="E113" s="75"/>
      <c r="F113" s="55">
        <f>((A113/2)*B113)*MATERIALES!$C$169</f>
        <v>368.54999999999995</v>
      </c>
      <c r="G113" s="59">
        <f t="shared" si="15"/>
        <v>1046.44904</v>
      </c>
      <c r="H113" s="70">
        <f t="shared" si="12"/>
        <v>1360.383752</v>
      </c>
    </row>
    <row r="114" spans="1:8">
      <c r="A114" s="68">
        <v>1.5</v>
      </c>
      <c r="B114" s="69">
        <v>0.8</v>
      </c>
      <c r="C114" s="59">
        <f>(((A114)+(B114*2))*MATERIALES!$C$16)*MATERIALES!$F$2</f>
        <v>631.6783200000001</v>
      </c>
      <c r="D114" s="59">
        <f>(16*MATERIALES!$C$145)+(2*MATERIALES!$C$172)+(2*MATERIALES!$C$173)+(4*MATERIALES!$C$171)+(((A114)+(B114*2))*MATERIALES!$C$170)</f>
        <v>131.24279999999999</v>
      </c>
      <c r="E114" s="75"/>
      <c r="F114" s="55">
        <f>((A114/2)*B114)*MATERIALES!$C$169</f>
        <v>491.40000000000009</v>
      </c>
      <c r="G114" s="59">
        <f t="shared" si="15"/>
        <v>1254.3211200000001</v>
      </c>
      <c r="H114" s="70">
        <f t="shared" si="12"/>
        <v>1630.6174560000002</v>
      </c>
    </row>
    <row r="115" spans="1:8">
      <c r="A115" s="68">
        <v>1.5</v>
      </c>
      <c r="B115" s="69">
        <v>1</v>
      </c>
      <c r="C115" s="59">
        <f>(((A115)+(B115*2))*MATERIALES!$C$16)*MATERIALES!$F$2</f>
        <v>713.18520000000001</v>
      </c>
      <c r="D115" s="59">
        <f>(16*MATERIALES!$C$145)+(2*MATERIALES!$C$172)+(2*MATERIALES!$C$173)+(4*MATERIALES!$C$171)+(((A115)+(B115*2))*MATERIALES!$C$170)</f>
        <v>134.75800000000001</v>
      </c>
      <c r="E115" s="75"/>
      <c r="F115" s="55">
        <f>((A115/2)*B115)*MATERIALES!$C$169</f>
        <v>614.25</v>
      </c>
      <c r="G115" s="59">
        <f t="shared" si="15"/>
        <v>1462.1932000000002</v>
      </c>
      <c r="H115" s="70">
        <f t="shared" si="12"/>
        <v>1900.8511600000002</v>
      </c>
    </row>
    <row r="116" spans="1:8">
      <c r="A116" s="68">
        <v>1.5</v>
      </c>
      <c r="B116" s="69">
        <v>1.1000000000000001</v>
      </c>
      <c r="C116" s="59">
        <f>(((A116)+(B116*2))*MATERIALES!$C$16)*MATERIALES!$F$2</f>
        <v>753.93864000000008</v>
      </c>
      <c r="D116" s="59">
        <f>(16*MATERIALES!$C$145)+(2*MATERIALES!$C$172)+(2*MATERIALES!$C$173)+(4*MATERIALES!$C$171)+(((A116)+(B116*2))*MATERIALES!$C$170)</f>
        <v>136.51560000000001</v>
      </c>
      <c r="E116" s="75"/>
      <c r="F116" s="55">
        <f>((A116/2)*B116)*MATERIALES!$C$169</f>
        <v>675.67500000000007</v>
      </c>
      <c r="G116" s="59">
        <f t="shared" si="15"/>
        <v>1566.1292400000002</v>
      </c>
      <c r="H116" s="70">
        <f t="shared" si="12"/>
        <v>2035.9680120000003</v>
      </c>
    </row>
    <row r="117" spans="1:8">
      <c r="A117" s="68">
        <v>1.5</v>
      </c>
      <c r="B117" s="69">
        <v>1.2</v>
      </c>
      <c r="C117" s="59">
        <f>(((A117)+(B117*2))*MATERIALES!$C$16)*MATERIALES!$F$2</f>
        <v>794.69207999999992</v>
      </c>
      <c r="D117" s="59">
        <f>(16*MATERIALES!$C$145)+(2*MATERIALES!$C$172)+(2*MATERIALES!$C$173)+(4*MATERIALES!$C$171)+(((A117)+(B117*2))*MATERIALES!$C$170)</f>
        <v>138.2732</v>
      </c>
      <c r="E117" s="75"/>
      <c r="F117" s="55">
        <f>((A117/2)*B117)*MATERIALES!$C$169</f>
        <v>737.09999999999991</v>
      </c>
      <c r="G117" s="59">
        <f t="shared" si="15"/>
        <v>1670.0652799999998</v>
      </c>
      <c r="H117" s="70">
        <f t="shared" si="12"/>
        <v>2171.0848639999999</v>
      </c>
    </row>
    <row r="118" spans="1:8">
      <c r="A118" s="68">
        <v>1.5</v>
      </c>
      <c r="B118" s="69">
        <v>1.5</v>
      </c>
      <c r="C118" s="59">
        <f>(((A118)+(B118*2))*MATERIALES!$C$16)*MATERIALES!$F$2</f>
        <v>916.95240000000001</v>
      </c>
      <c r="D118" s="59">
        <f>(16*MATERIALES!$C$145)+(2*MATERIALES!$C$172)+(2*MATERIALES!$C$173)+(4*MATERIALES!$C$171)+(((A118)+(B118*2))*MATERIALES!$C$170)</f>
        <v>143.54599999999999</v>
      </c>
      <c r="E118" s="75"/>
      <c r="F118" s="55">
        <f>((A118/2)*B118)*MATERIALES!$C$169</f>
        <v>921.375</v>
      </c>
      <c r="G118" s="59">
        <f t="shared" si="15"/>
        <v>1981.8733999999999</v>
      </c>
      <c r="H118" s="70">
        <f t="shared" si="12"/>
        <v>2576.4354199999998</v>
      </c>
    </row>
    <row r="119" spans="1:8">
      <c r="A119" s="68">
        <v>1.5</v>
      </c>
      <c r="B119" s="69">
        <v>1.8</v>
      </c>
      <c r="C119" s="59">
        <f>(((A119)+(B119*2))*MATERIALES!$C$16)*MATERIALES!$F$2</f>
        <v>1039.21272</v>
      </c>
      <c r="D119" s="59">
        <f>(16*MATERIALES!$C$145)+(2*MATERIALES!$C$172)+(2*MATERIALES!$C$173)+(4*MATERIALES!$C$171)+(((A119)+(B119*2))*MATERIALES!$C$170)</f>
        <v>148.81880000000001</v>
      </c>
      <c r="E119" s="75"/>
      <c r="F119" s="55">
        <f>((A119/2)*B119)*MATERIALES!$C$169</f>
        <v>1105.6500000000001</v>
      </c>
      <c r="G119" s="59">
        <f t="shared" si="15"/>
        <v>2293.6815200000001</v>
      </c>
      <c r="H119" s="70">
        <f t="shared" si="12"/>
        <v>2981.7859760000001</v>
      </c>
    </row>
    <row r="120" spans="1:8">
      <c r="A120" s="68">
        <v>1.8</v>
      </c>
      <c r="B120" s="69">
        <v>0.8</v>
      </c>
      <c r="C120" s="59">
        <f>(((A120)+(B120*2))*MATERIALES!$C$16)*MATERIALES!$F$2</f>
        <v>692.80848000000015</v>
      </c>
      <c r="D120" s="59">
        <f>(16*MATERIALES!$C$145)+(2*MATERIALES!$C$172)+(2*MATERIALES!$C$173)+(4*MATERIALES!$C$171)+(((A120)+(B120*2))*MATERIALES!$C$170)</f>
        <v>133.8792</v>
      </c>
      <c r="E120" s="75"/>
      <c r="F120" s="55">
        <f>((A120/2)*B120)*MATERIALES!$C$169</f>
        <v>589.68000000000006</v>
      </c>
      <c r="G120" s="59">
        <f t="shared" si="15"/>
        <v>1416.3676800000003</v>
      </c>
      <c r="H120" s="70">
        <f t="shared" si="12"/>
        <v>1841.2779840000005</v>
      </c>
    </row>
    <row r="121" spans="1:8">
      <c r="A121" s="68">
        <v>1.8</v>
      </c>
      <c r="B121" s="69">
        <v>1</v>
      </c>
      <c r="C121" s="59">
        <f>(((A121)+(B121*2))*MATERIALES!$C$16)*MATERIALES!$F$2</f>
        <v>774.31536000000006</v>
      </c>
      <c r="D121" s="59">
        <f>(16*MATERIALES!$C$145)+(2*MATERIALES!$C$172)+(2*MATERIALES!$C$173)+(4*MATERIALES!$C$171)+(((A121)+(B121*2))*MATERIALES!$C$170)</f>
        <v>137.39439999999999</v>
      </c>
      <c r="E121" s="75"/>
      <c r="F121" s="55">
        <f>((A121/2)*B121)*MATERIALES!$C$169</f>
        <v>737.1</v>
      </c>
      <c r="G121" s="59">
        <f t="shared" si="15"/>
        <v>1648.8097600000001</v>
      </c>
      <c r="H121" s="70">
        <f t="shared" si="12"/>
        <v>2143.4526880000003</v>
      </c>
    </row>
    <row r="122" spans="1:8">
      <c r="A122" s="68">
        <v>1.8</v>
      </c>
      <c r="B122" s="69">
        <v>1.1000000000000001</v>
      </c>
      <c r="C122" s="59">
        <f>(((A122)+(B122*2))*MATERIALES!$C$16)*MATERIALES!$F$2</f>
        <v>815.06880000000001</v>
      </c>
      <c r="D122" s="59">
        <f>(16*MATERIALES!$C$145)+(2*MATERIALES!$C$172)+(2*MATERIALES!$C$173)+(4*MATERIALES!$C$171)+(((A122)+(B122*2))*MATERIALES!$C$170)</f>
        <v>139.15199999999999</v>
      </c>
      <c r="E122" s="75"/>
      <c r="F122" s="55">
        <f>((A122/2)*B122)*MATERIALES!$C$169</f>
        <v>810.81000000000006</v>
      </c>
      <c r="G122" s="59">
        <f t="shared" si="15"/>
        <v>1765.0308</v>
      </c>
      <c r="H122" s="70">
        <f t="shared" si="12"/>
        <v>2294.5400399999999</v>
      </c>
    </row>
    <row r="123" spans="1:8">
      <c r="A123" s="68">
        <v>1.8</v>
      </c>
      <c r="B123" s="69">
        <v>1.2</v>
      </c>
      <c r="C123" s="59">
        <f>(((A123)+(B123*2))*MATERIALES!$C$16)*MATERIALES!$F$2</f>
        <v>855.82224000000008</v>
      </c>
      <c r="D123" s="59">
        <f>(16*MATERIALES!$C$145)+(2*MATERIALES!$C$172)+(2*MATERIALES!$C$173)+(4*MATERIALES!$C$171)+(((A123)+(B123*2))*MATERIALES!$C$170)</f>
        <v>140.90960000000001</v>
      </c>
      <c r="E123" s="75"/>
      <c r="F123" s="55">
        <f>((A123/2)*B123)*MATERIALES!$C$169</f>
        <v>884.5200000000001</v>
      </c>
      <c r="G123" s="59">
        <f t="shared" si="15"/>
        <v>1881.2518400000004</v>
      </c>
      <c r="H123" s="70">
        <f t="shared" si="12"/>
        <v>2445.6273920000003</v>
      </c>
    </row>
    <row r="124" spans="1:8">
      <c r="A124" s="68">
        <v>1.8</v>
      </c>
      <c r="B124" s="69">
        <v>1.5</v>
      </c>
      <c r="C124" s="59">
        <f>(((A124)+(B124*2))*MATERIALES!$C$16)*MATERIALES!$F$2</f>
        <v>978.08256000000006</v>
      </c>
      <c r="D124" s="59">
        <f>(16*MATERIALES!$C$145)+(2*MATERIALES!$C$172)+(2*MATERIALES!$C$173)+(4*MATERIALES!$C$171)+(((A124)+(B124*2))*MATERIALES!$C$170)</f>
        <v>146.1824</v>
      </c>
      <c r="E124" s="75"/>
      <c r="F124" s="55">
        <f>((A124/2)*B124)*MATERIALES!$C$169</f>
        <v>1105.6500000000001</v>
      </c>
      <c r="G124" s="59">
        <f t="shared" si="15"/>
        <v>2229.9149600000001</v>
      </c>
      <c r="H124" s="70">
        <f t="shared" si="12"/>
        <v>2898.8894480000004</v>
      </c>
    </row>
    <row r="125" spans="1:8">
      <c r="A125" s="68">
        <v>1.8</v>
      </c>
      <c r="B125" s="69">
        <v>1.8</v>
      </c>
      <c r="C125" s="59">
        <f>(((A125)+(B125*2))*MATERIALES!$C$16)*MATERIALES!$F$2</f>
        <v>1100.3428800000002</v>
      </c>
      <c r="D125" s="59">
        <f>(16*MATERIALES!$C$145)+(2*MATERIALES!$C$172)+(2*MATERIALES!$C$173)+(4*MATERIALES!$C$171)+(((A125)+(B125*2))*MATERIALES!$C$170)</f>
        <v>151.45519999999999</v>
      </c>
      <c r="E125" s="75"/>
      <c r="F125" s="55">
        <f>((A125/2)*B125)*MATERIALES!$C$169</f>
        <v>1326.7800000000002</v>
      </c>
      <c r="G125" s="59">
        <f t="shared" si="15"/>
        <v>2578.5780800000002</v>
      </c>
      <c r="H125" s="70">
        <f t="shared" si="12"/>
        <v>3352.1515040000004</v>
      </c>
    </row>
    <row r="126" spans="1:8">
      <c r="A126" s="68">
        <v>2</v>
      </c>
      <c r="B126" s="69">
        <v>0.8</v>
      </c>
      <c r="C126" s="59">
        <f>(((A126)+(B126*2))*MATERIALES!$C$16)*MATERIALES!$F$2</f>
        <v>733.56191999999999</v>
      </c>
      <c r="D126" s="59">
        <f>(16*MATERIALES!$C$145)+(2*MATERIALES!$C$172)+(2*MATERIALES!$C$173)+(4*MATERIALES!$C$171)+(((A126)+(B126*2))*MATERIALES!$C$170)</f>
        <v>135.63679999999999</v>
      </c>
      <c r="E126" s="75"/>
      <c r="F126" s="55">
        <f>((A126/2)*B126)*MATERIALES!$C$169</f>
        <v>655.20000000000005</v>
      </c>
      <c r="G126" s="59">
        <f t="shared" si="15"/>
        <v>1524.3987200000001</v>
      </c>
      <c r="H126" s="70">
        <f t="shared" si="12"/>
        <v>1981.7183360000001</v>
      </c>
    </row>
    <row r="127" spans="1:8">
      <c r="A127" s="68">
        <v>2</v>
      </c>
      <c r="B127" s="69">
        <v>1</v>
      </c>
      <c r="C127" s="59">
        <f>(((A127)+(B127*2))*MATERIALES!$C$16)*MATERIALES!$F$2</f>
        <v>815.06880000000001</v>
      </c>
      <c r="D127" s="59">
        <f>(16*MATERIALES!$C$145)+(2*MATERIALES!$C$172)+(2*MATERIALES!$C$173)+(4*MATERIALES!$C$171)+(((A127)+(B127*2))*MATERIALES!$C$170)</f>
        <v>139.15199999999999</v>
      </c>
      <c r="E127" s="75"/>
      <c r="F127" s="55">
        <f>((A127/2)*B127)*MATERIALES!$C$169</f>
        <v>819</v>
      </c>
      <c r="G127" s="59">
        <f t="shared" si="15"/>
        <v>1773.2208000000001</v>
      </c>
      <c r="H127" s="70">
        <f t="shared" si="12"/>
        <v>2305.1870400000003</v>
      </c>
    </row>
    <row r="128" spans="1:8">
      <c r="A128" s="68">
        <v>2</v>
      </c>
      <c r="B128" s="69">
        <v>1.1000000000000001</v>
      </c>
      <c r="C128" s="59">
        <f>(((A128)+(B128*2))*MATERIALES!$C$16)*MATERIALES!$F$2</f>
        <v>855.82224000000008</v>
      </c>
      <c r="D128" s="59">
        <f>(16*MATERIALES!$C$145)+(2*MATERIALES!$C$172)+(2*MATERIALES!$C$173)+(4*MATERIALES!$C$171)+(((A128)+(B128*2))*MATERIALES!$C$170)</f>
        <v>140.90960000000001</v>
      </c>
      <c r="E128" s="75"/>
      <c r="F128" s="55">
        <f>((A128/2)*B128)*MATERIALES!$C$169</f>
        <v>900.90000000000009</v>
      </c>
      <c r="G128" s="59">
        <f t="shared" si="15"/>
        <v>1897.6318400000002</v>
      </c>
      <c r="H128" s="70">
        <f t="shared" si="12"/>
        <v>2466.9213920000002</v>
      </c>
    </row>
    <row r="129" spans="1:10">
      <c r="A129" s="68">
        <v>2</v>
      </c>
      <c r="B129" s="69">
        <v>1.2</v>
      </c>
      <c r="C129" s="59">
        <f>(((A129)+(B129*2))*MATERIALES!$C$16)*MATERIALES!$F$2</f>
        <v>896.57568000000015</v>
      </c>
      <c r="D129" s="59">
        <f>(16*MATERIALES!$C$145)+(2*MATERIALES!$C$172)+(2*MATERIALES!$C$173)+(4*MATERIALES!$C$171)+(((A129)+(B129*2))*MATERIALES!$C$170)</f>
        <v>142.66720000000001</v>
      </c>
      <c r="E129" s="75"/>
      <c r="F129" s="55">
        <f>((A129/2)*B129)*MATERIALES!$C$169</f>
        <v>982.8</v>
      </c>
      <c r="G129" s="59">
        <f t="shared" si="15"/>
        <v>2022.0428800000002</v>
      </c>
      <c r="H129" s="70">
        <f t="shared" si="12"/>
        <v>2628.6557440000001</v>
      </c>
    </row>
    <row r="130" spans="1:10">
      <c r="A130" s="68">
        <v>2</v>
      </c>
      <c r="B130" s="69">
        <v>1.5</v>
      </c>
      <c r="C130" s="59">
        <f>(((A130)+(B130*2))*MATERIALES!$C$16)*MATERIALES!$F$2</f>
        <v>1018.836</v>
      </c>
      <c r="D130" s="59">
        <f>(16*MATERIALES!$C$145)+(2*MATERIALES!$C$172)+(2*MATERIALES!$C$173)+(4*MATERIALES!$C$171)+(((A130)+(B130*2))*MATERIALES!$C$170)</f>
        <v>147.94</v>
      </c>
      <c r="E130" s="75"/>
      <c r="F130" s="55">
        <f>((A130/2)*B130)*MATERIALES!$C$169</f>
        <v>1228.5</v>
      </c>
      <c r="G130" s="59">
        <f t="shared" si="15"/>
        <v>2395.2759999999998</v>
      </c>
      <c r="H130" s="70">
        <f t="shared" si="12"/>
        <v>3113.8588</v>
      </c>
    </row>
    <row r="131" spans="1:10">
      <c r="A131" s="68">
        <v>2</v>
      </c>
      <c r="B131" s="69">
        <v>1.8</v>
      </c>
      <c r="C131" s="59">
        <f>(((A131)+(B131*2))*MATERIALES!$C$16)*MATERIALES!$F$2</f>
        <v>1141.0963199999999</v>
      </c>
      <c r="D131" s="59">
        <f>(16*MATERIALES!$C$145)+(2*MATERIALES!$C$172)+(2*MATERIALES!$C$173)+(4*MATERIALES!$C$171)+(((A131)+(B131*2))*MATERIALES!$C$170)</f>
        <v>153.21280000000002</v>
      </c>
      <c r="E131" s="75"/>
      <c r="F131" s="55">
        <f>((A131/2)*B131)*MATERIALES!$C$169</f>
        <v>1474.2</v>
      </c>
      <c r="G131" s="59">
        <f t="shared" si="15"/>
        <v>2768.5091199999997</v>
      </c>
      <c r="H131" s="70">
        <f t="shared" si="12"/>
        <v>3599.0618559999998</v>
      </c>
      <c r="J131" s="77"/>
    </row>
    <row r="132" spans="1:10">
      <c r="A132" s="68">
        <v>2</v>
      </c>
      <c r="B132" s="69">
        <v>1.8</v>
      </c>
      <c r="C132" s="59">
        <f>(((A132)+(B132*2))*MATERIALES!$C$16)*MATERIALES!$F$2</f>
        <v>1141.0963199999999</v>
      </c>
      <c r="D132" s="59">
        <f>(16*MATERIALES!$C$145)+(2*MATERIALES!$C$172)+(2*MATERIALES!$C$173)+(4*MATERIALES!$C$171)+(((A132)+(B132*2))*MATERIALES!$C$170)</f>
        <v>153.21280000000002</v>
      </c>
      <c r="E132" s="75"/>
      <c r="F132" s="55">
        <f>((A132/2)*B132)*MATERIALES!$C$169</f>
        <v>1474.2</v>
      </c>
      <c r="G132" s="59">
        <f t="shared" si="15"/>
        <v>2768.5091199999997</v>
      </c>
      <c r="H132" s="70">
        <f t="shared" si="12"/>
        <v>3599.0618559999998</v>
      </c>
    </row>
    <row r="133" spans="1:10">
      <c r="A133" s="68">
        <v>2.2000000000000002</v>
      </c>
      <c r="B133" s="69">
        <v>0.4</v>
      </c>
      <c r="C133" s="59">
        <f>(((A133)+(B133*2))*MATERIALES!$C$16)*MATERIALES!$F$2</f>
        <v>611.30160000000012</v>
      </c>
      <c r="D133" s="59">
        <f>(16*MATERIALES!$C$145)+(2*MATERIALES!$C$172)+(2*MATERIALES!$C$173)+(4*MATERIALES!$C$171)+(((A133)+(B133*2))*MATERIALES!$C$170)</f>
        <v>130.364</v>
      </c>
      <c r="E133" s="75"/>
      <c r="F133" s="55">
        <f>((A133/2)*B133)*MATERIALES!$C$169</f>
        <v>360.36000000000007</v>
      </c>
      <c r="G133" s="59">
        <f t="shared" si="15"/>
        <v>1102.0256000000002</v>
      </c>
      <c r="H133" s="70">
        <f t="shared" si="12"/>
        <v>1432.6332800000002</v>
      </c>
    </row>
    <row r="134" spans="1:10">
      <c r="A134" s="68">
        <v>2.2000000000000002</v>
      </c>
      <c r="B134" s="69">
        <v>0.6</v>
      </c>
      <c r="C134" s="59">
        <f>(((A134)+(B134*2))*MATERIALES!$C$16)*MATERIALES!$F$2</f>
        <v>692.80848000000015</v>
      </c>
      <c r="D134" s="59">
        <f>(16*MATERIALES!$C$145)+(2*MATERIALES!$C$172)+(2*MATERIALES!$C$173)+(4*MATERIALES!$C$171)+(((A134)+(B134*2))*MATERIALES!$C$170)</f>
        <v>133.8792</v>
      </c>
      <c r="E134" s="75"/>
      <c r="F134" s="55">
        <f>((A134/2)*B134)*MATERIALES!$C$169</f>
        <v>540.54000000000008</v>
      </c>
      <c r="G134" s="59">
        <f t="shared" si="15"/>
        <v>1367.2276800000002</v>
      </c>
      <c r="H134" s="70">
        <f t="shared" si="12"/>
        <v>1777.3959840000002</v>
      </c>
    </row>
    <row r="135" spans="1:10">
      <c r="A135" s="68">
        <v>2.2000000000000002</v>
      </c>
      <c r="B135" s="69">
        <v>0.8</v>
      </c>
      <c r="C135" s="59">
        <f>(((A135)+(B135*2))*MATERIALES!$C$16)*MATERIALES!$F$2</f>
        <v>774.31536000000017</v>
      </c>
      <c r="D135" s="59">
        <f>(16*MATERIALES!$C$145)+(2*MATERIALES!$C$172)+(2*MATERIALES!$C$173)+(4*MATERIALES!$C$171)+(((A135)+(B135*2))*MATERIALES!$C$170)</f>
        <v>137.39440000000002</v>
      </c>
      <c r="E135" s="75"/>
      <c r="F135" s="55">
        <f>((A135/2)*B135)*MATERIALES!$C$169</f>
        <v>720.72000000000014</v>
      </c>
      <c r="G135" s="59">
        <f t="shared" si="15"/>
        <v>1632.4297600000004</v>
      </c>
      <c r="H135" s="70">
        <f t="shared" si="12"/>
        <v>2122.1586880000004</v>
      </c>
    </row>
    <row r="136" spans="1:10">
      <c r="A136" s="68">
        <v>2.2000000000000002</v>
      </c>
      <c r="B136" s="69">
        <v>1</v>
      </c>
      <c r="C136" s="59">
        <f>(((A136)+(B136*2))*MATERIALES!$C$16)*MATERIALES!$F$2</f>
        <v>855.82224000000008</v>
      </c>
      <c r="D136" s="59">
        <f>(16*MATERIALES!$C$145)+(2*MATERIALES!$C$172)+(2*MATERIALES!$C$173)+(4*MATERIALES!$C$171)+(((A136)+(B136*2))*MATERIALES!$C$170)</f>
        <v>140.90960000000001</v>
      </c>
      <c r="E136" s="75"/>
      <c r="F136" s="55">
        <f>((A136/2)*B136)*MATERIALES!$C$169</f>
        <v>900.90000000000009</v>
      </c>
      <c r="G136" s="59">
        <f t="shared" si="15"/>
        <v>1897.6318400000002</v>
      </c>
      <c r="H136" s="70">
        <f t="shared" si="12"/>
        <v>2466.9213920000002</v>
      </c>
    </row>
    <row r="137" spans="1:10">
      <c r="A137" s="68">
        <v>2.2000000000000002</v>
      </c>
      <c r="B137" s="69">
        <v>1.2</v>
      </c>
      <c r="C137" s="59">
        <f>(((A137)+(B137*2))*MATERIALES!$C$16)*MATERIALES!$F$2</f>
        <v>937.32911999999999</v>
      </c>
      <c r="D137" s="59">
        <f>(16*MATERIALES!$C$145)+(2*MATERIALES!$C$172)+(2*MATERIALES!$C$173)+(4*MATERIALES!$C$171)+(((A137)+(B137*2))*MATERIALES!$C$170)</f>
        <v>144.4248</v>
      </c>
      <c r="E137" s="75"/>
      <c r="F137" s="55">
        <f>((A137/2)*B137)*MATERIALES!$C$169</f>
        <v>1081.0800000000002</v>
      </c>
      <c r="G137" s="59">
        <f t="shared" si="15"/>
        <v>2162.83392</v>
      </c>
      <c r="H137" s="70">
        <f t="shared" si="12"/>
        <v>2811.684096</v>
      </c>
    </row>
    <row r="138" spans="1:10">
      <c r="A138" s="68">
        <v>2.2000000000000002</v>
      </c>
      <c r="B138" s="69">
        <v>1.5</v>
      </c>
      <c r="C138" s="59">
        <f>(((A138)+(B138*2))*MATERIALES!$C$16)*MATERIALES!$F$2</f>
        <v>1059.58944</v>
      </c>
      <c r="D138" s="59">
        <f>(16*MATERIALES!$C$145)+(2*MATERIALES!$C$172)+(2*MATERIALES!$C$173)+(4*MATERIALES!$C$171)+(((A138)+(B138*2))*MATERIALES!$C$170)</f>
        <v>149.69759999999999</v>
      </c>
      <c r="E138" s="75"/>
      <c r="F138" s="55">
        <f>((A138/2)*B138)*MATERIALES!$C$169</f>
        <v>1351.3500000000001</v>
      </c>
      <c r="G138" s="59">
        <f t="shared" si="15"/>
        <v>2560.6370400000001</v>
      </c>
      <c r="H138" s="70">
        <f t="shared" si="12"/>
        <v>3328.828152</v>
      </c>
    </row>
    <row r="139" spans="1:10">
      <c r="A139" s="68">
        <v>2.2000000000000002</v>
      </c>
      <c r="B139" s="69">
        <v>1.8</v>
      </c>
      <c r="C139" s="59">
        <f>(((A139)+(B139*2))*MATERIALES!$C$16)*MATERIALES!$F$2</f>
        <v>1181.8497600000003</v>
      </c>
      <c r="D139" s="59">
        <f>(16*MATERIALES!$C$145)+(2*MATERIALES!$C$172)+(2*MATERIALES!$C$173)+(4*MATERIALES!$C$171)+(((A139)+(B139*2))*MATERIALES!$C$170)</f>
        <v>154.97040000000001</v>
      </c>
      <c r="E139" s="75"/>
      <c r="F139" s="55">
        <f>((A139/2)*B139)*MATERIALES!$C$169</f>
        <v>1621.6200000000001</v>
      </c>
      <c r="G139" s="59">
        <f t="shared" si="15"/>
        <v>2958.4401600000001</v>
      </c>
      <c r="H139" s="70">
        <f t="shared" si="12"/>
        <v>3845.9722080000001</v>
      </c>
    </row>
    <row r="140" spans="1:10">
      <c r="A140" s="68">
        <v>2.4</v>
      </c>
      <c r="B140" s="69">
        <v>0.4</v>
      </c>
      <c r="C140" s="59">
        <f>(((A140)+(B140*2))*MATERIALES!$C$16)*MATERIALES!$F$2</f>
        <v>652.05504000000008</v>
      </c>
      <c r="D140" s="59">
        <f>(16*MATERIALES!$C$145)+(2*MATERIALES!$C$172)+(2*MATERIALES!$C$173)+(4*MATERIALES!$C$171)+(((A140)+(B140*2))*MATERIALES!$C$170)</f>
        <v>132.1216</v>
      </c>
      <c r="E140" s="75"/>
      <c r="F140" s="55">
        <f>((A140/2)*B140)*MATERIALES!$C$169</f>
        <v>393.12</v>
      </c>
      <c r="G140" s="59">
        <f t="shared" si="15"/>
        <v>1177.29664</v>
      </c>
      <c r="H140" s="70">
        <f t="shared" si="12"/>
        <v>1530.4856320000001</v>
      </c>
    </row>
    <row r="141" spans="1:10">
      <c r="A141" s="68">
        <v>2.4</v>
      </c>
      <c r="B141" s="69">
        <v>0.6</v>
      </c>
      <c r="C141" s="59">
        <f>(((A141)+(B141*2))*MATERIALES!$C$16)*MATERIALES!$F$2</f>
        <v>733.56191999999999</v>
      </c>
      <c r="D141" s="59">
        <f>(16*MATERIALES!$C$145)+(2*MATERIALES!$C$172)+(2*MATERIALES!$C$173)+(4*MATERIALES!$C$171)+(((A141)+(B141*2))*MATERIALES!$C$170)</f>
        <v>135.63679999999999</v>
      </c>
      <c r="E141" s="75"/>
      <c r="F141" s="55">
        <f>((A141/2)*B141)*MATERIALES!$C$169</f>
        <v>589.67999999999995</v>
      </c>
      <c r="G141" s="59">
        <f t="shared" si="15"/>
        <v>1458.8787199999999</v>
      </c>
      <c r="H141" s="70">
        <f t="shared" si="12"/>
        <v>1896.542336</v>
      </c>
    </row>
    <row r="142" spans="1:10">
      <c r="A142" s="68">
        <v>2.4</v>
      </c>
      <c r="B142" s="69">
        <v>0.8</v>
      </c>
      <c r="C142" s="59">
        <f>(((A142)+(B142*2))*MATERIALES!$C$16)*MATERIALES!$F$2</f>
        <v>815.06880000000001</v>
      </c>
      <c r="D142" s="59">
        <f>(16*MATERIALES!$C$145)+(2*MATERIALES!$C$172)+(2*MATERIALES!$C$173)+(4*MATERIALES!$C$171)+(((A142)+(B142*2))*MATERIALES!$C$170)</f>
        <v>139.15199999999999</v>
      </c>
      <c r="E142" s="75"/>
      <c r="F142" s="55">
        <f>((A142/2)*B142)*MATERIALES!$C$169</f>
        <v>786.24</v>
      </c>
      <c r="G142" s="59">
        <f t="shared" si="15"/>
        <v>1740.4608000000001</v>
      </c>
      <c r="H142" s="70">
        <f t="shared" si="12"/>
        <v>2262.5990400000001</v>
      </c>
    </row>
    <row r="143" spans="1:10">
      <c r="A143" s="68">
        <v>2.4</v>
      </c>
      <c r="B143" s="69">
        <v>1</v>
      </c>
      <c r="C143" s="59">
        <f>(((A143)+(B143*2))*MATERIALES!$C$16)*MATERIALES!$F$2</f>
        <v>896.57568000000015</v>
      </c>
      <c r="D143" s="59">
        <f>(16*MATERIALES!$C$145)+(2*MATERIALES!$C$172)+(2*MATERIALES!$C$173)+(4*MATERIALES!$C$171)+(((A143)+(B143*2))*MATERIALES!$C$170)</f>
        <v>142.66720000000001</v>
      </c>
      <c r="E143" s="75"/>
      <c r="F143" s="55">
        <f>((A143/2)*B143)*MATERIALES!$C$169</f>
        <v>982.8</v>
      </c>
      <c r="G143" s="59">
        <f t="shared" si="15"/>
        <v>2022.0428800000002</v>
      </c>
      <c r="H143" s="70">
        <f t="shared" si="12"/>
        <v>2628.6557440000001</v>
      </c>
    </row>
    <row r="144" spans="1:10">
      <c r="A144" s="68">
        <v>2.4</v>
      </c>
      <c r="B144" s="69">
        <v>1.2</v>
      </c>
      <c r="C144" s="59">
        <f>(((A144)+(B144*2))*MATERIALES!$C$16)*MATERIALES!$F$2</f>
        <v>978.08256000000006</v>
      </c>
      <c r="D144" s="59">
        <f>(16*MATERIALES!$C$145)+(2*MATERIALES!$C$172)+(2*MATERIALES!$C$173)+(4*MATERIALES!$C$171)+(((A144)+(B144*2))*MATERIALES!$C$170)</f>
        <v>146.1824</v>
      </c>
      <c r="E144" s="75"/>
      <c r="F144" s="55">
        <f>((A144/2)*B144)*MATERIALES!$C$169</f>
        <v>1179.3599999999999</v>
      </c>
      <c r="G144" s="59">
        <f t="shared" si="15"/>
        <v>2303.6249600000001</v>
      </c>
      <c r="H144" s="70">
        <f t="shared" si="12"/>
        <v>2994.7124480000002</v>
      </c>
    </row>
    <row r="145" spans="1:21">
      <c r="A145" s="68">
        <v>2.4</v>
      </c>
      <c r="B145" s="69">
        <v>1.5</v>
      </c>
      <c r="C145" s="59">
        <f>(((A145)+(B145*2))*MATERIALES!$C$16)*MATERIALES!$F$2</f>
        <v>1100.3428800000002</v>
      </c>
      <c r="D145" s="59">
        <f>(16*MATERIALES!$C$145)+(2*MATERIALES!$C$172)+(2*MATERIALES!$C$173)+(4*MATERIALES!$C$171)+(((A145)+(B145*2))*MATERIALES!$C$170)</f>
        <v>151.45519999999999</v>
      </c>
      <c r="E145" s="75"/>
      <c r="F145" s="55">
        <f>((A145/2)*B145)*MATERIALES!$C$169</f>
        <v>1474.1999999999998</v>
      </c>
      <c r="G145" s="59">
        <f t="shared" si="15"/>
        <v>2725.9980799999998</v>
      </c>
      <c r="H145" s="70">
        <f t="shared" si="12"/>
        <v>3543.7975040000001</v>
      </c>
    </row>
    <row r="146" spans="1:21" ht="15.75" thickBot="1">
      <c r="A146" s="71">
        <v>2.4</v>
      </c>
      <c r="B146" s="72">
        <v>1.8</v>
      </c>
      <c r="C146" s="60">
        <f>(((A146)+(B146*2))*MATERIALES!$C$16)*MATERIALES!$F$2</f>
        <v>1222.6032000000002</v>
      </c>
      <c r="D146" s="60">
        <f>(16*MATERIALES!$C$145)+(2*MATERIALES!$C$172)+(2*MATERIALES!$C$173)+(4*MATERIALES!$C$171)+(((A146)+(B146*2))*MATERIALES!$C$170)</f>
        <v>156.72800000000001</v>
      </c>
      <c r="E146" s="76"/>
      <c r="F146" s="56">
        <f>((A146/2)*B146)*MATERIALES!$C$169</f>
        <v>1769.0400000000002</v>
      </c>
      <c r="G146" s="60">
        <f t="shared" si="15"/>
        <v>3148.3712000000005</v>
      </c>
      <c r="H146" s="73">
        <f t="shared" si="12"/>
        <v>4092.8825600000009</v>
      </c>
    </row>
    <row r="148" spans="1:21" s="81" customFormat="1">
      <c r="A148" s="79"/>
      <c r="B148" s="79"/>
      <c r="C148" s="79"/>
      <c r="D148" s="79"/>
      <c r="E148" s="79"/>
      <c r="F148" s="79"/>
      <c r="G148" s="79"/>
      <c r="H148" s="80"/>
      <c r="N148" s="79"/>
      <c r="O148" s="79"/>
      <c r="P148" s="79"/>
      <c r="Q148" s="79"/>
      <c r="R148" s="79"/>
      <c r="S148" s="79"/>
      <c r="T148" s="79"/>
      <c r="U148" s="80"/>
    </row>
    <row r="150" spans="1:21" ht="15.75" thickBot="1"/>
    <row r="151" spans="1:21" ht="15.75" thickBot="1">
      <c r="H151" s="32"/>
      <c r="I151" s="789">
        <v>0.3</v>
      </c>
      <c r="J151" s="790"/>
      <c r="K151" s="790"/>
      <c r="L151" s="791"/>
      <c r="M151" s="46" t="s">
        <v>163</v>
      </c>
    </row>
    <row r="152" spans="1:21" ht="15.75" thickBot="1">
      <c r="G152" s="792" t="s">
        <v>253</v>
      </c>
      <c r="H152" s="793"/>
      <c r="I152" s="793"/>
      <c r="J152" s="793"/>
      <c r="K152" s="793"/>
      <c r="L152" s="793"/>
      <c r="M152" s="794"/>
      <c r="N152" s="94"/>
    </row>
    <row r="153" spans="1:21" ht="15.75" thickBot="1">
      <c r="G153" s="36" t="s">
        <v>116</v>
      </c>
      <c r="H153" s="36" t="s">
        <v>117</v>
      </c>
      <c r="I153" s="36" t="s">
        <v>162</v>
      </c>
      <c r="J153" s="36" t="s">
        <v>119</v>
      </c>
      <c r="K153" s="36" t="s">
        <v>120</v>
      </c>
      <c r="L153" s="36" t="s">
        <v>121</v>
      </c>
      <c r="M153" s="36" t="s">
        <v>122</v>
      </c>
      <c r="T153" s="2"/>
      <c r="U153"/>
    </row>
    <row r="154" spans="1:21" ht="15.75" thickBot="1">
      <c r="G154" s="91"/>
      <c r="H154" s="92"/>
      <c r="I154" s="92"/>
      <c r="J154" s="92"/>
      <c r="K154" s="92"/>
      <c r="L154" s="92"/>
      <c r="M154" s="93"/>
      <c r="T154" s="2"/>
      <c r="U154"/>
    </row>
    <row r="155" spans="1:21">
      <c r="G155" s="65">
        <v>0.6</v>
      </c>
      <c r="H155" s="66">
        <v>0.4</v>
      </c>
      <c r="I155" s="58">
        <f>(((G155*2)+(H155*4)*MATERIALES!$C$31)+((H155*2)*MATERIALES!$C$32)+((G155*1)*MATERIALES!$C$32))*MATERIALES!$F$2</f>
        <v>1370.2852799999998</v>
      </c>
      <c r="J155" s="58">
        <f>((4*MATERIALES!$C$137)+(4*MATERIALES!$C$174))*2</f>
        <v>42.764800000000001</v>
      </c>
      <c r="K155" s="74"/>
      <c r="L155" s="58">
        <f>SUM(I155:K155)</f>
        <v>1413.0500799999998</v>
      </c>
      <c r="M155" s="67">
        <f>SUM(I155:K155)*1.3</f>
        <v>1836.9651039999997</v>
      </c>
      <c r="N155" s="798" t="s">
        <v>255</v>
      </c>
      <c r="T155" s="2"/>
      <c r="U155"/>
    </row>
    <row r="156" spans="1:21">
      <c r="G156" s="68">
        <v>0.6</v>
      </c>
      <c r="H156" s="69">
        <v>0.6</v>
      </c>
      <c r="I156" s="59">
        <f>(((G156*2)+(H156*4)*MATERIALES!$C$31)+((H156*2)*MATERIALES!$C$32)+((G156*1)*MATERIALES!$C$32))*MATERIALES!$F$2</f>
        <v>1591.74288</v>
      </c>
      <c r="J156" s="59">
        <f>((4*MATERIALES!$C$137)+(4*MATERIALES!$C$174))*2</f>
        <v>42.764800000000001</v>
      </c>
      <c r="K156" s="75"/>
      <c r="L156" s="59">
        <f t="shared" ref="L156:L208" si="17">SUM(I156:K156)</f>
        <v>1634.5076799999999</v>
      </c>
      <c r="M156" s="70">
        <f t="shared" ref="M156:M208" si="18">SUM(I156:K156)*1.3</f>
        <v>2124.8599840000002</v>
      </c>
      <c r="N156" s="799"/>
      <c r="T156" s="2"/>
      <c r="U156"/>
    </row>
    <row r="157" spans="1:21">
      <c r="G157" s="68">
        <v>0.6</v>
      </c>
      <c r="H157" s="69">
        <v>0.8</v>
      </c>
      <c r="I157" s="59">
        <f>(((G157*2)+(H157*4)*MATERIALES!$C$31)+((H157*2)*MATERIALES!$C$32)+((G157*1)*MATERIALES!$C$32))*MATERIALES!$F$2</f>
        <v>1813.20048</v>
      </c>
      <c r="J157" s="59">
        <f>((4*MATERIALES!$C$137)+(4*MATERIALES!$C$174))*2</f>
        <v>42.764800000000001</v>
      </c>
      <c r="K157" s="75"/>
      <c r="L157" s="59">
        <f t="shared" si="17"/>
        <v>1855.9652799999999</v>
      </c>
      <c r="M157" s="70">
        <f>SUM(I157:K157)*1.3</f>
        <v>2412.754864</v>
      </c>
      <c r="N157" s="799"/>
      <c r="T157" s="2"/>
      <c r="U157"/>
    </row>
    <row r="158" spans="1:21">
      <c r="G158" s="68">
        <v>0.8</v>
      </c>
      <c r="H158" s="69">
        <v>0.4</v>
      </c>
      <c r="I158" s="59">
        <f>(((G158*2)+(H158*4)*MATERIALES!$C$31)+((H158*2)*MATERIALES!$C$32)+((G158*1)*MATERIALES!$C$32))*MATERIALES!$F$2</f>
        <v>1679.4086400000001</v>
      </c>
      <c r="J158" s="59">
        <f>((4*MATERIALES!$C$137)+(4*MATERIALES!$C$174))*2</f>
        <v>42.764800000000001</v>
      </c>
      <c r="K158" s="75"/>
      <c r="L158" s="59">
        <f t="shared" si="17"/>
        <v>1722.17344</v>
      </c>
      <c r="M158" s="70">
        <f t="shared" si="18"/>
        <v>2238.825472</v>
      </c>
      <c r="N158" s="799"/>
      <c r="T158" s="2"/>
      <c r="U158"/>
    </row>
    <row r="159" spans="1:21">
      <c r="G159" s="68">
        <v>0.8</v>
      </c>
      <c r="H159" s="69">
        <v>0.6</v>
      </c>
      <c r="I159" s="59">
        <f>(((G159*2)+(H159*4)*MATERIALES!$C$31)+((H159*2)*MATERIALES!$C$32)+((G159*1)*MATERIALES!$C$32))*MATERIALES!$F$2</f>
        <v>1900.8662400000003</v>
      </c>
      <c r="J159" s="59">
        <f>((4*MATERIALES!$C$137)+(4*MATERIALES!$C$174))*2</f>
        <v>42.764800000000001</v>
      </c>
      <c r="K159" s="75"/>
      <c r="L159" s="59">
        <f t="shared" si="17"/>
        <v>1943.6310400000002</v>
      </c>
      <c r="M159" s="70">
        <f t="shared" si="18"/>
        <v>2526.7203520000003</v>
      </c>
      <c r="N159" s="799"/>
      <c r="T159" s="2"/>
      <c r="U159"/>
    </row>
    <row r="160" spans="1:21">
      <c r="G160" s="68">
        <v>0.8</v>
      </c>
      <c r="H160" s="69">
        <v>0.8</v>
      </c>
      <c r="I160" s="59">
        <f>(((G160*2)+(H160*4)*MATERIALES!$C$31)+((H160*2)*MATERIALES!$C$32)+((G160*1)*MATERIALES!$C$32))*MATERIALES!$F$2</f>
        <v>2122.32384</v>
      </c>
      <c r="J160" s="59">
        <f>((4*MATERIALES!$C$137)+(4*MATERIALES!$C$174))*2</f>
        <v>42.764800000000001</v>
      </c>
      <c r="K160" s="75"/>
      <c r="L160" s="59">
        <f t="shared" si="17"/>
        <v>2165.0886399999999</v>
      </c>
      <c r="M160" s="70">
        <f t="shared" si="18"/>
        <v>2814.6152320000001</v>
      </c>
      <c r="N160" s="799"/>
      <c r="T160" s="2"/>
      <c r="U160"/>
    </row>
    <row r="161" spans="7:21">
      <c r="G161" s="68">
        <v>1</v>
      </c>
      <c r="H161" s="69">
        <v>0.4</v>
      </c>
      <c r="I161" s="59">
        <f>(((G161*2)+(H161*4)*MATERIALES!$C$31)+((H161*2)*MATERIALES!$C$32)+((G161*1)*MATERIALES!$C$32))*MATERIALES!$F$2</f>
        <v>1988.5319999999999</v>
      </c>
      <c r="J161" s="59">
        <f>((4*MATERIALES!$C$137)+(4*MATERIALES!$C$174))*2</f>
        <v>42.764800000000001</v>
      </c>
      <c r="K161" s="75"/>
      <c r="L161" s="59">
        <f t="shared" si="17"/>
        <v>2031.2967999999998</v>
      </c>
      <c r="M161" s="70">
        <f t="shared" si="18"/>
        <v>2640.6858400000001</v>
      </c>
      <c r="N161" s="799"/>
      <c r="T161" s="2"/>
      <c r="U161"/>
    </row>
    <row r="162" spans="7:21">
      <c r="G162" s="68">
        <v>1</v>
      </c>
      <c r="H162" s="69">
        <v>0.6</v>
      </c>
      <c r="I162" s="59">
        <f>(((G162*2)+(H162*4)*MATERIALES!$C$31)+((H162*2)*MATERIALES!$C$32)+((G162*1)*MATERIALES!$C$32))*MATERIALES!$F$2</f>
        <v>2209.9895999999999</v>
      </c>
      <c r="J162" s="59">
        <f>((4*MATERIALES!$C$137)+(4*MATERIALES!$C$174))*2</f>
        <v>42.764800000000001</v>
      </c>
      <c r="K162" s="75"/>
      <c r="L162" s="59">
        <f t="shared" si="17"/>
        <v>2252.7543999999998</v>
      </c>
      <c r="M162" s="70">
        <f t="shared" si="18"/>
        <v>2928.5807199999999</v>
      </c>
      <c r="N162" s="799"/>
      <c r="T162" s="2"/>
      <c r="U162"/>
    </row>
    <row r="163" spans="7:21">
      <c r="G163" s="68">
        <v>1</v>
      </c>
      <c r="H163" s="69">
        <v>0.8</v>
      </c>
      <c r="I163" s="59">
        <f>(((G163*2)+(H163*4)*MATERIALES!$C$31)+((H163*2)*MATERIALES!$C$32)+((G163*1)*MATERIALES!$C$32))*MATERIALES!$F$2</f>
        <v>2431.4472000000005</v>
      </c>
      <c r="J163" s="59">
        <f>((4*MATERIALES!$C$137)+(4*MATERIALES!$C$174))*2</f>
        <v>42.764800000000001</v>
      </c>
      <c r="K163" s="75"/>
      <c r="L163" s="59">
        <f t="shared" si="17"/>
        <v>2474.2120000000004</v>
      </c>
      <c r="M163" s="70">
        <f t="shared" si="18"/>
        <v>3216.4756000000007</v>
      </c>
      <c r="N163" s="799"/>
      <c r="T163" s="2"/>
      <c r="U163"/>
    </row>
    <row r="164" spans="7:21">
      <c r="G164" s="68">
        <v>1</v>
      </c>
      <c r="H164" s="69">
        <v>1</v>
      </c>
      <c r="I164" s="59">
        <f>(((G164*2)+(H164*4)*MATERIALES!$C$31)+((H164*2)*MATERIALES!$C$32)+((G164*1)*MATERIALES!$C$32))*MATERIALES!$F$2</f>
        <v>2652.9047999999998</v>
      </c>
      <c r="J164" s="59">
        <f>((4*MATERIALES!$C$137)+(4*MATERIALES!$C$174))*2</f>
        <v>42.764800000000001</v>
      </c>
      <c r="K164" s="75"/>
      <c r="L164" s="59">
        <f t="shared" si="17"/>
        <v>2695.6695999999997</v>
      </c>
      <c r="M164" s="70">
        <f t="shared" si="18"/>
        <v>3504.3704799999996</v>
      </c>
      <c r="N164" s="799"/>
      <c r="T164" s="2"/>
      <c r="U164"/>
    </row>
    <row r="165" spans="7:21">
      <c r="G165" s="68">
        <v>1</v>
      </c>
      <c r="H165" s="69">
        <v>1.1000000000000001</v>
      </c>
      <c r="I165" s="59">
        <f>(((G165*2)+(H165*4)*MATERIALES!$C$31)+((H165*2)*MATERIALES!$C$32)+((G165*1)*MATERIALES!$C$32))*MATERIALES!$F$2</f>
        <v>2763.6336000000001</v>
      </c>
      <c r="J165" s="59">
        <f>((4*MATERIALES!$C$137)+(4*MATERIALES!$C$174))*2</f>
        <v>42.764800000000001</v>
      </c>
      <c r="K165" s="75"/>
      <c r="L165" s="59">
        <f t="shared" si="17"/>
        <v>2806.3984</v>
      </c>
      <c r="M165" s="70">
        <f t="shared" si="18"/>
        <v>3648.31792</v>
      </c>
      <c r="N165" s="799"/>
      <c r="T165" s="2"/>
      <c r="U165"/>
    </row>
    <row r="166" spans="7:21">
      <c r="G166" s="68">
        <v>1</v>
      </c>
      <c r="H166" s="69">
        <v>1.2</v>
      </c>
      <c r="I166" s="59">
        <f>(((G166*2)+(H166*4)*MATERIALES!$C$31)+((H166*2)*MATERIALES!$C$32)+((G166*1)*MATERIALES!$C$32))*MATERIALES!$F$2</f>
        <v>2874.3624</v>
      </c>
      <c r="J166" s="59">
        <f>((4*MATERIALES!$C$137)+(4*MATERIALES!$C$174))*2</f>
        <v>42.764800000000001</v>
      </c>
      <c r="K166" s="75"/>
      <c r="L166" s="59">
        <f t="shared" si="17"/>
        <v>2917.1271999999999</v>
      </c>
      <c r="M166" s="70">
        <f t="shared" si="18"/>
        <v>3792.2653599999999</v>
      </c>
      <c r="N166" s="799"/>
      <c r="T166" s="2"/>
      <c r="U166"/>
    </row>
    <row r="167" spans="7:21">
      <c r="G167" s="68">
        <v>1</v>
      </c>
      <c r="H167" s="69">
        <v>1.5</v>
      </c>
      <c r="I167" s="59">
        <f>(((G167*2)+(H167*4)*MATERIALES!$C$31)+((H167*2)*MATERIALES!$C$32)+((G167*1)*MATERIALES!$C$32))*MATERIALES!$F$2</f>
        <v>3206.5488000000005</v>
      </c>
      <c r="J167" s="59">
        <f>((4*MATERIALES!$C$137)+(4*MATERIALES!$C$174))*2</f>
        <v>42.764800000000001</v>
      </c>
      <c r="K167" s="75"/>
      <c r="L167" s="59">
        <f t="shared" si="17"/>
        <v>3249.3136000000004</v>
      </c>
      <c r="M167" s="70">
        <f t="shared" si="18"/>
        <v>4224.107680000001</v>
      </c>
      <c r="N167" s="799"/>
      <c r="T167" s="2"/>
      <c r="U167"/>
    </row>
    <row r="168" spans="7:21">
      <c r="G168" s="68">
        <v>1.2</v>
      </c>
      <c r="H168" s="69">
        <v>0.4</v>
      </c>
      <c r="I168" s="59">
        <f>(((G168*2)+(H168*4)*MATERIALES!$C$31)+((H168*2)*MATERIALES!$C$32)+((G168*1)*MATERIALES!$C$32))*MATERIALES!$F$2</f>
        <v>2297.6553600000002</v>
      </c>
      <c r="J168" s="59">
        <f>((4*MATERIALES!$C$137)+(4*MATERIALES!$C$174))*2</f>
        <v>42.764800000000001</v>
      </c>
      <c r="K168" s="75"/>
      <c r="L168" s="59">
        <f t="shared" si="17"/>
        <v>2340.4201600000001</v>
      </c>
      <c r="M168" s="70">
        <f t="shared" si="18"/>
        <v>3042.5462080000002</v>
      </c>
      <c r="N168" s="799"/>
      <c r="T168" s="2"/>
      <c r="U168"/>
    </row>
    <row r="169" spans="7:21">
      <c r="G169" s="68">
        <v>1.2</v>
      </c>
      <c r="H169" s="69">
        <v>0.6</v>
      </c>
      <c r="I169" s="59">
        <f>(((G169*2)+(H169*4)*MATERIALES!$C$31)+((H169*2)*MATERIALES!$C$32)+((G169*1)*MATERIALES!$C$32))*MATERIALES!$F$2</f>
        <v>2519.1129600000004</v>
      </c>
      <c r="J169" s="59">
        <f>((4*MATERIALES!$C$137)+(4*MATERIALES!$C$174))*2</f>
        <v>42.764800000000001</v>
      </c>
      <c r="K169" s="75"/>
      <c r="L169" s="59">
        <f t="shared" si="17"/>
        <v>2561.8777600000003</v>
      </c>
      <c r="M169" s="70">
        <f t="shared" si="18"/>
        <v>3330.4410880000005</v>
      </c>
      <c r="N169" s="799"/>
      <c r="T169" s="2"/>
      <c r="U169"/>
    </row>
    <row r="170" spans="7:21">
      <c r="G170" s="68">
        <v>1.2</v>
      </c>
      <c r="H170" s="69">
        <v>0.8</v>
      </c>
      <c r="I170" s="59">
        <f>(((G170*2)+(H170*4)*MATERIALES!$C$31)+((H170*2)*MATERIALES!$C$32)+((G170*1)*MATERIALES!$C$32))*MATERIALES!$F$2</f>
        <v>2740.5705599999997</v>
      </c>
      <c r="J170" s="59">
        <f>((4*MATERIALES!$C$137)+(4*MATERIALES!$C$174))*2</f>
        <v>42.764800000000001</v>
      </c>
      <c r="K170" s="75"/>
      <c r="L170" s="59">
        <f t="shared" si="17"/>
        <v>2783.3353599999996</v>
      </c>
      <c r="M170" s="70">
        <f t="shared" si="18"/>
        <v>3618.3359679999994</v>
      </c>
      <c r="N170" s="799"/>
      <c r="T170" s="2"/>
      <c r="U170"/>
    </row>
    <row r="171" spans="7:21">
      <c r="G171" s="68">
        <v>1.2</v>
      </c>
      <c r="H171" s="69">
        <v>1</v>
      </c>
      <c r="I171" s="59">
        <f>(((G171*2)+(H171*4)*MATERIALES!$C$31)+((H171*2)*MATERIALES!$C$32)+((G171*1)*MATERIALES!$C$32))*MATERIALES!$F$2</f>
        <v>2962.0281599999998</v>
      </c>
      <c r="J171" s="59">
        <f>((4*MATERIALES!$C$137)+(4*MATERIALES!$C$174))*2</f>
        <v>42.764800000000001</v>
      </c>
      <c r="K171" s="75"/>
      <c r="L171" s="59">
        <f t="shared" si="17"/>
        <v>3004.7929599999998</v>
      </c>
      <c r="M171" s="70">
        <f t="shared" si="18"/>
        <v>3906.2308479999997</v>
      </c>
      <c r="N171" s="799"/>
      <c r="T171" s="2"/>
      <c r="U171"/>
    </row>
    <row r="172" spans="7:21">
      <c r="G172" s="68">
        <v>1.2</v>
      </c>
      <c r="H172" s="69">
        <v>1.2</v>
      </c>
      <c r="I172" s="59">
        <f>(((G172*2)+(H172*4)*MATERIALES!$C$31)+((H172*2)*MATERIALES!$C$32)+((G172*1)*MATERIALES!$C$32))*MATERIALES!$F$2</f>
        <v>3183.48576</v>
      </c>
      <c r="J172" s="59">
        <f>((4*MATERIALES!$C$137)+(4*MATERIALES!$C$174))*2</f>
        <v>42.764800000000001</v>
      </c>
      <c r="K172" s="75"/>
      <c r="L172" s="59">
        <f t="shared" si="17"/>
        <v>3226.25056</v>
      </c>
      <c r="M172" s="70">
        <f t="shared" si="18"/>
        <v>4194.125728</v>
      </c>
      <c r="N172" s="799"/>
      <c r="T172" s="2"/>
      <c r="U172"/>
    </row>
    <row r="173" spans="7:21">
      <c r="G173" s="68">
        <v>1.2</v>
      </c>
      <c r="H173" s="69">
        <v>1.5</v>
      </c>
      <c r="I173" s="59">
        <f>(((G173*2)+(H173*4)*MATERIALES!$C$31)+((H173*2)*MATERIALES!$C$32)+((G173*1)*MATERIALES!$C$32))*MATERIALES!$F$2</f>
        <v>3515.6721599999996</v>
      </c>
      <c r="J173" s="59">
        <f>((4*MATERIALES!$C$137)+(4*MATERIALES!$C$174))*2</f>
        <v>42.764800000000001</v>
      </c>
      <c r="K173" s="75"/>
      <c r="L173" s="59">
        <f t="shared" si="17"/>
        <v>3558.4369599999995</v>
      </c>
      <c r="M173" s="70">
        <f t="shared" si="18"/>
        <v>4625.9680479999997</v>
      </c>
      <c r="N173" s="799"/>
      <c r="T173" s="2"/>
      <c r="U173"/>
    </row>
    <row r="174" spans="7:21">
      <c r="G174" s="68">
        <v>1.5</v>
      </c>
      <c r="H174" s="69">
        <v>0.4</v>
      </c>
      <c r="I174" s="59">
        <f>(((G174*2)+(H174*4)*MATERIALES!$C$31)+((H174*2)*MATERIALES!$C$32)+((G174*1)*MATERIALES!$C$32))*MATERIALES!$F$2</f>
        <v>2761.3403999999996</v>
      </c>
      <c r="J174" s="59">
        <f>((4*MATERIALES!$C$137)+(4*MATERIALES!$C$174))*2</f>
        <v>42.764800000000001</v>
      </c>
      <c r="K174" s="75"/>
      <c r="L174" s="59">
        <f t="shared" si="17"/>
        <v>2804.1051999999995</v>
      </c>
      <c r="M174" s="70">
        <f t="shared" si="18"/>
        <v>3645.3367599999997</v>
      </c>
      <c r="N174" s="799"/>
      <c r="T174" s="2"/>
      <c r="U174"/>
    </row>
    <row r="175" spans="7:21">
      <c r="G175" s="68">
        <v>1.5</v>
      </c>
      <c r="H175" s="69">
        <v>0.6</v>
      </c>
      <c r="I175" s="59">
        <f>(((G175*2)+(H175*4)*MATERIALES!$C$31)+((H175*2)*MATERIALES!$C$32)+((G175*1)*MATERIALES!$C$32))*MATERIALES!$F$2</f>
        <v>2982.7979999999998</v>
      </c>
      <c r="J175" s="59">
        <f>((4*MATERIALES!$C$137)+(4*MATERIALES!$C$174))*2</f>
        <v>42.764800000000001</v>
      </c>
      <c r="K175" s="75"/>
      <c r="L175" s="59">
        <f t="shared" si="17"/>
        <v>3025.5627999999997</v>
      </c>
      <c r="M175" s="70">
        <f t="shared" si="18"/>
        <v>3933.2316399999995</v>
      </c>
      <c r="N175" s="799"/>
      <c r="T175" s="2"/>
      <c r="U175"/>
    </row>
    <row r="176" spans="7:21">
      <c r="G176" s="68">
        <v>1.5</v>
      </c>
      <c r="H176" s="69">
        <v>0.8</v>
      </c>
      <c r="I176" s="59">
        <f>(((G176*2)+(H176*4)*MATERIALES!$C$31)+((H176*2)*MATERIALES!$C$32)+((G176*1)*MATERIALES!$C$32))*MATERIALES!$F$2</f>
        <v>3204.2556000000004</v>
      </c>
      <c r="J176" s="59">
        <f>((4*MATERIALES!$C$137)+(4*MATERIALES!$C$174))*2</f>
        <v>42.764800000000001</v>
      </c>
      <c r="K176" s="75"/>
      <c r="L176" s="59">
        <f t="shared" si="17"/>
        <v>3247.0204000000003</v>
      </c>
      <c r="M176" s="70">
        <f t="shared" si="18"/>
        <v>4221.1265200000007</v>
      </c>
      <c r="N176" s="799"/>
      <c r="T176" s="2"/>
      <c r="U176"/>
    </row>
    <row r="177" spans="7:21">
      <c r="G177" s="68">
        <v>1.5</v>
      </c>
      <c r="H177" s="69">
        <v>1</v>
      </c>
      <c r="I177" s="59">
        <f>(((G177*2)+(H177*4)*MATERIALES!$C$31)+((H177*2)*MATERIALES!$C$32)+((G177*1)*MATERIALES!$C$32))*MATERIALES!$F$2</f>
        <v>3425.7131999999997</v>
      </c>
      <c r="J177" s="59">
        <f>((4*MATERIALES!$C$137)+(4*MATERIALES!$C$174))*2</f>
        <v>42.764800000000001</v>
      </c>
      <c r="K177" s="75"/>
      <c r="L177" s="59">
        <f t="shared" si="17"/>
        <v>3468.4779999999996</v>
      </c>
      <c r="M177" s="70">
        <f t="shared" si="18"/>
        <v>4509.0213999999996</v>
      </c>
      <c r="N177" s="799"/>
      <c r="T177" s="2"/>
      <c r="U177"/>
    </row>
    <row r="178" spans="7:21">
      <c r="G178" s="68">
        <v>1.5</v>
      </c>
      <c r="H178" s="69">
        <v>1.2</v>
      </c>
      <c r="I178" s="59">
        <f>(((G178*2)+(H178*4)*MATERIALES!$C$31)+((H178*2)*MATERIALES!$C$32)+((G178*1)*MATERIALES!$C$32))*MATERIALES!$F$2</f>
        <v>3647.1707999999999</v>
      </c>
      <c r="J178" s="59">
        <f>((4*MATERIALES!$C$137)+(4*MATERIALES!$C$174))*2</f>
        <v>42.764800000000001</v>
      </c>
      <c r="K178" s="75"/>
      <c r="L178" s="59">
        <f t="shared" si="17"/>
        <v>3689.9355999999998</v>
      </c>
      <c r="M178" s="70">
        <f t="shared" si="18"/>
        <v>4796.9162799999995</v>
      </c>
      <c r="N178" s="799"/>
      <c r="T178" s="2"/>
      <c r="U178"/>
    </row>
    <row r="179" spans="7:21">
      <c r="G179" s="68">
        <v>1.5</v>
      </c>
      <c r="H179" s="69">
        <v>1.5</v>
      </c>
      <c r="I179" s="59">
        <f>(((G179*2)+(H179*4)*MATERIALES!$C$31)+((H179*2)*MATERIALES!$C$32)+((G179*1)*MATERIALES!$C$32))*MATERIALES!$F$2</f>
        <v>3979.3572000000004</v>
      </c>
      <c r="J179" s="59">
        <f>((4*MATERIALES!$C$137)+(4*MATERIALES!$C$174))*2</f>
        <v>42.764800000000001</v>
      </c>
      <c r="K179" s="75"/>
      <c r="L179" s="59">
        <f t="shared" si="17"/>
        <v>4022.1220000000003</v>
      </c>
      <c r="M179" s="70">
        <f t="shared" si="18"/>
        <v>5228.7586000000001</v>
      </c>
      <c r="N179" s="799"/>
      <c r="T179" s="2"/>
      <c r="U179"/>
    </row>
    <row r="180" spans="7:21">
      <c r="G180" s="68">
        <v>1.5</v>
      </c>
      <c r="H180" s="69">
        <v>1.8</v>
      </c>
      <c r="I180" s="59">
        <f>(((G180*2)+(H180*4)*MATERIALES!$C$31)+((H180*2)*MATERIALES!$C$32)+((G180*1)*MATERIALES!$C$32))*MATERIALES!$F$2</f>
        <v>4311.5436</v>
      </c>
      <c r="J180" s="59">
        <f>((4*MATERIALES!$C$137)+(4*MATERIALES!$C$174))*2</f>
        <v>42.764800000000001</v>
      </c>
      <c r="K180" s="75"/>
      <c r="L180" s="59">
        <f t="shared" si="17"/>
        <v>4354.3083999999999</v>
      </c>
      <c r="M180" s="70">
        <f t="shared" si="18"/>
        <v>5660.6009199999999</v>
      </c>
      <c r="N180" s="799"/>
      <c r="T180" s="2"/>
      <c r="U180"/>
    </row>
    <row r="181" spans="7:21">
      <c r="G181" s="68">
        <v>1.8</v>
      </c>
      <c r="H181" s="69">
        <v>0.4</v>
      </c>
      <c r="I181" s="59">
        <f>(((G181*2)+(H181*4)*MATERIALES!$C$31)+((H181*2)*MATERIALES!$C$32)+((G181*1)*MATERIALES!$C$32))*MATERIALES!$F$2</f>
        <v>3225.0254400000008</v>
      </c>
      <c r="J181" s="59">
        <f>((4*MATERIALES!$C$137)+(4*MATERIALES!$C$174))*2</f>
        <v>42.764800000000001</v>
      </c>
      <c r="K181" s="75"/>
      <c r="L181" s="59">
        <f t="shared" si="17"/>
        <v>3267.7902400000007</v>
      </c>
      <c r="M181" s="70">
        <f t="shared" si="18"/>
        <v>4248.1273120000014</v>
      </c>
      <c r="N181" s="799"/>
      <c r="T181" s="2"/>
      <c r="U181"/>
    </row>
    <row r="182" spans="7:21">
      <c r="G182" s="68">
        <v>1.8</v>
      </c>
      <c r="H182" s="69">
        <v>0.6</v>
      </c>
      <c r="I182" s="59">
        <f>(((G182*2)+(H182*4)*MATERIALES!$C$31)+((H182*2)*MATERIALES!$C$32)+((G182*1)*MATERIALES!$C$32))*MATERIALES!$F$2</f>
        <v>3446.4830400000005</v>
      </c>
      <c r="J182" s="59">
        <f>((4*MATERIALES!$C$137)+(4*MATERIALES!$C$174))*2</f>
        <v>42.764800000000001</v>
      </c>
      <c r="K182" s="75"/>
      <c r="L182" s="59">
        <f t="shared" si="17"/>
        <v>3489.2478400000005</v>
      </c>
      <c r="M182" s="70">
        <f t="shared" si="18"/>
        <v>4536.0221920000004</v>
      </c>
      <c r="N182" s="799"/>
      <c r="T182" s="2"/>
      <c r="U182"/>
    </row>
    <row r="183" spans="7:21">
      <c r="G183" s="68">
        <v>1.8</v>
      </c>
      <c r="H183" s="69">
        <v>0.8</v>
      </c>
      <c r="I183" s="59">
        <f>(((G183*2)+(H183*4)*MATERIALES!$C$31)+((H183*2)*MATERIALES!$C$32)+((G183*1)*MATERIALES!$C$32))*MATERIALES!$F$2</f>
        <v>3667.9406400000003</v>
      </c>
      <c r="J183" s="59">
        <f>((4*MATERIALES!$C$137)+(4*MATERIALES!$C$174))*2</f>
        <v>42.764800000000001</v>
      </c>
      <c r="K183" s="75"/>
      <c r="L183" s="59">
        <f t="shared" si="17"/>
        <v>3710.7054400000002</v>
      </c>
      <c r="M183" s="70">
        <f t="shared" si="18"/>
        <v>4823.9170720000002</v>
      </c>
      <c r="N183" s="799"/>
      <c r="T183" s="2"/>
      <c r="U183"/>
    </row>
    <row r="184" spans="7:21">
      <c r="G184" s="68">
        <v>1.8</v>
      </c>
      <c r="H184" s="69">
        <v>1</v>
      </c>
      <c r="I184" s="59">
        <f>(((G184*2)+(H184*4)*MATERIALES!$C$31)+((H184*2)*MATERIALES!$C$32)+((G184*1)*MATERIALES!$C$32))*MATERIALES!$F$2</f>
        <v>3889.3982400000004</v>
      </c>
      <c r="J184" s="59">
        <f>((4*MATERIALES!$C$137)+(4*MATERIALES!$C$174))*2</f>
        <v>42.764800000000001</v>
      </c>
      <c r="K184" s="75"/>
      <c r="L184" s="59">
        <f t="shared" si="17"/>
        <v>3932.1630400000004</v>
      </c>
      <c r="M184" s="70">
        <f t="shared" si="18"/>
        <v>5111.8119520000009</v>
      </c>
      <c r="N184" s="799"/>
      <c r="T184" s="2"/>
      <c r="U184"/>
    </row>
    <row r="185" spans="7:21">
      <c r="G185" s="68">
        <v>1.8</v>
      </c>
      <c r="H185" s="69">
        <v>1.2</v>
      </c>
      <c r="I185" s="59">
        <f>(((G185*2)+(H185*4)*MATERIALES!$C$31)+((H185*2)*MATERIALES!$C$32)+((G185*1)*MATERIALES!$C$32))*MATERIALES!$F$2</f>
        <v>4110.8558400000002</v>
      </c>
      <c r="J185" s="59">
        <f>((4*MATERIALES!$C$137)+(4*MATERIALES!$C$174))*2</f>
        <v>42.764800000000001</v>
      </c>
      <c r="K185" s="75"/>
      <c r="L185" s="59">
        <f t="shared" si="17"/>
        <v>4153.6206400000001</v>
      </c>
      <c r="M185" s="70">
        <f t="shared" si="18"/>
        <v>5399.7068320000008</v>
      </c>
      <c r="N185" s="799"/>
      <c r="T185" s="2"/>
      <c r="U185"/>
    </row>
    <row r="186" spans="7:21">
      <c r="G186" s="68">
        <v>1.8</v>
      </c>
      <c r="H186" s="69">
        <v>1.5</v>
      </c>
      <c r="I186" s="59">
        <f>(((G186*2)+(H186*4)*MATERIALES!$C$31)+((H186*2)*MATERIALES!$C$32)+((G186*1)*MATERIALES!$C$32))*MATERIALES!$F$2</f>
        <v>4443.0422400000007</v>
      </c>
      <c r="J186" s="59">
        <f>((4*MATERIALES!$C$137)+(4*MATERIALES!$C$174))*2</f>
        <v>42.764800000000001</v>
      </c>
      <c r="K186" s="75"/>
      <c r="L186" s="59">
        <f t="shared" si="17"/>
        <v>4485.8070400000006</v>
      </c>
      <c r="M186" s="70">
        <f t="shared" si="18"/>
        <v>5831.5491520000014</v>
      </c>
      <c r="N186" s="799"/>
      <c r="T186" s="2"/>
      <c r="U186"/>
    </row>
    <row r="187" spans="7:21">
      <c r="G187" s="68">
        <v>1.8</v>
      </c>
      <c r="H187" s="69">
        <v>1.8</v>
      </c>
      <c r="I187" s="59">
        <f>(((G187*2)+(H187*4)*MATERIALES!$C$31)+((H187*2)*MATERIALES!$C$32)+((G187*1)*MATERIALES!$C$32))*MATERIALES!$F$2</f>
        <v>4775.2286400000012</v>
      </c>
      <c r="J187" s="59">
        <f>((4*MATERIALES!$C$137)+(4*MATERIALES!$C$174))*2</f>
        <v>42.764800000000001</v>
      </c>
      <c r="K187" s="75"/>
      <c r="L187" s="59">
        <f t="shared" si="17"/>
        <v>4817.9934400000011</v>
      </c>
      <c r="M187" s="70">
        <f t="shared" si="18"/>
        <v>6263.3914720000021</v>
      </c>
      <c r="N187" s="799"/>
      <c r="T187" s="2"/>
      <c r="U187"/>
    </row>
    <row r="188" spans="7:21">
      <c r="G188" s="68">
        <v>2</v>
      </c>
      <c r="H188" s="69">
        <v>0.4</v>
      </c>
      <c r="I188" s="59">
        <f>(((G188*2)+(H188*4)*MATERIALES!$C$31)+((H188*2)*MATERIALES!$C$32)+((G188*1)*MATERIALES!$C$32))*MATERIALES!$F$2</f>
        <v>3534.1488000000004</v>
      </c>
      <c r="J188" s="59">
        <f>((4*MATERIALES!$C$137)+(4*MATERIALES!$C$174))*2</f>
        <v>42.764800000000001</v>
      </c>
      <c r="K188" s="75"/>
      <c r="L188" s="59">
        <f t="shared" si="17"/>
        <v>3576.9136000000003</v>
      </c>
      <c r="M188" s="70">
        <f t="shared" si="18"/>
        <v>4649.9876800000002</v>
      </c>
      <c r="N188" s="799"/>
      <c r="T188" s="2"/>
      <c r="U188"/>
    </row>
    <row r="189" spans="7:21">
      <c r="G189" s="68">
        <v>2</v>
      </c>
      <c r="H189" s="69">
        <v>0.6</v>
      </c>
      <c r="I189" s="59">
        <f>(((G189*2)+(H189*4)*MATERIALES!$C$31)+((H189*2)*MATERIALES!$C$32)+((G189*1)*MATERIALES!$C$32))*MATERIALES!$F$2</f>
        <v>3755.6063999999997</v>
      </c>
      <c r="J189" s="59">
        <f>((4*MATERIALES!$C$137)+(4*MATERIALES!$C$174))*2</f>
        <v>42.764800000000001</v>
      </c>
      <c r="K189" s="75"/>
      <c r="L189" s="59">
        <f t="shared" si="17"/>
        <v>3798.3711999999996</v>
      </c>
      <c r="M189" s="70">
        <f t="shared" si="18"/>
        <v>4937.88256</v>
      </c>
      <c r="N189" s="799"/>
      <c r="T189" s="2"/>
      <c r="U189"/>
    </row>
    <row r="190" spans="7:21">
      <c r="G190" s="68">
        <v>2</v>
      </c>
      <c r="H190" s="69">
        <v>0.8</v>
      </c>
      <c r="I190" s="59">
        <f>(((G190*2)+(H190*4)*MATERIALES!$C$31)+((H190*2)*MATERIALES!$C$32)+((G190*1)*MATERIALES!$C$32))*MATERIALES!$F$2</f>
        <v>3977.0639999999999</v>
      </c>
      <c r="J190" s="59">
        <f>((4*MATERIALES!$C$137)+(4*MATERIALES!$C$174))*2</f>
        <v>42.764800000000001</v>
      </c>
      <c r="K190" s="75"/>
      <c r="L190" s="59">
        <f t="shared" si="17"/>
        <v>4019.8287999999998</v>
      </c>
      <c r="M190" s="70">
        <f t="shared" si="18"/>
        <v>5225.7774399999998</v>
      </c>
      <c r="N190" s="799"/>
      <c r="T190" s="2"/>
      <c r="U190"/>
    </row>
    <row r="191" spans="7:21">
      <c r="G191" s="68">
        <v>2</v>
      </c>
      <c r="H191" s="69">
        <v>1</v>
      </c>
      <c r="I191" s="59">
        <f>(((G191*2)+(H191*4)*MATERIALES!$C$31)+((H191*2)*MATERIALES!$C$32)+((G191*1)*MATERIALES!$C$32))*MATERIALES!$F$2</f>
        <v>4198.5216</v>
      </c>
      <c r="J191" s="59">
        <f>((4*MATERIALES!$C$137)+(4*MATERIALES!$C$174))*2</f>
        <v>42.764800000000001</v>
      </c>
      <c r="K191" s="75"/>
      <c r="L191" s="59">
        <f t="shared" si="17"/>
        <v>4241.2864</v>
      </c>
      <c r="M191" s="70">
        <f t="shared" si="18"/>
        <v>5513.6723200000006</v>
      </c>
      <c r="N191" s="799"/>
      <c r="T191" s="2"/>
      <c r="U191"/>
    </row>
    <row r="192" spans="7:21">
      <c r="G192" s="68">
        <v>2</v>
      </c>
      <c r="H192" s="69">
        <v>1.2</v>
      </c>
      <c r="I192" s="59">
        <f>(((G192*2)+(H192*4)*MATERIALES!$C$31)+((H192*2)*MATERIALES!$C$32)+((G192*1)*MATERIALES!$C$32))*MATERIALES!$F$2</f>
        <v>4419.9791999999998</v>
      </c>
      <c r="J192" s="59">
        <f>((4*MATERIALES!$C$137)+(4*MATERIALES!$C$174))*2</f>
        <v>42.764800000000001</v>
      </c>
      <c r="K192" s="75"/>
      <c r="L192" s="59">
        <f t="shared" si="17"/>
        <v>4462.7439999999997</v>
      </c>
      <c r="M192" s="70">
        <f t="shared" si="18"/>
        <v>5801.5671999999995</v>
      </c>
      <c r="N192" s="799"/>
      <c r="T192" s="2"/>
      <c r="U192"/>
    </row>
    <row r="193" spans="7:21">
      <c r="G193" s="68">
        <v>2</v>
      </c>
      <c r="H193" s="69">
        <v>1.5</v>
      </c>
      <c r="I193" s="59">
        <f>(((G193*2)+(H193*4)*MATERIALES!$C$31)+((H193*2)*MATERIALES!$C$32)+((G193*1)*MATERIALES!$C$32))*MATERIALES!$F$2</f>
        <v>4752.1656000000003</v>
      </c>
      <c r="J193" s="59">
        <f>((4*MATERIALES!$C$137)+(4*MATERIALES!$C$174))*2</f>
        <v>42.764800000000001</v>
      </c>
      <c r="K193" s="75"/>
      <c r="L193" s="59">
        <f t="shared" si="17"/>
        <v>4794.9304000000002</v>
      </c>
      <c r="M193" s="70">
        <f t="shared" si="18"/>
        <v>6233.4095200000002</v>
      </c>
      <c r="N193" s="799"/>
      <c r="T193" s="2"/>
      <c r="U193"/>
    </row>
    <row r="194" spans="7:21">
      <c r="G194" s="68">
        <v>2</v>
      </c>
      <c r="H194" s="69">
        <v>1.8</v>
      </c>
      <c r="I194" s="59">
        <f>(((G194*2)+(H194*4)*MATERIALES!$C$31)+((H194*2)*MATERIALES!$C$32)+((G194*1)*MATERIALES!$C$32))*MATERIALES!$F$2</f>
        <v>5084.3519999999999</v>
      </c>
      <c r="J194" s="59">
        <f>((4*MATERIALES!$C$137)+(4*MATERIALES!$C$174))*2</f>
        <v>42.764800000000001</v>
      </c>
      <c r="K194" s="75"/>
      <c r="L194" s="59">
        <f t="shared" si="17"/>
        <v>5127.1167999999998</v>
      </c>
      <c r="M194" s="70">
        <f t="shared" si="18"/>
        <v>6665.2518399999999</v>
      </c>
      <c r="N194" s="799"/>
      <c r="T194" s="2"/>
      <c r="U194"/>
    </row>
    <row r="195" spans="7:21">
      <c r="G195" s="68">
        <v>2.2000000000000002</v>
      </c>
      <c r="H195" s="69">
        <v>0.4</v>
      </c>
      <c r="I195" s="59">
        <f>(((G195*2)+(H195*4)*MATERIALES!$C$31)+((H195*2)*MATERIALES!$C$32)+((G195*1)*MATERIALES!$C$32))*MATERIALES!$F$2</f>
        <v>3843.2721600000004</v>
      </c>
      <c r="J195" s="59">
        <f>((4*MATERIALES!$C$137)+(4*MATERIALES!$C$174))*2</f>
        <v>42.764800000000001</v>
      </c>
      <c r="K195" s="75"/>
      <c r="L195" s="59">
        <f t="shared" si="17"/>
        <v>3886.0369600000004</v>
      </c>
      <c r="M195" s="70">
        <f t="shared" si="18"/>
        <v>5051.8480480000007</v>
      </c>
      <c r="N195" s="799"/>
      <c r="T195" s="2"/>
      <c r="U195"/>
    </row>
    <row r="196" spans="7:21">
      <c r="G196" s="68">
        <v>2.2000000000000002</v>
      </c>
      <c r="H196" s="69">
        <v>0.6</v>
      </c>
      <c r="I196" s="59">
        <f>(((G196*2)+(H196*4)*MATERIALES!$C$31)+((H196*2)*MATERIALES!$C$32)+((G196*1)*MATERIALES!$C$32))*MATERIALES!$F$2</f>
        <v>4064.7297599999997</v>
      </c>
      <c r="J196" s="59">
        <f>((4*MATERIALES!$C$137)+(4*MATERIALES!$C$174))*2</f>
        <v>42.764800000000001</v>
      </c>
      <c r="K196" s="75"/>
      <c r="L196" s="59">
        <f t="shared" si="17"/>
        <v>4107.4945600000001</v>
      </c>
      <c r="M196" s="70">
        <f t="shared" si="18"/>
        <v>5339.7429280000006</v>
      </c>
      <c r="N196" s="799"/>
      <c r="T196" s="2"/>
      <c r="U196"/>
    </row>
    <row r="197" spans="7:21">
      <c r="G197" s="68">
        <v>2.2000000000000002</v>
      </c>
      <c r="H197" s="69">
        <v>0.8</v>
      </c>
      <c r="I197" s="59">
        <f>(((G197*2)+(H197*4)*MATERIALES!$C$31)+((H197*2)*MATERIALES!$C$32)+((G197*1)*MATERIALES!$C$32))*MATERIALES!$F$2</f>
        <v>4286.1873600000008</v>
      </c>
      <c r="J197" s="59">
        <f>((4*MATERIALES!$C$137)+(4*MATERIALES!$C$174))*2</f>
        <v>42.764800000000001</v>
      </c>
      <c r="K197" s="75"/>
      <c r="L197" s="59">
        <f t="shared" si="17"/>
        <v>4328.9521600000007</v>
      </c>
      <c r="M197" s="70">
        <f t="shared" si="18"/>
        <v>5627.6378080000013</v>
      </c>
      <c r="N197" s="799"/>
      <c r="T197" s="2"/>
      <c r="U197"/>
    </row>
    <row r="198" spans="7:21">
      <c r="G198" s="68">
        <v>2.2000000000000002</v>
      </c>
      <c r="H198" s="69">
        <v>1</v>
      </c>
      <c r="I198" s="59">
        <f>(((G198*2)+(H198*4)*MATERIALES!$C$31)+((H198*2)*MATERIALES!$C$32)+((G198*1)*MATERIALES!$C$32))*MATERIALES!$F$2</f>
        <v>4507.6449599999996</v>
      </c>
      <c r="J198" s="59">
        <f>((4*MATERIALES!$C$137)+(4*MATERIALES!$C$174))*2</f>
        <v>42.764800000000001</v>
      </c>
      <c r="K198" s="75"/>
      <c r="L198" s="59">
        <f t="shared" si="17"/>
        <v>4550.4097599999996</v>
      </c>
      <c r="M198" s="70">
        <f t="shared" si="18"/>
        <v>5915.5326879999993</v>
      </c>
      <c r="N198" s="799"/>
      <c r="T198" s="2"/>
      <c r="U198"/>
    </row>
    <row r="199" spans="7:21">
      <c r="G199" s="68">
        <v>2.2000000000000002</v>
      </c>
      <c r="H199" s="69">
        <v>1.2</v>
      </c>
      <c r="I199" s="59">
        <f>(((G199*2)+(H199*4)*MATERIALES!$C$31)+((H199*2)*MATERIALES!$C$32)+((G199*1)*MATERIALES!$C$32))*MATERIALES!$F$2</f>
        <v>4729.1025600000003</v>
      </c>
      <c r="J199" s="59">
        <f>((4*MATERIALES!$C$137)+(4*MATERIALES!$C$174))*2</f>
        <v>42.764800000000001</v>
      </c>
      <c r="K199" s="75"/>
      <c r="L199" s="59">
        <f t="shared" si="17"/>
        <v>4771.8673600000002</v>
      </c>
      <c r="M199" s="70">
        <f t="shared" si="18"/>
        <v>6203.4275680000001</v>
      </c>
      <c r="N199" s="799"/>
      <c r="T199" s="2"/>
      <c r="U199"/>
    </row>
    <row r="200" spans="7:21">
      <c r="G200" s="68">
        <v>2.2000000000000002</v>
      </c>
      <c r="H200" s="69">
        <v>1.5</v>
      </c>
      <c r="I200" s="59">
        <f>(((G200*2)+(H200*4)*MATERIALES!$C$31)+((H200*2)*MATERIALES!$C$32)+((G200*1)*MATERIALES!$C$32))*MATERIALES!$F$2</f>
        <v>5061.2889600000008</v>
      </c>
      <c r="J200" s="59">
        <f>((4*MATERIALES!$C$137)+(4*MATERIALES!$C$174))*2</f>
        <v>42.764800000000001</v>
      </c>
      <c r="K200" s="75"/>
      <c r="L200" s="59">
        <f t="shared" si="17"/>
        <v>5104.0537600000007</v>
      </c>
      <c r="M200" s="70">
        <f t="shared" si="18"/>
        <v>6635.2698880000007</v>
      </c>
      <c r="N200" s="799"/>
      <c r="T200" s="2"/>
      <c r="U200"/>
    </row>
    <row r="201" spans="7:21">
      <c r="G201" s="68">
        <v>2.2000000000000002</v>
      </c>
      <c r="H201" s="69">
        <v>1.8</v>
      </c>
      <c r="I201" s="59">
        <f>(((G201*2)+(H201*4)*MATERIALES!$C$31)+((H201*2)*MATERIALES!$C$32)+((G201*1)*MATERIALES!$C$32))*MATERIALES!$F$2</f>
        <v>5393.4753600000004</v>
      </c>
      <c r="J201" s="59">
        <f>((4*MATERIALES!$C$137)+(4*MATERIALES!$C$174))*2</f>
        <v>42.764800000000001</v>
      </c>
      <c r="K201" s="75"/>
      <c r="L201" s="59">
        <f t="shared" si="17"/>
        <v>5436.2401600000003</v>
      </c>
      <c r="M201" s="70">
        <f t="shared" si="18"/>
        <v>7067.1122080000005</v>
      </c>
      <c r="N201" s="799"/>
      <c r="T201" s="2"/>
      <c r="U201"/>
    </row>
    <row r="202" spans="7:21">
      <c r="G202" s="68">
        <v>2.4</v>
      </c>
      <c r="H202" s="69">
        <v>0.4</v>
      </c>
      <c r="I202" s="59">
        <f>(((G202*2)+(H202*4)*MATERIALES!$C$31)+((H202*2)*MATERIALES!$C$32)+((G202*1)*MATERIALES!$C$32))*MATERIALES!$F$2</f>
        <v>4152.39552</v>
      </c>
      <c r="J202" s="59">
        <f>((4*MATERIALES!$C$137)+(4*MATERIALES!$C$174))*2</f>
        <v>42.764800000000001</v>
      </c>
      <c r="K202" s="75"/>
      <c r="L202" s="59">
        <f t="shared" si="17"/>
        <v>4195.16032</v>
      </c>
      <c r="M202" s="70">
        <f t="shared" si="18"/>
        <v>5453.7084160000004</v>
      </c>
      <c r="N202" s="799"/>
      <c r="T202" s="2"/>
      <c r="U202"/>
    </row>
    <row r="203" spans="7:21">
      <c r="G203" s="68">
        <v>2.4</v>
      </c>
      <c r="H203" s="69">
        <v>0.6</v>
      </c>
      <c r="I203" s="59">
        <f>(((G203*2)+(H203*4)*MATERIALES!$C$31)+((H203*2)*MATERIALES!$C$32)+((G203*1)*MATERIALES!$C$32))*MATERIALES!$F$2</f>
        <v>4373.8531199999998</v>
      </c>
      <c r="J203" s="59">
        <f>((4*MATERIALES!$C$137)+(4*MATERIALES!$C$174))*2</f>
        <v>42.764800000000001</v>
      </c>
      <c r="K203" s="75"/>
      <c r="L203" s="59">
        <f t="shared" si="17"/>
        <v>4416.6179199999997</v>
      </c>
      <c r="M203" s="70">
        <f t="shared" si="18"/>
        <v>5741.6032960000002</v>
      </c>
      <c r="N203" s="799"/>
      <c r="T203" s="2"/>
      <c r="U203"/>
    </row>
    <row r="204" spans="7:21">
      <c r="G204" s="68">
        <v>2.4</v>
      </c>
      <c r="H204" s="69">
        <v>0.8</v>
      </c>
      <c r="I204" s="59">
        <f>(((G204*2)+(H204*4)*MATERIALES!$C$31)+((H204*2)*MATERIALES!$C$32)+((G204*1)*MATERIALES!$C$32))*MATERIALES!$F$2</f>
        <v>4595.3107200000004</v>
      </c>
      <c r="J204" s="59">
        <f>((4*MATERIALES!$C$137)+(4*MATERIALES!$C$174))*2</f>
        <v>42.764800000000001</v>
      </c>
      <c r="K204" s="75"/>
      <c r="L204" s="59">
        <f t="shared" si="17"/>
        <v>4638.0755200000003</v>
      </c>
      <c r="M204" s="70">
        <f t="shared" si="18"/>
        <v>6029.498176000001</v>
      </c>
      <c r="N204" s="799"/>
      <c r="T204" s="2"/>
      <c r="U204"/>
    </row>
    <row r="205" spans="7:21">
      <c r="G205" s="68">
        <v>2.4</v>
      </c>
      <c r="H205" s="69">
        <v>1</v>
      </c>
      <c r="I205" s="59">
        <f>(((G205*2)+(H205*4)*MATERIALES!$C$31)+((H205*2)*MATERIALES!$C$32)+((G205*1)*MATERIALES!$C$32))*MATERIALES!$F$2</f>
        <v>4816.7683200000001</v>
      </c>
      <c r="J205" s="59">
        <f>((4*MATERIALES!$C$137)+(4*MATERIALES!$C$174))*2</f>
        <v>42.764800000000001</v>
      </c>
      <c r="K205" s="75"/>
      <c r="L205" s="59">
        <f t="shared" si="17"/>
        <v>4859.5331200000001</v>
      </c>
      <c r="M205" s="70">
        <f t="shared" si="18"/>
        <v>6317.3930559999999</v>
      </c>
      <c r="N205" s="799"/>
      <c r="T205" s="2"/>
      <c r="U205"/>
    </row>
    <row r="206" spans="7:21">
      <c r="G206" s="68">
        <v>2.4</v>
      </c>
      <c r="H206" s="69">
        <v>1.2</v>
      </c>
      <c r="I206" s="59">
        <f>(((G206*2)+(H206*4)*MATERIALES!$C$31)+((H206*2)*MATERIALES!$C$32)+((G206*1)*MATERIALES!$C$32))*MATERIALES!$F$2</f>
        <v>5038.2259200000008</v>
      </c>
      <c r="J206" s="59">
        <f>((4*MATERIALES!$C$137)+(4*MATERIALES!$C$174))*2</f>
        <v>42.764800000000001</v>
      </c>
      <c r="K206" s="75"/>
      <c r="L206" s="59">
        <f t="shared" si="17"/>
        <v>5080.9907200000007</v>
      </c>
      <c r="M206" s="70">
        <f t="shared" si="18"/>
        <v>6605.2879360000015</v>
      </c>
      <c r="N206" s="799"/>
      <c r="T206" s="2"/>
      <c r="U206"/>
    </row>
    <row r="207" spans="7:21">
      <c r="G207" s="68">
        <v>2.4</v>
      </c>
      <c r="H207" s="69">
        <v>1.5</v>
      </c>
      <c r="I207" s="59">
        <f>(((G207*2)+(H207*4)*MATERIALES!$C$31)+((H207*2)*MATERIALES!$C$32)+((G207*1)*MATERIALES!$C$32))*MATERIALES!$F$2</f>
        <v>5370.4123200000004</v>
      </c>
      <c r="J207" s="59">
        <f>((4*MATERIALES!$C$137)+(4*MATERIALES!$C$174))*2</f>
        <v>42.764800000000001</v>
      </c>
      <c r="K207" s="75"/>
      <c r="L207" s="59">
        <f t="shared" si="17"/>
        <v>5413.1771200000003</v>
      </c>
      <c r="M207" s="70">
        <f t="shared" si="18"/>
        <v>7037.1302560000004</v>
      </c>
      <c r="N207" s="799"/>
      <c r="T207" s="2"/>
      <c r="U207"/>
    </row>
    <row r="208" spans="7:21" ht="15.75" thickBot="1">
      <c r="G208" s="71">
        <v>2.4</v>
      </c>
      <c r="H208" s="72">
        <v>1.8</v>
      </c>
      <c r="I208" s="60">
        <f>(((G208*2)+(H208*4)*MATERIALES!$C$31)+((H208*2)*MATERIALES!$C$32)+((G208*1)*MATERIALES!$C$32))*MATERIALES!$F$2</f>
        <v>5702.59872</v>
      </c>
      <c r="J208" s="60">
        <f>((4*MATERIALES!$C$137)+(4*MATERIALES!$C$174))*2</f>
        <v>42.764800000000001</v>
      </c>
      <c r="K208" s="76"/>
      <c r="L208" s="60">
        <f t="shared" si="17"/>
        <v>5745.3635199999999</v>
      </c>
      <c r="M208" s="73">
        <f t="shared" si="18"/>
        <v>7468.9725760000001</v>
      </c>
      <c r="N208" s="800"/>
      <c r="T208" s="2"/>
      <c r="U208"/>
    </row>
    <row r="209" spans="7:21">
      <c r="M209" s="32"/>
      <c r="T209" s="2"/>
      <c r="U209"/>
    </row>
    <row r="210" spans="7:21" ht="15.75" thickBot="1"/>
    <row r="211" spans="7:21" ht="15.75" thickBot="1">
      <c r="H211" s="32"/>
      <c r="I211" s="789">
        <v>0.3</v>
      </c>
      <c r="J211" s="790"/>
      <c r="K211" s="790"/>
      <c r="L211" s="791"/>
      <c r="M211" s="46" t="s">
        <v>163</v>
      </c>
    </row>
    <row r="212" spans="7:21" ht="15.75" thickBot="1">
      <c r="G212" s="792" t="s">
        <v>253</v>
      </c>
      <c r="H212" s="793"/>
      <c r="I212" s="793"/>
      <c r="J212" s="793"/>
      <c r="K212" s="793"/>
      <c r="L212" s="793"/>
      <c r="M212" s="794"/>
      <c r="N212" s="94"/>
    </row>
    <row r="213" spans="7:21" ht="15.75" thickBot="1">
      <c r="G213" s="36" t="s">
        <v>116</v>
      </c>
      <c r="H213" s="36" t="s">
        <v>117</v>
      </c>
      <c r="I213" s="36" t="s">
        <v>162</v>
      </c>
      <c r="J213" s="36" t="s">
        <v>119</v>
      </c>
      <c r="K213" s="36" t="s">
        <v>120</v>
      </c>
      <c r="L213" s="36" t="s">
        <v>121</v>
      </c>
      <c r="M213" s="36" t="s">
        <v>122</v>
      </c>
      <c r="T213" s="2"/>
      <c r="U213"/>
    </row>
    <row r="214" spans="7:21" ht="15.75" thickBot="1">
      <c r="G214" s="91"/>
      <c r="H214" s="92"/>
      <c r="I214" s="92"/>
      <c r="J214" s="92"/>
      <c r="K214" s="92"/>
      <c r="L214" s="92"/>
      <c r="M214" s="93"/>
      <c r="T214" s="2"/>
      <c r="U214"/>
    </row>
    <row r="215" spans="7:21">
      <c r="G215" s="65">
        <v>1.2</v>
      </c>
      <c r="H215" s="66">
        <v>2</v>
      </c>
      <c r="I215" s="58">
        <f>(((G215*2)+(H215*4)*MATERIALES!$C$31)+((H215*2)*MATERIALES!$C$32)+((G215*2)*MATERIALES!$C$32))*MATERIALES!$F$2</f>
        <v>4351.5763200000001</v>
      </c>
      <c r="J215" s="58">
        <f>((6*MATERIALES!$C$137)+(6*MATERIALES!$C$174))*2</f>
        <v>64.147199999999998</v>
      </c>
      <c r="K215" s="74"/>
      <c r="L215" s="47">
        <f>SUM(I215:K215)</f>
        <v>4415.7235200000005</v>
      </c>
      <c r="M215" s="49">
        <f>SUM(I215:K215)*1.3</f>
        <v>5740.4405760000009</v>
      </c>
      <c r="N215" s="786" t="s">
        <v>254</v>
      </c>
      <c r="T215" s="2"/>
      <c r="U215"/>
    </row>
    <row r="216" spans="7:21">
      <c r="G216" s="68">
        <v>1.5</v>
      </c>
      <c r="H216" s="69">
        <v>2</v>
      </c>
      <c r="I216" s="59">
        <f>(((G216*2)+(H216*4)*MATERIALES!$C$31)+((H216*2)*MATERIALES!$C$32)+((G216*2)*MATERIALES!$C$32))*MATERIALES!$F$2</f>
        <v>4885.8263999999999</v>
      </c>
      <c r="J216" s="59">
        <f>((6*MATERIALES!$C$137)+(6*MATERIALES!$C$174))*2</f>
        <v>64.147199999999998</v>
      </c>
      <c r="K216" s="75"/>
      <c r="L216" s="38">
        <f t="shared" ref="L216:L220" si="19">SUM(I216:K216)</f>
        <v>4949.9736000000003</v>
      </c>
      <c r="M216" s="43">
        <f t="shared" ref="M216:M220" si="20">SUM(I216:K216)*1.3</f>
        <v>6434.9656800000002</v>
      </c>
      <c r="N216" s="787"/>
      <c r="T216" s="2"/>
      <c r="U216"/>
    </row>
    <row r="217" spans="7:21">
      <c r="G217" s="68">
        <v>1.8</v>
      </c>
      <c r="H217" s="69">
        <v>2</v>
      </c>
      <c r="I217" s="59">
        <f>(((G217*2)+(H217*4)*MATERIALES!$C$31)+((H217*2)*MATERIALES!$C$32)+((G217*2)*MATERIALES!$C$32))*MATERIALES!$F$2</f>
        <v>5420.0764800000015</v>
      </c>
      <c r="J217" s="59">
        <f>((6*MATERIALES!$C$137)+(6*MATERIALES!$C$174))*2</f>
        <v>64.147199999999998</v>
      </c>
      <c r="K217" s="75"/>
      <c r="L217" s="38">
        <f t="shared" si="19"/>
        <v>5484.2236800000019</v>
      </c>
      <c r="M217" s="43">
        <f>SUM(I217:K217)*1.3</f>
        <v>7129.4907840000023</v>
      </c>
      <c r="N217" s="787"/>
      <c r="T217" s="2"/>
      <c r="U217"/>
    </row>
    <row r="218" spans="7:21">
      <c r="G218" s="68">
        <v>2</v>
      </c>
      <c r="H218" s="69">
        <v>2</v>
      </c>
      <c r="I218" s="59">
        <f>(((G218*2)+(H218*4)*MATERIALES!$C$31)+((H218*2)*MATERIALES!$C$32)+((G218*2)*MATERIALES!$C$32))*MATERIALES!$F$2</f>
        <v>5776.2431999999999</v>
      </c>
      <c r="J218" s="59">
        <f>((6*MATERIALES!$C$137)+(6*MATERIALES!$C$174))*2</f>
        <v>64.147199999999998</v>
      </c>
      <c r="K218" s="75"/>
      <c r="L218" s="38">
        <f t="shared" si="19"/>
        <v>5840.3904000000002</v>
      </c>
      <c r="M218" s="43">
        <f t="shared" si="20"/>
        <v>7592.5075200000001</v>
      </c>
      <c r="N218" s="787"/>
      <c r="T218" s="2"/>
      <c r="U218"/>
    </row>
    <row r="219" spans="7:21">
      <c r="G219" s="68">
        <v>2.2000000000000002</v>
      </c>
      <c r="H219" s="69">
        <v>2</v>
      </c>
      <c r="I219" s="59">
        <f>(((G219*2)+(H219*4)*MATERIALES!$C$31)+((H219*2)*MATERIALES!$C$32)+((G219*2)*MATERIALES!$C$32))*MATERIALES!$F$2</f>
        <v>6132.409920000001</v>
      </c>
      <c r="J219" s="59">
        <f>((6*MATERIALES!$C$137)+(6*MATERIALES!$C$174))*2</f>
        <v>64.147199999999998</v>
      </c>
      <c r="K219" s="75"/>
      <c r="L219" s="38">
        <f t="shared" si="19"/>
        <v>6196.5571200000013</v>
      </c>
      <c r="M219" s="43">
        <f t="shared" si="20"/>
        <v>8055.5242560000024</v>
      </c>
      <c r="N219" s="787"/>
      <c r="T219" s="2"/>
      <c r="U219"/>
    </row>
    <row r="220" spans="7:21" ht="15.75" thickBot="1">
      <c r="G220" s="71">
        <v>2.4</v>
      </c>
      <c r="H220" s="72">
        <v>2</v>
      </c>
      <c r="I220" s="60">
        <f>(((G220*2)+(H220*4)*MATERIALES!$C$31)+((H220*2)*MATERIALES!$C$32)+((G220*2)*MATERIALES!$C$32))*MATERIALES!$F$2</f>
        <v>6488.5766400000002</v>
      </c>
      <c r="J220" s="60">
        <f>((6*MATERIALES!$C$137)+(6*MATERIALES!$C$174))*2</f>
        <v>64.147199999999998</v>
      </c>
      <c r="K220" s="76"/>
      <c r="L220" s="50">
        <f t="shared" si="19"/>
        <v>6552.7238400000006</v>
      </c>
      <c r="M220" s="52">
        <f t="shared" si="20"/>
        <v>8518.5409920000002</v>
      </c>
      <c r="N220" s="788"/>
      <c r="T220" s="2"/>
      <c r="U220"/>
    </row>
    <row r="224" spans="7:21">
      <c r="M224" s="32"/>
    </row>
    <row r="225" spans="13:21">
      <c r="M225" s="32"/>
      <c r="S225" s="2"/>
      <c r="T225"/>
      <c r="U225"/>
    </row>
    <row r="226" spans="13:21" ht="32.25" customHeight="1">
      <c r="M226" s="32"/>
      <c r="S226" s="2"/>
      <c r="T226"/>
      <c r="U226"/>
    </row>
    <row r="227" spans="13:21">
      <c r="M227" s="32"/>
      <c r="S227" s="2"/>
      <c r="T227"/>
      <c r="U227"/>
    </row>
    <row r="228" spans="13:21">
      <c r="M228" s="32"/>
      <c r="S228" s="2"/>
      <c r="T228"/>
      <c r="U228"/>
    </row>
    <row r="229" spans="13:21">
      <c r="M229" s="32"/>
      <c r="S229" s="2"/>
      <c r="T229"/>
      <c r="U229"/>
    </row>
    <row r="230" spans="13:21">
      <c r="M230" s="32"/>
      <c r="S230" s="2"/>
      <c r="T230"/>
      <c r="U230"/>
    </row>
    <row r="231" spans="13:21">
      <c r="M231" s="32"/>
      <c r="S231" s="2"/>
      <c r="T231"/>
      <c r="U231"/>
    </row>
    <row r="232" spans="13:21">
      <c r="M232" s="32"/>
      <c r="S232" s="2"/>
      <c r="T232"/>
      <c r="U232"/>
    </row>
    <row r="233" spans="13:21">
      <c r="M233" s="32"/>
      <c r="S233" s="2"/>
      <c r="T233"/>
      <c r="U233"/>
    </row>
    <row r="234" spans="13:21">
      <c r="M234" s="32"/>
      <c r="S234" s="2"/>
      <c r="T234"/>
      <c r="U234"/>
    </row>
    <row r="235" spans="13:21">
      <c r="M235" s="32"/>
      <c r="S235" s="2"/>
      <c r="T235"/>
      <c r="U235"/>
    </row>
    <row r="236" spans="13:21">
      <c r="M236" s="32"/>
      <c r="S236" s="2"/>
      <c r="T236"/>
      <c r="U236"/>
    </row>
    <row r="237" spans="13:21">
      <c r="M237" s="32"/>
      <c r="S237" s="2"/>
      <c r="T237"/>
      <c r="U237"/>
    </row>
    <row r="238" spans="13:21">
      <c r="M238" s="32"/>
      <c r="S238" s="2"/>
      <c r="T238"/>
      <c r="U238"/>
    </row>
    <row r="239" spans="13:21">
      <c r="M239" s="32"/>
      <c r="S239" s="2"/>
      <c r="T239"/>
      <c r="U239"/>
    </row>
    <row r="240" spans="13:21">
      <c r="M240" s="32"/>
      <c r="S240" s="2"/>
      <c r="T240"/>
      <c r="U240"/>
    </row>
    <row r="241" spans="13:21">
      <c r="M241" s="32"/>
      <c r="S241" s="2"/>
      <c r="T241"/>
      <c r="U241"/>
    </row>
    <row r="242" spans="13:21">
      <c r="M242" s="32"/>
      <c r="S242" s="2"/>
      <c r="T242"/>
      <c r="U242"/>
    </row>
    <row r="243" spans="13:21">
      <c r="M243" s="32"/>
      <c r="S243" s="2"/>
      <c r="T243"/>
      <c r="U243"/>
    </row>
    <row r="244" spans="13:21">
      <c r="M244" s="32"/>
      <c r="S244" s="2"/>
      <c r="T244"/>
      <c r="U244"/>
    </row>
    <row r="245" spans="13:21">
      <c r="M245" s="32"/>
      <c r="S245" s="2"/>
      <c r="T245"/>
      <c r="U245"/>
    </row>
    <row r="246" spans="13:21">
      <c r="M246" s="32"/>
      <c r="S246" s="2"/>
      <c r="T246"/>
      <c r="U246"/>
    </row>
    <row r="247" spans="13:21">
      <c r="M247" s="32"/>
      <c r="S247" s="2"/>
      <c r="T247"/>
      <c r="U247"/>
    </row>
    <row r="248" spans="13:21">
      <c r="M248" s="32"/>
      <c r="S248" s="2"/>
      <c r="T248"/>
      <c r="U248"/>
    </row>
    <row r="249" spans="13:21">
      <c r="M249" s="32"/>
      <c r="S249" s="2"/>
      <c r="T249"/>
      <c r="U249"/>
    </row>
    <row r="250" spans="13:21">
      <c r="M250" s="32"/>
      <c r="S250" s="2"/>
      <c r="T250"/>
      <c r="U250"/>
    </row>
    <row r="251" spans="13:21">
      <c r="M251" s="32"/>
      <c r="S251" s="2"/>
      <c r="T251"/>
      <c r="U251"/>
    </row>
    <row r="252" spans="13:21">
      <c r="M252" s="32"/>
      <c r="S252" s="2"/>
      <c r="T252"/>
      <c r="U252"/>
    </row>
    <row r="253" spans="13:21">
      <c r="M253" s="32"/>
      <c r="S253" s="2"/>
      <c r="T253"/>
      <c r="U253"/>
    </row>
    <row r="254" spans="13:21">
      <c r="M254" s="32"/>
      <c r="S254" s="2"/>
      <c r="T254"/>
      <c r="U254"/>
    </row>
    <row r="255" spans="13:21">
      <c r="M255" s="32"/>
      <c r="S255" s="2"/>
      <c r="T255"/>
      <c r="U255"/>
    </row>
    <row r="256" spans="13:21">
      <c r="M256" s="32"/>
      <c r="S256" s="2"/>
      <c r="T256"/>
      <c r="U256"/>
    </row>
    <row r="257" spans="13:21">
      <c r="M257" s="32"/>
      <c r="S257" s="2"/>
      <c r="T257"/>
      <c r="U257"/>
    </row>
    <row r="258" spans="13:21">
      <c r="M258" s="32"/>
      <c r="S258" s="2"/>
      <c r="T258"/>
      <c r="U258"/>
    </row>
    <row r="259" spans="13:21">
      <c r="M259" s="32"/>
      <c r="S259" s="2"/>
      <c r="T259"/>
      <c r="U259"/>
    </row>
    <row r="260" spans="13:21">
      <c r="M260" s="32"/>
      <c r="S260" s="2"/>
      <c r="T260"/>
      <c r="U260"/>
    </row>
    <row r="261" spans="13:21">
      <c r="M261" s="32"/>
      <c r="S261" s="2"/>
      <c r="T261"/>
      <c r="U261"/>
    </row>
    <row r="262" spans="13:21">
      <c r="M262" s="32"/>
      <c r="S262" s="2"/>
      <c r="T262"/>
      <c r="U262"/>
    </row>
    <row r="263" spans="13:21">
      <c r="M263" s="32"/>
      <c r="S263" s="2"/>
      <c r="T263"/>
      <c r="U263"/>
    </row>
    <row r="264" spans="13:21">
      <c r="M264" s="32"/>
      <c r="S264" s="2"/>
      <c r="T264"/>
      <c r="U264"/>
    </row>
    <row r="265" spans="13:21">
      <c r="M265" s="32"/>
      <c r="S265" s="2"/>
      <c r="T265"/>
      <c r="U265"/>
    </row>
    <row r="266" spans="13:21">
      <c r="M266" s="32"/>
      <c r="S266" s="2"/>
      <c r="T266"/>
      <c r="U266"/>
    </row>
  </sheetData>
  <mergeCells count="30">
    <mergeCell ref="P2:R2"/>
    <mergeCell ref="N3:U3"/>
    <mergeCell ref="N5:U5"/>
    <mergeCell ref="P63:R63"/>
    <mergeCell ref="C2:E2"/>
    <mergeCell ref="C63:E63"/>
    <mergeCell ref="A3:H3"/>
    <mergeCell ref="C76:E76"/>
    <mergeCell ref="A77:H77"/>
    <mergeCell ref="A79:H79"/>
    <mergeCell ref="A66:H66"/>
    <mergeCell ref="A5:H5"/>
    <mergeCell ref="A64:H64"/>
    <mergeCell ref="N64:U64"/>
    <mergeCell ref="N66:U66"/>
    <mergeCell ref="P76:R76"/>
    <mergeCell ref="N77:U77"/>
    <mergeCell ref="N79:U79"/>
    <mergeCell ref="P89:S89"/>
    <mergeCell ref="I151:L151"/>
    <mergeCell ref="A90:H90"/>
    <mergeCell ref="A92:H92"/>
    <mergeCell ref="C89:F89"/>
    <mergeCell ref="N215:N220"/>
    <mergeCell ref="I211:L211"/>
    <mergeCell ref="G152:M152"/>
    <mergeCell ref="G212:M212"/>
    <mergeCell ref="N90:U90"/>
    <mergeCell ref="N92:U92"/>
    <mergeCell ref="N155:N20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topLeftCell="A2" workbookViewId="0">
      <selection activeCell="L19" sqref="L19"/>
    </sheetView>
  </sheetViews>
  <sheetFormatPr baseColWidth="10" defaultRowHeight="15"/>
  <cols>
    <col min="5" max="6" width="12.5703125" bestFit="1" customWidth="1"/>
    <col min="12" max="14" width="12.5703125" bestFit="1" customWidth="1"/>
  </cols>
  <sheetData>
    <row r="1" spans="1:14" ht="15.75" thickBot="1"/>
    <row r="2" spans="1:14" ht="15.75" thickBot="1">
      <c r="A2" s="807">
        <v>1.3</v>
      </c>
      <c r="B2" s="808"/>
      <c r="C2" s="808"/>
      <c r="D2" s="809"/>
      <c r="F2" s="46" t="s">
        <v>163</v>
      </c>
      <c r="I2" s="807">
        <v>1.3</v>
      </c>
      <c r="J2" s="808"/>
      <c r="K2" s="808"/>
      <c r="L2" s="809"/>
      <c r="N2" s="46" t="s">
        <v>163</v>
      </c>
    </row>
    <row r="3" spans="1:14" ht="15.75" thickBot="1">
      <c r="A3" s="792" t="s">
        <v>516</v>
      </c>
      <c r="B3" s="793"/>
      <c r="C3" s="793"/>
      <c r="D3" s="793"/>
      <c r="E3" s="793"/>
      <c r="F3" s="794"/>
      <c r="I3" s="792" t="s">
        <v>866</v>
      </c>
      <c r="J3" s="793"/>
      <c r="K3" s="793"/>
      <c r="L3" s="793"/>
      <c r="M3" s="793"/>
      <c r="N3" s="794"/>
    </row>
    <row r="4" spans="1:14" ht="30.75" thickBot="1">
      <c r="A4" s="36" t="s">
        <v>116</v>
      </c>
      <c r="B4" s="36" t="s">
        <v>117</v>
      </c>
      <c r="C4" s="36" t="s">
        <v>517</v>
      </c>
      <c r="D4" s="224" t="s">
        <v>518</v>
      </c>
      <c r="E4" s="36" t="s">
        <v>121</v>
      </c>
      <c r="F4" s="36" t="s">
        <v>122</v>
      </c>
      <c r="I4" s="36" t="s">
        <v>116</v>
      </c>
      <c r="J4" s="36" t="s">
        <v>117</v>
      </c>
      <c r="K4" s="36" t="s">
        <v>517</v>
      </c>
      <c r="L4" s="224"/>
      <c r="M4" s="36" t="s">
        <v>121</v>
      </c>
      <c r="N4" s="36" t="s">
        <v>122</v>
      </c>
    </row>
    <row r="5" spans="1:14" ht="15.75" thickBot="1">
      <c r="A5" s="804" t="s">
        <v>519</v>
      </c>
      <c r="B5" s="805"/>
      <c r="C5" s="805"/>
      <c r="D5" s="805"/>
      <c r="E5" s="805"/>
      <c r="F5" s="806"/>
      <c r="I5" s="804" t="s">
        <v>519</v>
      </c>
      <c r="J5" s="805"/>
      <c r="K5" s="805"/>
      <c r="L5" s="805"/>
      <c r="M5" s="805"/>
      <c r="N5" s="806"/>
    </row>
    <row r="6" spans="1:14">
      <c r="A6" s="65">
        <v>0.6</v>
      </c>
      <c r="B6" s="66">
        <v>0.4</v>
      </c>
      <c r="C6" s="637">
        <v>0.5</v>
      </c>
      <c r="D6" s="648">
        <v>34000</v>
      </c>
      <c r="E6" s="640">
        <f>(C6*D6)</f>
        <v>17000</v>
      </c>
      <c r="F6" s="67">
        <f>(E6*$A$2)</f>
        <v>22100</v>
      </c>
      <c r="I6" s="65">
        <v>1.2</v>
      </c>
      <c r="J6" s="66">
        <v>2</v>
      </c>
      <c r="K6" s="226">
        <f>(I6*J6)</f>
        <v>2.4</v>
      </c>
      <c r="L6" s="58">
        <v>120000</v>
      </c>
      <c r="M6" s="651">
        <f>+L6</f>
        <v>120000</v>
      </c>
      <c r="N6" s="119">
        <f>(M6*$I$2)</f>
        <v>156000</v>
      </c>
    </row>
    <row r="7" spans="1:14">
      <c r="A7" s="68">
        <v>0.6</v>
      </c>
      <c r="B7" s="69">
        <v>0.6</v>
      </c>
      <c r="C7" s="638">
        <v>0.5</v>
      </c>
      <c r="D7" s="649">
        <v>34000</v>
      </c>
      <c r="E7" s="641">
        <f>(C7*D7)</f>
        <v>17000</v>
      </c>
      <c r="F7" s="70">
        <f>(E7*$A$2)</f>
        <v>22100</v>
      </c>
      <c r="I7" s="68">
        <v>1.5</v>
      </c>
      <c r="J7" s="69">
        <v>2</v>
      </c>
      <c r="K7" s="227">
        <f>(I7*J7)</f>
        <v>3</v>
      </c>
      <c r="L7" s="59">
        <v>120000</v>
      </c>
      <c r="M7" s="652">
        <f>+L7</f>
        <v>120000</v>
      </c>
      <c r="N7" s="129">
        <f t="shared" ref="N7:N10" si="0">(M7*$I$2)</f>
        <v>156000</v>
      </c>
    </row>
    <row r="8" spans="1:14">
      <c r="A8" s="68">
        <v>0.8</v>
      </c>
      <c r="B8" s="69">
        <v>0.4</v>
      </c>
      <c r="C8" s="638">
        <v>0.5</v>
      </c>
      <c r="D8" s="649">
        <v>34000</v>
      </c>
      <c r="E8" s="641">
        <f>(C8*D8)</f>
        <v>17000</v>
      </c>
      <c r="F8" s="70">
        <f>(E8*$A$2)</f>
        <v>22100</v>
      </c>
      <c r="I8" s="68">
        <v>1.8</v>
      </c>
      <c r="J8" s="69">
        <v>2</v>
      </c>
      <c r="K8" s="227">
        <f t="shared" ref="K8:K9" si="1">(I8*J8)</f>
        <v>3.6</v>
      </c>
      <c r="L8" s="59">
        <v>160000</v>
      </c>
      <c r="M8" s="652">
        <f>+L8</f>
        <v>160000</v>
      </c>
      <c r="N8" s="129">
        <f t="shared" si="0"/>
        <v>208000</v>
      </c>
    </row>
    <row r="9" spans="1:14">
      <c r="A9" s="68">
        <v>0.8</v>
      </c>
      <c r="B9" s="69">
        <v>0.6</v>
      </c>
      <c r="C9" s="638">
        <v>0.5</v>
      </c>
      <c r="D9" s="649">
        <v>34000</v>
      </c>
      <c r="E9" s="641">
        <f>(C9*D9)</f>
        <v>17000</v>
      </c>
      <c r="F9" s="70">
        <f>(E9*$A$2)</f>
        <v>22100</v>
      </c>
      <c r="I9" s="68">
        <v>2</v>
      </c>
      <c r="J9" s="69">
        <v>2</v>
      </c>
      <c r="K9" s="227">
        <f t="shared" si="1"/>
        <v>4</v>
      </c>
      <c r="L9" s="59">
        <v>160000</v>
      </c>
      <c r="M9" s="652">
        <f>+L9</f>
        <v>160000</v>
      </c>
      <c r="N9" s="129">
        <f t="shared" si="0"/>
        <v>208000</v>
      </c>
    </row>
    <row r="10" spans="1:14" ht="15.75" thickBot="1">
      <c r="A10" s="68">
        <v>0.8</v>
      </c>
      <c r="B10" s="69">
        <v>0.8</v>
      </c>
      <c r="C10" s="638">
        <f>(A10*B10)</f>
        <v>0.64000000000000012</v>
      </c>
      <c r="D10" s="649">
        <v>34000</v>
      </c>
      <c r="E10" s="641">
        <f>(C10*D10)</f>
        <v>21760.000000000004</v>
      </c>
      <c r="F10" s="70">
        <f>(E10*$A$2)</f>
        <v>28288.000000000007</v>
      </c>
      <c r="I10" s="71">
        <v>2.4</v>
      </c>
      <c r="J10" s="72">
        <v>2</v>
      </c>
      <c r="K10" s="228">
        <f>(I10*J10)</f>
        <v>4.8</v>
      </c>
      <c r="L10" s="60">
        <v>0</v>
      </c>
      <c r="M10" s="653">
        <f>+L10</f>
        <v>0</v>
      </c>
      <c r="N10" s="130">
        <f t="shared" si="0"/>
        <v>0</v>
      </c>
    </row>
    <row r="11" spans="1:14">
      <c r="A11" s="68">
        <v>1</v>
      </c>
      <c r="B11" s="69">
        <v>0.4</v>
      </c>
      <c r="C11" s="638">
        <v>0.5</v>
      </c>
      <c r="D11" s="649">
        <v>34000</v>
      </c>
      <c r="E11" s="641">
        <f t="shared" ref="E11:E44" si="2">(C11*D11)</f>
        <v>17000</v>
      </c>
      <c r="F11" s="70">
        <f t="shared" ref="F11:F44" si="3">(E11*$A$2)</f>
        <v>22100</v>
      </c>
    </row>
    <row r="12" spans="1:14">
      <c r="A12" s="68">
        <v>1</v>
      </c>
      <c r="B12" s="69">
        <v>0.6</v>
      </c>
      <c r="C12" s="638">
        <f t="shared" ref="C12:C16" si="4">(A12*B12)</f>
        <v>0.6</v>
      </c>
      <c r="D12" s="649">
        <v>34000</v>
      </c>
      <c r="E12" s="641">
        <f t="shared" si="2"/>
        <v>20400</v>
      </c>
      <c r="F12" s="70">
        <f t="shared" si="3"/>
        <v>26520</v>
      </c>
    </row>
    <row r="13" spans="1:14" ht="15.75" thickBot="1">
      <c r="A13" s="68">
        <v>1</v>
      </c>
      <c r="B13" s="69">
        <v>0.8</v>
      </c>
      <c r="C13" s="638">
        <f t="shared" si="4"/>
        <v>0.8</v>
      </c>
      <c r="D13" s="649">
        <v>34000</v>
      </c>
      <c r="E13" s="641">
        <f t="shared" si="2"/>
        <v>27200</v>
      </c>
      <c r="F13" s="70">
        <f t="shared" si="3"/>
        <v>35360</v>
      </c>
    </row>
    <row r="14" spans="1:14" ht="15.75" thickBot="1">
      <c r="A14" s="68">
        <v>1</v>
      </c>
      <c r="B14" s="69">
        <v>1</v>
      </c>
      <c r="C14" s="638">
        <f t="shared" si="4"/>
        <v>1</v>
      </c>
      <c r="D14" s="649">
        <v>34000</v>
      </c>
      <c r="E14" s="641">
        <f t="shared" si="2"/>
        <v>34000</v>
      </c>
      <c r="F14" s="70">
        <f t="shared" si="3"/>
        <v>44200</v>
      </c>
      <c r="I14" s="807">
        <v>1.3</v>
      </c>
      <c r="J14" s="808"/>
      <c r="K14" s="808"/>
      <c r="L14" s="809"/>
      <c r="N14" s="46" t="s">
        <v>163</v>
      </c>
    </row>
    <row r="15" spans="1:14" ht="15.75" thickBot="1">
      <c r="A15" s="68">
        <v>1</v>
      </c>
      <c r="B15" s="69">
        <v>1.1000000000000001</v>
      </c>
      <c r="C15" s="638">
        <f t="shared" si="4"/>
        <v>1.1000000000000001</v>
      </c>
      <c r="D15" s="649">
        <v>34000</v>
      </c>
      <c r="E15" s="641">
        <f t="shared" si="2"/>
        <v>37400</v>
      </c>
      <c r="F15" s="70">
        <f t="shared" si="3"/>
        <v>48620</v>
      </c>
      <c r="I15" s="792" t="s">
        <v>919</v>
      </c>
      <c r="J15" s="793"/>
      <c r="K15" s="793"/>
      <c r="L15" s="793"/>
      <c r="M15" s="793"/>
      <c r="N15" s="794"/>
    </row>
    <row r="16" spans="1:14" ht="15.75" thickBot="1">
      <c r="A16" s="68">
        <v>1</v>
      </c>
      <c r="B16" s="69">
        <v>1.2</v>
      </c>
      <c r="C16" s="638">
        <f t="shared" si="4"/>
        <v>1.2</v>
      </c>
      <c r="D16" s="649">
        <v>34000</v>
      </c>
      <c r="E16" s="641">
        <f t="shared" si="2"/>
        <v>40800</v>
      </c>
      <c r="F16" s="70">
        <f t="shared" si="3"/>
        <v>53040</v>
      </c>
      <c r="I16" s="36" t="s">
        <v>116</v>
      </c>
      <c r="J16" s="36" t="s">
        <v>117</v>
      </c>
      <c r="K16" s="36" t="s">
        <v>517</v>
      </c>
      <c r="L16" s="224"/>
      <c r="M16" s="36" t="s">
        <v>121</v>
      </c>
      <c r="N16" s="36" t="s">
        <v>122</v>
      </c>
    </row>
    <row r="17" spans="1:14" ht="15.75" thickBot="1">
      <c r="A17" s="68">
        <v>1</v>
      </c>
      <c r="B17" s="69">
        <v>1.5</v>
      </c>
      <c r="C17" s="638">
        <v>0.5</v>
      </c>
      <c r="D17" s="649">
        <v>34000</v>
      </c>
      <c r="E17" s="641">
        <f t="shared" si="2"/>
        <v>17000</v>
      </c>
      <c r="F17" s="70">
        <f t="shared" si="3"/>
        <v>22100</v>
      </c>
      <c r="I17" s="804" t="s">
        <v>519</v>
      </c>
      <c r="J17" s="805"/>
      <c r="K17" s="805"/>
      <c r="L17" s="805"/>
      <c r="M17" s="805"/>
      <c r="N17" s="806"/>
    </row>
    <row r="18" spans="1:14">
      <c r="A18" s="68">
        <v>1.2</v>
      </c>
      <c r="B18" s="69">
        <v>0.4</v>
      </c>
      <c r="C18" s="638">
        <v>0.5</v>
      </c>
      <c r="D18" s="649">
        <v>34000</v>
      </c>
      <c r="E18" s="641">
        <f t="shared" si="2"/>
        <v>17000</v>
      </c>
      <c r="F18" s="70">
        <f t="shared" si="3"/>
        <v>22100</v>
      </c>
      <c r="I18" s="65">
        <v>0.8</v>
      </c>
      <c r="J18" s="66">
        <v>2</v>
      </c>
      <c r="K18" s="226">
        <f>(I18*J18)</f>
        <v>1.6</v>
      </c>
      <c r="L18" s="58">
        <v>60000</v>
      </c>
      <c r="M18" s="651">
        <f>+L18</f>
        <v>60000</v>
      </c>
      <c r="N18" s="119">
        <f>(M18*$I$14)</f>
        <v>78000</v>
      </c>
    </row>
    <row r="19" spans="1:14">
      <c r="A19" s="68">
        <v>1.2</v>
      </c>
      <c r="B19" s="69">
        <v>0.6</v>
      </c>
      <c r="C19" s="638">
        <f t="shared" ref="C19:C44" si="5">(A19*B19)</f>
        <v>0.72</v>
      </c>
      <c r="D19" s="649">
        <v>34000</v>
      </c>
      <c r="E19" s="641">
        <f t="shared" si="2"/>
        <v>24480</v>
      </c>
      <c r="F19" s="70">
        <f t="shared" si="3"/>
        <v>31824</v>
      </c>
    </row>
    <row r="20" spans="1:14">
      <c r="A20" s="68">
        <v>1.2</v>
      </c>
      <c r="B20" s="69">
        <v>0.8</v>
      </c>
      <c r="C20" s="638">
        <f t="shared" si="5"/>
        <v>0.96</v>
      </c>
      <c r="D20" s="649">
        <v>34000</v>
      </c>
      <c r="E20" s="641">
        <f t="shared" si="2"/>
        <v>32640</v>
      </c>
      <c r="F20" s="70">
        <f t="shared" si="3"/>
        <v>42432</v>
      </c>
    </row>
    <row r="21" spans="1:14">
      <c r="A21" s="68">
        <v>1.2</v>
      </c>
      <c r="B21" s="69">
        <v>1</v>
      </c>
      <c r="C21" s="638">
        <f t="shared" si="5"/>
        <v>1.2</v>
      </c>
      <c r="D21" s="649">
        <v>34000</v>
      </c>
      <c r="E21" s="641">
        <f t="shared" si="2"/>
        <v>40800</v>
      </c>
      <c r="F21" s="70">
        <f t="shared" si="3"/>
        <v>53040</v>
      </c>
    </row>
    <row r="22" spans="1:14">
      <c r="A22" s="68">
        <v>1.2</v>
      </c>
      <c r="B22" s="69">
        <v>1.1000000000000001</v>
      </c>
      <c r="C22" s="638">
        <f t="shared" si="5"/>
        <v>1.32</v>
      </c>
      <c r="D22" s="649">
        <v>34000</v>
      </c>
      <c r="E22" s="641">
        <f t="shared" si="2"/>
        <v>44880</v>
      </c>
      <c r="F22" s="70">
        <f t="shared" si="3"/>
        <v>58344</v>
      </c>
    </row>
    <row r="23" spans="1:14">
      <c r="A23" s="68">
        <v>1.2</v>
      </c>
      <c r="B23" s="69">
        <v>1.2</v>
      </c>
      <c r="C23" s="638">
        <f t="shared" si="5"/>
        <v>1.44</v>
      </c>
      <c r="D23" s="649">
        <v>34000</v>
      </c>
      <c r="E23" s="641">
        <f t="shared" si="2"/>
        <v>48960</v>
      </c>
      <c r="F23" s="70">
        <f t="shared" si="3"/>
        <v>63648</v>
      </c>
    </row>
    <row r="24" spans="1:14">
      <c r="A24" s="68">
        <v>1.2</v>
      </c>
      <c r="B24" s="69">
        <v>1.5</v>
      </c>
      <c r="C24" s="638">
        <f t="shared" si="5"/>
        <v>1.7999999999999998</v>
      </c>
      <c r="D24" s="649">
        <v>34000</v>
      </c>
      <c r="E24" s="641">
        <f t="shared" si="2"/>
        <v>61199.999999999993</v>
      </c>
      <c r="F24" s="70">
        <f t="shared" si="3"/>
        <v>79560</v>
      </c>
    </row>
    <row r="25" spans="1:14">
      <c r="A25" s="68">
        <v>1.2</v>
      </c>
      <c r="B25" s="69">
        <v>1.8</v>
      </c>
      <c r="C25" s="638">
        <f t="shared" si="5"/>
        <v>2.16</v>
      </c>
      <c r="D25" s="649">
        <v>34000</v>
      </c>
      <c r="E25" s="641">
        <f t="shared" si="2"/>
        <v>73440</v>
      </c>
      <c r="F25" s="70">
        <f t="shared" si="3"/>
        <v>95472</v>
      </c>
    </row>
    <row r="26" spans="1:14">
      <c r="A26" s="68">
        <v>1.5</v>
      </c>
      <c r="B26" s="69">
        <v>0.4</v>
      </c>
      <c r="C26" s="638">
        <f t="shared" si="5"/>
        <v>0.60000000000000009</v>
      </c>
      <c r="D26" s="649">
        <v>34000</v>
      </c>
      <c r="E26" s="641">
        <f t="shared" si="2"/>
        <v>20400.000000000004</v>
      </c>
      <c r="F26" s="70">
        <f t="shared" si="3"/>
        <v>26520.000000000007</v>
      </c>
    </row>
    <row r="27" spans="1:14">
      <c r="A27" s="68">
        <v>1.5</v>
      </c>
      <c r="B27" s="69">
        <v>0.6</v>
      </c>
      <c r="C27" s="638">
        <f t="shared" si="5"/>
        <v>0.89999999999999991</v>
      </c>
      <c r="D27" s="649">
        <v>34000</v>
      </c>
      <c r="E27" s="641">
        <f t="shared" si="2"/>
        <v>30599.999999999996</v>
      </c>
      <c r="F27" s="70">
        <f t="shared" si="3"/>
        <v>39780</v>
      </c>
    </row>
    <row r="28" spans="1:14">
      <c r="A28" s="68">
        <v>1.5</v>
      </c>
      <c r="B28" s="69">
        <v>0.8</v>
      </c>
      <c r="C28" s="638">
        <f t="shared" si="5"/>
        <v>1.2000000000000002</v>
      </c>
      <c r="D28" s="649">
        <v>34000</v>
      </c>
      <c r="E28" s="641">
        <f t="shared" si="2"/>
        <v>40800.000000000007</v>
      </c>
      <c r="F28" s="70">
        <f t="shared" si="3"/>
        <v>53040.000000000015</v>
      </c>
    </row>
    <row r="29" spans="1:14">
      <c r="A29" s="68">
        <v>1.5</v>
      </c>
      <c r="B29" s="69">
        <v>1</v>
      </c>
      <c r="C29" s="638">
        <f t="shared" si="5"/>
        <v>1.5</v>
      </c>
      <c r="D29" s="649">
        <v>34000</v>
      </c>
      <c r="E29" s="641">
        <f t="shared" si="2"/>
        <v>51000</v>
      </c>
      <c r="F29" s="70">
        <f t="shared" si="3"/>
        <v>66300</v>
      </c>
    </row>
    <row r="30" spans="1:14">
      <c r="A30" s="68">
        <v>1.5</v>
      </c>
      <c r="B30" s="69">
        <v>1.1000000000000001</v>
      </c>
      <c r="C30" s="638">
        <f t="shared" si="5"/>
        <v>1.6500000000000001</v>
      </c>
      <c r="D30" s="649">
        <v>34000</v>
      </c>
      <c r="E30" s="641">
        <f t="shared" si="2"/>
        <v>56100.000000000007</v>
      </c>
      <c r="F30" s="70">
        <f t="shared" si="3"/>
        <v>72930.000000000015</v>
      </c>
    </row>
    <row r="31" spans="1:14">
      <c r="A31" s="68">
        <v>1.5</v>
      </c>
      <c r="B31" s="69">
        <v>1.2</v>
      </c>
      <c r="C31" s="638">
        <f t="shared" si="5"/>
        <v>1.7999999999999998</v>
      </c>
      <c r="D31" s="649">
        <v>34000</v>
      </c>
      <c r="E31" s="641">
        <f t="shared" si="2"/>
        <v>61199.999999999993</v>
      </c>
      <c r="F31" s="70">
        <f t="shared" si="3"/>
        <v>79560</v>
      </c>
    </row>
    <row r="32" spans="1:14">
      <c r="A32" s="68">
        <v>1.5</v>
      </c>
      <c r="B32" s="69">
        <v>1.5</v>
      </c>
      <c r="C32" s="638">
        <f t="shared" si="5"/>
        <v>2.25</v>
      </c>
      <c r="D32" s="649">
        <v>34000</v>
      </c>
      <c r="E32" s="641">
        <f t="shared" si="2"/>
        <v>76500</v>
      </c>
      <c r="F32" s="70">
        <f t="shared" si="3"/>
        <v>99450</v>
      </c>
    </row>
    <row r="33" spans="1:6">
      <c r="A33" s="68">
        <v>1.5</v>
      </c>
      <c r="B33" s="69">
        <v>1.8</v>
      </c>
      <c r="C33" s="638">
        <f t="shared" si="5"/>
        <v>2.7</v>
      </c>
      <c r="D33" s="649">
        <v>34000</v>
      </c>
      <c r="E33" s="641">
        <f t="shared" si="2"/>
        <v>91800</v>
      </c>
      <c r="F33" s="70">
        <f t="shared" si="3"/>
        <v>119340</v>
      </c>
    </row>
    <row r="34" spans="1:6">
      <c r="A34" s="68">
        <v>1.8</v>
      </c>
      <c r="B34" s="69">
        <v>0.8</v>
      </c>
      <c r="C34" s="638">
        <f t="shared" si="5"/>
        <v>1.4400000000000002</v>
      </c>
      <c r="D34" s="649">
        <v>34000</v>
      </c>
      <c r="E34" s="641">
        <f t="shared" si="2"/>
        <v>48960.000000000007</v>
      </c>
      <c r="F34" s="70">
        <f t="shared" si="3"/>
        <v>63648.000000000015</v>
      </c>
    </row>
    <row r="35" spans="1:6">
      <c r="A35" s="68">
        <v>1.8</v>
      </c>
      <c r="B35" s="69">
        <v>1</v>
      </c>
      <c r="C35" s="638">
        <f t="shared" si="5"/>
        <v>1.8</v>
      </c>
      <c r="D35" s="649">
        <v>34000</v>
      </c>
      <c r="E35" s="641">
        <f t="shared" si="2"/>
        <v>61200</v>
      </c>
      <c r="F35" s="70">
        <f t="shared" si="3"/>
        <v>79560</v>
      </c>
    </row>
    <row r="36" spans="1:6">
      <c r="A36" s="68">
        <v>1.8</v>
      </c>
      <c r="B36" s="69">
        <v>1.1000000000000001</v>
      </c>
      <c r="C36" s="638">
        <f t="shared" si="5"/>
        <v>1.9800000000000002</v>
      </c>
      <c r="D36" s="649">
        <v>34000</v>
      </c>
      <c r="E36" s="641">
        <f t="shared" si="2"/>
        <v>67320</v>
      </c>
      <c r="F36" s="70">
        <f t="shared" si="3"/>
        <v>87516</v>
      </c>
    </row>
    <row r="37" spans="1:6">
      <c r="A37" s="68">
        <v>1.8</v>
      </c>
      <c r="B37" s="69">
        <v>1.2</v>
      </c>
      <c r="C37" s="638">
        <f t="shared" si="5"/>
        <v>2.16</v>
      </c>
      <c r="D37" s="649">
        <v>34000</v>
      </c>
      <c r="E37" s="641">
        <f t="shared" si="2"/>
        <v>73440</v>
      </c>
      <c r="F37" s="70">
        <f t="shared" si="3"/>
        <v>95472</v>
      </c>
    </row>
    <row r="38" spans="1:6">
      <c r="A38" s="68">
        <v>1.8</v>
      </c>
      <c r="B38" s="69">
        <v>1.5</v>
      </c>
      <c r="C38" s="638">
        <f t="shared" si="5"/>
        <v>2.7</v>
      </c>
      <c r="D38" s="649">
        <v>34000</v>
      </c>
      <c r="E38" s="641">
        <f t="shared" si="2"/>
        <v>91800</v>
      </c>
      <c r="F38" s="70">
        <f t="shared" si="3"/>
        <v>119340</v>
      </c>
    </row>
    <row r="39" spans="1:6">
      <c r="A39" s="68">
        <v>1.8</v>
      </c>
      <c r="B39" s="69">
        <v>1.8</v>
      </c>
      <c r="C39" s="638">
        <f t="shared" si="5"/>
        <v>3.24</v>
      </c>
      <c r="D39" s="649">
        <v>34000</v>
      </c>
      <c r="E39" s="641">
        <f t="shared" si="2"/>
        <v>110160</v>
      </c>
      <c r="F39" s="70">
        <f t="shared" si="3"/>
        <v>143208</v>
      </c>
    </row>
    <row r="40" spans="1:6">
      <c r="A40" s="68">
        <v>2</v>
      </c>
      <c r="B40" s="69">
        <v>0.8</v>
      </c>
      <c r="C40" s="638">
        <f t="shared" si="5"/>
        <v>1.6</v>
      </c>
      <c r="D40" s="649">
        <v>34000</v>
      </c>
      <c r="E40" s="641">
        <f t="shared" si="2"/>
        <v>54400</v>
      </c>
      <c r="F40" s="70">
        <f t="shared" si="3"/>
        <v>70720</v>
      </c>
    </row>
    <row r="41" spans="1:6">
      <c r="A41" s="68">
        <v>2</v>
      </c>
      <c r="B41" s="69">
        <v>1</v>
      </c>
      <c r="C41" s="638">
        <f t="shared" si="5"/>
        <v>2</v>
      </c>
      <c r="D41" s="649">
        <v>34000</v>
      </c>
      <c r="E41" s="641">
        <f t="shared" si="2"/>
        <v>68000</v>
      </c>
      <c r="F41" s="70">
        <f t="shared" si="3"/>
        <v>88400</v>
      </c>
    </row>
    <row r="42" spans="1:6">
      <c r="A42" s="68">
        <v>2</v>
      </c>
      <c r="B42" s="69">
        <v>1.1000000000000001</v>
      </c>
      <c r="C42" s="638">
        <f t="shared" si="5"/>
        <v>2.2000000000000002</v>
      </c>
      <c r="D42" s="649">
        <v>34000</v>
      </c>
      <c r="E42" s="641">
        <f t="shared" si="2"/>
        <v>74800</v>
      </c>
      <c r="F42" s="70">
        <f t="shared" si="3"/>
        <v>97240</v>
      </c>
    </row>
    <row r="43" spans="1:6">
      <c r="A43" s="68">
        <v>2</v>
      </c>
      <c r="B43" s="69">
        <v>1.2</v>
      </c>
      <c r="C43" s="638">
        <f t="shared" si="5"/>
        <v>2.4</v>
      </c>
      <c r="D43" s="649">
        <v>34000</v>
      </c>
      <c r="E43" s="641">
        <f t="shared" si="2"/>
        <v>81600</v>
      </c>
      <c r="F43" s="70">
        <f t="shared" si="3"/>
        <v>106080</v>
      </c>
    </row>
    <row r="44" spans="1:6">
      <c r="A44" s="68">
        <v>2</v>
      </c>
      <c r="B44" s="69">
        <v>1.5</v>
      </c>
      <c r="C44" s="638">
        <f t="shared" si="5"/>
        <v>3</v>
      </c>
      <c r="D44" s="649">
        <v>34000</v>
      </c>
      <c r="E44" s="641">
        <f t="shared" si="2"/>
        <v>102000</v>
      </c>
      <c r="F44" s="70">
        <f t="shared" si="3"/>
        <v>132600</v>
      </c>
    </row>
    <row r="45" spans="1:6" ht="15.75" thickBot="1">
      <c r="A45" s="71">
        <v>2</v>
      </c>
      <c r="B45" s="72">
        <v>1.8</v>
      </c>
      <c r="C45" s="639">
        <f>(A45*B45)</f>
        <v>3.6</v>
      </c>
      <c r="D45" s="650">
        <v>34000</v>
      </c>
      <c r="E45" s="642">
        <f>(C45*D45)</f>
        <v>122400</v>
      </c>
      <c r="F45" s="73">
        <f>(E45*$A$2)</f>
        <v>159120</v>
      </c>
    </row>
    <row r="47" spans="1:6" ht="15.75" thickBot="1"/>
    <row r="48" spans="1:6" ht="15.75" thickBot="1">
      <c r="A48" s="807">
        <v>1.3</v>
      </c>
      <c r="B48" s="808"/>
      <c r="C48" s="808"/>
      <c r="D48" s="809"/>
      <c r="F48" s="46" t="s">
        <v>163</v>
      </c>
    </row>
    <row r="49" spans="1:6" ht="15.75" thickBot="1">
      <c r="A49" s="792" t="s">
        <v>516</v>
      </c>
      <c r="B49" s="793"/>
      <c r="C49" s="793"/>
      <c r="D49" s="793"/>
      <c r="E49" s="793"/>
      <c r="F49" s="794"/>
    </row>
    <row r="50" spans="1:6" ht="30.75" thickBot="1">
      <c r="A50" s="36" t="s">
        <v>116</v>
      </c>
      <c r="B50" s="36" t="s">
        <v>117</v>
      </c>
      <c r="C50" s="36" t="s">
        <v>517</v>
      </c>
      <c r="D50" s="224" t="s">
        <v>518</v>
      </c>
      <c r="E50" s="36" t="s">
        <v>121</v>
      </c>
      <c r="F50" s="36" t="s">
        <v>122</v>
      </c>
    </row>
    <row r="51" spans="1:6" ht="15.75" thickBot="1">
      <c r="A51" s="804" t="s">
        <v>519</v>
      </c>
      <c r="B51" s="805"/>
      <c r="C51" s="805"/>
      <c r="D51" s="805"/>
      <c r="E51" s="805"/>
      <c r="F51" s="806"/>
    </row>
    <row r="52" spans="1:6">
      <c r="A52" s="65">
        <v>0.3</v>
      </c>
      <c r="B52" s="66">
        <v>0.4</v>
      </c>
      <c r="C52" s="637">
        <v>0.5</v>
      </c>
      <c r="D52" s="643">
        <v>34000</v>
      </c>
      <c r="E52" s="640">
        <f>(C52*D52)</f>
        <v>17000</v>
      </c>
      <c r="F52" s="67">
        <f>(E52*$A$48)</f>
        <v>22100</v>
      </c>
    </row>
    <row r="53" spans="1:6">
      <c r="A53" s="68">
        <v>0.3</v>
      </c>
      <c r="B53" s="69">
        <v>0.6</v>
      </c>
      <c r="C53" s="638">
        <v>0.5</v>
      </c>
      <c r="D53" s="644">
        <v>34000</v>
      </c>
      <c r="E53" s="641">
        <f>(C53*D53)</f>
        <v>17000</v>
      </c>
      <c r="F53" s="70">
        <f>(E53*$A$48)</f>
        <v>22100</v>
      </c>
    </row>
    <row r="54" spans="1:6">
      <c r="A54" s="68">
        <v>0.3</v>
      </c>
      <c r="B54" s="69">
        <v>0.8</v>
      </c>
      <c r="C54" s="638">
        <v>0.5</v>
      </c>
      <c r="D54" s="644">
        <v>34000</v>
      </c>
      <c r="E54" s="641">
        <f>(C54*D54)</f>
        <v>17000</v>
      </c>
      <c r="F54" s="70">
        <f t="shared" ref="F54:F70" si="6">(E54*$A$48)</f>
        <v>22100</v>
      </c>
    </row>
    <row r="55" spans="1:6">
      <c r="A55" s="68">
        <v>0.3</v>
      </c>
      <c r="B55" s="69">
        <v>1</v>
      </c>
      <c r="C55" s="638">
        <v>0.5</v>
      </c>
      <c r="D55" s="644">
        <v>34000</v>
      </c>
      <c r="E55" s="641">
        <f>(C55*D55)</f>
        <v>17000</v>
      </c>
      <c r="F55" s="70">
        <f t="shared" si="6"/>
        <v>22100</v>
      </c>
    </row>
    <row r="56" spans="1:6">
      <c r="A56" s="68">
        <v>0.3</v>
      </c>
      <c r="B56" s="69">
        <v>1.2</v>
      </c>
      <c r="C56" s="638">
        <v>0.5</v>
      </c>
      <c r="D56" s="644">
        <v>34000</v>
      </c>
      <c r="E56" s="641">
        <f>(C56*D56)</f>
        <v>17000</v>
      </c>
      <c r="F56" s="70">
        <f t="shared" si="6"/>
        <v>22100</v>
      </c>
    </row>
    <row r="57" spans="1:6">
      <c r="A57" s="68">
        <v>0.4</v>
      </c>
      <c r="B57" s="69">
        <v>0.4</v>
      </c>
      <c r="C57" s="638">
        <v>0.5</v>
      </c>
      <c r="D57" s="644">
        <v>34000</v>
      </c>
      <c r="E57" s="641">
        <f t="shared" ref="E57:E72" si="7">(C57*D57)</f>
        <v>17000</v>
      </c>
      <c r="F57" s="70">
        <f t="shared" si="6"/>
        <v>22100</v>
      </c>
    </row>
    <row r="58" spans="1:6">
      <c r="A58" s="68">
        <v>0.4</v>
      </c>
      <c r="B58" s="69">
        <v>0.6</v>
      </c>
      <c r="C58" s="638">
        <v>0.5</v>
      </c>
      <c r="D58" s="644">
        <v>34000</v>
      </c>
      <c r="E58" s="641">
        <f t="shared" si="7"/>
        <v>17000</v>
      </c>
      <c r="F58" s="70">
        <f t="shared" si="6"/>
        <v>22100</v>
      </c>
    </row>
    <row r="59" spans="1:6">
      <c r="A59" s="68">
        <v>0.4</v>
      </c>
      <c r="B59" s="69">
        <v>0.8</v>
      </c>
      <c r="C59" s="638">
        <v>0.5</v>
      </c>
      <c r="D59" s="644">
        <v>34000</v>
      </c>
      <c r="E59" s="641">
        <f t="shared" si="7"/>
        <v>17000</v>
      </c>
      <c r="F59" s="70">
        <f t="shared" si="6"/>
        <v>22100</v>
      </c>
    </row>
    <row r="60" spans="1:6">
      <c r="A60" s="68">
        <v>0.4</v>
      </c>
      <c r="B60" s="69">
        <v>1</v>
      </c>
      <c r="C60" s="638">
        <v>0.5</v>
      </c>
      <c r="D60" s="644">
        <v>34000</v>
      </c>
      <c r="E60" s="641">
        <f t="shared" si="7"/>
        <v>17000</v>
      </c>
      <c r="F60" s="70">
        <f t="shared" si="6"/>
        <v>22100</v>
      </c>
    </row>
    <row r="61" spans="1:6">
      <c r="A61" s="68">
        <v>0.4</v>
      </c>
      <c r="B61" s="69">
        <v>1.2</v>
      </c>
      <c r="C61" s="638">
        <v>0.5</v>
      </c>
      <c r="D61" s="644">
        <v>34000</v>
      </c>
      <c r="E61" s="641">
        <f t="shared" si="7"/>
        <v>17000</v>
      </c>
      <c r="F61" s="70">
        <f t="shared" si="6"/>
        <v>22100</v>
      </c>
    </row>
    <row r="62" spans="1:6">
      <c r="A62" s="68">
        <v>0.4</v>
      </c>
      <c r="B62" s="69">
        <v>1.5</v>
      </c>
      <c r="C62" s="638">
        <f t="shared" ref="C62:C72" si="8">(A62*B62)</f>
        <v>0.60000000000000009</v>
      </c>
      <c r="D62" s="644">
        <v>34000</v>
      </c>
      <c r="E62" s="641">
        <f t="shared" si="7"/>
        <v>20400.000000000004</v>
      </c>
      <c r="F62" s="70">
        <f t="shared" si="6"/>
        <v>26520.000000000007</v>
      </c>
    </row>
    <row r="63" spans="1:6">
      <c r="A63" s="68">
        <v>0.5</v>
      </c>
      <c r="B63" s="69">
        <v>0.6</v>
      </c>
      <c r="C63" s="638">
        <v>0.5</v>
      </c>
      <c r="D63" s="644">
        <v>34000</v>
      </c>
      <c r="E63" s="641">
        <f t="shared" si="7"/>
        <v>17000</v>
      </c>
      <c r="F63" s="70">
        <f t="shared" si="6"/>
        <v>22100</v>
      </c>
    </row>
    <row r="64" spans="1:6">
      <c r="A64" s="68">
        <v>0.5</v>
      </c>
      <c r="B64" s="69">
        <v>0.8</v>
      </c>
      <c r="C64" s="638">
        <v>0.5</v>
      </c>
      <c r="D64" s="644">
        <v>34000</v>
      </c>
      <c r="E64" s="641">
        <f t="shared" si="7"/>
        <v>17000</v>
      </c>
      <c r="F64" s="70">
        <f t="shared" si="6"/>
        <v>22100</v>
      </c>
    </row>
    <row r="65" spans="1:6">
      <c r="A65" s="68">
        <v>0.5</v>
      </c>
      <c r="B65" s="69">
        <v>1</v>
      </c>
      <c r="C65" s="638">
        <f t="shared" si="8"/>
        <v>0.5</v>
      </c>
      <c r="D65" s="644">
        <v>34000</v>
      </c>
      <c r="E65" s="641">
        <f t="shared" si="7"/>
        <v>17000</v>
      </c>
      <c r="F65" s="70">
        <f t="shared" si="6"/>
        <v>22100</v>
      </c>
    </row>
    <row r="66" spans="1:6">
      <c r="A66" s="68">
        <v>0.5</v>
      </c>
      <c r="B66" s="69">
        <v>1.2</v>
      </c>
      <c r="C66" s="638">
        <f t="shared" si="8"/>
        <v>0.6</v>
      </c>
      <c r="D66" s="644">
        <v>34000</v>
      </c>
      <c r="E66" s="641">
        <f t="shared" si="7"/>
        <v>20400</v>
      </c>
      <c r="F66" s="70">
        <f t="shared" si="6"/>
        <v>26520</v>
      </c>
    </row>
    <row r="67" spans="1:6">
      <c r="A67" s="68">
        <v>0.5</v>
      </c>
      <c r="B67" s="69">
        <v>1.5</v>
      </c>
      <c r="C67" s="638">
        <f t="shared" si="8"/>
        <v>0.75</v>
      </c>
      <c r="D67" s="644">
        <v>34000</v>
      </c>
      <c r="E67" s="641">
        <f t="shared" si="7"/>
        <v>25500</v>
      </c>
      <c r="F67" s="70">
        <f t="shared" si="6"/>
        <v>33150</v>
      </c>
    </row>
    <row r="68" spans="1:6">
      <c r="A68" s="68">
        <v>0.6</v>
      </c>
      <c r="B68" s="69">
        <v>0.6</v>
      </c>
      <c r="C68" s="638">
        <v>0.5</v>
      </c>
      <c r="D68" s="644">
        <v>34000</v>
      </c>
      <c r="E68" s="641">
        <f t="shared" si="7"/>
        <v>17000</v>
      </c>
      <c r="F68" s="70">
        <f t="shared" si="6"/>
        <v>22100</v>
      </c>
    </row>
    <row r="69" spans="1:6">
      <c r="A69" s="68">
        <v>0.6</v>
      </c>
      <c r="B69" s="69">
        <v>0.8</v>
      </c>
      <c r="C69" s="638">
        <v>0.5</v>
      </c>
      <c r="D69" s="644">
        <v>34000</v>
      </c>
      <c r="E69" s="641">
        <f t="shared" si="7"/>
        <v>17000</v>
      </c>
      <c r="F69" s="70">
        <f t="shared" si="6"/>
        <v>22100</v>
      </c>
    </row>
    <row r="70" spans="1:6">
      <c r="A70" s="68">
        <v>0.6</v>
      </c>
      <c r="B70" s="69">
        <v>1</v>
      </c>
      <c r="C70" s="638">
        <f t="shared" si="8"/>
        <v>0.6</v>
      </c>
      <c r="D70" s="644">
        <v>34000</v>
      </c>
      <c r="E70" s="641">
        <f t="shared" si="7"/>
        <v>20400</v>
      </c>
      <c r="F70" s="70">
        <f t="shared" si="6"/>
        <v>26520</v>
      </c>
    </row>
    <row r="71" spans="1:6">
      <c r="A71" s="68">
        <v>0.6</v>
      </c>
      <c r="B71" s="69">
        <v>1.2</v>
      </c>
      <c r="C71" s="638">
        <f t="shared" si="8"/>
        <v>0.72</v>
      </c>
      <c r="D71" s="644">
        <v>34000</v>
      </c>
      <c r="E71" s="641">
        <f t="shared" si="7"/>
        <v>24480</v>
      </c>
      <c r="F71" s="70">
        <f>(E71*$A$48)</f>
        <v>31824</v>
      </c>
    </row>
    <row r="72" spans="1:6" ht="15.75" thickBot="1">
      <c r="A72" s="71">
        <v>0.6</v>
      </c>
      <c r="B72" s="72">
        <v>1.5</v>
      </c>
      <c r="C72" s="639">
        <f t="shared" si="8"/>
        <v>0.89999999999999991</v>
      </c>
      <c r="D72" s="645">
        <v>34000</v>
      </c>
      <c r="E72" s="642">
        <f t="shared" si="7"/>
        <v>30599.999999999996</v>
      </c>
      <c r="F72" s="73">
        <f>(E72*$A$48)</f>
        <v>39780</v>
      </c>
    </row>
    <row r="73" spans="1:6">
      <c r="D73">
        <v>34000</v>
      </c>
    </row>
    <row r="74" spans="1:6">
      <c r="D74">
        <v>34000</v>
      </c>
    </row>
    <row r="75" spans="1:6">
      <c r="D75">
        <v>34000</v>
      </c>
    </row>
    <row r="76" spans="1:6">
      <c r="D76">
        <v>34000</v>
      </c>
    </row>
    <row r="77" spans="1:6">
      <c r="D77">
        <v>34000</v>
      </c>
    </row>
    <row r="78" spans="1:6">
      <c r="D78">
        <v>34000</v>
      </c>
    </row>
    <row r="79" spans="1:6">
      <c r="D79">
        <v>34000</v>
      </c>
    </row>
    <row r="80" spans="1:6">
      <c r="D80">
        <v>34000</v>
      </c>
    </row>
    <row r="81" spans="4:4">
      <c r="D81">
        <v>34000</v>
      </c>
    </row>
    <row r="82" spans="4:4">
      <c r="D82">
        <v>34000</v>
      </c>
    </row>
    <row r="83" spans="4:4">
      <c r="D83">
        <v>34000</v>
      </c>
    </row>
    <row r="84" spans="4:4">
      <c r="D84">
        <v>34000</v>
      </c>
    </row>
    <row r="85" spans="4:4">
      <c r="D85">
        <v>34000</v>
      </c>
    </row>
    <row r="86" spans="4:4">
      <c r="D86">
        <v>34000</v>
      </c>
    </row>
    <row r="87" spans="4:4">
      <c r="D87">
        <v>34000</v>
      </c>
    </row>
    <row r="88" spans="4:4">
      <c r="D88">
        <v>34000</v>
      </c>
    </row>
    <row r="89" spans="4:4">
      <c r="D89">
        <v>34000</v>
      </c>
    </row>
    <row r="90" spans="4:4">
      <c r="D90">
        <v>34000</v>
      </c>
    </row>
    <row r="91" spans="4:4">
      <c r="D91">
        <v>34000</v>
      </c>
    </row>
  </sheetData>
  <mergeCells count="12">
    <mergeCell ref="A51:F51"/>
    <mergeCell ref="A5:F5"/>
    <mergeCell ref="A3:F3"/>
    <mergeCell ref="A2:D2"/>
    <mergeCell ref="I2:L2"/>
    <mergeCell ref="I3:N3"/>
    <mergeCell ref="I5:N5"/>
    <mergeCell ref="A48:D48"/>
    <mergeCell ref="A49:F49"/>
    <mergeCell ref="I14:L14"/>
    <mergeCell ref="I15:N15"/>
    <mergeCell ref="I17:N1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8"/>
  <sheetViews>
    <sheetView topLeftCell="E1" zoomScale="80" zoomScaleNormal="80" workbookViewId="0">
      <selection activeCell="L7" sqref="L7"/>
    </sheetView>
  </sheetViews>
  <sheetFormatPr baseColWidth="10" defaultRowHeight="15"/>
  <cols>
    <col min="1" max="1" width="15.140625" style="1" customWidth="1"/>
    <col min="2" max="2" width="49.5703125" customWidth="1"/>
    <col min="3" max="3" width="16.5703125" bestFit="1" customWidth="1"/>
    <col min="4" max="4" width="13.42578125" customWidth="1"/>
    <col min="5" max="6" width="20" customWidth="1"/>
    <col min="7" max="7" width="14.28515625" customWidth="1"/>
    <col min="9" max="9" width="24.140625" customWidth="1"/>
    <col min="10" max="10" width="15.7109375" customWidth="1"/>
    <col min="14" max="14" width="18.42578125" customWidth="1"/>
    <col min="15" max="16" width="11.28515625" bestFit="1" customWidth="1"/>
    <col min="19" max="19" width="18.42578125" customWidth="1"/>
    <col min="20" max="21" width="11.28515625" customWidth="1"/>
  </cols>
  <sheetData>
    <row r="1" spans="1:21" ht="25.5" customHeight="1" thickBot="1">
      <c r="E1" s="718" t="s">
        <v>62</v>
      </c>
      <c r="F1" s="719">
        <f>+K21</f>
        <v>11392.5</v>
      </c>
      <c r="G1" s="720" t="s">
        <v>158</v>
      </c>
    </row>
    <row r="2" spans="1:21" ht="25.5" customHeight="1" thickBot="1">
      <c r="A2" s="810" t="s">
        <v>48</v>
      </c>
      <c r="B2" s="811"/>
      <c r="C2" s="811"/>
      <c r="D2" s="812"/>
      <c r="E2" s="721" t="s">
        <v>62</v>
      </c>
      <c r="F2" s="722">
        <f>+F1</f>
        <v>11392.5</v>
      </c>
      <c r="G2" s="723" t="s">
        <v>267</v>
      </c>
      <c r="I2" s="819" t="s">
        <v>893</v>
      </c>
      <c r="J2" s="820"/>
      <c r="K2" s="820"/>
      <c r="L2" s="820"/>
      <c r="M2" s="820"/>
      <c r="N2" s="820"/>
      <c r="O2" s="820"/>
      <c r="P2" s="820"/>
      <c r="Q2" s="820"/>
      <c r="R2" s="820"/>
      <c r="S2" s="820"/>
      <c r="T2" s="820"/>
      <c r="U2" s="821"/>
    </row>
    <row r="3" spans="1:21" s="2" customFormat="1" ht="16.5" thickBot="1">
      <c r="A3" s="84" t="s">
        <v>49</v>
      </c>
      <c r="B3" s="84" t="s">
        <v>50</v>
      </c>
      <c r="C3" s="84" t="s">
        <v>64</v>
      </c>
      <c r="D3" s="84" t="s">
        <v>65</v>
      </c>
      <c r="E3" s="84" t="s">
        <v>66</v>
      </c>
      <c r="F3" s="85" t="s">
        <v>63</v>
      </c>
      <c r="G3" s="82"/>
    </row>
    <row r="4" spans="1:21" ht="15.75" thickBot="1">
      <c r="A4" s="813"/>
      <c r="B4" s="814"/>
      <c r="C4" s="814"/>
      <c r="D4" s="814"/>
      <c r="E4" s="814"/>
      <c r="F4" s="815"/>
      <c r="G4" s="13"/>
      <c r="N4" s="1" t="s">
        <v>898</v>
      </c>
      <c r="S4" s="825" t="s">
        <v>890</v>
      </c>
      <c r="T4" s="826"/>
      <c r="U4" s="827"/>
    </row>
    <row r="5" spans="1:21" ht="15.75" thickBot="1">
      <c r="A5" s="86" t="s">
        <v>411</v>
      </c>
      <c r="B5" s="87" t="s">
        <v>416</v>
      </c>
      <c r="C5" s="88">
        <v>0.59199999999999997</v>
      </c>
      <c r="D5" s="87">
        <v>6.15</v>
      </c>
      <c r="E5" s="87">
        <f>(C5*D5)</f>
        <v>3.6408</v>
      </c>
      <c r="F5" s="89">
        <f>(E5*$F$2)</f>
        <v>41477.813999999998</v>
      </c>
      <c r="G5" s="4"/>
      <c r="I5" s="116" t="s">
        <v>390</v>
      </c>
      <c r="J5" s="116" t="s">
        <v>391</v>
      </c>
      <c r="N5" s="822" t="s">
        <v>885</v>
      </c>
      <c r="O5" s="823"/>
      <c r="P5" s="823"/>
      <c r="Q5" s="824"/>
      <c r="S5" s="822" t="s">
        <v>889</v>
      </c>
      <c r="T5" s="823"/>
      <c r="U5" s="824"/>
    </row>
    <row r="6" spans="1:21" ht="15.75" thickBot="1">
      <c r="A6" s="3" t="s">
        <v>412</v>
      </c>
      <c r="B6" s="4" t="s">
        <v>413</v>
      </c>
      <c r="C6" s="10">
        <v>0.38300000000000001</v>
      </c>
      <c r="D6" s="4">
        <v>6.15</v>
      </c>
      <c r="E6" s="4">
        <f t="shared" ref="E6:E31" si="0">(C6*D6)</f>
        <v>2.3554500000000003</v>
      </c>
      <c r="F6" s="16">
        <f t="shared" ref="F6:F31" si="1">(E6*$F$2)</f>
        <v>26834.464125000002</v>
      </c>
      <c r="G6" s="4"/>
      <c r="I6" s="828"/>
      <c r="J6" s="829"/>
      <c r="N6" s="706"/>
      <c r="O6" s="697" t="s">
        <v>886</v>
      </c>
      <c r="P6" s="698" t="s">
        <v>887</v>
      </c>
      <c r="Q6" s="383" t="s">
        <v>896</v>
      </c>
      <c r="R6" s="759" t="s">
        <v>1040</v>
      </c>
      <c r="S6" s="232"/>
      <c r="T6" s="383" t="s">
        <v>886</v>
      </c>
      <c r="U6" s="695" t="s">
        <v>887</v>
      </c>
    </row>
    <row r="7" spans="1:21">
      <c r="A7" s="3" t="s">
        <v>414</v>
      </c>
      <c r="B7" s="4" t="s">
        <v>415</v>
      </c>
      <c r="C7" s="10">
        <v>0.39800000000000002</v>
      </c>
      <c r="D7" s="4">
        <v>6.15</v>
      </c>
      <c r="E7" s="4">
        <f t="shared" si="0"/>
        <v>2.4477000000000002</v>
      </c>
      <c r="F7" s="16">
        <f t="shared" si="1"/>
        <v>27885.422250000003</v>
      </c>
      <c r="G7" s="4"/>
      <c r="I7" s="146" t="s">
        <v>389</v>
      </c>
      <c r="J7" s="149">
        <v>1</v>
      </c>
      <c r="N7" s="691" t="s">
        <v>880</v>
      </c>
      <c r="O7" s="696">
        <v>9610</v>
      </c>
      <c r="P7" s="694">
        <v>10310</v>
      </c>
      <c r="Q7" s="701">
        <v>11610</v>
      </c>
      <c r="R7" s="759">
        <v>10900</v>
      </c>
      <c r="S7" s="691" t="s">
        <v>880</v>
      </c>
      <c r="T7" s="696" t="s">
        <v>888</v>
      </c>
      <c r="U7" s="694" t="s">
        <v>888</v>
      </c>
    </row>
    <row r="8" spans="1:21" ht="15.75" thickBot="1">
      <c r="A8" s="3" t="s">
        <v>417</v>
      </c>
      <c r="B8" s="4" t="s">
        <v>418</v>
      </c>
      <c r="C8" s="10">
        <v>0.377</v>
      </c>
      <c r="D8" s="4">
        <v>6.15</v>
      </c>
      <c r="E8" s="4">
        <f>(C8*D8)</f>
        <v>2.3185500000000001</v>
      </c>
      <c r="F8" s="16">
        <f t="shared" si="1"/>
        <v>26414.080875</v>
      </c>
      <c r="G8" s="4"/>
      <c r="I8" s="147" t="s">
        <v>388</v>
      </c>
      <c r="J8" s="147">
        <v>1.06</v>
      </c>
      <c r="N8" s="691" t="s">
        <v>881</v>
      </c>
      <c r="O8" s="708">
        <v>10850</v>
      </c>
      <c r="P8" s="709">
        <v>11550</v>
      </c>
      <c r="Q8" s="696">
        <v>12900</v>
      </c>
      <c r="R8" s="32">
        <v>12100</v>
      </c>
      <c r="S8" s="691" t="s">
        <v>881</v>
      </c>
      <c r="T8" s="738">
        <v>8</v>
      </c>
      <c r="U8" s="739">
        <v>8</v>
      </c>
    </row>
    <row r="9" spans="1:21" ht="15.75" thickBot="1">
      <c r="A9" s="3" t="s">
        <v>421</v>
      </c>
      <c r="B9" s="4" t="s">
        <v>422</v>
      </c>
      <c r="C9" s="10">
        <v>0.81</v>
      </c>
      <c r="D9" s="4">
        <v>6.03</v>
      </c>
      <c r="E9" s="4">
        <f t="shared" si="0"/>
        <v>4.8843000000000005</v>
      </c>
      <c r="F9" s="16">
        <f t="shared" si="1"/>
        <v>55644.387750000009</v>
      </c>
      <c r="G9" s="4"/>
      <c r="I9" s="150" t="s">
        <v>885</v>
      </c>
      <c r="J9" s="150">
        <f>+O8</f>
        <v>10850</v>
      </c>
      <c r="N9" s="691" t="s">
        <v>882</v>
      </c>
      <c r="O9" s="708">
        <v>11050</v>
      </c>
      <c r="P9" s="709">
        <v>11720</v>
      </c>
      <c r="Q9" s="696">
        <v>13100</v>
      </c>
      <c r="R9" s="32">
        <v>12200</v>
      </c>
      <c r="S9" s="691" t="s">
        <v>882</v>
      </c>
      <c r="T9" s="696" t="s">
        <v>888</v>
      </c>
      <c r="U9" s="694" t="s">
        <v>888</v>
      </c>
    </row>
    <row r="10" spans="1:21" ht="15.75" thickBot="1">
      <c r="A10" s="8" t="s">
        <v>492</v>
      </c>
      <c r="B10" s="9" t="s">
        <v>493</v>
      </c>
      <c r="C10" s="90">
        <v>0.81799999999999995</v>
      </c>
      <c r="D10" s="9">
        <v>6.05</v>
      </c>
      <c r="E10" s="9">
        <f t="shared" si="0"/>
        <v>4.9488999999999992</v>
      </c>
      <c r="F10" s="17">
        <f t="shared" si="1"/>
        <v>56380.343249999991</v>
      </c>
      <c r="G10" s="4"/>
      <c r="I10" s="716" t="s">
        <v>158</v>
      </c>
      <c r="J10" s="717" t="s">
        <v>888</v>
      </c>
      <c r="N10" s="691" t="s">
        <v>883</v>
      </c>
      <c r="O10" s="696">
        <v>11800</v>
      </c>
      <c r="P10" s="694">
        <v>12460</v>
      </c>
      <c r="Q10" s="696">
        <v>13850</v>
      </c>
      <c r="R10" s="759">
        <v>13500</v>
      </c>
      <c r="S10" s="691" t="s">
        <v>883</v>
      </c>
      <c r="T10" s="738">
        <v>8</v>
      </c>
      <c r="U10" s="739">
        <v>8</v>
      </c>
    </row>
    <row r="11" spans="1:21" ht="15.75" thickBot="1">
      <c r="A11" s="3" t="s">
        <v>423</v>
      </c>
      <c r="B11" s="4" t="s">
        <v>12</v>
      </c>
      <c r="C11" s="10">
        <v>0.16300000000000001</v>
      </c>
      <c r="D11" s="4">
        <v>6.05</v>
      </c>
      <c r="E11" s="4">
        <f t="shared" si="0"/>
        <v>0.98614999999999997</v>
      </c>
      <c r="F11" s="16">
        <f t="shared" si="1"/>
        <v>11234.713874999999</v>
      </c>
      <c r="G11" s="4"/>
      <c r="H11" s="725"/>
      <c r="I11" s="726" t="s">
        <v>903</v>
      </c>
      <c r="J11" s="727">
        <v>95</v>
      </c>
      <c r="K11" s="725" t="s">
        <v>905</v>
      </c>
      <c r="N11" s="692" t="s">
        <v>884</v>
      </c>
      <c r="O11" s="697">
        <v>14350</v>
      </c>
      <c r="P11" s="698">
        <v>15100</v>
      </c>
      <c r="Q11" s="697">
        <v>16650</v>
      </c>
      <c r="R11" s="759">
        <v>16375</v>
      </c>
      <c r="S11" s="692" t="s">
        <v>884</v>
      </c>
      <c r="T11" s="697" t="s">
        <v>888</v>
      </c>
      <c r="U11" s="698" t="s">
        <v>888</v>
      </c>
    </row>
    <row r="12" spans="1:21" ht="15.75" thickBot="1">
      <c r="A12" s="3" t="s">
        <v>424</v>
      </c>
      <c r="B12" s="4" t="s">
        <v>425</v>
      </c>
      <c r="C12" s="10">
        <v>0.46700000000000003</v>
      </c>
      <c r="D12" s="4">
        <v>6.15</v>
      </c>
      <c r="E12" s="4">
        <f t="shared" si="0"/>
        <v>2.8720500000000002</v>
      </c>
      <c r="F12" s="16">
        <f t="shared" si="1"/>
        <v>32719.829625000002</v>
      </c>
      <c r="G12" s="4"/>
      <c r="H12" s="725"/>
      <c r="I12" s="726" t="s">
        <v>904</v>
      </c>
      <c r="J12" s="727">
        <v>117</v>
      </c>
      <c r="K12" s="725"/>
    </row>
    <row r="13" spans="1:21" ht="15.75" thickBot="1">
      <c r="A13" s="3" t="s">
        <v>426</v>
      </c>
      <c r="B13" s="4" t="s">
        <v>427</v>
      </c>
      <c r="C13" s="10">
        <v>0.495</v>
      </c>
      <c r="D13" s="4">
        <v>6.2</v>
      </c>
      <c r="E13" s="4">
        <f t="shared" si="0"/>
        <v>3.069</v>
      </c>
      <c r="F13" s="16">
        <f t="shared" si="1"/>
        <v>34963.582499999997</v>
      </c>
      <c r="G13" s="4"/>
      <c r="I13" s="703" t="s">
        <v>522</v>
      </c>
      <c r="J13" s="703">
        <v>1.05</v>
      </c>
      <c r="N13" s="825" t="s">
        <v>890</v>
      </c>
      <c r="O13" s="826"/>
      <c r="P13" s="826"/>
      <c r="Q13" s="827"/>
    </row>
    <row r="14" spans="1:21" ht="15.75" thickBot="1">
      <c r="A14" s="3" t="s">
        <v>428</v>
      </c>
      <c r="B14" s="4" t="s">
        <v>429</v>
      </c>
      <c r="C14" s="10">
        <v>0.39400000000000002</v>
      </c>
      <c r="D14" s="4">
        <v>6.2</v>
      </c>
      <c r="E14" s="4">
        <f t="shared" si="0"/>
        <v>2.4428000000000001</v>
      </c>
      <c r="F14" s="16">
        <f t="shared" si="1"/>
        <v>27829.599000000002</v>
      </c>
      <c r="G14" s="4"/>
      <c r="N14" s="816" t="s">
        <v>158</v>
      </c>
      <c r="O14" s="817"/>
      <c r="P14" s="817"/>
      <c r="Q14" s="818"/>
    </row>
    <row r="15" spans="1:21" ht="15.75" thickBot="1">
      <c r="A15" s="3" t="s">
        <v>430</v>
      </c>
      <c r="B15" s="4" t="s">
        <v>431</v>
      </c>
      <c r="C15" s="10">
        <v>0.38700000000000001</v>
      </c>
      <c r="D15" s="4">
        <v>6.2</v>
      </c>
      <c r="E15" s="4">
        <f>(C15*D15)</f>
        <v>2.3994</v>
      </c>
      <c r="F15" s="16">
        <f t="shared" si="1"/>
        <v>27335.164499999999</v>
      </c>
      <c r="G15" s="4"/>
      <c r="N15" s="699"/>
      <c r="O15" s="383" t="s">
        <v>892</v>
      </c>
      <c r="P15" s="383" t="s">
        <v>886</v>
      </c>
      <c r="Q15" s="695" t="s">
        <v>887</v>
      </c>
    </row>
    <row r="16" spans="1:21">
      <c r="A16" s="3" t="s">
        <v>432</v>
      </c>
      <c r="B16" s="4" t="s">
        <v>433</v>
      </c>
      <c r="C16" s="10">
        <v>0.311</v>
      </c>
      <c r="D16" s="4">
        <v>6.05</v>
      </c>
      <c r="E16" s="4">
        <f t="shared" si="0"/>
        <v>1.8815499999999998</v>
      </c>
      <c r="F16" s="16">
        <f t="shared" si="1"/>
        <v>21435.558374999997</v>
      </c>
      <c r="G16" s="4"/>
      <c r="N16" s="700" t="s">
        <v>881</v>
      </c>
      <c r="O16" s="701"/>
      <c r="P16" s="701"/>
      <c r="Q16" s="702"/>
    </row>
    <row r="17" spans="1:17" ht="15.75" thickBot="1">
      <c r="A17" s="8" t="s">
        <v>494</v>
      </c>
      <c r="B17" s="9" t="s">
        <v>495</v>
      </c>
      <c r="C17" s="90">
        <v>0.54300000000000004</v>
      </c>
      <c r="D17" s="9">
        <v>6.05</v>
      </c>
      <c r="E17" s="9">
        <f t="shared" si="0"/>
        <v>3.2851500000000002</v>
      </c>
      <c r="F17" s="17">
        <f t="shared" si="1"/>
        <v>37426.071375</v>
      </c>
      <c r="G17" s="4"/>
      <c r="N17" s="693" t="s">
        <v>894</v>
      </c>
      <c r="O17" s="697" t="s">
        <v>888</v>
      </c>
      <c r="P17" s="697" t="s">
        <v>888</v>
      </c>
      <c r="Q17" s="698"/>
    </row>
    <row r="18" spans="1:17" ht="15.75" thickBot="1">
      <c r="A18" s="3" t="s">
        <v>434</v>
      </c>
      <c r="B18" s="4" t="s">
        <v>29</v>
      </c>
      <c r="C18" s="10">
        <v>0.52200000000000002</v>
      </c>
      <c r="D18" s="4">
        <v>6.05</v>
      </c>
      <c r="E18" s="4">
        <f t="shared" si="0"/>
        <v>3.1581000000000001</v>
      </c>
      <c r="F18" s="16">
        <f t="shared" si="1"/>
        <v>35978.65425</v>
      </c>
      <c r="G18" s="4"/>
    </row>
    <row r="19" spans="1:17" ht="15.75" thickBot="1">
      <c r="A19" s="3" t="s">
        <v>435</v>
      </c>
      <c r="B19" s="4" t="s">
        <v>31</v>
      </c>
      <c r="C19" s="10">
        <v>0.99099999999999999</v>
      </c>
      <c r="D19" s="4">
        <v>6.05</v>
      </c>
      <c r="E19" s="4">
        <f t="shared" si="0"/>
        <v>5.9955499999999997</v>
      </c>
      <c r="F19" s="16">
        <f t="shared" si="1"/>
        <v>68304.303375000003</v>
      </c>
      <c r="G19" s="4"/>
      <c r="N19" s="825" t="s">
        <v>890</v>
      </c>
      <c r="O19" s="826"/>
      <c r="P19" s="826"/>
      <c r="Q19" s="827"/>
    </row>
    <row r="20" spans="1:17" ht="15.75" thickBot="1">
      <c r="A20" s="3" t="s">
        <v>419</v>
      </c>
      <c r="B20" s="4" t="s">
        <v>420</v>
      </c>
      <c r="C20" s="10">
        <v>0.316</v>
      </c>
      <c r="D20" s="4">
        <v>6.15</v>
      </c>
      <c r="E20" s="4">
        <f t="shared" si="0"/>
        <v>1.9434000000000002</v>
      </c>
      <c r="F20" s="16">
        <f t="shared" si="1"/>
        <v>22140.184500000003</v>
      </c>
      <c r="G20" s="4"/>
      <c r="I20" s="710" t="s">
        <v>625</v>
      </c>
      <c r="J20" s="710">
        <v>1</v>
      </c>
      <c r="K20" s="713">
        <f>+K21</f>
        <v>11392.5</v>
      </c>
      <c r="N20" s="816" t="s">
        <v>891</v>
      </c>
      <c r="O20" s="817"/>
      <c r="P20" s="817"/>
      <c r="Q20" s="818"/>
    </row>
    <row r="21" spans="1:17" ht="15.75" thickBot="1">
      <c r="A21" s="3" t="s">
        <v>436</v>
      </c>
      <c r="B21" s="4" t="s">
        <v>35</v>
      </c>
      <c r="C21" s="10">
        <v>0.42</v>
      </c>
      <c r="D21" s="4">
        <v>6.05</v>
      </c>
      <c r="E21" s="4">
        <f t="shared" si="0"/>
        <v>2.5409999999999999</v>
      </c>
      <c r="F21" s="16">
        <f t="shared" si="1"/>
        <v>28948.342499999999</v>
      </c>
      <c r="G21" s="4"/>
      <c r="I21" s="711" t="s">
        <v>885</v>
      </c>
      <c r="J21" s="711">
        <v>2</v>
      </c>
      <c r="K21" s="714">
        <f>(J9*J7)*J13</f>
        <v>11392.5</v>
      </c>
      <c r="N21" s="699"/>
      <c r="O21" s="383" t="s">
        <v>892</v>
      </c>
      <c r="P21" s="383" t="s">
        <v>886</v>
      </c>
      <c r="Q21" s="695" t="s">
        <v>887</v>
      </c>
    </row>
    <row r="22" spans="1:17" ht="15.75" thickBot="1">
      <c r="A22" s="8" t="s">
        <v>437</v>
      </c>
      <c r="B22" s="9" t="s">
        <v>438</v>
      </c>
      <c r="C22" s="90">
        <v>0.26700000000000002</v>
      </c>
      <c r="D22" s="9">
        <v>6.2</v>
      </c>
      <c r="E22" s="9">
        <f t="shared" si="0"/>
        <v>1.6554000000000002</v>
      </c>
      <c r="F22" s="17">
        <f t="shared" si="1"/>
        <v>18859.144500000002</v>
      </c>
      <c r="G22" s="4"/>
      <c r="I22" s="712" t="s">
        <v>626</v>
      </c>
      <c r="J22" s="712">
        <v>2</v>
      </c>
      <c r="K22" s="715" t="e">
        <f>(((J10*J8)*J9)*J14)*1.05</f>
        <v>#VALUE!</v>
      </c>
      <c r="N22" s="700" t="s">
        <v>881</v>
      </c>
      <c r="O22" s="701"/>
      <c r="P22" s="701"/>
      <c r="Q22" s="702"/>
    </row>
    <row r="23" spans="1:17" ht="15.75" thickBot="1">
      <c r="A23" s="3" t="s">
        <v>439</v>
      </c>
      <c r="B23" s="4" t="s">
        <v>440</v>
      </c>
      <c r="C23" s="10">
        <v>0.47199999999999998</v>
      </c>
      <c r="D23" s="4">
        <v>6.05</v>
      </c>
      <c r="E23" s="4">
        <f t="shared" si="0"/>
        <v>2.8555999999999999</v>
      </c>
      <c r="F23" s="16">
        <f t="shared" si="1"/>
        <v>32532.422999999999</v>
      </c>
      <c r="G23" s="4"/>
      <c r="N23" s="707" t="s">
        <v>894</v>
      </c>
      <c r="O23" s="697"/>
      <c r="P23" s="697"/>
      <c r="Q23" s="698"/>
    </row>
    <row r="24" spans="1:17">
      <c r="A24" s="3" t="s">
        <v>441</v>
      </c>
      <c r="B24" s="4" t="s">
        <v>442</v>
      </c>
      <c r="C24" s="10">
        <v>0.39600000000000002</v>
      </c>
      <c r="D24" s="4">
        <v>6.05</v>
      </c>
      <c r="E24" s="4">
        <f t="shared" si="0"/>
        <v>2.3957999999999999</v>
      </c>
      <c r="F24" s="16">
        <f t="shared" si="1"/>
        <v>27294.1515</v>
      </c>
      <c r="G24" s="4"/>
    </row>
    <row r="25" spans="1:17">
      <c r="A25" s="3" t="s">
        <v>443</v>
      </c>
      <c r="B25" s="4" t="s">
        <v>444</v>
      </c>
      <c r="C25" s="10">
        <v>0.27100000000000002</v>
      </c>
      <c r="D25" s="4">
        <v>6.2</v>
      </c>
      <c r="E25" s="4">
        <f t="shared" si="0"/>
        <v>1.6802000000000001</v>
      </c>
      <c r="F25" s="16">
        <f t="shared" si="1"/>
        <v>19141.678500000002</v>
      </c>
      <c r="G25" s="4"/>
    </row>
    <row r="26" spans="1:17">
      <c r="A26" s="3" t="s">
        <v>445</v>
      </c>
      <c r="B26" s="4" t="s">
        <v>17</v>
      </c>
      <c r="C26" s="10">
        <v>0.65500000000000003</v>
      </c>
      <c r="D26" s="4">
        <v>6.2</v>
      </c>
      <c r="E26" s="4">
        <f t="shared" si="0"/>
        <v>4.0609999999999999</v>
      </c>
      <c r="F26" s="16">
        <f t="shared" si="1"/>
        <v>46264.942499999997</v>
      </c>
      <c r="G26" s="4"/>
    </row>
    <row r="27" spans="1:17">
      <c r="A27" s="3" t="s">
        <v>446</v>
      </c>
      <c r="B27" s="4" t="s">
        <v>447</v>
      </c>
      <c r="C27" s="10">
        <v>0.879</v>
      </c>
      <c r="D27" s="4">
        <v>6.2</v>
      </c>
      <c r="E27" s="4">
        <f t="shared" si="0"/>
        <v>5.4497999999999998</v>
      </c>
      <c r="F27" s="16">
        <f t="shared" si="1"/>
        <v>62086.8465</v>
      </c>
      <c r="G27" s="4"/>
    </row>
    <row r="28" spans="1:17" ht="15.75" thickBot="1">
      <c r="A28" s="3" t="s">
        <v>448</v>
      </c>
      <c r="B28" s="4" t="s">
        <v>449</v>
      </c>
      <c r="C28" s="10">
        <v>0.95199999999999996</v>
      </c>
      <c r="D28" s="4">
        <v>6.2</v>
      </c>
      <c r="E28" s="4">
        <f t="shared" si="0"/>
        <v>5.9024000000000001</v>
      </c>
      <c r="F28" s="16">
        <f t="shared" si="1"/>
        <v>67243.092000000004</v>
      </c>
      <c r="G28" s="4"/>
    </row>
    <row r="29" spans="1:17" ht="15.75" thickBot="1">
      <c r="A29" s="153" t="s">
        <v>36</v>
      </c>
      <c r="B29" s="154" t="s">
        <v>174</v>
      </c>
      <c r="C29" s="155">
        <f>(F29/D29)</f>
        <v>49.751243781094523</v>
      </c>
      <c r="D29" s="154">
        <v>6.03</v>
      </c>
      <c r="E29" s="154">
        <f>(C29*D29)</f>
        <v>300</v>
      </c>
      <c r="F29" s="156">
        <v>300</v>
      </c>
      <c r="G29" s="157" t="s">
        <v>401</v>
      </c>
    </row>
    <row r="30" spans="1:17">
      <c r="A30" s="3" t="s">
        <v>450</v>
      </c>
      <c r="B30" s="4" t="s">
        <v>451</v>
      </c>
      <c r="C30" s="10">
        <v>0.98799999999999999</v>
      </c>
      <c r="D30" s="4">
        <v>6.05</v>
      </c>
      <c r="E30" s="4">
        <f t="shared" si="0"/>
        <v>5.9773999999999994</v>
      </c>
      <c r="F30" s="16">
        <f t="shared" si="1"/>
        <v>68097.52949999999</v>
      </c>
      <c r="G30" s="4"/>
    </row>
    <row r="31" spans="1:17">
      <c r="A31" s="3" t="s">
        <v>452</v>
      </c>
      <c r="B31" s="9" t="s">
        <v>453</v>
      </c>
      <c r="C31" s="90">
        <v>0.24299999999999999</v>
      </c>
      <c r="D31" s="9">
        <v>6.05</v>
      </c>
      <c r="E31" s="4">
        <f t="shared" si="0"/>
        <v>1.4701499999999998</v>
      </c>
      <c r="F31" s="16">
        <f t="shared" si="1"/>
        <v>16748.683874999999</v>
      </c>
    </row>
    <row r="32" spans="1:17">
      <c r="A32" s="3" t="s">
        <v>454</v>
      </c>
      <c r="B32" s="9" t="s">
        <v>455</v>
      </c>
      <c r="C32" s="90">
        <v>0.35899999999999999</v>
      </c>
      <c r="D32" s="9">
        <v>6.05</v>
      </c>
      <c r="E32" s="4">
        <f>(C32*D32)</f>
        <v>2.1719499999999998</v>
      </c>
      <c r="F32" s="16">
        <f>(E32*$F$2)</f>
        <v>24743.940374999998</v>
      </c>
    </row>
    <row r="33" spans="1:6">
      <c r="A33" s="3" t="s">
        <v>494</v>
      </c>
      <c r="B33" s="9" t="s">
        <v>791</v>
      </c>
      <c r="C33" s="90">
        <v>0.60799999999999998</v>
      </c>
      <c r="D33" s="9">
        <v>6.2</v>
      </c>
      <c r="E33" s="9">
        <f>(C33*D33)</f>
        <v>3.7696000000000001</v>
      </c>
      <c r="F33" s="16">
        <f>(E33*$F$2)</f>
        <v>42945.167999999998</v>
      </c>
    </row>
    <row r="34" spans="1:6">
      <c r="A34" s="3" t="s">
        <v>792</v>
      </c>
      <c r="B34" s="9" t="s">
        <v>793</v>
      </c>
      <c r="C34" s="90">
        <v>0.64</v>
      </c>
      <c r="D34" s="9">
        <v>6.2</v>
      </c>
      <c r="E34" s="9">
        <f>(C34*D34)</f>
        <v>3.9680000000000004</v>
      </c>
      <c r="F34" s="16">
        <f>(E34*$F$2)</f>
        <v>45205.440000000002</v>
      </c>
    </row>
    <row r="35" spans="1:6">
      <c r="A35" s="3" t="s">
        <v>421</v>
      </c>
      <c r="B35" s="9" t="s">
        <v>422</v>
      </c>
      <c r="C35" s="90">
        <v>0.81</v>
      </c>
      <c r="D35" s="9">
        <v>6.05</v>
      </c>
      <c r="E35" s="9">
        <f>(C35*D35)</f>
        <v>4.9005000000000001</v>
      </c>
      <c r="F35" s="16">
        <f>(E35*$F$2)</f>
        <v>55828.946250000001</v>
      </c>
    </row>
    <row r="36" spans="1:6">
      <c r="A36" s="3"/>
      <c r="B36" s="9"/>
      <c r="C36" s="90"/>
      <c r="D36" s="9"/>
      <c r="E36" s="9"/>
      <c r="F36" s="16"/>
    </row>
    <row r="37" spans="1:6">
      <c r="A37" s="3" t="s">
        <v>441</v>
      </c>
      <c r="B37" s="9" t="s">
        <v>813</v>
      </c>
      <c r="C37" s="90">
        <v>0.41899999999999998</v>
      </c>
      <c r="D37" s="9">
        <v>6.05</v>
      </c>
      <c r="E37" s="9">
        <f t="shared" ref="E37:E47" si="2">(C37*D37)</f>
        <v>2.5349499999999998</v>
      </c>
      <c r="F37" s="16">
        <f t="shared" ref="F37:F47" si="3">(E37*$F$2)</f>
        <v>28879.417874999999</v>
      </c>
    </row>
    <row r="38" spans="1:6">
      <c r="A38" s="3" t="s">
        <v>815</v>
      </c>
      <c r="B38" s="9" t="s">
        <v>816</v>
      </c>
      <c r="C38" s="90">
        <v>1.35</v>
      </c>
      <c r="D38" s="9">
        <v>6.05</v>
      </c>
      <c r="E38" s="9">
        <f t="shared" si="2"/>
        <v>8.1675000000000004</v>
      </c>
      <c r="F38" s="16">
        <f t="shared" si="3"/>
        <v>93048.243750000009</v>
      </c>
    </row>
    <row r="39" spans="1:6">
      <c r="A39" s="3" t="s">
        <v>435</v>
      </c>
      <c r="B39" s="9" t="s">
        <v>818</v>
      </c>
      <c r="C39" s="90">
        <v>1.0369999999999999</v>
      </c>
      <c r="D39" s="9">
        <v>6.05</v>
      </c>
      <c r="E39" s="9">
        <f t="shared" si="2"/>
        <v>6.2738499999999995</v>
      </c>
      <c r="F39" s="16">
        <f t="shared" si="3"/>
        <v>71474.836124999987</v>
      </c>
    </row>
    <row r="40" spans="1:6">
      <c r="A40" s="3" t="s">
        <v>820</v>
      </c>
      <c r="B40" s="9" t="s">
        <v>821</v>
      </c>
      <c r="C40" s="90">
        <v>0.19400000000000001</v>
      </c>
      <c r="D40" s="9">
        <v>6.05</v>
      </c>
      <c r="E40" s="9">
        <f t="shared" si="2"/>
        <v>1.1737</v>
      </c>
      <c r="F40" s="16">
        <f t="shared" si="3"/>
        <v>13371.37725</v>
      </c>
    </row>
    <row r="41" spans="1:6">
      <c r="A41" s="8" t="s">
        <v>492</v>
      </c>
      <c r="B41" s="9" t="s">
        <v>493</v>
      </c>
      <c r="C41" s="90">
        <v>0.81799999999999995</v>
      </c>
      <c r="D41" s="9">
        <v>6.05</v>
      </c>
      <c r="E41" s="9">
        <f t="shared" si="2"/>
        <v>4.9488999999999992</v>
      </c>
      <c r="F41" s="16">
        <f t="shared" si="3"/>
        <v>56380.343249999991</v>
      </c>
    </row>
    <row r="42" spans="1:6">
      <c r="A42" s="3" t="s">
        <v>445</v>
      </c>
      <c r="B42" s="9" t="s">
        <v>822</v>
      </c>
      <c r="C42" s="90">
        <v>0.65500000000000003</v>
      </c>
      <c r="D42" s="9">
        <v>6.2</v>
      </c>
      <c r="E42" s="9">
        <f t="shared" si="2"/>
        <v>4.0609999999999999</v>
      </c>
      <c r="F42" s="16">
        <f t="shared" si="3"/>
        <v>46264.942499999997</v>
      </c>
    </row>
    <row r="43" spans="1:6">
      <c r="A43" s="3" t="s">
        <v>468</v>
      </c>
      <c r="B43" s="9" t="s">
        <v>814</v>
      </c>
      <c r="C43" s="90">
        <v>0.25700000000000001</v>
      </c>
      <c r="D43" s="9">
        <v>6.05</v>
      </c>
      <c r="E43" s="9">
        <f t="shared" si="2"/>
        <v>1.5548500000000001</v>
      </c>
      <c r="F43" s="16">
        <f t="shared" si="3"/>
        <v>17713.628625000001</v>
      </c>
    </row>
    <row r="44" spans="1:6">
      <c r="A44" s="3" t="s">
        <v>476</v>
      </c>
      <c r="B44" s="9" t="s">
        <v>817</v>
      </c>
      <c r="C44" s="90">
        <v>0.72</v>
      </c>
      <c r="D44" s="9">
        <v>6.05</v>
      </c>
      <c r="E44" s="9">
        <f t="shared" si="2"/>
        <v>4.3559999999999999</v>
      </c>
      <c r="F44" s="16">
        <f t="shared" si="3"/>
        <v>49625.729999999996</v>
      </c>
    </row>
    <row r="45" spans="1:6">
      <c r="A45" s="3" t="s">
        <v>464</v>
      </c>
      <c r="B45" s="9" t="s">
        <v>819</v>
      </c>
      <c r="C45" s="90">
        <v>0.186</v>
      </c>
      <c r="D45" s="9">
        <v>6.15</v>
      </c>
      <c r="E45" s="9">
        <f t="shared" si="2"/>
        <v>1.1439000000000001</v>
      </c>
      <c r="F45" s="16">
        <f t="shared" si="3"/>
        <v>13031.880750000002</v>
      </c>
    </row>
    <row r="46" spans="1:6">
      <c r="A46" s="3" t="s">
        <v>462</v>
      </c>
      <c r="B46" s="9" t="s">
        <v>335</v>
      </c>
      <c r="C46" s="90">
        <v>0.36899999999999999</v>
      </c>
      <c r="D46" s="9">
        <v>6.15</v>
      </c>
      <c r="E46" s="9">
        <f t="shared" si="2"/>
        <v>2.2693500000000002</v>
      </c>
      <c r="F46" s="16">
        <f t="shared" si="3"/>
        <v>25853.569875000001</v>
      </c>
    </row>
    <row r="47" spans="1:6">
      <c r="A47" s="3" t="s">
        <v>473</v>
      </c>
      <c r="B47" s="9" t="s">
        <v>823</v>
      </c>
      <c r="C47" s="90">
        <v>0.68600000000000005</v>
      </c>
      <c r="D47" s="9">
        <v>6.15</v>
      </c>
      <c r="E47" s="9">
        <f t="shared" si="2"/>
        <v>4.2189000000000005</v>
      </c>
      <c r="F47" s="16">
        <f t="shared" si="3"/>
        <v>48063.818250000004</v>
      </c>
    </row>
    <row r="48" spans="1:6">
      <c r="A48" s="3"/>
      <c r="B48" s="9"/>
      <c r="C48" s="90"/>
      <c r="D48" s="9"/>
      <c r="E48" s="4"/>
      <c r="F48" s="16"/>
    </row>
    <row r="49" spans="1:6">
      <c r="A49" s="3" t="s">
        <v>456</v>
      </c>
      <c r="B49" s="9" t="s">
        <v>457</v>
      </c>
      <c r="C49" s="90">
        <v>1.333</v>
      </c>
      <c r="D49" s="9">
        <v>6.15</v>
      </c>
      <c r="E49" s="4">
        <f t="shared" ref="E49:E80" si="4">(C49*D49)</f>
        <v>8.1979500000000005</v>
      </c>
      <c r="F49" s="16">
        <f t="shared" ref="F49:F80" si="5">(E49*$F$2)</f>
        <v>93395.145375000007</v>
      </c>
    </row>
    <row r="50" spans="1:6">
      <c r="A50" s="3" t="s">
        <v>458</v>
      </c>
      <c r="B50" s="9" t="s">
        <v>459</v>
      </c>
      <c r="C50" s="90">
        <v>0.68</v>
      </c>
      <c r="D50" s="9">
        <v>6.15</v>
      </c>
      <c r="E50" s="4">
        <f t="shared" si="4"/>
        <v>4.1820000000000004</v>
      </c>
      <c r="F50" s="16">
        <f t="shared" si="5"/>
        <v>47643.435000000005</v>
      </c>
    </row>
    <row r="51" spans="1:6">
      <c r="A51" s="3" t="s">
        <v>460</v>
      </c>
      <c r="B51" s="9" t="s">
        <v>333</v>
      </c>
      <c r="C51" s="90">
        <v>0.71099999999999997</v>
      </c>
      <c r="D51" s="9">
        <v>6.15</v>
      </c>
      <c r="E51" s="4">
        <f t="shared" si="4"/>
        <v>4.3726500000000001</v>
      </c>
      <c r="F51" s="16">
        <f t="shared" si="5"/>
        <v>49815.415125</v>
      </c>
    </row>
    <row r="52" spans="1:6">
      <c r="A52" s="3" t="s">
        <v>461</v>
      </c>
      <c r="B52" s="9" t="s">
        <v>463</v>
      </c>
      <c r="C52" s="90">
        <v>0.70699999999999996</v>
      </c>
      <c r="D52" s="9">
        <v>6</v>
      </c>
      <c r="E52" s="4">
        <f t="shared" si="4"/>
        <v>4.242</v>
      </c>
      <c r="F52" s="16">
        <f t="shared" si="5"/>
        <v>48326.985000000001</v>
      </c>
    </row>
    <row r="53" spans="1:6">
      <c r="A53" s="3" t="s">
        <v>462</v>
      </c>
      <c r="B53" s="9" t="s">
        <v>335</v>
      </c>
      <c r="C53" s="90">
        <v>0.38200000000000001</v>
      </c>
      <c r="D53" s="9">
        <v>6.15</v>
      </c>
      <c r="E53" s="4">
        <f t="shared" si="4"/>
        <v>2.3493000000000004</v>
      </c>
      <c r="F53" s="16">
        <f t="shared" si="5"/>
        <v>26764.400250000006</v>
      </c>
    </row>
    <row r="54" spans="1:6">
      <c r="A54" s="3" t="s">
        <v>464</v>
      </c>
      <c r="B54" s="9" t="s">
        <v>465</v>
      </c>
      <c r="C54" s="90">
        <v>0.19</v>
      </c>
      <c r="D54" s="9">
        <v>6.15</v>
      </c>
      <c r="E54" s="4">
        <f t="shared" si="4"/>
        <v>1.1685000000000001</v>
      </c>
      <c r="F54" s="16">
        <f t="shared" si="5"/>
        <v>13312.136250000001</v>
      </c>
    </row>
    <row r="55" spans="1:6">
      <c r="A55" s="3" t="s">
        <v>466</v>
      </c>
      <c r="B55" s="9" t="s">
        <v>337</v>
      </c>
      <c r="C55" s="90">
        <v>0.623</v>
      </c>
      <c r="D55" s="9">
        <v>6.15</v>
      </c>
      <c r="E55" s="4">
        <f t="shared" si="4"/>
        <v>3.8314500000000002</v>
      </c>
      <c r="F55" s="16">
        <f t="shared" si="5"/>
        <v>43649.794125</v>
      </c>
    </row>
    <row r="56" spans="1:6">
      <c r="A56" s="3" t="s">
        <v>467</v>
      </c>
      <c r="B56" s="9" t="s">
        <v>338</v>
      </c>
      <c r="C56" s="90">
        <v>1.262</v>
      </c>
      <c r="D56" s="9">
        <v>6.15</v>
      </c>
      <c r="E56" s="4">
        <f t="shared" si="4"/>
        <v>7.7613000000000003</v>
      </c>
      <c r="F56" s="16">
        <f t="shared" si="5"/>
        <v>88420.610249999998</v>
      </c>
    </row>
    <row r="57" spans="1:6">
      <c r="A57" s="3" t="s">
        <v>468</v>
      </c>
      <c r="B57" s="9" t="s">
        <v>469</v>
      </c>
      <c r="C57" s="90">
        <v>0.23200000000000001</v>
      </c>
      <c r="D57" s="9">
        <v>6.05</v>
      </c>
      <c r="E57" s="4">
        <f t="shared" si="4"/>
        <v>1.4036</v>
      </c>
      <c r="F57" s="16">
        <f t="shared" si="5"/>
        <v>15990.512999999999</v>
      </c>
    </row>
    <row r="58" spans="1:6">
      <c r="A58" s="3" t="s">
        <v>470</v>
      </c>
      <c r="B58" s="9" t="s">
        <v>339</v>
      </c>
      <c r="C58" s="90">
        <v>1.0880000000000001</v>
      </c>
      <c r="D58" s="9">
        <v>6.15</v>
      </c>
      <c r="E58" s="4">
        <f t="shared" si="4"/>
        <v>6.6912000000000011</v>
      </c>
      <c r="F58" s="16">
        <f t="shared" si="5"/>
        <v>76229.496000000014</v>
      </c>
    </row>
    <row r="59" spans="1:6">
      <c r="A59" s="8" t="s">
        <v>471</v>
      </c>
      <c r="B59" s="9" t="s">
        <v>472</v>
      </c>
      <c r="C59" s="90">
        <v>0.86199999999999999</v>
      </c>
      <c r="D59" s="9">
        <v>6.15</v>
      </c>
      <c r="E59" s="9">
        <f t="shared" si="4"/>
        <v>5.3013000000000003</v>
      </c>
      <c r="F59" s="17">
        <f t="shared" si="5"/>
        <v>60395.060250000002</v>
      </c>
    </row>
    <row r="60" spans="1:6">
      <c r="A60" s="3" t="s">
        <v>473</v>
      </c>
      <c r="B60" s="9" t="s">
        <v>341</v>
      </c>
      <c r="C60" s="90">
        <v>0.72799999999999998</v>
      </c>
      <c r="D60" s="9">
        <v>6.15</v>
      </c>
      <c r="E60" s="4">
        <f t="shared" si="4"/>
        <v>4.4771999999999998</v>
      </c>
      <c r="F60" s="16">
        <f t="shared" si="5"/>
        <v>51006.500999999997</v>
      </c>
    </row>
    <row r="61" spans="1:6">
      <c r="A61" s="3" t="s">
        <v>474</v>
      </c>
      <c r="B61" s="9" t="s">
        <v>342</v>
      </c>
      <c r="C61" s="90">
        <v>1.1499999999999999</v>
      </c>
      <c r="D61" s="9">
        <v>6.05</v>
      </c>
      <c r="E61" s="4">
        <f t="shared" si="4"/>
        <v>6.9574999999999996</v>
      </c>
      <c r="F61" s="16">
        <f t="shared" si="5"/>
        <v>79263.318749999991</v>
      </c>
    </row>
    <row r="62" spans="1:6">
      <c r="A62" s="3" t="s">
        <v>475</v>
      </c>
      <c r="B62" s="9" t="s">
        <v>343</v>
      </c>
      <c r="C62" s="90">
        <v>1.77</v>
      </c>
      <c r="D62" s="9">
        <v>6.05</v>
      </c>
      <c r="E62" s="4">
        <f t="shared" si="4"/>
        <v>10.708499999999999</v>
      </c>
      <c r="F62" s="16">
        <f t="shared" si="5"/>
        <v>121996.58624999999</v>
      </c>
    </row>
    <row r="63" spans="1:6">
      <c r="A63" s="3" t="s">
        <v>476</v>
      </c>
      <c r="B63" s="9" t="s">
        <v>344</v>
      </c>
      <c r="C63" s="90">
        <v>0.77300000000000002</v>
      </c>
      <c r="D63" s="9">
        <v>6.05</v>
      </c>
      <c r="E63" s="4">
        <f t="shared" si="4"/>
        <v>4.6766500000000004</v>
      </c>
      <c r="F63" s="16">
        <f t="shared" si="5"/>
        <v>53278.735125000007</v>
      </c>
    </row>
    <row r="64" spans="1:6">
      <c r="A64" s="8" t="s">
        <v>496</v>
      </c>
      <c r="B64" s="9" t="s">
        <v>345</v>
      </c>
      <c r="C64" s="90">
        <v>0.187</v>
      </c>
      <c r="D64" s="9">
        <v>6</v>
      </c>
      <c r="E64" s="9">
        <f t="shared" si="4"/>
        <v>1.1219999999999999</v>
      </c>
      <c r="F64" s="17">
        <f t="shared" si="5"/>
        <v>12782.384999999998</v>
      </c>
    </row>
    <row r="65" spans="1:6">
      <c r="A65" s="3" t="s">
        <v>477</v>
      </c>
      <c r="B65" s="9" t="s">
        <v>478</v>
      </c>
      <c r="C65" s="90">
        <v>1.728</v>
      </c>
      <c r="D65" s="9">
        <v>6.15</v>
      </c>
      <c r="E65" s="4">
        <f t="shared" si="4"/>
        <v>10.6272</v>
      </c>
      <c r="F65" s="16">
        <f t="shared" si="5"/>
        <v>121070.376</v>
      </c>
    </row>
    <row r="66" spans="1:6">
      <c r="A66" s="3" t="s">
        <v>479</v>
      </c>
      <c r="B66" s="9" t="s">
        <v>480</v>
      </c>
      <c r="C66" s="90">
        <v>0.90500000000000003</v>
      </c>
      <c r="D66" s="9">
        <v>6.15</v>
      </c>
      <c r="E66" s="4">
        <f t="shared" si="4"/>
        <v>5.5657500000000004</v>
      </c>
      <c r="F66" s="16">
        <f t="shared" si="5"/>
        <v>63407.806875000002</v>
      </c>
    </row>
    <row r="67" spans="1:6">
      <c r="A67" s="8" t="s">
        <v>500</v>
      </c>
      <c r="B67" s="9" t="s">
        <v>501</v>
      </c>
      <c r="C67" s="90">
        <v>0.62</v>
      </c>
      <c r="D67" s="9">
        <v>6.15</v>
      </c>
      <c r="E67" s="9">
        <f t="shared" si="4"/>
        <v>3.8130000000000002</v>
      </c>
      <c r="F67" s="17">
        <f t="shared" si="5"/>
        <v>43439.602500000001</v>
      </c>
    </row>
    <row r="68" spans="1:6">
      <c r="A68" s="8" t="s">
        <v>499</v>
      </c>
      <c r="B68" s="9" t="s">
        <v>349</v>
      </c>
      <c r="C68" s="90">
        <v>0.63500000000000001</v>
      </c>
      <c r="D68" s="9">
        <v>6.15</v>
      </c>
      <c r="E68" s="9">
        <f t="shared" si="4"/>
        <v>3.9052500000000001</v>
      </c>
      <c r="F68" s="17">
        <f t="shared" si="5"/>
        <v>44490.560624999998</v>
      </c>
    </row>
    <row r="69" spans="1:6">
      <c r="A69" s="610" t="s">
        <v>322</v>
      </c>
      <c r="B69" s="611" t="s">
        <v>350</v>
      </c>
      <c r="C69" s="612">
        <v>0.29199999999999998</v>
      </c>
      <c r="D69" s="611">
        <v>6.03</v>
      </c>
      <c r="E69" s="611">
        <f t="shared" si="4"/>
        <v>1.7607599999999999</v>
      </c>
      <c r="F69" s="613">
        <f t="shared" si="5"/>
        <v>20059.458299999998</v>
      </c>
    </row>
    <row r="70" spans="1:6">
      <c r="A70" s="3" t="s">
        <v>481</v>
      </c>
      <c r="B70" s="9" t="s">
        <v>351</v>
      </c>
      <c r="C70" s="90">
        <v>0.67500000000000004</v>
      </c>
      <c r="D70" s="9">
        <v>6.15</v>
      </c>
      <c r="E70" s="4">
        <f t="shared" si="4"/>
        <v>4.1512500000000001</v>
      </c>
      <c r="F70" s="16">
        <f t="shared" si="5"/>
        <v>47293.115624999999</v>
      </c>
    </row>
    <row r="71" spans="1:6">
      <c r="A71" s="3" t="s">
        <v>482</v>
      </c>
      <c r="B71" s="9" t="s">
        <v>352</v>
      </c>
      <c r="C71" s="90">
        <v>0.67400000000000004</v>
      </c>
      <c r="D71" s="9">
        <v>6</v>
      </c>
      <c r="E71" s="4">
        <f t="shared" si="4"/>
        <v>4.0440000000000005</v>
      </c>
      <c r="F71" s="16">
        <f t="shared" si="5"/>
        <v>46071.270000000004</v>
      </c>
    </row>
    <row r="72" spans="1:6">
      <c r="A72" s="3" t="s">
        <v>483</v>
      </c>
      <c r="B72" s="9" t="s">
        <v>353</v>
      </c>
      <c r="C72" s="90">
        <v>0.59</v>
      </c>
      <c r="D72" s="9">
        <v>6.15</v>
      </c>
      <c r="E72" s="4">
        <f t="shared" si="4"/>
        <v>3.6284999999999998</v>
      </c>
      <c r="F72" s="16">
        <f t="shared" si="5"/>
        <v>41337.686249999999</v>
      </c>
    </row>
    <row r="73" spans="1:6">
      <c r="A73" s="3" t="s">
        <v>484</v>
      </c>
      <c r="B73" s="9" t="s">
        <v>354</v>
      </c>
      <c r="C73" s="90">
        <v>1.2290000000000001</v>
      </c>
      <c r="D73" s="9">
        <v>6</v>
      </c>
      <c r="E73" s="4">
        <f t="shared" si="4"/>
        <v>7.3740000000000006</v>
      </c>
      <c r="F73" s="16">
        <f t="shared" si="5"/>
        <v>84008.295000000013</v>
      </c>
    </row>
    <row r="74" spans="1:6">
      <c r="A74" s="3" t="s">
        <v>485</v>
      </c>
      <c r="B74" s="9" t="s">
        <v>355</v>
      </c>
      <c r="C74" s="90">
        <v>0.317</v>
      </c>
      <c r="D74" s="9">
        <v>6.05</v>
      </c>
      <c r="E74" s="4">
        <f t="shared" si="4"/>
        <v>1.9178500000000001</v>
      </c>
      <c r="F74" s="16">
        <f t="shared" si="5"/>
        <v>21849.106125000002</v>
      </c>
    </row>
    <row r="75" spans="1:6">
      <c r="A75" s="8" t="s">
        <v>486</v>
      </c>
      <c r="B75" s="9" t="s">
        <v>487</v>
      </c>
      <c r="C75" s="90">
        <v>0.20599999999999999</v>
      </c>
      <c r="D75" s="9">
        <v>6</v>
      </c>
      <c r="E75" s="9">
        <f t="shared" si="4"/>
        <v>1.236</v>
      </c>
      <c r="F75" s="17">
        <f t="shared" si="5"/>
        <v>14081.13</v>
      </c>
    </row>
    <row r="76" spans="1:6">
      <c r="A76" s="8" t="s">
        <v>488</v>
      </c>
      <c r="B76" s="9" t="s">
        <v>489</v>
      </c>
      <c r="C76" s="90">
        <v>0.16</v>
      </c>
      <c r="D76" s="9">
        <v>6</v>
      </c>
      <c r="E76" s="9">
        <f t="shared" si="4"/>
        <v>0.96</v>
      </c>
      <c r="F76" s="17">
        <f t="shared" si="5"/>
        <v>10936.8</v>
      </c>
    </row>
    <row r="77" spans="1:6">
      <c r="A77" s="8" t="s">
        <v>490</v>
      </c>
      <c r="B77" s="9" t="s">
        <v>491</v>
      </c>
      <c r="C77" s="90">
        <v>0.182</v>
      </c>
      <c r="D77" s="9">
        <v>6</v>
      </c>
      <c r="E77" s="9">
        <f t="shared" si="4"/>
        <v>1.0920000000000001</v>
      </c>
      <c r="F77" s="17">
        <f t="shared" si="5"/>
        <v>12440.61</v>
      </c>
    </row>
    <row r="78" spans="1:6">
      <c r="A78" s="8" t="s">
        <v>498</v>
      </c>
      <c r="B78" s="9" t="s">
        <v>366</v>
      </c>
      <c r="C78" s="90">
        <v>0.30499999999999999</v>
      </c>
      <c r="D78" s="9">
        <v>6.15</v>
      </c>
      <c r="E78" s="9">
        <f t="shared" si="4"/>
        <v>1.87575</v>
      </c>
      <c r="F78" s="17">
        <f t="shared" si="5"/>
        <v>21369.481875000001</v>
      </c>
    </row>
    <row r="79" spans="1:6">
      <c r="A79" s="191" t="s">
        <v>502</v>
      </c>
      <c r="B79" s="192" t="s">
        <v>409</v>
      </c>
      <c r="C79" s="193">
        <v>1.099</v>
      </c>
      <c r="D79" s="192">
        <v>6.15</v>
      </c>
      <c r="E79" s="192">
        <f t="shared" si="4"/>
        <v>6.7588500000000007</v>
      </c>
      <c r="F79" s="194">
        <f t="shared" si="5"/>
        <v>77000.198625000005</v>
      </c>
    </row>
    <row r="80" spans="1:6" ht="15.75" thickBot="1">
      <c r="A80" s="195" t="s">
        <v>497</v>
      </c>
      <c r="B80" s="18" t="s">
        <v>407</v>
      </c>
      <c r="C80" s="148">
        <v>0.79900000000000004</v>
      </c>
      <c r="D80" s="18">
        <v>6.05</v>
      </c>
      <c r="E80" s="18">
        <f t="shared" si="4"/>
        <v>4.8339499999999997</v>
      </c>
      <c r="F80" s="196">
        <f t="shared" si="5"/>
        <v>55070.775374999997</v>
      </c>
    </row>
    <row r="81" spans="1:16" ht="15.75" thickBot="1"/>
    <row r="82" spans="1:16" ht="30" customHeight="1" thickBot="1">
      <c r="A82" s="810" t="s">
        <v>51</v>
      </c>
      <c r="B82" s="811"/>
      <c r="C82" s="811"/>
      <c r="D82" s="812"/>
      <c r="E82" s="14"/>
    </row>
    <row r="83" spans="1:16" ht="16.5" thickBot="1">
      <c r="A83" s="7" t="s">
        <v>49</v>
      </c>
      <c r="B83" s="7" t="s">
        <v>50</v>
      </c>
      <c r="C83" s="7" t="s">
        <v>54</v>
      </c>
      <c r="D83" s="7" t="s">
        <v>67</v>
      </c>
      <c r="E83" s="15"/>
      <c r="F83" s="9"/>
      <c r="G83" s="9"/>
      <c r="H83" s="9"/>
      <c r="I83" s="9"/>
    </row>
    <row r="84" spans="1:16" ht="15.75" thickBot="1">
      <c r="A84" s="813"/>
      <c r="B84" s="814"/>
      <c r="C84" s="814"/>
      <c r="D84" s="815"/>
      <c r="E84" s="13"/>
      <c r="F84" s="9"/>
      <c r="G84" s="9"/>
      <c r="H84" s="9"/>
      <c r="I84" s="9"/>
      <c r="M84" s="9"/>
      <c r="N84" s="9"/>
    </row>
    <row r="85" spans="1:16" ht="15.75" thickBot="1">
      <c r="A85" s="33" t="s">
        <v>52</v>
      </c>
      <c r="B85" s="220" t="s">
        <v>53</v>
      </c>
      <c r="C85" s="34" t="s">
        <v>61</v>
      </c>
      <c r="D85" s="63">
        <v>7400</v>
      </c>
      <c r="E85" s="9" t="s">
        <v>928</v>
      </c>
      <c r="F85" s="647"/>
      <c r="G85" s="661"/>
      <c r="H85" s="661"/>
      <c r="I85" s="9"/>
      <c r="L85" s="77"/>
      <c r="M85" s="77"/>
      <c r="N85" s="9"/>
      <c r="O85" s="77"/>
      <c r="P85" s="754"/>
    </row>
    <row r="86" spans="1:16" ht="15.75" thickBot="1">
      <c r="A86" s="219" t="s">
        <v>55</v>
      </c>
      <c r="B86" s="220" t="s">
        <v>58</v>
      </c>
      <c r="C86" s="220" t="s">
        <v>61</v>
      </c>
      <c r="D86" s="63">
        <v>8820</v>
      </c>
      <c r="E86" s="9" t="s">
        <v>928</v>
      </c>
      <c r="F86" s="724"/>
      <c r="G86" s="661"/>
      <c r="H86" s="661"/>
      <c r="I86" s="9"/>
      <c r="L86" s="77"/>
      <c r="M86" s="77"/>
      <c r="N86" s="9"/>
      <c r="O86" s="77"/>
      <c r="P86" s="754"/>
    </row>
    <row r="87" spans="1:16">
      <c r="A87" s="680" t="s">
        <v>56</v>
      </c>
      <c r="B87" s="679" t="s">
        <v>59</v>
      </c>
      <c r="C87" s="679" t="s">
        <v>61</v>
      </c>
      <c r="D87" s="681">
        <v>11220</v>
      </c>
      <c r="E87" s="9" t="s">
        <v>928</v>
      </c>
      <c r="F87" s="9"/>
      <c r="G87" s="661"/>
      <c r="H87" s="661"/>
      <c r="I87" s="9"/>
      <c r="L87" s="77"/>
      <c r="M87" s="77"/>
      <c r="N87" s="9"/>
      <c r="O87" s="77"/>
      <c r="P87" s="754"/>
    </row>
    <row r="88" spans="1:16">
      <c r="A88" s="8" t="s">
        <v>57</v>
      </c>
      <c r="B88" s="9" t="s">
        <v>60</v>
      </c>
      <c r="C88" s="9" t="s">
        <v>61</v>
      </c>
      <c r="D88" s="678">
        <v>14800</v>
      </c>
      <c r="E88" s="9" t="s">
        <v>928</v>
      </c>
      <c r="F88" s="9"/>
      <c r="G88" s="661"/>
      <c r="H88" s="661"/>
      <c r="I88" s="9"/>
      <c r="L88" s="77"/>
      <c r="M88" s="77"/>
      <c r="N88" s="9"/>
      <c r="O88" s="77"/>
      <c r="P88" s="754"/>
    </row>
    <row r="89" spans="1:16">
      <c r="A89" s="8" t="s">
        <v>68</v>
      </c>
      <c r="B89" s="9" t="s">
        <v>70</v>
      </c>
      <c r="C89" s="9" t="s">
        <v>61</v>
      </c>
      <c r="D89" s="678">
        <v>29900</v>
      </c>
      <c r="E89" s="9" t="s">
        <v>928</v>
      </c>
      <c r="F89" s="9"/>
      <c r="G89" s="661"/>
      <c r="H89" s="661"/>
      <c r="I89" s="9"/>
      <c r="L89" s="77"/>
      <c r="M89" s="77"/>
      <c r="N89" s="9"/>
      <c r="O89" s="77"/>
      <c r="P89" s="754"/>
    </row>
    <row r="90" spans="1:16">
      <c r="A90" s="8" t="s">
        <v>69</v>
      </c>
      <c r="B90" s="9" t="s">
        <v>71</v>
      </c>
      <c r="C90" s="9" t="s">
        <v>61</v>
      </c>
      <c r="D90" s="678">
        <v>37900</v>
      </c>
      <c r="E90" s="9" t="s">
        <v>928</v>
      </c>
      <c r="F90" s="731"/>
      <c r="G90" s="661"/>
      <c r="H90" s="661"/>
      <c r="I90" s="9"/>
      <c r="L90" s="77"/>
      <c r="M90" s="77"/>
      <c r="N90" s="9"/>
      <c r="O90" s="77"/>
      <c r="P90" s="754"/>
    </row>
    <row r="91" spans="1:16" ht="15.75" thickBot="1">
      <c r="A91" s="195"/>
      <c r="B91" s="18"/>
      <c r="C91" s="18"/>
      <c r="D91" s="677">
        <v>0</v>
      </c>
      <c r="E91" s="4"/>
      <c r="F91" s="730"/>
      <c r="G91" s="661"/>
      <c r="H91" s="661"/>
      <c r="I91" s="9"/>
      <c r="L91" s="77"/>
      <c r="M91" s="77"/>
      <c r="N91" s="9"/>
      <c r="O91" s="77"/>
      <c r="P91" s="754"/>
    </row>
    <row r="92" spans="1:16" ht="15.75" thickBot="1">
      <c r="A92" s="222" t="s">
        <v>94</v>
      </c>
      <c r="B92" s="218" t="s">
        <v>72</v>
      </c>
      <c r="C92" s="218" t="s">
        <v>61</v>
      </c>
      <c r="D92" s="63">
        <v>36150</v>
      </c>
      <c r="E92" s="9" t="s">
        <v>928</v>
      </c>
      <c r="F92" s="143"/>
      <c r="G92" s="661"/>
      <c r="H92" s="661"/>
      <c r="I92" s="9"/>
      <c r="L92" s="77"/>
      <c r="M92" s="77"/>
      <c r="N92" s="9"/>
      <c r="O92" s="77"/>
      <c r="P92" s="754"/>
    </row>
    <row r="93" spans="1:16">
      <c r="A93" s="680" t="s">
        <v>95</v>
      </c>
      <c r="B93" s="679" t="s">
        <v>73</v>
      </c>
      <c r="C93" s="679" t="s">
        <v>61</v>
      </c>
      <c r="D93" s="681">
        <v>47600</v>
      </c>
      <c r="E93" s="9" t="s">
        <v>928</v>
      </c>
      <c r="F93" s="143"/>
      <c r="G93" s="661"/>
      <c r="H93" s="661"/>
      <c r="I93" s="9"/>
      <c r="L93" s="77"/>
      <c r="M93" s="77"/>
      <c r="N93" s="9"/>
      <c r="O93" s="77"/>
      <c r="P93" s="754"/>
    </row>
    <row r="94" spans="1:16">
      <c r="A94" s="8" t="s">
        <v>96</v>
      </c>
      <c r="B94" s="9" t="s">
        <v>74</v>
      </c>
      <c r="C94" s="9" t="s">
        <v>61</v>
      </c>
      <c r="D94" s="678">
        <v>59000</v>
      </c>
      <c r="E94" s="9" t="s">
        <v>928</v>
      </c>
      <c r="F94" s="143"/>
      <c r="G94" s="661"/>
      <c r="H94" s="661"/>
      <c r="I94" s="9"/>
      <c r="L94" s="77"/>
      <c r="M94" s="77"/>
      <c r="N94" s="9"/>
      <c r="O94" s="77"/>
      <c r="P94" s="754"/>
    </row>
    <row r="95" spans="1:16">
      <c r="A95" s="8" t="s">
        <v>97</v>
      </c>
      <c r="B95" s="9" t="s">
        <v>75</v>
      </c>
      <c r="C95" s="9" t="s">
        <v>61</v>
      </c>
      <c r="D95" s="678">
        <v>68000</v>
      </c>
      <c r="E95" s="9" t="s">
        <v>928</v>
      </c>
      <c r="F95" s="9"/>
      <c r="G95" s="661"/>
      <c r="H95" s="661"/>
      <c r="I95" s="9"/>
      <c r="L95" s="77"/>
      <c r="M95" s="77"/>
      <c r="N95" s="9"/>
      <c r="O95" s="77"/>
      <c r="P95" s="754"/>
    </row>
    <row r="96" spans="1:16" ht="15.75" thickBot="1">
      <c r="A96" s="195"/>
      <c r="B96" s="18"/>
      <c r="C96" s="18"/>
      <c r="D96" s="677">
        <v>0</v>
      </c>
      <c r="E96" s="4"/>
      <c r="F96" s="9"/>
      <c r="G96" s="661"/>
      <c r="H96" s="661"/>
      <c r="I96" s="9"/>
      <c r="L96" s="77"/>
      <c r="M96" s="77"/>
      <c r="N96" s="9"/>
      <c r="O96" s="77"/>
      <c r="P96" s="754"/>
    </row>
    <row r="97" spans="1:16" ht="15.75" thickBot="1">
      <c r="A97" s="24" t="s">
        <v>98</v>
      </c>
      <c r="B97" s="25" t="s">
        <v>76</v>
      </c>
      <c r="C97" s="25" t="s">
        <v>61</v>
      </c>
      <c r="D97" s="732">
        <v>12500</v>
      </c>
      <c r="E97" s="9" t="s">
        <v>928</v>
      </c>
      <c r="F97" s="9"/>
      <c r="G97" s="661"/>
      <c r="H97" s="661"/>
      <c r="I97" s="9"/>
      <c r="L97" s="77"/>
      <c r="M97" s="77"/>
      <c r="N97" s="9"/>
      <c r="O97" s="77"/>
      <c r="P97" s="754"/>
    </row>
    <row r="98" spans="1:16" ht="15.75" thickBot="1">
      <c r="A98" s="27" t="s">
        <v>99</v>
      </c>
      <c r="B98" s="28" t="s">
        <v>897</v>
      </c>
      <c r="C98" s="28" t="s">
        <v>61</v>
      </c>
      <c r="D98" s="732">
        <v>12500</v>
      </c>
      <c r="E98" s="9" t="s">
        <v>928</v>
      </c>
      <c r="F98" s="9"/>
      <c r="G98" s="661"/>
      <c r="H98" s="661"/>
      <c r="I98" s="9"/>
      <c r="L98" s="77"/>
      <c r="M98" s="77"/>
      <c r="N98" s="9"/>
      <c r="O98" s="77"/>
      <c r="P98" s="754"/>
    </row>
    <row r="99" spans="1:16">
      <c r="A99" s="680"/>
      <c r="B99" s="679"/>
      <c r="C99" s="679"/>
      <c r="D99" s="681">
        <v>0</v>
      </c>
      <c r="E99" s="4"/>
      <c r="F99" s="9"/>
      <c r="G99" s="9"/>
      <c r="H99" s="661"/>
      <c r="I99" s="9"/>
      <c r="L99" s="77"/>
      <c r="M99" s="77"/>
      <c r="N99" s="9"/>
      <c r="O99" s="77"/>
      <c r="P99" s="754"/>
    </row>
    <row r="100" spans="1:16">
      <c r="A100" s="8" t="s">
        <v>100</v>
      </c>
      <c r="B100" s="9" t="s">
        <v>77</v>
      </c>
      <c r="C100" s="9" t="s">
        <v>61</v>
      </c>
      <c r="D100" s="678">
        <v>0</v>
      </c>
      <c r="E100" s="4"/>
      <c r="F100" s="9"/>
      <c r="G100" s="9"/>
      <c r="H100" s="661"/>
      <c r="I100" s="9"/>
      <c r="L100" s="77"/>
      <c r="M100" s="77"/>
      <c r="N100" s="9"/>
      <c r="O100" s="77"/>
      <c r="P100" s="754"/>
    </row>
    <row r="101" spans="1:16">
      <c r="A101" s="8" t="s">
        <v>101</v>
      </c>
      <c r="B101" s="9" t="s">
        <v>79</v>
      </c>
      <c r="C101" s="9" t="s">
        <v>61</v>
      </c>
      <c r="D101" s="678">
        <v>0</v>
      </c>
      <c r="E101" s="4"/>
      <c r="F101" s="9"/>
      <c r="G101" s="9"/>
      <c r="H101" s="661"/>
      <c r="I101" s="9"/>
      <c r="L101" s="77"/>
      <c r="M101" s="77"/>
      <c r="N101" s="9"/>
      <c r="O101" s="77"/>
      <c r="P101" s="754"/>
    </row>
    <row r="102" spans="1:16">
      <c r="A102" s="8"/>
      <c r="B102" s="9"/>
      <c r="C102" s="9"/>
      <c r="D102" s="678">
        <v>0</v>
      </c>
      <c r="E102" s="9"/>
      <c r="F102" s="9"/>
      <c r="G102" s="9"/>
      <c r="H102" s="661"/>
      <c r="I102" s="9"/>
      <c r="L102" s="77"/>
      <c r="M102" s="77"/>
      <c r="N102" s="9"/>
      <c r="O102" s="77"/>
      <c r="P102" s="754"/>
    </row>
    <row r="103" spans="1:16">
      <c r="A103" s="8" t="s">
        <v>102</v>
      </c>
      <c r="B103" s="9" t="s">
        <v>80</v>
      </c>
      <c r="C103" s="9" t="s">
        <v>61</v>
      </c>
      <c r="D103" s="678">
        <v>0</v>
      </c>
      <c r="E103" s="4"/>
      <c r="F103" s="647"/>
      <c r="G103" s="9"/>
      <c r="H103" s="661"/>
      <c r="I103" s="9"/>
      <c r="L103" s="77"/>
      <c r="M103" s="77"/>
      <c r="N103" s="9"/>
      <c r="O103" s="77"/>
      <c r="P103" s="754"/>
    </row>
    <row r="104" spans="1:16">
      <c r="A104" s="8" t="s">
        <v>103</v>
      </c>
      <c r="B104" s="9" t="s">
        <v>81</v>
      </c>
      <c r="C104" s="9" t="s">
        <v>61</v>
      </c>
      <c r="D104" s="678">
        <v>15500</v>
      </c>
      <c r="E104" s="4"/>
      <c r="F104" s="647"/>
      <c r="G104" s="9"/>
      <c r="H104" s="661"/>
      <c r="I104" s="9"/>
      <c r="L104" s="77"/>
      <c r="M104" s="77"/>
      <c r="N104" s="9"/>
      <c r="O104" s="77"/>
      <c r="P104" s="754"/>
    </row>
    <row r="105" spans="1:16">
      <c r="A105" s="8" t="s">
        <v>104</v>
      </c>
      <c r="B105" s="9" t="s">
        <v>82</v>
      </c>
      <c r="C105" s="9" t="s">
        <v>61</v>
      </c>
      <c r="D105" s="678">
        <v>21500</v>
      </c>
      <c r="E105" s="4"/>
      <c r="F105" s="647"/>
      <c r="G105" s="9"/>
      <c r="H105" s="661"/>
      <c r="I105" s="9"/>
      <c r="L105" s="77"/>
      <c r="M105" s="77"/>
      <c r="N105" s="9"/>
      <c r="O105" s="77"/>
      <c r="P105" s="754"/>
    </row>
    <row r="106" spans="1:16">
      <c r="A106" s="8" t="s">
        <v>105</v>
      </c>
      <c r="B106" s="9" t="s">
        <v>83</v>
      </c>
      <c r="C106" s="9" t="s">
        <v>61</v>
      </c>
      <c r="D106" s="678">
        <v>0</v>
      </c>
      <c r="E106" s="4"/>
      <c r="F106" s="647"/>
      <c r="G106" s="9"/>
      <c r="H106" s="661"/>
      <c r="I106" s="9"/>
      <c r="L106" s="77"/>
      <c r="M106" s="77"/>
      <c r="N106" s="9"/>
      <c r="O106" s="77"/>
      <c r="P106" s="754"/>
    </row>
    <row r="107" spans="1:16">
      <c r="A107" s="8" t="s">
        <v>106</v>
      </c>
      <c r="B107" s="9" t="s">
        <v>84</v>
      </c>
      <c r="C107" s="9" t="s">
        <v>61</v>
      </c>
      <c r="D107" s="678">
        <v>0</v>
      </c>
      <c r="E107" s="4"/>
      <c r="F107" s="647"/>
      <c r="G107" s="9"/>
      <c r="H107" s="661"/>
      <c r="I107" s="9"/>
      <c r="L107" s="77"/>
      <c r="M107" s="77"/>
      <c r="N107" s="9"/>
      <c r="O107" s="77"/>
      <c r="P107" s="754"/>
    </row>
    <row r="108" spans="1:16">
      <c r="A108" s="8" t="s">
        <v>107</v>
      </c>
      <c r="B108" s="9" t="s">
        <v>85</v>
      </c>
      <c r="C108" s="9" t="s">
        <v>61</v>
      </c>
      <c r="D108" s="678">
        <v>0</v>
      </c>
      <c r="E108" s="4"/>
      <c r="F108" s="647"/>
      <c r="G108" s="9"/>
      <c r="H108" s="661"/>
      <c r="I108" s="9"/>
      <c r="L108" s="77"/>
      <c r="M108" s="77"/>
      <c r="N108" s="9"/>
      <c r="O108" s="77"/>
      <c r="P108" s="754"/>
    </row>
    <row r="109" spans="1:16">
      <c r="A109" s="8"/>
      <c r="B109" s="9"/>
      <c r="C109" s="9"/>
      <c r="D109" s="678">
        <v>0</v>
      </c>
      <c r="E109" s="4"/>
      <c r="F109" s="647"/>
      <c r="G109" s="9"/>
      <c r="H109" s="661"/>
      <c r="I109" s="9"/>
      <c r="L109" s="77"/>
      <c r="M109" s="77"/>
      <c r="N109" s="9"/>
      <c r="O109" s="77"/>
      <c r="P109" s="754"/>
    </row>
    <row r="110" spans="1:16">
      <c r="A110" s="8" t="s">
        <v>108</v>
      </c>
      <c r="B110" s="9" t="s">
        <v>86</v>
      </c>
      <c r="C110" s="9" t="s">
        <v>61</v>
      </c>
      <c r="D110" s="678">
        <v>46850</v>
      </c>
      <c r="E110" s="4"/>
      <c r="F110" s="647"/>
      <c r="G110" s="9"/>
      <c r="H110" s="661"/>
      <c r="I110" s="9"/>
      <c r="L110" s="77"/>
      <c r="M110" s="77"/>
      <c r="N110" s="9"/>
      <c r="O110" s="77"/>
      <c r="P110" s="754"/>
    </row>
    <row r="111" spans="1:16">
      <c r="A111" s="8" t="s">
        <v>112</v>
      </c>
      <c r="B111" s="9" t="s">
        <v>87</v>
      </c>
      <c r="C111" s="9" t="s">
        <v>61</v>
      </c>
      <c r="D111" s="678">
        <v>52600</v>
      </c>
      <c r="E111" s="4"/>
      <c r="F111" s="647"/>
      <c r="G111" s="9"/>
      <c r="H111" s="661"/>
      <c r="I111" s="9"/>
      <c r="L111" s="77"/>
      <c r="M111" s="77"/>
      <c r="N111" s="9"/>
      <c r="O111" s="77"/>
      <c r="P111" s="754"/>
    </row>
    <row r="112" spans="1:16">
      <c r="A112" s="8" t="s">
        <v>113</v>
      </c>
      <c r="B112" s="9" t="s">
        <v>88</v>
      </c>
      <c r="C112" s="9" t="s">
        <v>61</v>
      </c>
      <c r="D112" s="678">
        <v>73900</v>
      </c>
      <c r="E112" s="4"/>
      <c r="F112" s="647"/>
      <c r="G112" s="9"/>
      <c r="H112" s="661"/>
      <c r="I112" s="9"/>
      <c r="L112" s="77"/>
      <c r="M112" s="77"/>
      <c r="N112" s="9"/>
      <c r="O112" s="77"/>
      <c r="P112" s="754"/>
    </row>
    <row r="113" spans="1:23">
      <c r="A113" s="8"/>
      <c r="B113" s="9"/>
      <c r="C113" s="9"/>
      <c r="D113" s="678">
        <v>0</v>
      </c>
      <c r="E113" s="4"/>
      <c r="F113" s="647"/>
      <c r="G113" s="9"/>
      <c r="H113" s="661"/>
      <c r="I113" s="9"/>
      <c r="L113" s="77"/>
      <c r="M113" s="77"/>
      <c r="N113" s="9"/>
      <c r="O113" s="77"/>
      <c r="P113" s="754"/>
    </row>
    <row r="114" spans="1:23">
      <c r="A114" s="8" t="s">
        <v>109</v>
      </c>
      <c r="B114" s="9" t="s">
        <v>89</v>
      </c>
      <c r="C114" s="9" t="s">
        <v>61</v>
      </c>
      <c r="D114" s="678">
        <v>51050</v>
      </c>
      <c r="E114" s="4"/>
      <c r="F114" s="647"/>
      <c r="G114" s="9"/>
      <c r="H114" s="661"/>
      <c r="I114" s="9"/>
      <c r="L114" s="77"/>
      <c r="M114" s="77"/>
      <c r="N114" s="9"/>
      <c r="O114" s="77"/>
      <c r="P114" s="754"/>
    </row>
    <row r="115" spans="1:23">
      <c r="A115" s="8" t="s">
        <v>110</v>
      </c>
      <c r="B115" s="9" t="s">
        <v>90</v>
      </c>
      <c r="C115" s="9" t="s">
        <v>61</v>
      </c>
      <c r="D115" s="678">
        <v>62900</v>
      </c>
      <c r="E115" s="4"/>
      <c r="F115" s="647"/>
      <c r="G115" s="9"/>
      <c r="H115" s="661"/>
      <c r="I115" s="9"/>
      <c r="L115" s="77"/>
      <c r="M115" s="77"/>
      <c r="N115" s="9"/>
      <c r="O115" s="77"/>
      <c r="P115" s="754"/>
    </row>
    <row r="116" spans="1:23">
      <c r="A116" s="8" t="s">
        <v>111</v>
      </c>
      <c r="B116" s="9" t="s">
        <v>91</v>
      </c>
      <c r="C116" s="9" t="s">
        <v>61</v>
      </c>
      <c r="D116" s="678">
        <v>0</v>
      </c>
      <c r="E116" s="4"/>
      <c r="F116" s="647"/>
      <c r="G116" s="9"/>
      <c r="H116" s="661"/>
      <c r="I116" s="9"/>
      <c r="L116" s="77"/>
      <c r="M116" s="77"/>
      <c r="N116" s="9"/>
      <c r="O116" s="77"/>
      <c r="P116" s="754"/>
    </row>
    <row r="117" spans="1:23" ht="15.75" thickBot="1">
      <c r="A117" s="195"/>
      <c r="B117" s="18"/>
      <c r="C117" s="18"/>
      <c r="D117" s="677">
        <v>0</v>
      </c>
      <c r="E117" s="4"/>
      <c r="F117" s="9"/>
      <c r="G117" s="9"/>
      <c r="H117" s="661"/>
      <c r="I117" s="9"/>
      <c r="L117" s="77"/>
      <c r="M117" s="77"/>
      <c r="N117" s="9"/>
      <c r="O117" s="77"/>
      <c r="P117" s="754"/>
    </row>
    <row r="118" spans="1:23" ht="15.75" thickBot="1">
      <c r="A118" s="684" t="s">
        <v>114</v>
      </c>
      <c r="B118" s="685" t="s">
        <v>92</v>
      </c>
      <c r="C118" s="685" t="s">
        <v>61</v>
      </c>
      <c r="D118" s="729">
        <v>42500</v>
      </c>
      <c r="E118" s="4"/>
      <c r="F118" s="647"/>
      <c r="G118" s="9"/>
      <c r="H118" s="661"/>
      <c r="I118" s="9"/>
      <c r="L118" s="77"/>
      <c r="M118" s="77"/>
      <c r="N118" s="9"/>
      <c r="O118" s="77"/>
      <c r="P118" s="754"/>
    </row>
    <row r="119" spans="1:23">
      <c r="A119" s="680" t="s">
        <v>115</v>
      </c>
      <c r="B119" s="679" t="s">
        <v>93</v>
      </c>
      <c r="C119" s="679" t="s">
        <v>61</v>
      </c>
      <c r="D119" s="681">
        <v>55800</v>
      </c>
      <c r="E119" s="4"/>
      <c r="F119" s="647"/>
      <c r="G119" s="9"/>
      <c r="H119" s="661"/>
      <c r="I119" s="9"/>
      <c r="L119" s="77"/>
      <c r="M119" s="77"/>
      <c r="N119" s="9"/>
      <c r="O119" s="77"/>
      <c r="P119" s="754"/>
    </row>
    <row r="120" spans="1:23" ht="15.75" thickBot="1">
      <c r="A120" s="195"/>
      <c r="B120" s="18"/>
      <c r="C120" s="18"/>
      <c r="D120" s="677">
        <v>0</v>
      </c>
      <c r="E120" s="4"/>
      <c r="F120" s="9"/>
      <c r="G120" s="9"/>
      <c r="H120" s="661"/>
      <c r="I120" s="9"/>
      <c r="L120" s="77"/>
      <c r="M120" s="661"/>
      <c r="N120" s="9"/>
      <c r="O120" s="77"/>
      <c r="P120" s="77"/>
    </row>
    <row r="121" spans="1:23">
      <c r="A121" s="12"/>
      <c r="B121" s="4"/>
      <c r="C121" s="4"/>
      <c r="D121" s="4"/>
      <c r="E121" s="4"/>
    </row>
    <row r="122" spans="1:23" ht="15.75" thickBot="1">
      <c r="A122" s="12"/>
      <c r="B122" s="4"/>
      <c r="C122" s="4"/>
      <c r="D122" s="4"/>
      <c r="E122" s="4"/>
    </row>
    <row r="123" spans="1:23" ht="21.75" thickBot="1">
      <c r="A123" s="832" t="s">
        <v>153</v>
      </c>
      <c r="B123" s="833"/>
      <c r="C123" s="833"/>
      <c r="D123" s="833"/>
      <c r="E123" s="834"/>
    </row>
    <row r="124" spans="1:23" ht="16.5" thickBot="1">
      <c r="A124" s="20" t="s">
        <v>49</v>
      </c>
      <c r="B124" s="20" t="s">
        <v>50</v>
      </c>
      <c r="C124" s="20" t="s">
        <v>392</v>
      </c>
      <c r="D124" s="20" t="s">
        <v>161</v>
      </c>
      <c r="E124" s="20" t="s">
        <v>154</v>
      </c>
      <c r="G124" s="77"/>
      <c r="H124" s="77"/>
      <c r="I124" s="77"/>
      <c r="J124" s="647"/>
    </row>
    <row r="125" spans="1:23">
      <c r="A125" s="21"/>
      <c r="B125" s="9" t="s">
        <v>123</v>
      </c>
      <c r="C125" s="647">
        <v>12</v>
      </c>
      <c r="D125" s="769">
        <v>12</v>
      </c>
      <c r="E125" s="755" t="s">
        <v>155</v>
      </c>
      <c r="F125" s="77"/>
      <c r="G125" s="647"/>
      <c r="H125" s="750"/>
      <c r="I125" s="77"/>
      <c r="J125" s="647"/>
      <c r="K125" s="77"/>
      <c r="L125" s="77"/>
      <c r="O125" s="704">
        <f>+D125</f>
        <v>12</v>
      </c>
      <c r="P125" s="704">
        <f>O125*1.05</f>
        <v>12.600000000000001</v>
      </c>
      <c r="U125">
        <v>8</v>
      </c>
      <c r="W125">
        <f>(U125*1.15)</f>
        <v>9.1999999999999993</v>
      </c>
    </row>
    <row r="126" spans="1:23">
      <c r="A126" s="21"/>
      <c r="B126" s="9" t="s">
        <v>124</v>
      </c>
      <c r="C126" s="647">
        <v>6</v>
      </c>
      <c r="D126" s="769">
        <v>6</v>
      </c>
      <c r="E126" s="755" t="s">
        <v>155</v>
      </c>
      <c r="F126" s="77"/>
      <c r="G126" s="647"/>
      <c r="H126" s="750"/>
      <c r="I126" s="77"/>
      <c r="J126" s="647"/>
      <c r="K126" s="77"/>
      <c r="L126" s="77"/>
      <c r="O126" s="704">
        <f t="shared" ref="O126:O189" si="6">+D126</f>
        <v>6</v>
      </c>
      <c r="P126" s="704">
        <f t="shared" ref="P126:P190" si="7">O126*1.05</f>
        <v>6.3000000000000007</v>
      </c>
      <c r="U126">
        <v>6</v>
      </c>
      <c r="W126">
        <f t="shared" ref="W126:W189" si="8">(U126*1.15)</f>
        <v>6.8999999999999995</v>
      </c>
    </row>
    <row r="127" spans="1:23">
      <c r="A127" s="21"/>
      <c r="B127" s="9" t="s">
        <v>125</v>
      </c>
      <c r="C127" s="647">
        <v>200</v>
      </c>
      <c r="D127" s="769">
        <v>200</v>
      </c>
      <c r="E127" s="755" t="s">
        <v>156</v>
      </c>
      <c r="F127" s="750" t="s">
        <v>1033</v>
      </c>
      <c r="G127" s="661" t="s">
        <v>1034</v>
      </c>
      <c r="H127" s="750"/>
      <c r="I127" s="77"/>
      <c r="J127" s="647"/>
      <c r="K127" s="77"/>
      <c r="L127" s="77"/>
      <c r="O127" s="704">
        <f t="shared" si="6"/>
        <v>200</v>
      </c>
      <c r="P127" s="704">
        <f t="shared" si="7"/>
        <v>210</v>
      </c>
      <c r="U127">
        <v>130</v>
      </c>
      <c r="W127">
        <f t="shared" si="8"/>
        <v>149.5</v>
      </c>
    </row>
    <row r="128" spans="1:23">
      <c r="A128" s="21"/>
      <c r="B128" s="9" t="s">
        <v>126</v>
      </c>
      <c r="C128" s="647">
        <v>100</v>
      </c>
      <c r="D128" s="769">
        <v>100</v>
      </c>
      <c r="E128" s="755" t="s">
        <v>155</v>
      </c>
      <c r="F128" s="750" t="s">
        <v>1031</v>
      </c>
      <c r="G128" s="661" t="s">
        <v>1030</v>
      </c>
      <c r="H128" s="750"/>
      <c r="I128" s="77"/>
      <c r="J128" s="647"/>
      <c r="K128" s="77"/>
      <c r="L128" s="77"/>
      <c r="O128" s="704">
        <f t="shared" si="6"/>
        <v>100</v>
      </c>
      <c r="P128" s="704">
        <f t="shared" si="7"/>
        <v>105</v>
      </c>
      <c r="U128">
        <v>410</v>
      </c>
      <c r="W128">
        <f t="shared" si="8"/>
        <v>471.49999999999994</v>
      </c>
    </row>
    <row r="129" spans="1:23">
      <c r="A129" s="21"/>
      <c r="B129" s="9" t="s">
        <v>170</v>
      </c>
      <c r="C129" s="647">
        <v>160</v>
      </c>
      <c r="D129" s="769">
        <v>160</v>
      </c>
      <c r="E129" s="755" t="s">
        <v>156</v>
      </c>
      <c r="F129" s="750" t="s">
        <v>968</v>
      </c>
      <c r="G129" s="661" t="s">
        <v>1032</v>
      </c>
      <c r="H129" s="750"/>
      <c r="I129" s="77"/>
      <c r="J129" s="647"/>
      <c r="K129" s="77"/>
      <c r="L129" s="77"/>
      <c r="O129" s="704">
        <f t="shared" si="6"/>
        <v>160</v>
      </c>
      <c r="P129" s="238">
        <f t="shared" si="7"/>
        <v>168</v>
      </c>
      <c r="U129">
        <v>130</v>
      </c>
      <c r="W129">
        <f t="shared" si="8"/>
        <v>149.5</v>
      </c>
    </row>
    <row r="130" spans="1:23">
      <c r="A130" s="21"/>
      <c r="B130" s="9" t="s">
        <v>129</v>
      </c>
      <c r="C130" s="647">
        <v>240</v>
      </c>
      <c r="D130" s="769">
        <v>240</v>
      </c>
      <c r="E130" s="755" t="s">
        <v>155</v>
      </c>
      <c r="F130" s="77"/>
      <c r="G130" s="647"/>
      <c r="H130" s="750"/>
      <c r="I130" s="77"/>
      <c r="J130" s="647"/>
      <c r="K130" s="77"/>
      <c r="L130" s="77"/>
      <c r="O130" s="704">
        <f t="shared" si="6"/>
        <v>240</v>
      </c>
      <c r="P130" s="704">
        <f t="shared" si="7"/>
        <v>252</v>
      </c>
      <c r="U130">
        <v>120</v>
      </c>
      <c r="W130">
        <f t="shared" si="8"/>
        <v>138</v>
      </c>
    </row>
    <row r="131" spans="1:23">
      <c r="A131" s="21"/>
      <c r="B131" s="9" t="s">
        <v>178</v>
      </c>
      <c r="C131" s="647">
        <v>120</v>
      </c>
      <c r="D131" s="769">
        <v>120</v>
      </c>
      <c r="E131" s="755" t="s">
        <v>155</v>
      </c>
      <c r="F131" s="77"/>
      <c r="G131" s="647"/>
      <c r="H131" s="750"/>
      <c r="I131" s="77"/>
      <c r="J131" s="647"/>
      <c r="K131" s="77"/>
      <c r="L131" s="77"/>
      <c r="O131" s="704">
        <f t="shared" si="6"/>
        <v>120</v>
      </c>
      <c r="P131" s="704">
        <f t="shared" si="7"/>
        <v>126</v>
      </c>
      <c r="U131">
        <v>60</v>
      </c>
      <c r="W131">
        <f t="shared" si="8"/>
        <v>69</v>
      </c>
    </row>
    <row r="132" spans="1:23">
      <c r="A132" s="21"/>
      <c r="B132" s="9" t="s">
        <v>179</v>
      </c>
      <c r="C132" s="647">
        <v>240</v>
      </c>
      <c r="D132" s="769">
        <v>240</v>
      </c>
      <c r="E132" s="755" t="s">
        <v>155</v>
      </c>
      <c r="F132" s="77"/>
      <c r="G132" s="647"/>
      <c r="H132" s="750"/>
      <c r="I132" s="77"/>
      <c r="J132" s="647"/>
      <c r="K132" s="77"/>
      <c r="L132" s="77"/>
      <c r="O132" s="704">
        <f t="shared" si="6"/>
        <v>240</v>
      </c>
      <c r="P132" s="704">
        <f t="shared" si="7"/>
        <v>252</v>
      </c>
      <c r="U132">
        <v>120</v>
      </c>
      <c r="W132">
        <f t="shared" si="8"/>
        <v>138</v>
      </c>
    </row>
    <row r="133" spans="1:23" s="81" customFormat="1">
      <c r="A133" s="733"/>
      <c r="B133" s="760" t="s">
        <v>130</v>
      </c>
      <c r="C133" s="761">
        <v>55</v>
      </c>
      <c r="D133" s="763">
        <v>55</v>
      </c>
      <c r="E133" s="762" t="s">
        <v>877</v>
      </c>
      <c r="F133" s="748"/>
      <c r="G133" s="747"/>
      <c r="H133" s="749"/>
      <c r="J133" s="647"/>
      <c r="K133" s="77"/>
      <c r="L133" s="77"/>
      <c r="O133" s="734">
        <f t="shared" si="6"/>
        <v>55</v>
      </c>
      <c r="P133" s="734">
        <f t="shared" si="7"/>
        <v>57.75</v>
      </c>
      <c r="U133" s="81">
        <v>30</v>
      </c>
      <c r="W133">
        <f t="shared" si="8"/>
        <v>34.5</v>
      </c>
    </row>
    <row r="134" spans="1:23" s="81" customFormat="1">
      <c r="A134" s="733"/>
      <c r="B134" s="760" t="s">
        <v>902</v>
      </c>
      <c r="C134" s="761">
        <v>20</v>
      </c>
      <c r="D134" s="763">
        <v>20</v>
      </c>
      <c r="E134" s="762" t="s">
        <v>877</v>
      </c>
      <c r="F134" s="748"/>
      <c r="G134" s="747"/>
      <c r="H134" s="749"/>
      <c r="J134" s="647"/>
      <c r="K134" s="77"/>
      <c r="L134" s="77"/>
      <c r="O134" s="734">
        <f t="shared" si="6"/>
        <v>20</v>
      </c>
      <c r="P134" s="734">
        <f t="shared" si="7"/>
        <v>21</v>
      </c>
      <c r="U134" s="81">
        <v>15</v>
      </c>
      <c r="W134">
        <f t="shared" si="8"/>
        <v>17.25</v>
      </c>
    </row>
    <row r="135" spans="1:23">
      <c r="A135" s="21"/>
      <c r="B135" s="9" t="s">
        <v>128</v>
      </c>
      <c r="C135" s="647">
        <v>250</v>
      </c>
      <c r="D135" s="769">
        <v>250</v>
      </c>
      <c r="E135" s="755" t="s">
        <v>156</v>
      </c>
      <c r="F135" s="750" t="s">
        <v>935</v>
      </c>
      <c r="G135" s="661" t="s">
        <v>936</v>
      </c>
      <c r="H135" s="661"/>
      <c r="I135" s="750" t="s">
        <v>937</v>
      </c>
      <c r="J135" s="647"/>
      <c r="K135" s="77"/>
      <c r="L135" s="77"/>
      <c r="O135" s="704">
        <f t="shared" si="6"/>
        <v>250</v>
      </c>
      <c r="P135" s="704">
        <f>O135*1.05</f>
        <v>262.5</v>
      </c>
      <c r="U135">
        <v>350</v>
      </c>
      <c r="W135">
        <f t="shared" si="8"/>
        <v>402.49999999999994</v>
      </c>
    </row>
    <row r="136" spans="1:23">
      <c r="A136" s="21"/>
      <c r="B136" s="9" t="s">
        <v>132</v>
      </c>
      <c r="C136" s="647">
        <v>0</v>
      </c>
      <c r="D136" s="647">
        <v>0</v>
      </c>
      <c r="E136" s="755" t="s">
        <v>159</v>
      </c>
      <c r="F136" s="77"/>
      <c r="G136" s="647"/>
      <c r="H136" s="77"/>
      <c r="I136" s="77"/>
      <c r="J136" s="647"/>
      <c r="K136" s="77"/>
      <c r="L136" s="77"/>
      <c r="O136" s="704">
        <f t="shared" si="6"/>
        <v>0</v>
      </c>
      <c r="P136" s="238">
        <f t="shared" si="7"/>
        <v>0</v>
      </c>
      <c r="U136">
        <v>0</v>
      </c>
      <c r="W136">
        <f t="shared" si="8"/>
        <v>0</v>
      </c>
    </row>
    <row r="137" spans="1:23">
      <c r="A137" s="21"/>
      <c r="B137" s="9" t="s">
        <v>133</v>
      </c>
      <c r="C137" s="647">
        <v>0</v>
      </c>
      <c r="D137" s="647">
        <v>0</v>
      </c>
      <c r="E137" s="755" t="s">
        <v>160</v>
      </c>
      <c r="F137" s="77"/>
      <c r="G137" s="647"/>
      <c r="H137" s="77"/>
      <c r="I137" s="77"/>
      <c r="J137" s="647"/>
      <c r="K137" s="77"/>
      <c r="L137" s="77"/>
      <c r="O137" s="704">
        <f t="shared" si="6"/>
        <v>0</v>
      </c>
      <c r="P137" s="238">
        <f t="shared" si="7"/>
        <v>0</v>
      </c>
      <c r="U137">
        <v>0</v>
      </c>
      <c r="W137">
        <f t="shared" si="8"/>
        <v>0</v>
      </c>
    </row>
    <row r="138" spans="1:23">
      <c r="A138" s="21"/>
      <c r="B138" s="9" t="s">
        <v>127</v>
      </c>
      <c r="C138" s="647">
        <v>60</v>
      </c>
      <c r="D138" s="769">
        <v>60</v>
      </c>
      <c r="E138" s="755" t="s">
        <v>155</v>
      </c>
      <c r="F138" s="750" t="s">
        <v>968</v>
      </c>
      <c r="G138" s="661" t="s">
        <v>1032</v>
      </c>
      <c r="H138" s="750"/>
      <c r="I138" s="77"/>
      <c r="J138" s="647"/>
      <c r="K138" s="77"/>
      <c r="L138" s="77"/>
      <c r="O138" s="704">
        <f t="shared" si="6"/>
        <v>60</v>
      </c>
      <c r="P138" s="704">
        <f t="shared" si="7"/>
        <v>63</v>
      </c>
      <c r="U138">
        <v>130</v>
      </c>
      <c r="W138">
        <f t="shared" si="8"/>
        <v>149.5</v>
      </c>
    </row>
    <row r="139" spans="1:23">
      <c r="A139" s="21"/>
      <c r="B139" s="9" t="s">
        <v>171</v>
      </c>
      <c r="C139" s="647">
        <v>800</v>
      </c>
      <c r="D139" s="769">
        <v>800</v>
      </c>
      <c r="E139" s="755" t="s">
        <v>156</v>
      </c>
      <c r="F139" s="750" t="s">
        <v>938</v>
      </c>
      <c r="G139" s="661" t="s">
        <v>939</v>
      </c>
      <c r="H139" s="750"/>
      <c r="I139" s="77"/>
      <c r="J139" s="647"/>
      <c r="K139" s="77"/>
      <c r="L139" s="77"/>
      <c r="O139" s="704">
        <f t="shared" si="6"/>
        <v>800</v>
      </c>
      <c r="P139" s="704">
        <f t="shared" si="7"/>
        <v>840</v>
      </c>
      <c r="U139">
        <v>440</v>
      </c>
      <c r="W139">
        <f t="shared" si="8"/>
        <v>505.99999999999994</v>
      </c>
    </row>
    <row r="140" spans="1:23" ht="14.25" customHeight="1">
      <c r="A140" s="21"/>
      <c r="B140" s="9" t="s">
        <v>172</v>
      </c>
      <c r="C140" s="647">
        <v>810</v>
      </c>
      <c r="D140" s="769">
        <v>810</v>
      </c>
      <c r="E140" s="755" t="s">
        <v>156</v>
      </c>
      <c r="F140" s="750" t="s">
        <v>940</v>
      </c>
      <c r="G140" s="661" t="s">
        <v>941</v>
      </c>
      <c r="H140" s="750"/>
      <c r="I140" s="77"/>
      <c r="J140" s="647"/>
      <c r="K140" s="77"/>
      <c r="L140" s="77"/>
      <c r="O140" s="704">
        <f t="shared" si="6"/>
        <v>810</v>
      </c>
      <c r="P140" s="704">
        <f t="shared" si="7"/>
        <v>850.5</v>
      </c>
      <c r="U140">
        <v>412.5</v>
      </c>
      <c r="W140">
        <f t="shared" si="8"/>
        <v>474.37499999999994</v>
      </c>
    </row>
    <row r="141" spans="1:23">
      <c r="A141" s="21"/>
      <c r="B141" s="22" t="s">
        <v>177</v>
      </c>
      <c r="C141" s="23">
        <v>850</v>
      </c>
      <c r="D141" s="770">
        <v>850</v>
      </c>
      <c r="E141" s="30" t="s">
        <v>156</v>
      </c>
      <c r="F141" s="750" t="s">
        <v>1031</v>
      </c>
      <c r="G141" s="661" t="s">
        <v>1030</v>
      </c>
      <c r="H141" s="750"/>
      <c r="I141" s="77"/>
      <c r="J141" s="647"/>
      <c r="K141" s="77"/>
      <c r="L141" s="77"/>
      <c r="O141" s="704">
        <f t="shared" si="6"/>
        <v>850</v>
      </c>
      <c r="P141" s="704">
        <f t="shared" si="7"/>
        <v>892.5</v>
      </c>
      <c r="U141">
        <v>410</v>
      </c>
      <c r="W141">
        <f t="shared" si="8"/>
        <v>471.49999999999994</v>
      </c>
    </row>
    <row r="142" spans="1:23">
      <c r="A142" s="21"/>
      <c r="B142" s="9" t="s">
        <v>1038</v>
      </c>
      <c r="C142" s="647">
        <v>50</v>
      </c>
      <c r="D142" s="769">
        <v>50</v>
      </c>
      <c r="E142" s="755" t="s">
        <v>155</v>
      </c>
      <c r="F142" s="77"/>
      <c r="G142" s="647"/>
      <c r="H142" s="750"/>
      <c r="I142" s="77"/>
      <c r="J142" s="647"/>
      <c r="K142" s="77"/>
      <c r="L142" s="77"/>
      <c r="O142" s="704">
        <f t="shared" si="6"/>
        <v>50</v>
      </c>
      <c r="P142" s="704">
        <f t="shared" si="7"/>
        <v>52.5</v>
      </c>
      <c r="U142">
        <v>60</v>
      </c>
      <c r="W142">
        <f t="shared" si="8"/>
        <v>69</v>
      </c>
    </row>
    <row r="143" spans="1:23">
      <c r="A143" s="21"/>
      <c r="B143" s="9" t="s">
        <v>1039</v>
      </c>
      <c r="C143" s="647">
        <v>100</v>
      </c>
      <c r="D143" s="769">
        <v>100</v>
      </c>
      <c r="E143" s="755" t="s">
        <v>155</v>
      </c>
      <c r="F143" s="77"/>
      <c r="G143" s="647"/>
      <c r="H143" s="750"/>
      <c r="I143" s="77"/>
      <c r="J143" s="647"/>
      <c r="K143" s="77"/>
      <c r="L143" s="77"/>
      <c r="O143" s="704">
        <f t="shared" si="6"/>
        <v>100</v>
      </c>
      <c r="P143" s="704">
        <f t="shared" si="7"/>
        <v>105</v>
      </c>
      <c r="U143">
        <v>120</v>
      </c>
      <c r="W143">
        <f t="shared" si="8"/>
        <v>138</v>
      </c>
    </row>
    <row r="144" spans="1:23">
      <c r="A144" s="21"/>
      <c r="B144" s="9" t="s">
        <v>186</v>
      </c>
      <c r="C144" s="647">
        <v>900</v>
      </c>
      <c r="D144" s="769">
        <v>900</v>
      </c>
      <c r="E144" s="755" t="s">
        <v>156</v>
      </c>
      <c r="F144" s="750" t="s">
        <v>938</v>
      </c>
      <c r="G144" s="661" t="s">
        <v>939</v>
      </c>
      <c r="H144" s="750"/>
      <c r="I144" s="77"/>
      <c r="J144" s="647"/>
      <c r="K144" s="77"/>
      <c r="L144" s="77"/>
      <c r="O144" s="704">
        <f t="shared" si="6"/>
        <v>900</v>
      </c>
      <c r="P144" s="704">
        <f t="shared" si="7"/>
        <v>945</v>
      </c>
      <c r="U144">
        <v>481.25000000000006</v>
      </c>
      <c r="W144">
        <f t="shared" si="8"/>
        <v>553.4375</v>
      </c>
    </row>
    <row r="145" spans="1:23">
      <c r="A145" s="21"/>
      <c r="B145" s="9" t="s">
        <v>187</v>
      </c>
      <c r="C145" s="647">
        <v>3310</v>
      </c>
      <c r="D145" s="769">
        <v>3310</v>
      </c>
      <c r="E145" s="755" t="s">
        <v>156</v>
      </c>
      <c r="F145" s="750" t="s">
        <v>942</v>
      </c>
      <c r="G145" s="661" t="s">
        <v>943</v>
      </c>
      <c r="H145" s="750"/>
      <c r="I145" s="77"/>
      <c r="J145" s="647"/>
      <c r="K145" s="77"/>
      <c r="L145" s="77"/>
      <c r="O145" s="704">
        <f t="shared" si="6"/>
        <v>3310</v>
      </c>
      <c r="P145" s="704">
        <f t="shared" si="7"/>
        <v>3475.5</v>
      </c>
      <c r="U145">
        <v>2475.0000000000005</v>
      </c>
      <c r="W145">
        <f t="shared" si="8"/>
        <v>2846.2500000000005</v>
      </c>
    </row>
    <row r="146" spans="1:23">
      <c r="A146" s="21"/>
      <c r="B146" s="9" t="s">
        <v>188</v>
      </c>
      <c r="C146" s="647">
        <v>3550</v>
      </c>
      <c r="D146" s="769">
        <v>3550</v>
      </c>
      <c r="E146" s="755" t="s">
        <v>156</v>
      </c>
      <c r="F146" s="750" t="s">
        <v>944</v>
      </c>
      <c r="G146" s="661" t="s">
        <v>945</v>
      </c>
      <c r="H146" s="750"/>
      <c r="I146" s="77"/>
      <c r="J146" s="647"/>
      <c r="K146" s="77"/>
      <c r="L146" s="77"/>
      <c r="O146" s="704">
        <f t="shared" si="6"/>
        <v>3550</v>
      </c>
      <c r="P146" s="704">
        <f t="shared" si="7"/>
        <v>3727.5</v>
      </c>
      <c r="U146">
        <v>2612.5</v>
      </c>
      <c r="W146">
        <f t="shared" si="8"/>
        <v>3004.3749999999995</v>
      </c>
    </row>
    <row r="147" spans="1:23">
      <c r="A147" s="21"/>
      <c r="B147" s="760" t="s">
        <v>195</v>
      </c>
      <c r="C147" s="761">
        <v>110</v>
      </c>
      <c r="D147" s="763">
        <v>110</v>
      </c>
      <c r="E147" s="762" t="s">
        <v>877</v>
      </c>
      <c r="F147" s="748"/>
      <c r="G147" s="747"/>
      <c r="H147" s="749"/>
      <c r="I147" s="77"/>
      <c r="J147" s="647"/>
      <c r="K147" s="77"/>
      <c r="L147" s="77"/>
      <c r="O147" s="704">
        <f t="shared" si="6"/>
        <v>110</v>
      </c>
      <c r="P147" s="704">
        <f t="shared" si="7"/>
        <v>115.5</v>
      </c>
      <c r="U147">
        <v>60</v>
      </c>
      <c r="W147">
        <f t="shared" si="8"/>
        <v>69</v>
      </c>
    </row>
    <row r="148" spans="1:23">
      <c r="A148" s="21"/>
      <c r="B148" s="760" t="s">
        <v>196</v>
      </c>
      <c r="C148" s="761">
        <v>80</v>
      </c>
      <c r="D148" s="763">
        <v>80</v>
      </c>
      <c r="E148" s="762" t="s">
        <v>197</v>
      </c>
      <c r="F148" s="77"/>
      <c r="G148" s="647"/>
      <c r="H148" s="750"/>
      <c r="I148" s="77"/>
      <c r="J148" s="647"/>
      <c r="K148" s="77"/>
      <c r="L148" s="77"/>
      <c r="O148" s="704">
        <f t="shared" si="6"/>
        <v>80</v>
      </c>
      <c r="P148" s="704">
        <f t="shared" si="7"/>
        <v>84</v>
      </c>
      <c r="U148">
        <v>60</v>
      </c>
      <c r="W148">
        <f t="shared" si="8"/>
        <v>69</v>
      </c>
    </row>
    <row r="149" spans="1:23">
      <c r="A149" s="21"/>
      <c r="B149" s="22" t="s">
        <v>198</v>
      </c>
      <c r="C149" s="23">
        <v>1500</v>
      </c>
      <c r="D149" s="770">
        <v>1500</v>
      </c>
      <c r="E149" s="30" t="s">
        <v>156</v>
      </c>
      <c r="F149" s="750" t="s">
        <v>946</v>
      </c>
      <c r="G149" s="661" t="s">
        <v>947</v>
      </c>
      <c r="H149" s="750"/>
      <c r="I149" s="77"/>
      <c r="J149" s="647"/>
      <c r="K149" s="77"/>
      <c r="L149" s="77"/>
      <c r="O149" s="704">
        <f t="shared" si="6"/>
        <v>1500</v>
      </c>
      <c r="P149" s="704">
        <f t="shared" si="7"/>
        <v>1575</v>
      </c>
      <c r="U149">
        <v>907.50000000000011</v>
      </c>
      <c r="W149">
        <f t="shared" si="8"/>
        <v>1043.625</v>
      </c>
    </row>
    <row r="150" spans="1:23">
      <c r="A150" s="21"/>
      <c r="B150" s="22" t="s">
        <v>199</v>
      </c>
      <c r="C150" s="23">
        <v>1250</v>
      </c>
      <c r="D150" s="770">
        <v>1250</v>
      </c>
      <c r="E150" s="30" t="s">
        <v>156</v>
      </c>
      <c r="F150" s="750" t="s">
        <v>948</v>
      </c>
      <c r="G150" s="661" t="s">
        <v>949</v>
      </c>
      <c r="H150" s="750"/>
      <c r="I150" s="77"/>
      <c r="J150" s="647"/>
      <c r="K150" s="77"/>
      <c r="L150" s="77"/>
      <c r="O150" s="704">
        <f t="shared" si="6"/>
        <v>1250</v>
      </c>
      <c r="P150" s="704">
        <f t="shared" si="7"/>
        <v>1312.5</v>
      </c>
      <c r="U150">
        <v>756.25</v>
      </c>
      <c r="W150">
        <f t="shared" si="8"/>
        <v>869.68749999999989</v>
      </c>
    </row>
    <row r="151" spans="1:23" s="81" customFormat="1">
      <c r="A151" s="733"/>
      <c r="B151" s="760" t="s">
        <v>1037</v>
      </c>
      <c r="C151" s="761">
        <v>7600</v>
      </c>
      <c r="D151" s="763">
        <v>7600</v>
      </c>
      <c r="E151" s="762" t="s">
        <v>202</v>
      </c>
      <c r="F151" s="750" t="s">
        <v>950</v>
      </c>
      <c r="G151" s="661"/>
      <c r="H151" s="750"/>
      <c r="J151" s="647"/>
      <c r="K151" s="77"/>
      <c r="L151" s="77"/>
      <c r="O151" s="734">
        <f t="shared" si="6"/>
        <v>7600</v>
      </c>
      <c r="P151" s="734">
        <f t="shared" si="7"/>
        <v>7980</v>
      </c>
      <c r="U151" s="81">
        <v>2570</v>
      </c>
      <c r="W151">
        <f t="shared" si="8"/>
        <v>2955.4999999999995</v>
      </c>
    </row>
    <row r="152" spans="1:23" s="81" customFormat="1">
      <c r="A152" s="733"/>
      <c r="B152" s="760" t="s">
        <v>1037</v>
      </c>
      <c r="C152" s="761">
        <v>7600</v>
      </c>
      <c r="D152" s="763">
        <v>7600</v>
      </c>
      <c r="E152" s="762" t="s">
        <v>202</v>
      </c>
      <c r="F152" s="750" t="s">
        <v>950</v>
      </c>
      <c r="G152" s="661"/>
      <c r="H152" s="750"/>
      <c r="J152" s="647"/>
      <c r="K152" s="77"/>
      <c r="L152" s="77"/>
      <c r="O152" s="734">
        <f t="shared" si="6"/>
        <v>7600</v>
      </c>
      <c r="P152" s="734">
        <f t="shared" si="7"/>
        <v>7980</v>
      </c>
      <c r="U152" s="81">
        <v>2570</v>
      </c>
      <c r="W152">
        <f t="shared" si="8"/>
        <v>2955.4999999999995</v>
      </c>
    </row>
    <row r="153" spans="1:23">
      <c r="A153" s="21"/>
      <c r="B153" s="9" t="s">
        <v>530</v>
      </c>
      <c r="C153" s="647">
        <v>20000</v>
      </c>
      <c r="D153" s="769">
        <v>20000</v>
      </c>
      <c r="E153" s="755" t="s">
        <v>531</v>
      </c>
      <c r="F153" s="77"/>
      <c r="G153" s="647"/>
      <c r="H153" s="750"/>
      <c r="I153" s="77"/>
      <c r="J153" s="647"/>
      <c r="K153" s="77"/>
      <c r="L153" s="77"/>
      <c r="O153" s="704">
        <f t="shared" si="6"/>
        <v>20000</v>
      </c>
      <c r="P153" s="704">
        <f t="shared" si="7"/>
        <v>21000</v>
      </c>
      <c r="U153">
        <v>10000</v>
      </c>
      <c r="W153">
        <f t="shared" si="8"/>
        <v>11500</v>
      </c>
    </row>
    <row r="154" spans="1:23">
      <c r="A154" s="21"/>
      <c r="B154" s="9" t="s">
        <v>231</v>
      </c>
      <c r="C154" s="647">
        <v>240</v>
      </c>
      <c r="D154" s="769">
        <v>240</v>
      </c>
      <c r="E154" s="755" t="s">
        <v>155</v>
      </c>
      <c r="F154" s="77"/>
      <c r="G154" s="647"/>
      <c r="H154" s="750"/>
      <c r="I154" s="77"/>
      <c r="J154" s="647"/>
      <c r="K154" s="77"/>
      <c r="L154" s="77"/>
      <c r="O154" s="704">
        <f t="shared" si="6"/>
        <v>240</v>
      </c>
      <c r="P154" s="704">
        <f t="shared" si="7"/>
        <v>252</v>
      </c>
      <c r="U154">
        <v>120</v>
      </c>
      <c r="W154">
        <f t="shared" si="8"/>
        <v>138</v>
      </c>
    </row>
    <row r="155" spans="1:23">
      <c r="A155" s="21"/>
      <c r="B155" s="9" t="s">
        <v>932</v>
      </c>
      <c r="C155" s="647">
        <v>100</v>
      </c>
      <c r="D155" s="769">
        <v>100</v>
      </c>
      <c r="E155" s="755" t="s">
        <v>155</v>
      </c>
      <c r="F155" s="77"/>
      <c r="G155" s="647"/>
      <c r="H155" s="750"/>
      <c r="I155" s="77"/>
      <c r="J155" s="647"/>
      <c r="K155" s="77"/>
      <c r="L155" s="77"/>
      <c r="O155" s="704">
        <f t="shared" si="6"/>
        <v>100</v>
      </c>
      <c r="P155" s="704">
        <f t="shared" si="7"/>
        <v>105</v>
      </c>
      <c r="U155">
        <v>80</v>
      </c>
      <c r="W155">
        <f t="shared" si="8"/>
        <v>92</v>
      </c>
    </row>
    <row r="156" spans="1:23">
      <c r="A156" s="21"/>
      <c r="B156" s="760" t="s">
        <v>206</v>
      </c>
      <c r="C156" s="761">
        <v>8000</v>
      </c>
      <c r="D156" s="763">
        <v>8000</v>
      </c>
      <c r="E156" s="762" t="s">
        <v>197</v>
      </c>
      <c r="F156" s="77"/>
      <c r="G156" s="647"/>
      <c r="H156" s="750"/>
      <c r="I156" s="77"/>
      <c r="J156" s="647"/>
      <c r="K156" s="77"/>
      <c r="L156" s="77"/>
      <c r="O156" s="704">
        <f t="shared" si="6"/>
        <v>8000</v>
      </c>
      <c r="P156" s="704">
        <f t="shared" si="7"/>
        <v>8400</v>
      </c>
      <c r="U156">
        <v>5000</v>
      </c>
      <c r="W156">
        <f t="shared" si="8"/>
        <v>5750</v>
      </c>
    </row>
    <row r="157" spans="1:23">
      <c r="A157" s="21"/>
      <c r="B157" s="9" t="s">
        <v>236</v>
      </c>
      <c r="C157" s="647">
        <v>50</v>
      </c>
      <c r="D157" s="769">
        <v>50</v>
      </c>
      <c r="E157" s="755" t="s">
        <v>156</v>
      </c>
      <c r="F157" s="77"/>
      <c r="G157" s="647"/>
      <c r="H157" s="750"/>
      <c r="I157" s="77"/>
      <c r="J157" s="647"/>
      <c r="K157" s="77"/>
      <c r="L157" s="77"/>
      <c r="O157" s="704">
        <f t="shared" si="6"/>
        <v>50</v>
      </c>
      <c r="P157" s="704">
        <f t="shared" si="7"/>
        <v>52.5</v>
      </c>
      <c r="U157">
        <v>90</v>
      </c>
      <c r="W157">
        <f t="shared" si="8"/>
        <v>103.49999999999999</v>
      </c>
    </row>
    <row r="158" spans="1:23">
      <c r="A158" s="21"/>
      <c r="B158" s="9" t="s">
        <v>239</v>
      </c>
      <c r="C158" s="647">
        <v>8510</v>
      </c>
      <c r="D158" s="769">
        <v>8510</v>
      </c>
      <c r="E158" s="755" t="s">
        <v>197</v>
      </c>
      <c r="F158" s="750" t="s">
        <v>951</v>
      </c>
      <c r="G158" s="661"/>
      <c r="H158" s="750"/>
      <c r="I158" s="77"/>
      <c r="J158" s="751">
        <v>80</v>
      </c>
      <c r="K158" s="77" t="s">
        <v>952</v>
      </c>
      <c r="L158" s="77"/>
      <c r="O158" s="704">
        <f t="shared" si="6"/>
        <v>8510</v>
      </c>
      <c r="P158" s="704">
        <f t="shared" si="7"/>
        <v>8935.5</v>
      </c>
      <c r="U158">
        <v>4125.0000000000009</v>
      </c>
      <c r="W158">
        <f t="shared" si="8"/>
        <v>4743.7500000000009</v>
      </c>
    </row>
    <row r="159" spans="1:23">
      <c r="A159" s="21"/>
      <c r="B159" s="9" t="s">
        <v>241</v>
      </c>
      <c r="C159" s="647">
        <v>80</v>
      </c>
      <c r="D159" s="769">
        <v>80</v>
      </c>
      <c r="E159" s="755" t="s">
        <v>155</v>
      </c>
      <c r="F159" s="77"/>
      <c r="G159" s="647"/>
      <c r="H159" s="750"/>
      <c r="I159" s="77"/>
      <c r="J159" s="751">
        <v>100</v>
      </c>
      <c r="K159" s="77" t="s">
        <v>953</v>
      </c>
      <c r="L159" s="77"/>
      <c r="O159" s="704">
        <f t="shared" si="6"/>
        <v>80</v>
      </c>
      <c r="P159" s="704">
        <f t="shared" si="7"/>
        <v>84</v>
      </c>
      <c r="U159">
        <v>50</v>
      </c>
      <c r="W159">
        <f t="shared" si="8"/>
        <v>57.499999999999993</v>
      </c>
    </row>
    <row r="160" spans="1:23">
      <c r="A160" s="21"/>
      <c r="B160" s="760" t="s">
        <v>242</v>
      </c>
      <c r="C160" s="761">
        <v>160</v>
      </c>
      <c r="D160" s="763">
        <v>160</v>
      </c>
      <c r="E160" s="762" t="s">
        <v>156</v>
      </c>
      <c r="F160" s="750" t="s">
        <v>954</v>
      </c>
      <c r="G160" s="661" t="s">
        <v>955</v>
      </c>
      <c r="H160" s="750"/>
      <c r="I160" s="77"/>
      <c r="J160" s="751">
        <v>120</v>
      </c>
      <c r="K160" s="77" t="s">
        <v>956</v>
      </c>
      <c r="L160" s="77"/>
      <c r="O160" s="704">
        <f t="shared" si="6"/>
        <v>160</v>
      </c>
      <c r="P160" s="704">
        <f t="shared" si="7"/>
        <v>168</v>
      </c>
      <c r="U160">
        <v>96.25</v>
      </c>
      <c r="W160">
        <f t="shared" si="8"/>
        <v>110.68749999999999</v>
      </c>
    </row>
    <row r="161" spans="1:23">
      <c r="A161" s="21"/>
      <c r="B161" s="9" t="s">
        <v>244</v>
      </c>
      <c r="C161" s="647">
        <v>15</v>
      </c>
      <c r="D161" s="769">
        <v>15</v>
      </c>
      <c r="E161" s="755" t="s">
        <v>155</v>
      </c>
      <c r="F161" s="77"/>
      <c r="G161" s="647"/>
      <c r="H161" s="750"/>
      <c r="I161" s="77"/>
      <c r="J161" s="751">
        <v>150</v>
      </c>
      <c r="K161" s="77" t="s">
        <v>957</v>
      </c>
      <c r="L161" s="77"/>
      <c r="O161" s="704">
        <f t="shared" si="6"/>
        <v>15</v>
      </c>
      <c r="P161" s="704">
        <f t="shared" si="7"/>
        <v>15.75</v>
      </c>
      <c r="U161">
        <v>20</v>
      </c>
      <c r="W161">
        <f t="shared" si="8"/>
        <v>23</v>
      </c>
    </row>
    <row r="162" spans="1:23">
      <c r="A162" s="21"/>
      <c r="B162" s="9" t="s">
        <v>245</v>
      </c>
      <c r="C162" s="647">
        <v>15</v>
      </c>
      <c r="D162" s="769">
        <v>15</v>
      </c>
      <c r="E162" s="755" t="s">
        <v>155</v>
      </c>
      <c r="F162" s="77"/>
      <c r="G162" s="647"/>
      <c r="H162" s="750"/>
      <c r="I162" s="77"/>
      <c r="J162" s="647"/>
      <c r="K162" s="77"/>
      <c r="L162" s="77"/>
      <c r="O162" s="704">
        <f t="shared" si="6"/>
        <v>15</v>
      </c>
      <c r="P162" s="704">
        <f t="shared" si="7"/>
        <v>15.75</v>
      </c>
      <c r="U162">
        <v>20</v>
      </c>
      <c r="W162">
        <f t="shared" si="8"/>
        <v>23</v>
      </c>
    </row>
    <row r="163" spans="1:23" s="81" customFormat="1">
      <c r="A163" s="733"/>
      <c r="B163" s="760" t="s">
        <v>246</v>
      </c>
      <c r="C163" s="761">
        <v>45</v>
      </c>
      <c r="D163" s="763">
        <v>45</v>
      </c>
      <c r="E163" s="762" t="s">
        <v>877</v>
      </c>
      <c r="F163" s="748"/>
      <c r="G163" s="747"/>
      <c r="H163" s="749"/>
      <c r="J163" s="647"/>
      <c r="K163" s="77"/>
      <c r="L163" s="77"/>
      <c r="O163" s="734">
        <f t="shared" si="6"/>
        <v>45</v>
      </c>
      <c r="P163" s="734">
        <f t="shared" si="7"/>
        <v>47.25</v>
      </c>
      <c r="U163" s="81">
        <v>22</v>
      </c>
      <c r="W163">
        <f t="shared" si="8"/>
        <v>25.299999999999997</v>
      </c>
    </row>
    <row r="164" spans="1:23">
      <c r="A164" s="21"/>
      <c r="B164" s="9" t="s">
        <v>248</v>
      </c>
      <c r="C164" s="647">
        <v>600</v>
      </c>
      <c r="D164" s="769">
        <v>600</v>
      </c>
      <c r="E164" s="755" t="s">
        <v>156</v>
      </c>
      <c r="F164" s="750" t="s">
        <v>958</v>
      </c>
      <c r="G164" s="661" t="s">
        <v>959</v>
      </c>
      <c r="H164" s="750"/>
      <c r="I164" s="77"/>
      <c r="J164" s="647"/>
      <c r="K164" s="77"/>
      <c r="L164" s="77"/>
      <c r="O164" s="704">
        <f t="shared" si="6"/>
        <v>600</v>
      </c>
      <c r="P164" s="704">
        <f t="shared" si="7"/>
        <v>630</v>
      </c>
      <c r="U164">
        <v>687.5</v>
      </c>
      <c r="W164">
        <f t="shared" si="8"/>
        <v>790.62499999999989</v>
      </c>
    </row>
    <row r="165" spans="1:23">
      <c r="A165" s="21"/>
      <c r="B165" s="9" t="s">
        <v>869</v>
      </c>
      <c r="C165" s="647">
        <v>800</v>
      </c>
      <c r="D165" s="769">
        <v>800</v>
      </c>
      <c r="E165" s="755" t="s">
        <v>156</v>
      </c>
      <c r="F165" s="750" t="s">
        <v>960</v>
      </c>
      <c r="G165" s="661" t="s">
        <v>961</v>
      </c>
      <c r="H165" s="750"/>
      <c r="I165" s="77"/>
      <c r="J165" s="647"/>
      <c r="K165" s="77"/>
      <c r="L165" s="77"/>
      <c r="O165" s="704">
        <f t="shared" si="6"/>
        <v>800</v>
      </c>
      <c r="P165" s="704">
        <f t="shared" si="7"/>
        <v>840</v>
      </c>
      <c r="U165">
        <v>481.25000000000006</v>
      </c>
      <c r="W165">
        <f t="shared" si="8"/>
        <v>553.4375</v>
      </c>
    </row>
    <row r="166" spans="1:23">
      <c r="A166" s="21"/>
      <c r="B166" s="22" t="s">
        <v>266</v>
      </c>
      <c r="C166" s="23">
        <v>4000</v>
      </c>
      <c r="D166" s="770">
        <v>4000</v>
      </c>
      <c r="E166" s="30" t="s">
        <v>156</v>
      </c>
      <c r="F166" s="750" t="s">
        <v>962</v>
      </c>
      <c r="G166" s="661" t="s">
        <v>963</v>
      </c>
      <c r="H166" s="750"/>
      <c r="I166" s="77"/>
      <c r="J166" s="647"/>
      <c r="K166" s="77"/>
      <c r="L166" s="77"/>
      <c r="O166" s="704">
        <f t="shared" si="6"/>
        <v>4000</v>
      </c>
      <c r="P166" s="704">
        <f t="shared" si="7"/>
        <v>4200</v>
      </c>
      <c r="U166">
        <v>1443.75</v>
      </c>
      <c r="W166">
        <f t="shared" si="8"/>
        <v>1660.3124999999998</v>
      </c>
    </row>
    <row r="167" spans="1:23">
      <c r="A167" s="21"/>
      <c r="B167" s="22" t="s">
        <v>268</v>
      </c>
      <c r="C167" s="23">
        <v>4000</v>
      </c>
      <c r="D167" s="23">
        <v>4000</v>
      </c>
      <c r="E167" s="30" t="s">
        <v>156</v>
      </c>
      <c r="F167" s="750" t="s">
        <v>964</v>
      </c>
      <c r="G167" s="661" t="s">
        <v>965</v>
      </c>
      <c r="H167" s="750"/>
      <c r="I167" s="764" t="s">
        <v>1041</v>
      </c>
      <c r="J167" s="761">
        <v>12000</v>
      </c>
      <c r="K167" s="77"/>
      <c r="L167" s="77"/>
      <c r="O167" s="704">
        <f t="shared" si="6"/>
        <v>4000</v>
      </c>
      <c r="P167" s="704">
        <f t="shared" si="7"/>
        <v>4200</v>
      </c>
      <c r="U167">
        <v>1890</v>
      </c>
      <c r="W167">
        <f t="shared" si="8"/>
        <v>2173.5</v>
      </c>
    </row>
    <row r="168" spans="1:23">
      <c r="A168" s="21"/>
      <c r="B168" s="9" t="s">
        <v>269</v>
      </c>
      <c r="C168" s="647">
        <v>1300</v>
      </c>
      <c r="D168" s="769">
        <v>1300</v>
      </c>
      <c r="E168" s="755" t="s">
        <v>267</v>
      </c>
      <c r="F168" s="77"/>
      <c r="G168" s="661" t="s">
        <v>966</v>
      </c>
      <c r="H168" s="750"/>
      <c r="I168" s="764" t="s">
        <v>1042</v>
      </c>
      <c r="J168" s="761">
        <v>16000</v>
      </c>
      <c r="K168" s="77"/>
      <c r="L168" s="77"/>
      <c r="O168" s="704">
        <f t="shared" si="6"/>
        <v>1300</v>
      </c>
      <c r="P168" s="704">
        <f t="shared" si="7"/>
        <v>1365</v>
      </c>
      <c r="U168">
        <v>850</v>
      </c>
      <c r="W168">
        <f t="shared" si="8"/>
        <v>977.49999999999989</v>
      </c>
    </row>
    <row r="169" spans="1:23">
      <c r="A169" s="21"/>
      <c r="B169" s="9" t="s">
        <v>270</v>
      </c>
      <c r="C169" s="647">
        <v>3000</v>
      </c>
      <c r="D169" s="769">
        <v>3000</v>
      </c>
      <c r="E169" s="755" t="s">
        <v>267</v>
      </c>
      <c r="F169" s="77"/>
      <c r="G169" s="661" t="s">
        <v>967</v>
      </c>
      <c r="H169" s="750"/>
      <c r="I169" s="77"/>
      <c r="J169" s="647"/>
      <c r="K169" s="77"/>
      <c r="L169" s="77"/>
      <c r="O169" s="704">
        <f t="shared" si="6"/>
        <v>3000</v>
      </c>
      <c r="P169" s="704">
        <f t="shared" si="7"/>
        <v>3150</v>
      </c>
      <c r="U169">
        <v>2070</v>
      </c>
      <c r="W169">
        <f t="shared" si="8"/>
        <v>2380.5</v>
      </c>
    </row>
    <row r="170" spans="1:23">
      <c r="A170" s="21"/>
      <c r="B170" s="9" t="s">
        <v>271</v>
      </c>
      <c r="C170" s="647">
        <v>100</v>
      </c>
      <c r="D170" s="769">
        <v>100</v>
      </c>
      <c r="E170" s="755" t="s">
        <v>274</v>
      </c>
      <c r="F170" s="77"/>
      <c r="G170" s="647"/>
      <c r="H170" s="750"/>
      <c r="I170" s="81" t="s">
        <v>1048</v>
      </c>
      <c r="J170" s="768">
        <v>150</v>
      </c>
      <c r="K170" s="77"/>
      <c r="L170" s="77"/>
      <c r="O170" s="704">
        <f t="shared" si="6"/>
        <v>100</v>
      </c>
      <c r="P170" s="704">
        <f t="shared" si="7"/>
        <v>105</v>
      </c>
      <c r="U170">
        <v>41.25</v>
      </c>
      <c r="W170">
        <f t="shared" si="8"/>
        <v>47.437499999999993</v>
      </c>
    </row>
    <row r="171" spans="1:23">
      <c r="A171" s="21"/>
      <c r="B171" s="760" t="s">
        <v>272</v>
      </c>
      <c r="C171" s="761">
        <v>675</v>
      </c>
      <c r="D171" s="763">
        <v>675</v>
      </c>
      <c r="E171" s="762" t="s">
        <v>274</v>
      </c>
      <c r="F171" s="77"/>
      <c r="G171" s="647"/>
      <c r="H171" s="750"/>
      <c r="I171" s="81" t="s">
        <v>1049</v>
      </c>
      <c r="J171" s="768">
        <v>210</v>
      </c>
      <c r="K171" s="77"/>
      <c r="L171" s="77"/>
      <c r="O171" s="704">
        <f t="shared" si="6"/>
        <v>675</v>
      </c>
      <c r="P171" s="704">
        <f t="shared" si="7"/>
        <v>708.75</v>
      </c>
      <c r="U171">
        <v>275.00000000000006</v>
      </c>
      <c r="W171">
        <f t="shared" si="8"/>
        <v>316.25000000000006</v>
      </c>
    </row>
    <row r="172" spans="1:23">
      <c r="A172" s="21"/>
      <c r="B172" s="760" t="s">
        <v>273</v>
      </c>
      <c r="C172" s="761">
        <v>65</v>
      </c>
      <c r="D172" s="763">
        <v>65</v>
      </c>
      <c r="E172" s="762" t="s">
        <v>274</v>
      </c>
      <c r="F172" s="77"/>
      <c r="G172" s="647"/>
      <c r="H172" s="750"/>
      <c r="I172" s="81" t="s">
        <v>1050</v>
      </c>
      <c r="J172" s="768">
        <v>200</v>
      </c>
      <c r="K172" s="77"/>
      <c r="L172" s="77"/>
      <c r="O172" s="704">
        <f t="shared" si="6"/>
        <v>65</v>
      </c>
      <c r="P172" s="704">
        <f t="shared" si="7"/>
        <v>68.25</v>
      </c>
      <c r="U172">
        <v>20.625</v>
      </c>
      <c r="W172">
        <f t="shared" si="8"/>
        <v>23.718749999999996</v>
      </c>
    </row>
    <row r="173" spans="1:23">
      <c r="A173" s="21"/>
      <c r="B173" s="760" t="s">
        <v>275</v>
      </c>
      <c r="C173" s="761">
        <v>115</v>
      </c>
      <c r="D173" s="763">
        <v>115</v>
      </c>
      <c r="E173" s="762" t="s">
        <v>274</v>
      </c>
      <c r="F173" s="77"/>
      <c r="G173" s="647"/>
      <c r="H173" s="750"/>
      <c r="I173" s="81" t="s">
        <v>1051</v>
      </c>
      <c r="J173" s="768">
        <v>350</v>
      </c>
      <c r="K173" s="77"/>
      <c r="L173" s="77"/>
      <c r="O173" s="704">
        <f t="shared" si="6"/>
        <v>115</v>
      </c>
      <c r="P173" s="704">
        <f t="shared" si="7"/>
        <v>120.75</v>
      </c>
      <c r="U173">
        <v>35</v>
      </c>
      <c r="W173">
        <f t="shared" si="8"/>
        <v>40.25</v>
      </c>
    </row>
    <row r="174" spans="1:23">
      <c r="A174" s="21"/>
      <c r="B174" s="760" t="s">
        <v>276</v>
      </c>
      <c r="C174" s="761">
        <v>155</v>
      </c>
      <c r="D174" s="763">
        <v>155</v>
      </c>
      <c r="E174" s="762" t="s">
        <v>274</v>
      </c>
      <c r="F174" s="77"/>
      <c r="G174" s="647"/>
      <c r="H174" s="750"/>
      <c r="I174" s="77"/>
      <c r="J174" s="647"/>
      <c r="K174" s="77"/>
      <c r="L174" s="77"/>
      <c r="O174" s="704">
        <f t="shared" si="6"/>
        <v>155</v>
      </c>
      <c r="P174" s="704">
        <f t="shared" si="7"/>
        <v>162.75</v>
      </c>
      <c r="U174">
        <v>50</v>
      </c>
      <c r="W174">
        <f t="shared" si="8"/>
        <v>57.499999999999993</v>
      </c>
    </row>
    <row r="175" spans="1:23">
      <c r="A175" s="21"/>
      <c r="B175" s="9" t="s">
        <v>900</v>
      </c>
      <c r="C175" s="647">
        <v>45</v>
      </c>
      <c r="D175" s="769">
        <v>45</v>
      </c>
      <c r="E175" s="755" t="s">
        <v>274</v>
      </c>
      <c r="F175" s="77"/>
      <c r="G175" s="647"/>
      <c r="H175" s="750"/>
      <c r="I175" s="77"/>
      <c r="J175" s="647"/>
      <c r="K175" s="77"/>
      <c r="L175" s="77"/>
      <c r="O175" s="704">
        <f t="shared" si="6"/>
        <v>45</v>
      </c>
      <c r="P175" s="704">
        <f t="shared" si="7"/>
        <v>47.25</v>
      </c>
      <c r="U175">
        <v>13.75</v>
      </c>
      <c r="W175">
        <f t="shared" si="8"/>
        <v>15.812499999999998</v>
      </c>
    </row>
    <row r="176" spans="1:23">
      <c r="A176" s="21"/>
      <c r="B176" s="9" t="s">
        <v>901</v>
      </c>
      <c r="C176" s="647">
        <v>45</v>
      </c>
      <c r="D176" s="769">
        <v>45</v>
      </c>
      <c r="E176" s="755" t="s">
        <v>274</v>
      </c>
      <c r="F176" s="77"/>
      <c r="G176" s="647"/>
      <c r="H176" s="750"/>
      <c r="I176" s="77"/>
      <c r="J176" s="647"/>
      <c r="K176" s="77"/>
      <c r="L176" s="77"/>
      <c r="O176" s="704">
        <f t="shared" si="6"/>
        <v>45</v>
      </c>
      <c r="P176" s="704">
        <f t="shared" si="7"/>
        <v>47.25</v>
      </c>
      <c r="U176">
        <v>15</v>
      </c>
      <c r="W176">
        <f t="shared" si="8"/>
        <v>17.25</v>
      </c>
    </row>
    <row r="177" spans="1:23">
      <c r="A177" s="21"/>
      <c r="B177" s="9" t="s">
        <v>1035</v>
      </c>
      <c r="C177" s="647">
        <v>220</v>
      </c>
      <c r="D177" s="769">
        <v>220</v>
      </c>
      <c r="E177" s="755" t="s">
        <v>156</v>
      </c>
      <c r="F177" s="750" t="s">
        <v>968</v>
      </c>
      <c r="G177" s="661" t="s">
        <v>969</v>
      </c>
      <c r="H177" s="750"/>
      <c r="I177" s="77"/>
      <c r="J177" s="647"/>
      <c r="K177" s="77"/>
      <c r="L177" s="77"/>
      <c r="O177" s="704">
        <f t="shared" si="6"/>
        <v>220</v>
      </c>
      <c r="P177" s="704">
        <f t="shared" si="7"/>
        <v>231</v>
      </c>
      <c r="U177">
        <v>130</v>
      </c>
      <c r="W177">
        <f t="shared" si="8"/>
        <v>149.5</v>
      </c>
    </row>
    <row r="178" spans="1:23">
      <c r="A178" s="21"/>
      <c r="B178" s="9" t="s">
        <v>278</v>
      </c>
      <c r="C178" s="647">
        <v>1200</v>
      </c>
      <c r="D178" s="769">
        <v>1200</v>
      </c>
      <c r="E178" s="755" t="s">
        <v>906</v>
      </c>
      <c r="F178" s="77"/>
      <c r="G178" s="647"/>
      <c r="H178" s="750"/>
      <c r="I178" s="77"/>
      <c r="J178" s="647"/>
      <c r="K178" s="77"/>
      <c r="L178" s="77"/>
      <c r="O178" s="704">
        <f t="shared" si="6"/>
        <v>1200</v>
      </c>
      <c r="P178" s="704">
        <f t="shared" si="7"/>
        <v>1260</v>
      </c>
      <c r="U178">
        <v>550.00000000000011</v>
      </c>
      <c r="W178">
        <f t="shared" si="8"/>
        <v>632.50000000000011</v>
      </c>
    </row>
    <row r="179" spans="1:23">
      <c r="A179" s="21"/>
      <c r="B179" s="760" t="s">
        <v>279</v>
      </c>
      <c r="C179" s="761">
        <v>800</v>
      </c>
      <c r="D179" s="763">
        <v>800</v>
      </c>
      <c r="E179" s="762" t="s">
        <v>197</v>
      </c>
      <c r="F179" s="77"/>
      <c r="G179" s="647"/>
      <c r="H179" s="750"/>
      <c r="I179" s="77"/>
      <c r="J179" s="647"/>
      <c r="K179" s="77"/>
      <c r="L179" s="77"/>
      <c r="O179" s="704">
        <f t="shared" si="6"/>
        <v>800</v>
      </c>
      <c r="P179" s="704">
        <f t="shared" si="7"/>
        <v>840</v>
      </c>
      <c r="U179">
        <v>687.5</v>
      </c>
      <c r="W179">
        <f t="shared" si="8"/>
        <v>790.62499999999989</v>
      </c>
    </row>
    <row r="180" spans="1:23">
      <c r="A180" s="21"/>
      <c r="B180" s="9" t="s">
        <v>280</v>
      </c>
      <c r="C180" s="647">
        <v>850</v>
      </c>
      <c r="D180" s="769">
        <v>850</v>
      </c>
      <c r="E180" s="755" t="s">
        <v>906</v>
      </c>
      <c r="F180" s="77"/>
      <c r="G180" s="647"/>
      <c r="H180" s="750"/>
      <c r="I180" s="81" t="s">
        <v>1052</v>
      </c>
      <c r="J180" s="768">
        <v>70</v>
      </c>
      <c r="K180" s="77"/>
      <c r="L180" s="77"/>
      <c r="O180" s="704">
        <f t="shared" si="6"/>
        <v>850</v>
      </c>
      <c r="P180" s="704">
        <f t="shared" si="7"/>
        <v>892.5</v>
      </c>
      <c r="U180">
        <v>412.5</v>
      </c>
      <c r="W180">
        <f t="shared" si="8"/>
        <v>474.37499999999994</v>
      </c>
    </row>
    <row r="181" spans="1:23">
      <c r="A181" s="21"/>
      <c r="B181" s="9" t="s">
        <v>282</v>
      </c>
      <c r="C181" s="647">
        <v>30</v>
      </c>
      <c r="D181" s="769">
        <v>30</v>
      </c>
      <c r="E181" s="755" t="s">
        <v>274</v>
      </c>
      <c r="F181" s="77"/>
      <c r="G181" s="647"/>
      <c r="H181" s="77"/>
      <c r="I181" s="77"/>
      <c r="J181" s="647"/>
      <c r="K181" s="77"/>
      <c r="L181" s="77"/>
      <c r="O181" s="704">
        <f t="shared" si="6"/>
        <v>30</v>
      </c>
      <c r="P181" s="704">
        <f t="shared" si="7"/>
        <v>31.5</v>
      </c>
      <c r="U181">
        <v>11</v>
      </c>
      <c r="W181">
        <f t="shared" si="8"/>
        <v>12.649999999999999</v>
      </c>
    </row>
    <row r="182" spans="1:23">
      <c r="A182" s="21"/>
      <c r="B182" s="9" t="s">
        <v>283</v>
      </c>
      <c r="C182" s="647">
        <v>40</v>
      </c>
      <c r="D182" s="769">
        <v>40</v>
      </c>
      <c r="E182" s="755" t="s">
        <v>274</v>
      </c>
      <c r="F182" s="77"/>
      <c r="G182" s="647"/>
      <c r="H182" s="750"/>
      <c r="I182" s="77"/>
      <c r="J182" s="647"/>
      <c r="K182" s="77"/>
      <c r="L182" s="77"/>
      <c r="O182" s="704">
        <f t="shared" si="6"/>
        <v>40</v>
      </c>
      <c r="P182" s="704">
        <f t="shared" si="7"/>
        <v>42</v>
      </c>
      <c r="U182">
        <v>13.75</v>
      </c>
      <c r="W182">
        <f t="shared" si="8"/>
        <v>15.812499999999998</v>
      </c>
    </row>
    <row r="183" spans="1:23">
      <c r="A183" s="21"/>
      <c r="B183" s="9" t="s">
        <v>284</v>
      </c>
      <c r="C183" s="647">
        <v>11000</v>
      </c>
      <c r="D183" s="769">
        <v>11000</v>
      </c>
      <c r="E183" s="755" t="s">
        <v>156</v>
      </c>
      <c r="F183" s="750" t="s">
        <v>970</v>
      </c>
      <c r="G183" s="661" t="s">
        <v>756</v>
      </c>
      <c r="H183" s="750"/>
      <c r="I183" s="77"/>
      <c r="J183" s="647" t="s">
        <v>971</v>
      </c>
      <c r="K183" s="77" t="s">
        <v>972</v>
      </c>
      <c r="L183" s="77"/>
      <c r="O183" s="704">
        <f t="shared" si="6"/>
        <v>11000</v>
      </c>
      <c r="P183" s="704">
        <f t="shared" si="7"/>
        <v>11550</v>
      </c>
      <c r="U183">
        <v>4950.0000000000009</v>
      </c>
      <c r="W183">
        <f t="shared" si="8"/>
        <v>5692.5000000000009</v>
      </c>
    </row>
    <row r="184" spans="1:23">
      <c r="A184" s="21"/>
      <c r="B184" s="760" t="s">
        <v>397</v>
      </c>
      <c r="C184" s="761">
        <v>56000</v>
      </c>
      <c r="D184" s="761">
        <v>56000</v>
      </c>
      <c r="E184" s="762" t="s">
        <v>156</v>
      </c>
      <c r="F184" s="750" t="s">
        <v>973</v>
      </c>
      <c r="G184" s="661" t="s">
        <v>974</v>
      </c>
      <c r="H184" s="750"/>
      <c r="I184" s="77"/>
      <c r="J184" s="647" t="s">
        <v>975</v>
      </c>
      <c r="K184" s="77" t="s">
        <v>976</v>
      </c>
      <c r="L184" s="77"/>
      <c r="O184" s="704">
        <f t="shared" si="6"/>
        <v>56000</v>
      </c>
      <c r="P184" s="704">
        <f t="shared" si="7"/>
        <v>58800</v>
      </c>
      <c r="U184">
        <v>24080</v>
      </c>
      <c r="W184">
        <f t="shared" si="8"/>
        <v>27691.999999999996</v>
      </c>
    </row>
    <row r="185" spans="1:23">
      <c r="A185" s="21"/>
      <c r="B185" s="760" t="s">
        <v>396</v>
      </c>
      <c r="C185" s="761">
        <v>62000</v>
      </c>
      <c r="D185" s="761">
        <v>62000</v>
      </c>
      <c r="E185" s="762" t="s">
        <v>156</v>
      </c>
      <c r="F185" s="750" t="s">
        <v>973</v>
      </c>
      <c r="G185" s="661" t="s">
        <v>977</v>
      </c>
      <c r="H185" s="750"/>
      <c r="I185" s="77"/>
      <c r="J185" s="647"/>
      <c r="K185" s="77"/>
      <c r="L185" s="77"/>
      <c r="O185" s="704">
        <f t="shared" si="6"/>
        <v>62000</v>
      </c>
      <c r="P185" s="704">
        <f t="shared" si="7"/>
        <v>65100</v>
      </c>
      <c r="U185">
        <v>26550</v>
      </c>
      <c r="W185">
        <f t="shared" si="8"/>
        <v>30532.499999999996</v>
      </c>
    </row>
    <row r="186" spans="1:23">
      <c r="A186" s="21"/>
      <c r="B186" s="9" t="s">
        <v>978</v>
      </c>
      <c r="C186" s="647">
        <v>10000</v>
      </c>
      <c r="D186" s="769">
        <v>10000</v>
      </c>
      <c r="E186" s="755" t="s">
        <v>156</v>
      </c>
      <c r="F186" s="750" t="s">
        <v>979</v>
      </c>
      <c r="G186" s="750" t="s">
        <v>980</v>
      </c>
      <c r="H186" s="661"/>
      <c r="I186" s="77"/>
      <c r="J186" s="647"/>
      <c r="K186" s="77"/>
      <c r="L186" s="77"/>
      <c r="O186" s="704">
        <f t="shared" si="6"/>
        <v>10000</v>
      </c>
      <c r="P186" s="704">
        <f t="shared" si="7"/>
        <v>10500</v>
      </c>
      <c r="U186">
        <v>4360</v>
      </c>
      <c r="W186">
        <f t="shared" si="8"/>
        <v>5014</v>
      </c>
    </row>
    <row r="187" spans="1:23">
      <c r="A187" s="21"/>
      <c r="B187" s="9" t="s">
        <v>981</v>
      </c>
      <c r="C187" s="647">
        <v>11100</v>
      </c>
      <c r="D187" s="769">
        <v>11100</v>
      </c>
      <c r="E187" s="755" t="s">
        <v>156</v>
      </c>
      <c r="F187" s="750" t="s">
        <v>979</v>
      </c>
      <c r="G187" s="750" t="s">
        <v>982</v>
      </c>
      <c r="H187" s="661"/>
      <c r="I187" s="77"/>
      <c r="J187" s="647"/>
      <c r="K187" s="77"/>
      <c r="L187" s="77"/>
      <c r="O187" s="704">
        <f t="shared" si="6"/>
        <v>11100</v>
      </c>
      <c r="P187" s="704">
        <f t="shared" si="7"/>
        <v>11655</v>
      </c>
      <c r="U187">
        <v>4700</v>
      </c>
      <c r="W187">
        <f t="shared" si="8"/>
        <v>5405</v>
      </c>
    </row>
    <row r="188" spans="1:23">
      <c r="A188" s="21"/>
      <c r="B188" s="9" t="s">
        <v>400</v>
      </c>
      <c r="C188" s="647">
        <v>28000</v>
      </c>
      <c r="D188" s="769">
        <v>28000</v>
      </c>
      <c r="E188" s="755" t="s">
        <v>197</v>
      </c>
      <c r="F188" s="77"/>
      <c r="G188" s="647"/>
      <c r="H188" s="750"/>
      <c r="I188" s="77"/>
      <c r="J188" s="647"/>
      <c r="K188" s="77"/>
      <c r="L188" s="77"/>
      <c r="O188" s="704">
        <f t="shared" si="6"/>
        <v>28000</v>
      </c>
      <c r="P188" s="704">
        <f t="shared" si="7"/>
        <v>29400</v>
      </c>
      <c r="U188">
        <v>12000</v>
      </c>
      <c r="W188">
        <f t="shared" si="8"/>
        <v>13799.999999999998</v>
      </c>
    </row>
    <row r="189" spans="1:23">
      <c r="A189" s="21"/>
      <c r="B189" s="9" t="s">
        <v>395</v>
      </c>
      <c r="C189" s="647">
        <v>10000</v>
      </c>
      <c r="D189" s="769">
        <v>10000</v>
      </c>
      <c r="E189" s="755" t="s">
        <v>156</v>
      </c>
      <c r="F189" s="750" t="s">
        <v>983</v>
      </c>
      <c r="G189" s="661" t="s">
        <v>984</v>
      </c>
      <c r="H189" s="750"/>
      <c r="I189" s="752" t="s">
        <v>985</v>
      </c>
      <c r="J189" s="647" t="s">
        <v>986</v>
      </c>
      <c r="K189" s="753" t="s">
        <v>987</v>
      </c>
      <c r="L189" s="77">
        <v>2000</v>
      </c>
      <c r="O189" s="704">
        <f t="shared" si="6"/>
        <v>10000</v>
      </c>
      <c r="P189" s="704">
        <f t="shared" si="7"/>
        <v>10500</v>
      </c>
      <c r="U189">
        <v>4140</v>
      </c>
      <c r="W189">
        <f t="shared" si="8"/>
        <v>4761</v>
      </c>
    </row>
    <row r="190" spans="1:23">
      <c r="A190" s="21"/>
      <c r="B190" s="9" t="s">
        <v>988</v>
      </c>
      <c r="C190" s="647">
        <v>16000</v>
      </c>
      <c r="D190" s="769">
        <v>16000</v>
      </c>
      <c r="E190" s="755" t="s">
        <v>156</v>
      </c>
      <c r="F190" s="750" t="s">
        <v>989</v>
      </c>
      <c r="G190" s="661" t="s">
        <v>990</v>
      </c>
      <c r="H190" s="750"/>
      <c r="I190" s="77"/>
      <c r="J190" s="647" t="s">
        <v>991</v>
      </c>
      <c r="K190" s="77" t="s">
        <v>992</v>
      </c>
      <c r="L190" s="77">
        <v>2400</v>
      </c>
      <c r="O190" s="704">
        <f t="shared" ref="O190:O227" si="9">+D190</f>
        <v>16000</v>
      </c>
      <c r="P190" s="704">
        <f t="shared" si="7"/>
        <v>16800</v>
      </c>
      <c r="U190">
        <v>4675.0000000000009</v>
      </c>
      <c r="W190">
        <f t="shared" ref="W190:W224" si="10">(U190*1.15)</f>
        <v>5376.2500000000009</v>
      </c>
    </row>
    <row r="191" spans="1:23">
      <c r="A191" s="21"/>
      <c r="B191" s="9" t="s">
        <v>993</v>
      </c>
      <c r="C191" s="647">
        <v>26500</v>
      </c>
      <c r="D191" s="769">
        <v>26500</v>
      </c>
      <c r="E191" s="755" t="s">
        <v>156</v>
      </c>
      <c r="F191" s="750" t="s">
        <v>989</v>
      </c>
      <c r="G191" s="661" t="s">
        <v>994</v>
      </c>
      <c r="H191" s="750"/>
      <c r="I191" s="77"/>
      <c r="J191" s="647"/>
      <c r="K191" s="77"/>
      <c r="L191" s="77"/>
      <c r="O191" s="704">
        <f t="shared" si="9"/>
        <v>26500</v>
      </c>
      <c r="P191" s="704">
        <f t="shared" ref="P191:P222" si="11">O191*1.05</f>
        <v>27825</v>
      </c>
      <c r="U191">
        <v>8937.5000000000018</v>
      </c>
      <c r="W191">
        <f t="shared" si="10"/>
        <v>10278.125000000002</v>
      </c>
    </row>
    <row r="192" spans="1:23">
      <c r="A192" s="21"/>
      <c r="B192" s="9" t="s">
        <v>995</v>
      </c>
      <c r="C192" s="647">
        <v>30000</v>
      </c>
      <c r="D192" s="769">
        <v>30000</v>
      </c>
      <c r="E192" s="755" t="s">
        <v>156</v>
      </c>
      <c r="F192" s="750" t="s">
        <v>989</v>
      </c>
      <c r="G192" s="661" t="s">
        <v>996</v>
      </c>
      <c r="H192" s="750"/>
      <c r="I192" s="77"/>
      <c r="J192" s="647"/>
      <c r="K192" s="77"/>
      <c r="L192" s="77"/>
      <c r="O192" s="704">
        <f t="shared" si="9"/>
        <v>30000</v>
      </c>
      <c r="P192" s="704">
        <f t="shared" si="11"/>
        <v>31500</v>
      </c>
      <c r="U192">
        <v>10460</v>
      </c>
      <c r="W192">
        <f t="shared" si="10"/>
        <v>12028.999999999998</v>
      </c>
    </row>
    <row r="193" spans="1:23">
      <c r="A193" s="21"/>
      <c r="B193" s="22" t="s">
        <v>281</v>
      </c>
      <c r="C193" s="23">
        <v>22000</v>
      </c>
      <c r="D193" s="770">
        <v>22000</v>
      </c>
      <c r="E193" s="30" t="s">
        <v>156</v>
      </c>
      <c r="F193" s="750" t="s">
        <v>997</v>
      </c>
      <c r="G193" s="647" t="s">
        <v>756</v>
      </c>
      <c r="H193" s="750"/>
      <c r="I193" s="77"/>
      <c r="J193" s="647" t="s">
        <v>998</v>
      </c>
      <c r="K193" s="77" t="s">
        <v>999</v>
      </c>
      <c r="L193" s="77"/>
      <c r="O193" s="704">
        <f t="shared" si="9"/>
        <v>22000</v>
      </c>
      <c r="P193" s="704">
        <f t="shared" si="11"/>
        <v>23100</v>
      </c>
      <c r="U193">
        <v>10710</v>
      </c>
      <c r="W193">
        <f t="shared" si="10"/>
        <v>12316.499999999998</v>
      </c>
    </row>
    <row r="194" spans="1:23">
      <c r="A194" s="21"/>
      <c r="B194" s="9" t="s">
        <v>285</v>
      </c>
      <c r="C194" s="647">
        <v>11000</v>
      </c>
      <c r="D194" s="647">
        <v>11000</v>
      </c>
      <c r="E194" s="755" t="s">
        <v>156</v>
      </c>
      <c r="F194" s="750" t="s">
        <v>1000</v>
      </c>
      <c r="G194" s="661" t="s">
        <v>1001</v>
      </c>
      <c r="H194" s="750"/>
      <c r="I194" s="77"/>
      <c r="J194" s="647" t="s">
        <v>1002</v>
      </c>
      <c r="K194" s="77" t="s">
        <v>1003</v>
      </c>
      <c r="L194" s="77"/>
      <c r="O194" s="704">
        <f t="shared" si="9"/>
        <v>11000</v>
      </c>
      <c r="P194" s="704">
        <f t="shared" si="11"/>
        <v>11550</v>
      </c>
      <c r="U194">
        <v>4400.0000000000009</v>
      </c>
      <c r="W194">
        <f t="shared" si="10"/>
        <v>5060.0000000000009</v>
      </c>
    </row>
    <row r="195" spans="1:23">
      <c r="A195" s="21"/>
      <c r="B195" s="9" t="s">
        <v>286</v>
      </c>
      <c r="C195" s="647">
        <v>2000</v>
      </c>
      <c r="D195" s="647">
        <v>2000</v>
      </c>
      <c r="E195" s="755" t="s">
        <v>156</v>
      </c>
      <c r="F195" s="750" t="s">
        <v>1004</v>
      </c>
      <c r="G195" s="661" t="s">
        <v>1005</v>
      </c>
      <c r="H195" s="750"/>
      <c r="I195" s="77"/>
      <c r="J195" s="647" t="s">
        <v>1006</v>
      </c>
      <c r="K195" s="77" t="s">
        <v>1007</v>
      </c>
      <c r="L195" s="77"/>
      <c r="O195" s="704">
        <f t="shared" si="9"/>
        <v>2000</v>
      </c>
      <c r="P195" s="704">
        <f t="shared" si="11"/>
        <v>2100</v>
      </c>
      <c r="U195">
        <v>1182.5000000000002</v>
      </c>
      <c r="W195">
        <f t="shared" si="10"/>
        <v>1359.8750000000002</v>
      </c>
    </row>
    <row r="196" spans="1:23">
      <c r="A196" s="21"/>
      <c r="B196" s="22" t="s">
        <v>287</v>
      </c>
      <c r="C196" s="23">
        <v>3100</v>
      </c>
      <c r="D196" s="23">
        <v>3100</v>
      </c>
      <c r="E196" s="30" t="s">
        <v>156</v>
      </c>
      <c r="F196" s="750" t="s">
        <v>1008</v>
      </c>
      <c r="G196" s="661" t="s">
        <v>1009</v>
      </c>
      <c r="H196" s="750"/>
      <c r="I196" s="77"/>
      <c r="J196" s="647" t="s">
        <v>1010</v>
      </c>
      <c r="K196" s="77" t="s">
        <v>1011</v>
      </c>
      <c r="L196" s="77"/>
      <c r="O196" s="704">
        <f t="shared" si="9"/>
        <v>3100</v>
      </c>
      <c r="P196" s="704">
        <f t="shared" si="11"/>
        <v>3255</v>
      </c>
      <c r="U196">
        <v>1856.2500000000002</v>
      </c>
      <c r="W196">
        <f t="shared" si="10"/>
        <v>2134.6875</v>
      </c>
    </row>
    <row r="197" spans="1:23">
      <c r="A197" s="21"/>
      <c r="B197" s="9" t="s">
        <v>399</v>
      </c>
      <c r="C197" s="647">
        <v>2610</v>
      </c>
      <c r="D197" s="769">
        <v>2610</v>
      </c>
      <c r="E197" s="755" t="s">
        <v>156</v>
      </c>
      <c r="F197" s="750" t="s">
        <v>1012</v>
      </c>
      <c r="G197" s="661" t="s">
        <v>1013</v>
      </c>
      <c r="H197" s="750"/>
      <c r="I197" s="77"/>
      <c r="J197" s="647"/>
      <c r="K197" s="77"/>
      <c r="L197" s="77"/>
      <c r="O197" s="704">
        <f t="shared" si="9"/>
        <v>2610</v>
      </c>
      <c r="P197" s="704">
        <f t="shared" si="11"/>
        <v>2740.5</v>
      </c>
      <c r="U197">
        <v>1546.875</v>
      </c>
      <c r="W197">
        <f t="shared" si="10"/>
        <v>1778.9062499999998</v>
      </c>
    </row>
    <row r="198" spans="1:23">
      <c r="A198" s="21"/>
      <c r="B198" s="9" t="s">
        <v>383</v>
      </c>
      <c r="C198" s="647">
        <v>260</v>
      </c>
      <c r="D198" s="769">
        <v>260</v>
      </c>
      <c r="E198" s="755" t="s">
        <v>155</v>
      </c>
      <c r="F198" s="77"/>
      <c r="G198" s="647"/>
      <c r="H198" s="750"/>
      <c r="I198" s="77"/>
      <c r="J198" s="647"/>
      <c r="K198" s="77"/>
      <c r="L198" s="77"/>
      <c r="O198" s="704">
        <f t="shared" si="9"/>
        <v>260</v>
      </c>
      <c r="P198" s="704">
        <f t="shared" si="11"/>
        <v>273</v>
      </c>
      <c r="U198">
        <v>120</v>
      </c>
      <c r="W198">
        <f t="shared" si="10"/>
        <v>138</v>
      </c>
    </row>
    <row r="199" spans="1:23">
      <c r="A199" s="21"/>
      <c r="B199" s="9" t="s">
        <v>384</v>
      </c>
      <c r="C199" s="647">
        <v>360</v>
      </c>
      <c r="D199" s="769">
        <v>360</v>
      </c>
      <c r="E199" s="755" t="s">
        <v>155</v>
      </c>
      <c r="F199" s="77"/>
      <c r="G199" s="647"/>
      <c r="H199" s="750"/>
      <c r="I199" s="77"/>
      <c r="J199" s="647"/>
      <c r="K199" s="77"/>
      <c r="L199" s="77"/>
      <c r="O199" s="704">
        <f t="shared" si="9"/>
        <v>360</v>
      </c>
      <c r="P199" s="704">
        <f t="shared" si="11"/>
        <v>378</v>
      </c>
      <c r="U199">
        <v>185</v>
      </c>
      <c r="W199">
        <f t="shared" si="10"/>
        <v>212.74999999999997</v>
      </c>
    </row>
    <row r="200" spans="1:23">
      <c r="A200" s="21"/>
      <c r="B200" s="9" t="s">
        <v>386</v>
      </c>
      <c r="C200" s="647">
        <v>400</v>
      </c>
      <c r="D200" s="769">
        <v>400</v>
      </c>
      <c r="E200" s="755" t="s">
        <v>155</v>
      </c>
      <c r="F200" s="77"/>
      <c r="G200" s="647"/>
      <c r="H200" s="750"/>
      <c r="I200" s="77"/>
      <c r="J200" s="647"/>
      <c r="K200" s="77"/>
      <c r="L200" s="77"/>
      <c r="O200" s="704">
        <f t="shared" si="9"/>
        <v>400</v>
      </c>
      <c r="P200" s="704">
        <f t="shared" si="11"/>
        <v>420</v>
      </c>
      <c r="U200">
        <v>230</v>
      </c>
      <c r="W200">
        <f t="shared" si="10"/>
        <v>264.5</v>
      </c>
    </row>
    <row r="201" spans="1:23">
      <c r="A201" s="21"/>
      <c r="B201" s="9" t="s">
        <v>385</v>
      </c>
      <c r="C201" s="647">
        <v>500</v>
      </c>
      <c r="D201" s="769">
        <v>500</v>
      </c>
      <c r="E201" s="755" t="s">
        <v>155</v>
      </c>
      <c r="F201" s="77"/>
      <c r="G201" s="647"/>
      <c r="H201" s="750"/>
      <c r="I201" s="77"/>
      <c r="J201" s="647"/>
      <c r="K201" s="77"/>
      <c r="L201" s="77"/>
      <c r="O201" s="704">
        <f t="shared" si="9"/>
        <v>500</v>
      </c>
      <c r="P201" s="704">
        <f t="shared" si="11"/>
        <v>525</v>
      </c>
      <c r="U201">
        <v>120</v>
      </c>
      <c r="W201">
        <f t="shared" si="10"/>
        <v>138</v>
      </c>
    </row>
    <row r="202" spans="1:23">
      <c r="A202" s="21"/>
      <c r="B202" s="760" t="s">
        <v>294</v>
      </c>
      <c r="C202" s="761">
        <v>1650</v>
      </c>
      <c r="D202" s="763">
        <v>1650</v>
      </c>
      <c r="E202" s="762" t="s">
        <v>197</v>
      </c>
      <c r="F202" s="77"/>
      <c r="G202" s="647"/>
      <c r="H202" s="750"/>
      <c r="I202" s="77"/>
      <c r="J202" s="647"/>
      <c r="K202" s="77"/>
      <c r="L202" s="77"/>
      <c r="O202" s="704">
        <f t="shared" si="9"/>
        <v>1650</v>
      </c>
      <c r="P202" s="704">
        <f t="shared" si="11"/>
        <v>1732.5</v>
      </c>
      <c r="U202">
        <v>850</v>
      </c>
      <c r="W202">
        <f t="shared" si="10"/>
        <v>977.49999999999989</v>
      </c>
    </row>
    <row r="203" spans="1:23">
      <c r="A203" s="21"/>
      <c r="B203" s="9" t="s">
        <v>399</v>
      </c>
      <c r="C203" s="647">
        <v>2610</v>
      </c>
      <c r="D203" s="769">
        <v>2610</v>
      </c>
      <c r="E203" s="755" t="s">
        <v>156</v>
      </c>
      <c r="F203" s="750" t="s">
        <v>1012</v>
      </c>
      <c r="G203" s="661" t="s">
        <v>1013</v>
      </c>
      <c r="H203" s="750"/>
      <c r="I203" s="77"/>
      <c r="J203" s="647"/>
      <c r="K203" s="77"/>
      <c r="L203" s="77"/>
      <c r="O203" s="704">
        <f t="shared" si="9"/>
        <v>2610</v>
      </c>
      <c r="P203" s="704">
        <f t="shared" si="11"/>
        <v>2740.5</v>
      </c>
      <c r="U203">
        <v>1546.875</v>
      </c>
      <c r="W203">
        <f t="shared" si="10"/>
        <v>1778.9062499999998</v>
      </c>
    </row>
    <row r="204" spans="1:23">
      <c r="A204" s="21"/>
      <c r="B204" s="9" t="s">
        <v>398</v>
      </c>
      <c r="C204" s="647">
        <v>11150</v>
      </c>
      <c r="D204" s="769">
        <v>11150</v>
      </c>
      <c r="E204" s="755" t="s">
        <v>156</v>
      </c>
      <c r="F204" s="750" t="s">
        <v>1014</v>
      </c>
      <c r="G204" s="661" t="s">
        <v>1015</v>
      </c>
      <c r="H204" s="750"/>
      <c r="I204" s="77"/>
      <c r="J204" s="647"/>
      <c r="K204" s="77"/>
      <c r="L204" s="77"/>
      <c r="O204" s="704">
        <f t="shared" si="9"/>
        <v>11150</v>
      </c>
      <c r="P204" s="704">
        <f t="shared" si="11"/>
        <v>11707.5</v>
      </c>
      <c r="U204">
        <v>5370</v>
      </c>
      <c r="W204">
        <f t="shared" si="10"/>
        <v>6175.4999999999991</v>
      </c>
    </row>
    <row r="205" spans="1:23">
      <c r="A205" s="21"/>
      <c r="B205" s="22" t="s">
        <v>295</v>
      </c>
      <c r="C205" s="23">
        <v>2320</v>
      </c>
      <c r="D205" s="770">
        <v>2320</v>
      </c>
      <c r="E205" s="30" t="s">
        <v>156</v>
      </c>
      <c r="F205" s="750" t="s">
        <v>1016</v>
      </c>
      <c r="G205" s="661" t="s">
        <v>1017</v>
      </c>
      <c r="H205" s="750"/>
      <c r="I205" s="77"/>
      <c r="J205" s="647"/>
      <c r="K205" s="77"/>
      <c r="L205" s="77"/>
      <c r="O205" s="704">
        <f t="shared" si="9"/>
        <v>2320</v>
      </c>
      <c r="P205" s="704">
        <f t="shared" si="11"/>
        <v>2436</v>
      </c>
      <c r="U205">
        <v>910</v>
      </c>
      <c r="W205">
        <f t="shared" si="10"/>
        <v>1046.5</v>
      </c>
    </row>
    <row r="206" spans="1:23">
      <c r="A206" s="21"/>
      <c r="B206" s="22" t="s">
        <v>393</v>
      </c>
      <c r="C206" s="23">
        <v>520</v>
      </c>
      <c r="D206" s="770">
        <v>520</v>
      </c>
      <c r="E206" s="30" t="s">
        <v>156</v>
      </c>
      <c r="F206" s="750" t="s">
        <v>1018</v>
      </c>
      <c r="G206" s="661" t="s">
        <v>1019</v>
      </c>
      <c r="H206" s="750"/>
      <c r="I206" s="77"/>
      <c r="J206" s="647"/>
      <c r="K206" s="77"/>
      <c r="L206" s="77"/>
      <c r="O206" s="704">
        <f t="shared" si="9"/>
        <v>520</v>
      </c>
      <c r="P206" s="704">
        <f t="shared" si="11"/>
        <v>546</v>
      </c>
      <c r="U206">
        <v>1100.0000000000002</v>
      </c>
      <c r="W206">
        <f t="shared" si="10"/>
        <v>1265.0000000000002</v>
      </c>
    </row>
    <row r="207" spans="1:23">
      <c r="A207" s="21"/>
      <c r="B207" s="9"/>
      <c r="C207" s="647">
        <v>0</v>
      </c>
      <c r="D207" s="647">
        <v>0</v>
      </c>
      <c r="E207" s="755"/>
      <c r="G207" s="647"/>
      <c r="H207" s="77"/>
      <c r="I207" s="77"/>
      <c r="J207" s="647"/>
      <c r="K207" s="77"/>
      <c r="L207" s="77"/>
      <c r="O207" s="704">
        <f t="shared" si="9"/>
        <v>0</v>
      </c>
      <c r="P207" s="238"/>
      <c r="U207">
        <v>0</v>
      </c>
      <c r="W207">
        <f t="shared" si="10"/>
        <v>0</v>
      </c>
    </row>
    <row r="208" spans="1:23">
      <c r="A208" s="21"/>
      <c r="B208" s="760" t="s">
        <v>288</v>
      </c>
      <c r="C208" s="761">
        <v>160</v>
      </c>
      <c r="D208" s="763">
        <v>160</v>
      </c>
      <c r="E208" s="762" t="s">
        <v>197</v>
      </c>
      <c r="F208" s="77"/>
      <c r="G208" s="647"/>
      <c r="H208" s="750"/>
      <c r="I208" s="77"/>
      <c r="J208" s="647"/>
      <c r="K208" s="77"/>
      <c r="L208" s="77"/>
      <c r="O208" s="704">
        <f t="shared" si="9"/>
        <v>160</v>
      </c>
      <c r="P208" s="704">
        <f t="shared" si="11"/>
        <v>168</v>
      </c>
      <c r="U208">
        <v>90</v>
      </c>
      <c r="W208">
        <f t="shared" si="10"/>
        <v>103.49999999999999</v>
      </c>
    </row>
    <row r="209" spans="1:23">
      <c r="A209" s="21"/>
      <c r="B209" s="760" t="s">
        <v>289</v>
      </c>
      <c r="C209" s="761">
        <v>50</v>
      </c>
      <c r="D209" s="763">
        <v>50</v>
      </c>
      <c r="E209" s="762" t="s">
        <v>197</v>
      </c>
      <c r="F209" s="77"/>
      <c r="G209" s="647"/>
      <c r="H209" s="750"/>
      <c r="I209" s="77"/>
      <c r="J209" s="647"/>
      <c r="K209" s="77"/>
      <c r="L209" s="77"/>
      <c r="O209" s="704">
        <f t="shared" si="9"/>
        <v>50</v>
      </c>
      <c r="P209" s="704">
        <f t="shared" si="11"/>
        <v>52.5</v>
      </c>
      <c r="U209">
        <v>35</v>
      </c>
      <c r="W209">
        <f t="shared" si="10"/>
        <v>40.25</v>
      </c>
    </row>
    <row r="210" spans="1:23">
      <c r="A210" s="21"/>
      <c r="B210" s="760" t="s">
        <v>290</v>
      </c>
      <c r="C210" s="761">
        <v>100</v>
      </c>
      <c r="D210" s="763">
        <v>100</v>
      </c>
      <c r="E210" s="762" t="s">
        <v>197</v>
      </c>
      <c r="F210" s="750" t="s">
        <v>1020</v>
      </c>
      <c r="G210" s="661" t="s">
        <v>1021</v>
      </c>
      <c r="H210" s="750"/>
      <c r="I210" s="77"/>
      <c r="J210" s="647"/>
      <c r="K210" s="77"/>
      <c r="L210" s="77"/>
      <c r="O210" s="704">
        <f t="shared" si="9"/>
        <v>100</v>
      </c>
      <c r="P210" s="704">
        <f t="shared" si="11"/>
        <v>105</v>
      </c>
      <c r="U210">
        <v>70</v>
      </c>
      <c r="W210">
        <f t="shared" si="10"/>
        <v>80.5</v>
      </c>
    </row>
    <row r="211" spans="1:23">
      <c r="A211" s="21"/>
      <c r="B211" s="9" t="s">
        <v>296</v>
      </c>
      <c r="C211" s="647">
        <v>30</v>
      </c>
      <c r="D211" s="769">
        <v>30</v>
      </c>
      <c r="E211" s="755" t="s">
        <v>274</v>
      </c>
      <c r="F211" s="750" t="s">
        <v>1022</v>
      </c>
      <c r="G211" s="661"/>
      <c r="H211" s="750"/>
      <c r="I211" s="77"/>
      <c r="J211" s="647"/>
      <c r="K211" s="77"/>
      <c r="L211" s="77"/>
      <c r="O211" s="704">
        <f t="shared" si="9"/>
        <v>30</v>
      </c>
      <c r="P211" s="704">
        <f t="shared" si="11"/>
        <v>31.5</v>
      </c>
      <c r="U211">
        <v>11</v>
      </c>
      <c r="W211">
        <f t="shared" si="10"/>
        <v>12.649999999999999</v>
      </c>
    </row>
    <row r="212" spans="1:23">
      <c r="A212" s="21"/>
      <c r="B212" s="9" t="s">
        <v>387</v>
      </c>
      <c r="C212" s="647">
        <v>235</v>
      </c>
      <c r="D212" s="769">
        <v>235</v>
      </c>
      <c r="E212" s="755" t="s">
        <v>156</v>
      </c>
      <c r="F212" s="750" t="s">
        <v>1023</v>
      </c>
      <c r="G212" s="750" t="s">
        <v>1024</v>
      </c>
      <c r="H212" s="661"/>
      <c r="I212" s="77"/>
      <c r="J212" s="647"/>
      <c r="K212" s="77"/>
      <c r="L212" s="77"/>
      <c r="O212" s="704">
        <f t="shared" si="9"/>
        <v>235</v>
      </c>
      <c r="P212" s="704">
        <f t="shared" si="11"/>
        <v>246.75</v>
      </c>
      <c r="U212">
        <v>20</v>
      </c>
      <c r="W212">
        <f t="shared" si="10"/>
        <v>23</v>
      </c>
    </row>
    <row r="213" spans="1:23">
      <c r="A213" s="21"/>
      <c r="B213" s="9"/>
      <c r="C213" s="647">
        <v>0</v>
      </c>
      <c r="D213" s="647">
        <v>0</v>
      </c>
      <c r="E213" s="755"/>
      <c r="G213" s="647"/>
      <c r="H213" s="77"/>
      <c r="I213" s="77"/>
      <c r="J213" s="647"/>
      <c r="K213" s="77"/>
      <c r="L213" s="77"/>
      <c r="O213" s="704">
        <f t="shared" si="9"/>
        <v>0</v>
      </c>
      <c r="P213" s="238"/>
      <c r="U213">
        <v>0</v>
      </c>
      <c r="W213">
        <f t="shared" si="10"/>
        <v>0</v>
      </c>
    </row>
    <row r="214" spans="1:23">
      <c r="A214" s="21"/>
      <c r="B214" s="9" t="s">
        <v>299</v>
      </c>
      <c r="C214" s="647">
        <v>105</v>
      </c>
      <c r="D214" s="769">
        <v>105</v>
      </c>
      <c r="E214" s="755" t="s">
        <v>274</v>
      </c>
      <c r="F214" s="750" t="s">
        <v>1025</v>
      </c>
      <c r="G214" s="647"/>
      <c r="H214" s="750"/>
      <c r="I214" s="81" t="s">
        <v>1044</v>
      </c>
      <c r="J214" s="768">
        <v>290</v>
      </c>
      <c r="K214" s="77"/>
      <c r="L214" s="77"/>
      <c r="O214" s="704">
        <f t="shared" si="9"/>
        <v>105</v>
      </c>
      <c r="P214" s="704">
        <f t="shared" si="11"/>
        <v>110.25</v>
      </c>
      <c r="U214">
        <v>41.25</v>
      </c>
      <c r="W214">
        <f t="shared" si="10"/>
        <v>47.437499999999993</v>
      </c>
    </row>
    <row r="215" spans="1:23">
      <c r="A215" s="21"/>
      <c r="B215" s="9" t="s">
        <v>300</v>
      </c>
      <c r="C215" s="647">
        <v>120</v>
      </c>
      <c r="D215" s="769">
        <v>120</v>
      </c>
      <c r="E215" s="755" t="s">
        <v>274</v>
      </c>
      <c r="F215" s="77"/>
      <c r="G215" s="647"/>
      <c r="H215" s="750"/>
      <c r="I215" s="77"/>
      <c r="J215" s="647"/>
      <c r="K215" s="77"/>
      <c r="L215" s="77"/>
      <c r="O215" s="704">
        <f t="shared" si="9"/>
        <v>120</v>
      </c>
      <c r="P215" s="704">
        <f t="shared" si="11"/>
        <v>126</v>
      </c>
      <c r="U215">
        <v>41.25</v>
      </c>
      <c r="W215">
        <f t="shared" si="10"/>
        <v>47.437499999999993</v>
      </c>
    </row>
    <row r="216" spans="1:23">
      <c r="A216" s="21"/>
      <c r="B216" s="9" t="s">
        <v>301</v>
      </c>
      <c r="C216" s="647">
        <v>335</v>
      </c>
      <c r="D216" s="769">
        <v>335</v>
      </c>
      <c r="E216" s="755" t="s">
        <v>274</v>
      </c>
      <c r="F216" s="77"/>
      <c r="G216" s="647"/>
      <c r="H216" s="750"/>
      <c r="I216" s="77"/>
      <c r="J216" s="647"/>
      <c r="K216" s="77"/>
      <c r="L216" s="77"/>
      <c r="O216" s="704">
        <f t="shared" si="9"/>
        <v>335</v>
      </c>
      <c r="P216" s="704">
        <f t="shared" si="11"/>
        <v>351.75</v>
      </c>
      <c r="U216">
        <v>123.75000000000001</v>
      </c>
      <c r="W216">
        <f t="shared" si="10"/>
        <v>142.3125</v>
      </c>
    </row>
    <row r="217" spans="1:23">
      <c r="A217" s="21"/>
      <c r="B217" s="9"/>
      <c r="C217" s="647">
        <v>0</v>
      </c>
      <c r="D217" s="647">
        <v>0</v>
      </c>
      <c r="E217" s="755"/>
      <c r="G217" s="647"/>
      <c r="H217" s="77"/>
      <c r="I217" s="77"/>
      <c r="J217" s="647"/>
      <c r="K217" s="77"/>
      <c r="L217" s="77"/>
      <c r="O217" s="704">
        <f t="shared" si="9"/>
        <v>0</v>
      </c>
      <c r="P217" s="238"/>
      <c r="U217">
        <v>0</v>
      </c>
      <c r="W217">
        <f t="shared" si="10"/>
        <v>0</v>
      </c>
    </row>
    <row r="218" spans="1:23">
      <c r="A218" s="21"/>
      <c r="B218" s="760" t="s">
        <v>359</v>
      </c>
      <c r="C218" s="761">
        <v>40</v>
      </c>
      <c r="D218" s="765">
        <v>40</v>
      </c>
      <c r="E218" s="762" t="s">
        <v>197</v>
      </c>
      <c r="F218" s="77"/>
      <c r="H218" s="750"/>
      <c r="I218" s="761" t="s">
        <v>1043</v>
      </c>
      <c r="J218" s="761">
        <v>810</v>
      </c>
      <c r="K218" s="77"/>
      <c r="L218" s="77"/>
      <c r="O218" s="704">
        <f t="shared" si="9"/>
        <v>40</v>
      </c>
      <c r="P218" s="704">
        <f t="shared" si="11"/>
        <v>42</v>
      </c>
      <c r="U218">
        <v>55</v>
      </c>
      <c r="W218">
        <f t="shared" si="10"/>
        <v>63.249999999999993</v>
      </c>
    </row>
    <row r="219" spans="1:23">
      <c r="A219" s="21"/>
      <c r="B219" s="760" t="s">
        <v>1026</v>
      </c>
      <c r="C219" s="761">
        <v>600</v>
      </c>
      <c r="D219" s="763">
        <v>600</v>
      </c>
      <c r="E219" s="762" t="s">
        <v>197</v>
      </c>
      <c r="F219" s="77"/>
      <c r="G219" s="647"/>
      <c r="H219" s="750"/>
      <c r="I219" s="764" t="s">
        <v>1045</v>
      </c>
      <c r="J219" s="761">
        <v>890</v>
      </c>
      <c r="K219" s="77"/>
      <c r="L219" s="77"/>
      <c r="O219" s="704">
        <f t="shared" si="9"/>
        <v>600</v>
      </c>
      <c r="P219" s="704">
        <f t="shared" si="11"/>
        <v>630</v>
      </c>
      <c r="U219">
        <v>825</v>
      </c>
      <c r="W219">
        <f t="shared" si="10"/>
        <v>948.74999999999989</v>
      </c>
    </row>
    <row r="220" spans="1:23">
      <c r="A220" s="21"/>
      <c r="B220" s="760" t="s">
        <v>361</v>
      </c>
      <c r="C220" s="761">
        <v>130</v>
      </c>
      <c r="D220" s="763">
        <v>130</v>
      </c>
      <c r="E220" s="762" t="s">
        <v>197</v>
      </c>
      <c r="F220" s="77"/>
      <c r="G220" s="647"/>
      <c r="H220" s="750"/>
      <c r="I220" s="764"/>
      <c r="J220" s="761"/>
      <c r="K220" s="77"/>
      <c r="L220" s="77"/>
      <c r="O220" s="704">
        <f t="shared" si="9"/>
        <v>130</v>
      </c>
      <c r="P220" s="704">
        <f t="shared" si="11"/>
        <v>136.5</v>
      </c>
      <c r="U220">
        <v>68.750000000000014</v>
      </c>
      <c r="W220">
        <f t="shared" si="10"/>
        <v>79.062500000000014</v>
      </c>
    </row>
    <row r="221" spans="1:23">
      <c r="A221" s="21"/>
      <c r="B221" s="760" t="s">
        <v>362</v>
      </c>
      <c r="C221" s="761">
        <v>13000</v>
      </c>
      <c r="D221" s="763">
        <v>13000</v>
      </c>
      <c r="E221" s="762" t="s">
        <v>1027</v>
      </c>
      <c r="F221" s="77"/>
      <c r="G221" s="647"/>
      <c r="H221" s="750"/>
      <c r="I221" s="764" t="s">
        <v>1047</v>
      </c>
      <c r="J221" s="761">
        <v>50</v>
      </c>
      <c r="K221" s="77"/>
      <c r="L221" s="77"/>
      <c r="O221" s="704">
        <f t="shared" si="9"/>
        <v>13000</v>
      </c>
      <c r="P221" s="704">
        <f t="shared" si="11"/>
        <v>13650</v>
      </c>
      <c r="U221">
        <v>6220</v>
      </c>
      <c r="W221">
        <f t="shared" si="10"/>
        <v>7152.9999999999991</v>
      </c>
    </row>
    <row r="222" spans="1:23">
      <c r="A222" s="21"/>
      <c r="B222" s="760" t="s">
        <v>363</v>
      </c>
      <c r="C222" s="761">
        <v>9487.5000000000018</v>
      </c>
      <c r="D222" s="763">
        <v>9487.5000000000018</v>
      </c>
      <c r="E222" s="762" t="s">
        <v>197</v>
      </c>
      <c r="F222" s="77"/>
      <c r="G222" s="647"/>
      <c r="H222" s="750"/>
      <c r="I222" s="764" t="s">
        <v>1046</v>
      </c>
      <c r="J222" s="766">
        <v>100</v>
      </c>
      <c r="K222" s="77"/>
      <c r="L222" s="77"/>
      <c r="O222" s="704">
        <f t="shared" si="9"/>
        <v>9487.5000000000018</v>
      </c>
      <c r="P222" s="704">
        <f t="shared" si="11"/>
        <v>9961.8750000000018</v>
      </c>
      <c r="U222">
        <v>8250.0000000000018</v>
      </c>
      <c r="W222">
        <f t="shared" si="10"/>
        <v>9487.5000000000018</v>
      </c>
    </row>
    <row r="223" spans="1:23">
      <c r="A223" s="589"/>
      <c r="B223" s="77"/>
      <c r="C223" s="647"/>
      <c r="D223" s="647"/>
      <c r="E223" s="755"/>
      <c r="G223" s="647"/>
      <c r="H223" s="77"/>
      <c r="I223" s="77"/>
      <c r="J223" s="647"/>
      <c r="K223" s="77"/>
      <c r="L223" s="77"/>
      <c r="O223" s="704">
        <f t="shared" si="9"/>
        <v>0</v>
      </c>
      <c r="P223" s="238"/>
      <c r="U223">
        <v>0</v>
      </c>
      <c r="W223">
        <f t="shared" si="10"/>
        <v>0</v>
      </c>
    </row>
    <row r="224" spans="1:23">
      <c r="A224" s="21" t="s">
        <v>851</v>
      </c>
      <c r="B224" s="760" t="s">
        <v>852</v>
      </c>
      <c r="C224" s="761">
        <v>3950</v>
      </c>
      <c r="D224" s="761">
        <v>3950</v>
      </c>
      <c r="E224" s="762" t="s">
        <v>156</v>
      </c>
      <c r="F224" s="77" t="s">
        <v>1028</v>
      </c>
      <c r="G224" s="647" t="s">
        <v>1029</v>
      </c>
      <c r="H224" s="750"/>
      <c r="I224" s="77"/>
      <c r="J224" s="647"/>
      <c r="K224" s="77"/>
      <c r="L224" s="77"/>
      <c r="O224" s="704">
        <f t="shared" si="9"/>
        <v>3950</v>
      </c>
      <c r="P224" s="704">
        <f>O224*1.05</f>
        <v>4147.5</v>
      </c>
      <c r="U224">
        <v>1710</v>
      </c>
      <c r="W224">
        <f t="shared" si="10"/>
        <v>1966.4999999999998</v>
      </c>
    </row>
    <row r="225" spans="1:16">
      <c r="A225" s="21"/>
      <c r="B225" s="756" t="s">
        <v>853</v>
      </c>
      <c r="C225" s="757">
        <v>48537.5</v>
      </c>
      <c r="D225" s="756">
        <v>48537.5</v>
      </c>
      <c r="E225" s="758" t="s">
        <v>842</v>
      </c>
      <c r="F225" t="s">
        <v>920</v>
      </c>
      <c r="G225" s="9"/>
      <c r="H225" s="77"/>
      <c r="I225" s="77"/>
      <c r="J225" s="647"/>
      <c r="K225" s="77"/>
      <c r="L225" s="77"/>
      <c r="O225" s="704">
        <f t="shared" si="9"/>
        <v>48537.5</v>
      </c>
      <c r="P225" s="238">
        <f>O225*1.05</f>
        <v>50964.375</v>
      </c>
    </row>
    <row r="226" spans="1:16">
      <c r="A226" s="21"/>
      <c r="B226" s="756" t="s">
        <v>854</v>
      </c>
      <c r="C226" s="757">
        <v>146850</v>
      </c>
      <c r="D226" s="756">
        <v>146850</v>
      </c>
      <c r="E226" s="758" t="s">
        <v>842</v>
      </c>
      <c r="F226" t="s">
        <v>920</v>
      </c>
      <c r="G226" s="9"/>
      <c r="H226" s="77"/>
      <c r="I226" s="77"/>
      <c r="J226" s="647"/>
      <c r="K226" s="77"/>
      <c r="L226" s="77"/>
      <c r="O226" s="704">
        <f t="shared" si="9"/>
        <v>146850</v>
      </c>
      <c r="P226" s="238">
        <f>O226*1.05</f>
        <v>154192.5</v>
      </c>
    </row>
    <row r="227" spans="1:16">
      <c r="A227" s="21"/>
      <c r="B227" s="756" t="s">
        <v>855</v>
      </c>
      <c r="C227" s="757">
        <v>192500</v>
      </c>
      <c r="D227" s="756">
        <v>192500</v>
      </c>
      <c r="E227" s="758" t="s">
        <v>842</v>
      </c>
      <c r="F227" t="s">
        <v>920</v>
      </c>
      <c r="G227" s="9"/>
      <c r="H227" s="77"/>
      <c r="I227" s="77"/>
      <c r="J227" s="647"/>
      <c r="K227" s="77"/>
      <c r="L227" s="77"/>
      <c r="O227" s="704">
        <f t="shared" si="9"/>
        <v>192500</v>
      </c>
      <c r="P227" s="238">
        <f>O227*1.05</f>
        <v>202125</v>
      </c>
    </row>
    <row r="229" spans="1:16" ht="15.75" thickBot="1"/>
    <row r="230" spans="1:16" ht="21.75" thickBot="1">
      <c r="A230" s="810" t="s">
        <v>213</v>
      </c>
      <c r="B230" s="811"/>
      <c r="C230" s="811"/>
      <c r="D230" s="812"/>
    </row>
    <row r="231" spans="1:16" ht="16.5" thickBot="1">
      <c r="A231" s="7" t="s">
        <v>49</v>
      </c>
      <c r="B231" s="7" t="s">
        <v>50</v>
      </c>
      <c r="C231" s="7" t="s">
        <v>217</v>
      </c>
      <c r="D231" s="7" t="s">
        <v>218</v>
      </c>
      <c r="O231">
        <v>4200</v>
      </c>
    </row>
    <row r="232" spans="1:16" ht="15.75" thickBot="1">
      <c r="A232" s="813"/>
      <c r="B232" s="814"/>
      <c r="C232" s="814"/>
      <c r="D232" s="815"/>
    </row>
    <row r="233" spans="1:16" ht="15.75" thickBot="1">
      <c r="A233" s="33" t="s">
        <v>214</v>
      </c>
      <c r="B233" s="34" t="s">
        <v>215</v>
      </c>
      <c r="C233" s="34" t="s">
        <v>216</v>
      </c>
      <c r="D233" s="63">
        <v>4900</v>
      </c>
      <c r="O233" s="63">
        <f>(O231*1.04)</f>
        <v>4368</v>
      </c>
      <c r="P233" s="238">
        <f>O233*1.05</f>
        <v>4586.4000000000005</v>
      </c>
    </row>
    <row r="235" spans="1:16" ht="15.75" thickBot="1"/>
    <row r="236" spans="1:16" ht="21.75" thickBot="1">
      <c r="A236" s="832" t="s">
        <v>134</v>
      </c>
      <c r="B236" s="833"/>
      <c r="C236" s="833"/>
      <c r="D236" s="833"/>
      <c r="E236" s="834"/>
    </row>
    <row r="237" spans="1:16" ht="16.5" thickBot="1">
      <c r="A237" s="35" t="s">
        <v>49</v>
      </c>
      <c r="B237" s="35" t="s">
        <v>50</v>
      </c>
      <c r="C237" s="35" t="s">
        <v>151</v>
      </c>
      <c r="D237" s="35" t="s">
        <v>164</v>
      </c>
      <c r="E237" s="35" t="s">
        <v>152</v>
      </c>
    </row>
    <row r="238" spans="1:16">
      <c r="A238" s="830"/>
      <c r="B238" s="831"/>
      <c r="C238" s="831"/>
      <c r="D238" s="831"/>
      <c r="E238" s="29"/>
      <c r="G238" s="77"/>
      <c r="H238" s="77"/>
      <c r="I238" s="77"/>
    </row>
    <row r="239" spans="1:16">
      <c r="A239" s="21" t="s">
        <v>135</v>
      </c>
      <c r="B239" s="22" t="s">
        <v>143</v>
      </c>
      <c r="C239" s="23">
        <v>0</v>
      </c>
      <c r="D239" s="23">
        <f t="shared" ref="D239:D246" si="12">(C239/15)</f>
        <v>0</v>
      </c>
      <c r="E239" s="190">
        <f>(D239/8)</f>
        <v>0</v>
      </c>
      <c r="G239" s="647"/>
      <c r="H239" s="77"/>
      <c r="I239" s="77"/>
    </row>
    <row r="240" spans="1:16">
      <c r="A240" s="21" t="s">
        <v>136</v>
      </c>
      <c r="B240" s="22" t="s">
        <v>144</v>
      </c>
      <c r="C240" s="23">
        <v>0</v>
      </c>
      <c r="D240" s="23">
        <f t="shared" si="12"/>
        <v>0</v>
      </c>
      <c r="E240" s="190">
        <f t="shared" ref="E240:E246" si="13">(D240/8)</f>
        <v>0</v>
      </c>
      <c r="G240" s="647"/>
      <c r="H240" s="77"/>
      <c r="I240" s="77"/>
    </row>
    <row r="241" spans="1:9">
      <c r="A241" s="21" t="s">
        <v>137</v>
      </c>
      <c r="B241" s="22" t="s">
        <v>145</v>
      </c>
      <c r="C241" s="23">
        <v>0</v>
      </c>
      <c r="D241" s="23">
        <f t="shared" si="12"/>
        <v>0</v>
      </c>
      <c r="E241" s="190">
        <f t="shared" si="13"/>
        <v>0</v>
      </c>
      <c r="G241" s="647"/>
      <c r="H241" s="77"/>
      <c r="I241" s="77"/>
    </row>
    <row r="242" spans="1:9">
      <c r="A242" s="21" t="s">
        <v>138</v>
      </c>
      <c r="B242" s="22" t="s">
        <v>146</v>
      </c>
      <c r="C242" s="23">
        <v>0</v>
      </c>
      <c r="D242" s="23">
        <f t="shared" si="12"/>
        <v>0</v>
      </c>
      <c r="E242" s="190">
        <f t="shared" si="13"/>
        <v>0</v>
      </c>
      <c r="G242" s="647"/>
      <c r="H242" s="77"/>
      <c r="I242" s="77"/>
    </row>
    <row r="243" spans="1:9">
      <c r="A243" s="21" t="s">
        <v>139</v>
      </c>
      <c r="B243" s="22" t="s">
        <v>147</v>
      </c>
      <c r="C243" s="23">
        <v>0</v>
      </c>
      <c r="D243" s="23">
        <f t="shared" si="12"/>
        <v>0</v>
      </c>
      <c r="E243" s="190">
        <f t="shared" si="13"/>
        <v>0</v>
      </c>
      <c r="G243" s="647"/>
      <c r="H243" s="77"/>
      <c r="I243" s="77"/>
    </row>
    <row r="244" spans="1:9">
      <c r="A244" s="21" t="s">
        <v>140</v>
      </c>
      <c r="B244" s="22" t="s">
        <v>148</v>
      </c>
      <c r="C244" s="23">
        <v>0</v>
      </c>
      <c r="D244" s="23">
        <f t="shared" si="12"/>
        <v>0</v>
      </c>
      <c r="E244" s="190">
        <f t="shared" si="13"/>
        <v>0</v>
      </c>
      <c r="G244" s="647"/>
      <c r="H244" s="77"/>
      <c r="I244" s="77"/>
    </row>
    <row r="245" spans="1:9">
      <c r="A245" s="21" t="s">
        <v>141</v>
      </c>
      <c r="B245" s="22" t="s">
        <v>149</v>
      </c>
      <c r="C245" s="23">
        <v>0</v>
      </c>
      <c r="D245" s="23">
        <f t="shared" si="12"/>
        <v>0</v>
      </c>
      <c r="E245" s="190">
        <f t="shared" si="13"/>
        <v>0</v>
      </c>
      <c r="G245" s="647"/>
      <c r="H245" s="77"/>
      <c r="I245" s="77"/>
    </row>
    <row r="246" spans="1:9">
      <c r="A246" s="21" t="s">
        <v>142</v>
      </c>
      <c r="B246" s="22" t="s">
        <v>150</v>
      </c>
      <c r="C246" s="23">
        <v>0</v>
      </c>
      <c r="D246" s="23">
        <f t="shared" si="12"/>
        <v>0</v>
      </c>
      <c r="E246" s="190">
        <f t="shared" si="13"/>
        <v>0</v>
      </c>
      <c r="G246" s="647"/>
      <c r="H246" s="77"/>
      <c r="I246" s="77"/>
    </row>
    <row r="247" spans="1:9" ht="15.75" thickBot="1">
      <c r="A247" s="24"/>
      <c r="B247" s="25"/>
      <c r="C247" s="25"/>
      <c r="D247" s="25"/>
      <c r="E247" s="26"/>
      <c r="G247" s="77"/>
      <c r="H247" s="77"/>
      <c r="I247" s="77"/>
    </row>
    <row r="248" spans="1:9">
      <c r="G248" s="77"/>
      <c r="H248" s="77"/>
      <c r="I248" s="77"/>
    </row>
  </sheetData>
  <mergeCells count="18">
    <mergeCell ref="A238:D238"/>
    <mergeCell ref="A123:E123"/>
    <mergeCell ref="A230:D230"/>
    <mergeCell ref="A232:D232"/>
    <mergeCell ref="A236:E236"/>
    <mergeCell ref="A2:D2"/>
    <mergeCell ref="A4:F4"/>
    <mergeCell ref="N14:Q14"/>
    <mergeCell ref="I2:U2"/>
    <mergeCell ref="A84:D84"/>
    <mergeCell ref="S5:U5"/>
    <mergeCell ref="S4:U4"/>
    <mergeCell ref="I6:J6"/>
    <mergeCell ref="A82:D82"/>
    <mergeCell ref="N5:Q5"/>
    <mergeCell ref="N13:Q13"/>
    <mergeCell ref="N19:Q19"/>
    <mergeCell ref="N20:Q20"/>
  </mergeCells>
  <pageMargins left="0.70866141732283472" right="0.70866141732283472" top="0" bottom="0" header="0.31496062992125984" footer="0.31496062992125984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1:P44"/>
  <sheetViews>
    <sheetView topLeftCell="C22" zoomScaleNormal="100" workbookViewId="0">
      <selection activeCell="C1" sqref="A1:XFD21"/>
    </sheetView>
  </sheetViews>
  <sheetFormatPr baseColWidth="10" defaultRowHeight="15"/>
  <cols>
    <col min="1" max="2" width="0" hidden="1" customWidth="1"/>
    <col min="4" max="4" width="5.7109375" customWidth="1"/>
    <col min="5" max="5" width="13.85546875" customWidth="1"/>
    <col min="6" max="6" width="21.140625" customWidth="1"/>
    <col min="7" max="7" width="22.28515625" customWidth="1"/>
    <col min="8" max="8" width="6.42578125" customWidth="1"/>
    <col min="9" max="9" width="9.140625" customWidth="1"/>
    <col min="10" max="10" width="6" customWidth="1"/>
    <col min="12" max="13" width="11.42578125" style="646"/>
    <col min="15" max="16" width="11.42578125" style="646"/>
  </cols>
  <sheetData>
    <row r="1" spans="5:16" ht="15.75" hidden="1" thickBot="1"/>
    <row r="2" spans="5:16" ht="29.25" hidden="1" thickBot="1">
      <c r="E2" s="835" t="s">
        <v>845</v>
      </c>
      <c r="F2" s="836"/>
      <c r="G2" s="837"/>
    </row>
    <row r="3" spans="5:16" ht="57" hidden="1" thickBot="1">
      <c r="E3" s="582" t="s">
        <v>534</v>
      </c>
      <c r="F3" s="583" t="s">
        <v>843</v>
      </c>
      <c r="G3" s="584" t="s">
        <v>844</v>
      </c>
    </row>
    <row r="4" spans="5:16" ht="16.5" hidden="1" thickBot="1">
      <c r="E4" s="40" t="s">
        <v>547</v>
      </c>
      <c r="F4" s="580">
        <f>IF('MATERIALES (2)'!$G$2=1,L4,O4)</f>
        <v>15799.271702431812</v>
      </c>
      <c r="G4" s="581">
        <f>IF('MATERIALES (2)'!$G$2=1,M4,P4)</f>
        <v>13620.061812441218</v>
      </c>
      <c r="L4">
        <v>15046.925430887439</v>
      </c>
      <c r="M4" s="646">
        <f>(L4/1.16)</f>
        <v>12971.487440420207</v>
      </c>
      <c r="O4" s="646">
        <f>(L4*1.05)</f>
        <v>15799.271702431812</v>
      </c>
      <c r="P4" s="646">
        <f>(M4*1.05)</f>
        <v>13620.061812441218</v>
      </c>
    </row>
    <row r="5" spans="5:16" ht="16.5" hidden="1" thickBot="1">
      <c r="E5" s="42" t="s">
        <v>548</v>
      </c>
      <c r="F5" s="580">
        <f>IF('MATERIALES (2)'!$G$2=1,L5,O5)</f>
        <v>16777.193562340552</v>
      </c>
      <c r="G5" s="581">
        <f>IF('MATERIALES (2)'!$G$2=1,M5,P5)</f>
        <v>14463.09789856944</v>
      </c>
      <c r="L5">
        <v>15978.279583181476</v>
      </c>
      <c r="M5" s="646">
        <f>(L5/1.16)</f>
        <v>13774.378951018514</v>
      </c>
      <c r="O5" s="646">
        <f>(L5*1.05)</f>
        <v>16777.193562340552</v>
      </c>
      <c r="P5" s="646">
        <f>(M5*1.05)</f>
        <v>14463.09789856944</v>
      </c>
    </row>
    <row r="6" spans="5:16" ht="16.5" hidden="1" thickBot="1">
      <c r="E6" s="42" t="s">
        <v>553</v>
      </c>
      <c r="F6" s="580">
        <f>IF('MATERIALES (2)'!$G$2=1,L6,O6)</f>
        <v>16196.221485745171</v>
      </c>
      <c r="G6" s="581">
        <f>IF('MATERIALES (2)'!$G$2=1,M6,P6)</f>
        <v>13962.259901504458</v>
      </c>
      <c r="L6">
        <v>15424.972843566829</v>
      </c>
      <c r="M6" s="646">
        <f t="shared" ref="M6:M14" si="0">(L6/1.16)</f>
        <v>13297.390382385198</v>
      </c>
      <c r="O6" s="646">
        <f t="shared" ref="O6:P18" si="1">(L6*1.05)</f>
        <v>16196.221485745171</v>
      </c>
      <c r="P6" s="646">
        <f t="shared" si="1"/>
        <v>13962.259901504458</v>
      </c>
    </row>
    <row r="7" spans="5:16" ht="16.5" hidden="1" thickBot="1">
      <c r="E7" s="42" t="s">
        <v>555</v>
      </c>
      <c r="F7" s="580">
        <f>IF('MATERIALES (2)'!$G$2=1,L7,O7)</f>
        <v>18582.468179237399</v>
      </c>
      <c r="G7" s="581">
        <f>IF('MATERIALES (2)'!$G$2=1,M7,P7)</f>
        <v>16019.369120032241</v>
      </c>
      <c r="L7">
        <v>17697.588742130854</v>
      </c>
      <c r="M7" s="646">
        <f t="shared" si="0"/>
        <v>15256.542019078324</v>
      </c>
      <c r="O7" s="646">
        <f t="shared" si="1"/>
        <v>18582.468179237399</v>
      </c>
      <c r="P7" s="646">
        <f t="shared" si="1"/>
        <v>16019.369120032241</v>
      </c>
    </row>
    <row r="8" spans="5:16" ht="16.5" hidden="1" thickBot="1">
      <c r="E8" s="42" t="s">
        <v>557</v>
      </c>
      <c r="F8" s="580">
        <f>IF('MATERIALES (2)'!$G$2=1,L8,O8)</f>
        <v>21510.994115189493</v>
      </c>
      <c r="G8" s="581">
        <f>IF('MATERIALES (2)'!$G$2=1,M8,P8)</f>
        <v>19206.244745704902</v>
      </c>
      <c r="L8">
        <v>20486.66106208523</v>
      </c>
      <c r="M8" s="646">
        <f>(L8/1.12)</f>
        <v>18291.661662576098</v>
      </c>
      <c r="O8" s="646">
        <f t="shared" si="1"/>
        <v>21510.994115189493</v>
      </c>
      <c r="P8" s="646">
        <f t="shared" si="1"/>
        <v>19206.244745704902</v>
      </c>
    </row>
    <row r="9" spans="5:16" ht="16.5" hidden="1" thickBot="1">
      <c r="E9" s="42" t="s">
        <v>581</v>
      </c>
      <c r="F9" s="580">
        <f>IF('MATERIALES (2)'!$G$2=1,L9,O9)</f>
        <v>25551.345668818733</v>
      </c>
      <c r="G9" s="581">
        <f>IF('MATERIALES (2)'!$G$2=1,M9,P9)</f>
        <v>22813.701490016723</v>
      </c>
      <c r="L9">
        <v>24334.614922684505</v>
      </c>
      <c r="M9" s="646">
        <f>(L9/1.12)</f>
        <v>21727.334752396877</v>
      </c>
      <c r="O9" s="646">
        <f t="shared" si="1"/>
        <v>25551.345668818733</v>
      </c>
      <c r="P9" s="646">
        <f t="shared" si="1"/>
        <v>22813.701490016723</v>
      </c>
    </row>
    <row r="10" spans="5:16" ht="16.5" hidden="1" thickBot="1">
      <c r="E10" s="42" t="s">
        <v>561</v>
      </c>
      <c r="F10" s="580">
        <f>IF('MATERIALES (2)'!$G$2=1,L10,O10)</f>
        <v>18689.149456235144</v>
      </c>
      <c r="G10" s="581">
        <f>IF('MATERIALES (2)'!$G$2=1,M10,P10)</f>
        <v>16111.335738133746</v>
      </c>
      <c r="L10">
        <v>17799.189958319184</v>
      </c>
      <c r="M10" s="646">
        <f>(L10/1.16)</f>
        <v>15344.129274413091</v>
      </c>
      <c r="O10" s="646">
        <f t="shared" si="1"/>
        <v>18689.149456235144</v>
      </c>
      <c r="P10" s="646">
        <f t="shared" si="1"/>
        <v>16111.335738133746</v>
      </c>
    </row>
    <row r="11" spans="5:16" ht="16.5" hidden="1" thickBot="1">
      <c r="E11" s="42" t="s">
        <v>563</v>
      </c>
      <c r="F11" s="580">
        <f>IF('MATERIALES (2)'!$G$2=1,L11,O11)</f>
        <v>21406.230920911021</v>
      </c>
      <c r="G11" s="581">
        <f>IF('MATERIALES (2)'!$G$2=1,M11,P11)</f>
        <v>18453.64734561295</v>
      </c>
      <c r="L11">
        <v>20386.886591343828</v>
      </c>
      <c r="M11" s="646">
        <f>(L11/1.16)</f>
        <v>17574.902233917095</v>
      </c>
      <c r="O11" s="646">
        <f t="shared" si="1"/>
        <v>21406.230920911021</v>
      </c>
      <c r="P11" s="646">
        <f t="shared" si="1"/>
        <v>18453.64734561295</v>
      </c>
    </row>
    <row r="12" spans="5:16" ht="16.5" hidden="1" thickBot="1">
      <c r="E12" s="42" t="s">
        <v>565</v>
      </c>
      <c r="F12" s="580">
        <f>IF('MATERIALES (2)'!$G$2=1,L12,O12)</f>
        <v>24712.86753737212</v>
      </c>
      <c r="G12" s="581">
        <f>IF('MATERIALES (2)'!$G$2=1,M12,P12)</f>
        <v>22065.060301225109</v>
      </c>
      <c r="L12">
        <v>23536.064321306781</v>
      </c>
      <c r="M12" s="646">
        <f>(L12/1.12)</f>
        <v>21014.343144023911</v>
      </c>
      <c r="O12" s="646">
        <f t="shared" si="1"/>
        <v>24712.86753737212</v>
      </c>
      <c r="P12" s="646">
        <f t="shared" si="1"/>
        <v>22065.060301225109</v>
      </c>
    </row>
    <row r="13" spans="5:16" ht="16.5" hidden="1" thickBot="1">
      <c r="E13" s="42" t="s">
        <v>582</v>
      </c>
      <c r="F13" s="580">
        <f>IF('MATERIALES (2)'!$G$2=1,L13,O13)</f>
        <v>29320.364413030486</v>
      </c>
      <c r="G13" s="581">
        <f>IF('MATERIALES (2)'!$G$2=1,M13,P13)</f>
        <v>26178.896797348647</v>
      </c>
      <c r="L13">
        <v>27924.156583838558</v>
      </c>
      <c r="M13" s="646">
        <f>(L13/1.12)</f>
        <v>24932.282664141567</v>
      </c>
      <c r="O13" s="646">
        <f t="shared" si="1"/>
        <v>29320.364413030486</v>
      </c>
      <c r="P13" s="646">
        <f t="shared" si="1"/>
        <v>26178.896797348647</v>
      </c>
    </row>
    <row r="14" spans="5:16" ht="16.5" hidden="1" thickBot="1">
      <c r="E14" s="42" t="s">
        <v>569</v>
      </c>
      <c r="F14" s="580">
        <f>IF('MATERIALES (2)'!$G$2=1,L14,O14)</f>
        <v>24369.020161841177</v>
      </c>
      <c r="G14" s="581">
        <f>IF('MATERIALES (2)'!$G$2=1,M14,P14)</f>
        <v>21007.776001587223</v>
      </c>
      <c r="L14">
        <v>23208.590630324928</v>
      </c>
      <c r="M14" s="646">
        <f t="shared" si="0"/>
        <v>20007.405715797355</v>
      </c>
      <c r="O14" s="646">
        <f>(L14*1.05)</f>
        <v>24369.020161841177</v>
      </c>
      <c r="P14" s="646">
        <f>(M14*1.05)</f>
        <v>21007.776001587223</v>
      </c>
    </row>
    <row r="15" spans="5:16" ht="16.5" hidden="1" thickBot="1">
      <c r="E15" s="42" t="s">
        <v>571</v>
      </c>
      <c r="F15" s="580">
        <f>IF('MATERIALES (2)'!$G$2=1,L15,O15)</f>
        <v>28053.767458811286</v>
      </c>
      <c r="G15" s="581">
        <f>IF('MATERIALES (2)'!$G$2=1,M15,P15)</f>
        <v>25048.006659652929</v>
      </c>
      <c r="L15">
        <v>26717.873770296461</v>
      </c>
      <c r="M15" s="646">
        <f>(L15/1.12)</f>
        <v>23855.244437764693</v>
      </c>
      <c r="O15" s="646">
        <f t="shared" si="1"/>
        <v>28053.767458811286</v>
      </c>
      <c r="P15" s="646">
        <f t="shared" si="1"/>
        <v>25048.006659652929</v>
      </c>
    </row>
    <row r="16" spans="5:16" ht="16.5" hidden="1" thickBot="1">
      <c r="E16" s="42" t="s">
        <v>583</v>
      </c>
      <c r="F16" s="580">
        <f>IF('MATERIALES (2)'!$G$2=1,L16,O16)</f>
        <v>33228.423455655022</v>
      </c>
      <c r="G16" s="581">
        <f>IF('MATERIALES (2)'!$G$2=1,M16,P16)</f>
        <v>29668.235228263413</v>
      </c>
      <c r="L16">
        <v>31646.117576814308</v>
      </c>
      <c r="M16" s="646">
        <f>(L16/1.12)</f>
        <v>28255.46212215563</v>
      </c>
      <c r="O16" s="646">
        <f t="shared" si="1"/>
        <v>33228.423455655022</v>
      </c>
      <c r="P16" s="646">
        <f t="shared" si="1"/>
        <v>29668.235228263413</v>
      </c>
    </row>
    <row r="17" spans="4:16" ht="16.5" hidden="1" thickBot="1">
      <c r="E17" s="42" t="s">
        <v>584</v>
      </c>
      <c r="F17" s="580">
        <f>IF('MATERIALES (2)'!$G$2=1,L17,O17)</f>
        <v>35911.020828852787</v>
      </c>
      <c r="G17" s="669">
        <v>0</v>
      </c>
      <c r="L17">
        <v>34200.97221795503</v>
      </c>
      <c r="M17" s="674">
        <v>0</v>
      </c>
      <c r="O17" s="646">
        <f t="shared" si="1"/>
        <v>35911.020828852787</v>
      </c>
      <c r="P17" s="674">
        <f t="shared" si="1"/>
        <v>0</v>
      </c>
    </row>
    <row r="18" spans="4:16" ht="16.5" hidden="1" thickBot="1">
      <c r="E18" s="44" t="s">
        <v>585</v>
      </c>
      <c r="F18" s="580">
        <f>IF('MATERIALES (2)'!$G$2=1,L18,O18)</f>
        <v>41461.579641204924</v>
      </c>
      <c r="G18" s="669">
        <v>0</v>
      </c>
      <c r="L18">
        <v>39487.21870590945</v>
      </c>
      <c r="M18" s="674">
        <v>0</v>
      </c>
      <c r="O18" s="646">
        <f t="shared" si="1"/>
        <v>41461.579641204924</v>
      </c>
      <c r="P18" s="674">
        <f t="shared" si="1"/>
        <v>0</v>
      </c>
    </row>
    <row r="19" spans="4:16" hidden="1"/>
    <row r="20" spans="4:16" hidden="1"/>
    <row r="21" spans="4:16" hidden="1"/>
    <row r="24" spans="4:16" ht="15.75" thickBot="1"/>
    <row r="25" spans="4:16">
      <c r="J25" s="838" t="s">
        <v>845</v>
      </c>
    </row>
    <row r="26" spans="4:16" ht="15.75" thickBot="1">
      <c r="J26" s="839"/>
    </row>
    <row r="27" spans="4:16" ht="33.75" customHeight="1" thickBot="1">
      <c r="D27" s="9"/>
      <c r="E27" s="835" t="s">
        <v>845</v>
      </c>
      <c r="F27" s="836"/>
      <c r="G27" s="837"/>
      <c r="J27" s="839"/>
    </row>
    <row r="28" spans="4:16" ht="57.75" customHeight="1" thickBot="1">
      <c r="D28" s="579"/>
      <c r="E28" s="582" t="s">
        <v>534</v>
      </c>
      <c r="F28" s="583" t="s">
        <v>843</v>
      </c>
      <c r="G28" s="584" t="s">
        <v>844</v>
      </c>
      <c r="J28" s="839"/>
    </row>
    <row r="29" spans="4:16" ht="15.75">
      <c r="D29" s="578"/>
      <c r="E29" s="670" t="s">
        <v>547</v>
      </c>
      <c r="F29" s="662">
        <f>+F4</f>
        <v>15799.271702431812</v>
      </c>
      <c r="G29" s="662">
        <f>+G4</f>
        <v>13620.061812441218</v>
      </c>
      <c r="J29" s="839"/>
    </row>
    <row r="30" spans="4:16" ht="15.75">
      <c r="D30" s="578"/>
      <c r="E30" s="671" t="s">
        <v>548</v>
      </c>
      <c r="F30" s="663">
        <f t="shared" ref="F30:G42" si="2">+F5</f>
        <v>16777.193562340552</v>
      </c>
      <c r="G30" s="663">
        <f t="shared" si="2"/>
        <v>14463.09789856944</v>
      </c>
      <c r="J30" s="839"/>
    </row>
    <row r="31" spans="4:16" ht="15.75">
      <c r="D31" s="578"/>
      <c r="E31" s="671" t="s">
        <v>553</v>
      </c>
      <c r="F31" s="663">
        <f t="shared" si="2"/>
        <v>16196.221485745171</v>
      </c>
      <c r="G31" s="663">
        <f t="shared" si="2"/>
        <v>13962.259901504458</v>
      </c>
      <c r="J31" s="839"/>
    </row>
    <row r="32" spans="4:16" ht="15.75">
      <c r="D32" s="578"/>
      <c r="E32" s="671" t="s">
        <v>555</v>
      </c>
      <c r="F32" s="663">
        <f t="shared" si="2"/>
        <v>18582.468179237399</v>
      </c>
      <c r="G32" s="663">
        <f t="shared" si="2"/>
        <v>16019.369120032241</v>
      </c>
      <c r="J32" s="839"/>
    </row>
    <row r="33" spans="4:10" ht="15.75">
      <c r="D33" s="578"/>
      <c r="E33" s="671" t="s">
        <v>557</v>
      </c>
      <c r="F33" s="663">
        <f t="shared" si="2"/>
        <v>21510.994115189493</v>
      </c>
      <c r="G33" s="663">
        <f t="shared" si="2"/>
        <v>19206.244745704902</v>
      </c>
      <c r="J33" s="839"/>
    </row>
    <row r="34" spans="4:10" ht="16.5" thickBot="1">
      <c r="D34" s="578"/>
      <c r="E34" s="671" t="s">
        <v>581</v>
      </c>
      <c r="F34" s="663">
        <f t="shared" si="2"/>
        <v>25551.345668818733</v>
      </c>
      <c r="G34" s="663">
        <f t="shared" si="2"/>
        <v>22813.701490016723</v>
      </c>
      <c r="J34" s="840"/>
    </row>
    <row r="35" spans="4:10" ht="15.75">
      <c r="D35" s="578"/>
      <c r="E35" s="671" t="s">
        <v>561</v>
      </c>
      <c r="F35" s="663">
        <f t="shared" si="2"/>
        <v>18689.149456235144</v>
      </c>
      <c r="G35" s="663">
        <f t="shared" si="2"/>
        <v>16111.335738133746</v>
      </c>
    </row>
    <row r="36" spans="4:10" ht="15.75">
      <c r="D36" s="578"/>
      <c r="E36" s="671" t="s">
        <v>563</v>
      </c>
      <c r="F36" s="663">
        <f t="shared" si="2"/>
        <v>21406.230920911021</v>
      </c>
      <c r="G36" s="663">
        <f t="shared" si="2"/>
        <v>18453.64734561295</v>
      </c>
    </row>
    <row r="37" spans="4:10" ht="15.75">
      <c r="D37" s="578"/>
      <c r="E37" s="671" t="s">
        <v>565</v>
      </c>
      <c r="F37" s="663">
        <f t="shared" si="2"/>
        <v>24712.86753737212</v>
      </c>
      <c r="G37" s="663">
        <f t="shared" si="2"/>
        <v>22065.060301225109</v>
      </c>
    </row>
    <row r="38" spans="4:10" ht="15.75">
      <c r="D38" s="578"/>
      <c r="E38" s="671" t="s">
        <v>582</v>
      </c>
      <c r="F38" s="663">
        <f t="shared" si="2"/>
        <v>29320.364413030486</v>
      </c>
      <c r="G38" s="663">
        <f t="shared" si="2"/>
        <v>26178.896797348647</v>
      </c>
    </row>
    <row r="39" spans="4:10" ht="15.75">
      <c r="D39" s="578"/>
      <c r="E39" s="671" t="s">
        <v>569</v>
      </c>
      <c r="F39" s="663">
        <f t="shared" si="2"/>
        <v>24369.020161841177</v>
      </c>
      <c r="G39" s="663">
        <f t="shared" si="2"/>
        <v>21007.776001587223</v>
      </c>
    </row>
    <row r="40" spans="4:10" ht="15.75">
      <c r="D40" s="578"/>
      <c r="E40" s="671" t="s">
        <v>571</v>
      </c>
      <c r="F40" s="663">
        <f t="shared" si="2"/>
        <v>28053.767458811286</v>
      </c>
      <c r="G40" s="663">
        <f t="shared" si="2"/>
        <v>25048.006659652929</v>
      </c>
    </row>
    <row r="41" spans="4:10" ht="15.75">
      <c r="D41" s="578"/>
      <c r="E41" s="671" t="s">
        <v>583</v>
      </c>
      <c r="F41" s="663">
        <f t="shared" si="2"/>
        <v>33228.423455655022</v>
      </c>
      <c r="G41" s="663">
        <f t="shared" si="2"/>
        <v>29668.235228263413</v>
      </c>
    </row>
    <row r="42" spans="4:10" ht="15.75">
      <c r="D42" s="578"/>
      <c r="E42" s="671" t="s">
        <v>584</v>
      </c>
      <c r="F42" s="663">
        <f t="shared" si="2"/>
        <v>35911.020828852787</v>
      </c>
      <c r="G42" s="663">
        <f t="shared" si="2"/>
        <v>0</v>
      </c>
    </row>
    <row r="43" spans="4:10" ht="16.5" thickBot="1">
      <c r="D43" s="578"/>
      <c r="E43" s="672" t="s">
        <v>585</v>
      </c>
      <c r="F43" s="664">
        <f>+F18</f>
        <v>41461.579641204924</v>
      </c>
      <c r="G43" s="664">
        <f t="shared" ref="G43" si="3">+G18</f>
        <v>0</v>
      </c>
    </row>
    <row r="44" spans="4:10">
      <c r="D44" s="9"/>
    </row>
  </sheetData>
  <mergeCells count="3">
    <mergeCell ref="E27:G27"/>
    <mergeCell ref="J25:J34"/>
    <mergeCell ref="E2:G2"/>
  </mergeCells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274"/>
  <sheetViews>
    <sheetView topLeftCell="Z222" zoomScale="82" zoomScaleNormal="82" workbookViewId="0">
      <selection activeCell="AE231" sqref="AE231"/>
    </sheetView>
  </sheetViews>
  <sheetFormatPr baseColWidth="10" defaultColWidth="0.140625" defaultRowHeight="15"/>
  <cols>
    <col min="1" max="1" width="7" style="32" hidden="1" customWidth="1"/>
    <col min="2" max="2" width="4.7109375" style="32" hidden="1" customWidth="1"/>
    <col min="3" max="4" width="11" style="32" hidden="1" customWidth="1"/>
    <col min="5" max="5" width="8.140625" style="32" hidden="1" customWidth="1"/>
    <col min="6" max="7" width="12" style="32" hidden="1" customWidth="1"/>
    <col min="8" max="8" width="12" style="2" hidden="1" customWidth="1"/>
    <col min="9" max="9" width="11" hidden="1" customWidth="1"/>
    <col min="10" max="10" width="10.5703125" hidden="1" customWidth="1"/>
    <col min="11" max="11" width="12.7109375" hidden="1" customWidth="1"/>
    <col min="12" max="12" width="11" hidden="1" customWidth="1"/>
    <col min="13" max="13" width="36.5703125" style="32" hidden="1" customWidth="1"/>
    <col min="14" max="14" width="4.7109375" style="32" hidden="1" customWidth="1"/>
    <col min="15" max="16" width="11" style="32" hidden="1" customWidth="1"/>
    <col min="17" max="17" width="8.140625" style="32" hidden="1" customWidth="1"/>
    <col min="18" max="19" width="12" style="32" hidden="1" customWidth="1"/>
    <col min="20" max="20" width="12" style="2" hidden="1" customWidth="1"/>
    <col min="21" max="21" width="3" hidden="1" customWidth="1"/>
    <col min="22" max="22" width="10.5703125" hidden="1" customWidth="1"/>
    <col min="23" max="23" width="3" hidden="1" customWidth="1"/>
    <col min="24" max="24" width="12.7109375" hidden="1" customWidth="1"/>
    <col min="25" max="25" width="3" hidden="1" customWidth="1"/>
    <col min="26" max="26" width="3" customWidth="1"/>
    <col min="27" max="27" width="16.140625" bestFit="1" customWidth="1"/>
    <col min="28" max="28" width="15.7109375" bestFit="1" customWidth="1"/>
    <col min="29" max="29" width="16.5703125" bestFit="1" customWidth="1"/>
    <col min="30" max="30" width="19.42578125" bestFit="1" customWidth="1"/>
    <col min="31" max="31" width="23.28515625" customWidth="1"/>
    <col min="32" max="32" width="17.28515625" customWidth="1"/>
    <col min="33" max="33" width="9.140625" customWidth="1"/>
    <col min="34" max="34" width="7.42578125" customWidth="1"/>
  </cols>
  <sheetData>
    <row r="1" spans="1:24" ht="15.75" hidden="1" thickBot="1"/>
    <row r="2" spans="1:24" ht="15.75" hidden="1" thickBot="1">
      <c r="C2" s="801">
        <v>0.2</v>
      </c>
      <c r="D2" s="802"/>
      <c r="E2" s="803"/>
      <c r="F2" s="61">
        <v>1</v>
      </c>
      <c r="H2" s="46" t="s">
        <v>163</v>
      </c>
      <c r="O2" s="801">
        <v>0.2</v>
      </c>
      <c r="P2" s="802"/>
      <c r="Q2" s="803"/>
      <c r="R2" s="61">
        <v>1</v>
      </c>
      <c r="T2" s="46" t="s">
        <v>163</v>
      </c>
    </row>
    <row r="3" spans="1:24" ht="15.75" hidden="1" customHeight="1" thickBot="1">
      <c r="A3" s="792" t="s">
        <v>167</v>
      </c>
      <c r="B3" s="793"/>
      <c r="C3" s="793"/>
      <c r="D3" s="793"/>
      <c r="E3" s="793"/>
      <c r="F3" s="793"/>
      <c r="G3" s="793"/>
      <c r="H3" s="794"/>
      <c r="M3" s="792" t="s">
        <v>233</v>
      </c>
      <c r="N3" s="793"/>
      <c r="O3" s="793"/>
      <c r="P3" s="793"/>
      <c r="Q3" s="793"/>
      <c r="R3" s="793"/>
      <c r="S3" s="793"/>
      <c r="T3" s="794"/>
    </row>
    <row r="4" spans="1:24" ht="15.75" hidden="1" thickBot="1">
      <c r="A4" s="36" t="s">
        <v>116</v>
      </c>
      <c r="B4" s="36" t="s">
        <v>117</v>
      </c>
      <c r="C4" s="36" t="s">
        <v>162</v>
      </c>
      <c r="D4" s="36" t="s">
        <v>119</v>
      </c>
      <c r="E4" s="36" t="s">
        <v>120</v>
      </c>
      <c r="F4" s="36" t="s">
        <v>118</v>
      </c>
      <c r="G4" s="36" t="s">
        <v>121</v>
      </c>
      <c r="H4" s="36" t="s">
        <v>122</v>
      </c>
      <c r="M4" s="36" t="s">
        <v>116</v>
      </c>
      <c r="N4" s="36" t="s">
        <v>117</v>
      </c>
      <c r="O4" s="36" t="s">
        <v>162</v>
      </c>
      <c r="P4" s="36" t="s">
        <v>119</v>
      </c>
      <c r="Q4" s="36" t="s">
        <v>120</v>
      </c>
      <c r="R4" s="36" t="s">
        <v>118</v>
      </c>
      <c r="S4" s="36" t="s">
        <v>121</v>
      </c>
      <c r="T4" s="36" t="s">
        <v>122</v>
      </c>
    </row>
    <row r="5" spans="1:24" ht="15.75" hidden="1" thickBot="1">
      <c r="A5" s="795"/>
      <c r="B5" s="796"/>
      <c r="C5" s="796"/>
      <c r="D5" s="796"/>
      <c r="E5" s="796"/>
      <c r="F5" s="796"/>
      <c r="G5" s="796"/>
      <c r="H5" s="797"/>
      <c r="M5" s="795"/>
      <c r="N5" s="796"/>
      <c r="O5" s="796"/>
      <c r="P5" s="796"/>
      <c r="Q5" s="796"/>
      <c r="R5" s="796"/>
      <c r="S5" s="796"/>
      <c r="T5" s="797"/>
    </row>
    <row r="6" spans="1:24" ht="15" hidden="1" customHeight="1" thickBot="1">
      <c r="A6" s="40">
        <v>0.6</v>
      </c>
      <c r="B6" s="41">
        <v>0.4</v>
      </c>
      <c r="C6" s="47">
        <f>((((A6*2)+(B6*2))*MATERIALES!$C$5)+((A6*2)*MATERIALES!$C$6)+((B6*2)*MATERIALES!$C$7)+((B6*2)*MATERIALES!$C$8))*MATERIALES!$F$2</f>
        <v>1483.1107199999999</v>
      </c>
      <c r="D6" s="47">
        <f>(8*MATERIALES!$C$136)+(8*MATERIALES!$C$137)+(1*MATERIALES!$C$152)+(4*MATERIALES!$C$142)+(8*MATERIALES!$C$144)+((8*4)*MATERIALES!$C$145)+((B6*4)*MATERIALES!$C$140)+(((A6*2)+(B6*4))*MATERIALES!$C$141)+(2*MATERIALES!$C$138)+(4*MATERIALES!$C$148)+(((A6*5)*2)*MATERIALES!$C$147)+(4*MATERIALES!$C$146)</f>
        <v>684.39696000000004</v>
      </c>
      <c r="E6" s="74"/>
      <c r="F6" s="48">
        <f>(A6*B6)*MATERIALES!$D$82</f>
        <v>127.19999999999999</v>
      </c>
      <c r="G6" s="47">
        <f>SUM(C6:F6)</f>
        <v>2294.7076799999995</v>
      </c>
      <c r="H6" s="49">
        <f>(SUM(C6:E6)*1.3)+(F6*2)</f>
        <v>3072.1599839999999</v>
      </c>
      <c r="I6" s="53"/>
      <c r="J6">
        <f>(1392.45+139.95)*1.07</f>
        <v>1639.6680000000001</v>
      </c>
      <c r="K6">
        <f>(H6/J6)</f>
        <v>1.8736475823154441</v>
      </c>
      <c r="M6" s="65">
        <v>0.6</v>
      </c>
      <c r="N6" s="66">
        <v>0.4</v>
      </c>
      <c r="O6" s="58">
        <f>((((M6*2)+(N6*2))*MATERIALES!$C$5)+((M6*2)*MATERIALES!$C$6)+((N6*2)*MATERIALES!$C$7)+((N6*2)*MATERIALES!$C$8)+((2*N6)*MATERIALES!$C$20)+(N6*MATERIALES!$C$21))*MATERIALES!$F$2</f>
        <v>1758.8188800000003</v>
      </c>
      <c r="P6" s="59">
        <f>(8*MATERIALES!$C$136)+(8*MATERIALES!$C$137)+(1*MATERIALES!$C$152)+(4*MATERIALES!$C$142)+(8*MATERIALES!$C$144)+((8*4)*MATERIALES!$C$145)+(('HERR CLASICA CORREDIZA'!O6*4)*MATERIALES!$C$140)+((('HERR CLASICA CORREDIZA'!N6*2)+('HERR CLASICA CORREDIZA'!O6*4))*MATERIALES!$C$141)+(4*MATERIALES!$C$148)+((('HERR CLASICA CORREDIZA'!N6*5)*2)*MATERIALES!$C$147)+(4*MATERIALES!$C$146)+(2*MATERIALES!$C$144)+(2*MATERIALES!$C$168)+(2*MATERIALES!$C$145)+(10*MATERIALES!$C$145)+(2*MATERIALES!$C$138)</f>
        <v>747.79536000000007</v>
      </c>
      <c r="Q6" s="74"/>
      <c r="R6" s="54">
        <f>(M6*N6)*MATERIALES!$D$82</f>
        <v>127.19999999999999</v>
      </c>
      <c r="S6" s="58">
        <f>SUM(O6:R6)</f>
        <v>2633.8142400000002</v>
      </c>
      <c r="T6" s="67">
        <f>(SUM(O6:Q6)*1.3)+(R6*2)</f>
        <v>3512.9985120000006</v>
      </c>
      <c r="U6" s="53"/>
    </row>
    <row r="7" spans="1:24" ht="21.75" hidden="1" customHeight="1" thickBot="1">
      <c r="A7" s="42">
        <v>0.6</v>
      </c>
      <c r="B7" s="37">
        <v>0.6</v>
      </c>
      <c r="C7" s="38">
        <f>((((A7*2)+(B7*2))*MATERIALES!$C$5)+((A7*2)*MATERIALES!$C$6)+((B7*2)*MATERIALES!$C$7)+((B7*2)*MATERIALES!$C$8))*MATERIALES!$F$2</f>
        <v>1841.3740799999998</v>
      </c>
      <c r="D7" s="38">
        <f>(8*MATERIALES!$C$136)+(8*MATERIALES!$C$137)+(1*MATERIALES!$C$152)+(4*MATERIALES!$C$142)+(8*MATERIALES!$C$144)+((8*4)*MATERIALES!$C$145)+((B7*4)*MATERIALES!$C$140)+(((A7*2)+(B7*4))*MATERIALES!$C$141)+(2*MATERIALES!$C$138)+(4*MATERIALES!$C$148)+(((A7*5)*2)*MATERIALES!$C$147)+(4*MATERIALES!$C$146)</f>
        <v>706.48656000000005</v>
      </c>
      <c r="E7" s="75"/>
      <c r="F7" s="39">
        <f>(A7*B7)*MATERIALES!$D$82</f>
        <v>190.79999999999998</v>
      </c>
      <c r="G7" s="38">
        <f t="shared" ref="G7:G59" si="0">SUM(C7:F7)</f>
        <v>2738.6606400000001</v>
      </c>
      <c r="H7" s="49">
        <f t="shared" ref="H7:H59" si="1">(SUM(C7:E7)*1.3)+(F7*2)</f>
        <v>3693.8188319999999</v>
      </c>
      <c r="M7" s="68">
        <v>0.6</v>
      </c>
      <c r="N7" s="69">
        <v>0.6</v>
      </c>
      <c r="O7" s="59">
        <f>((((M7*2)+(N7*2))*MATERIALES!$C$5)+((M7*2)*MATERIALES!$C$6)+((N7*2)*MATERIALES!$C$7)+((N7*2)*MATERIALES!$C$8)+((2*N7)*MATERIALES!$C$20)+(N7*MATERIALES!$C$21))*MATERIALES!$F$2</f>
        <v>2254.9363199999998</v>
      </c>
      <c r="P7" s="59">
        <f>(8*MATERIALES!$C$136)+(8*MATERIALES!$C$137)+(1*MATERIALES!$C$152)+(4*MATERIALES!$C$142)+(8*MATERIALES!$C$144)+((8*4)*MATERIALES!$C$145)+(('HERR CLASICA CORREDIZA'!O7*4)*MATERIALES!$C$140)+((('HERR CLASICA CORREDIZA'!N7*2)+('HERR CLASICA CORREDIZA'!O7*4))*MATERIALES!$C$141)+(4*MATERIALES!$C$148)+((('HERR CLASICA CORREDIZA'!N7*5)*2)*MATERIALES!$C$147)+(4*MATERIALES!$C$146)+(2*MATERIALES!$C$144)+(2*MATERIALES!$C$168)+(2*MATERIALES!$C$145)+(10*MATERIALES!$C$145)+(2*MATERIALES!$C$138)</f>
        <v>769.88496000000009</v>
      </c>
      <c r="Q7" s="75"/>
      <c r="R7" s="55">
        <f>(M7*N7)*MATERIALES!$D$82</f>
        <v>190.79999999999998</v>
      </c>
      <c r="S7" s="59">
        <f t="shared" ref="S7:S59" si="2">SUM(O7:R7)</f>
        <v>3215.6212800000003</v>
      </c>
      <c r="T7" s="67">
        <f t="shared" ref="T7:T59" si="3">(SUM(O7:Q7)*1.3)+(R7*2)</f>
        <v>4313.8676640000003</v>
      </c>
    </row>
    <row r="8" spans="1:24" ht="15.75" hidden="1" thickBot="1">
      <c r="A8" s="42">
        <v>0.8</v>
      </c>
      <c r="B8" s="37">
        <v>0.4</v>
      </c>
      <c r="C8" s="38">
        <f>((((A8*2)+(B8*2))*MATERIALES!$C$5)+((A8*2)*MATERIALES!$C$6)+((B8*2)*MATERIALES!$C$7)+((B8*2)*MATERIALES!$C$8))*MATERIALES!$F$2</f>
        <v>1738.6387200000001</v>
      </c>
      <c r="D8" s="38">
        <f>(8*MATERIALES!$C$136)+(8*MATERIALES!$C$137)+(1*MATERIALES!$C$152)+(4*MATERIALES!$C$142)+(8*MATERIALES!$C$144)+((8*4)*MATERIALES!$C$145)+((B8*4)*MATERIALES!$C$140)+(((A8*2)+(B8*4))*MATERIALES!$C$141)+(2*MATERIALES!$C$138)+(4*MATERIALES!$C$148)+(((A8*5)*2)*MATERIALES!$C$147)+(4*MATERIALES!$C$146)</f>
        <v>692.93328000000008</v>
      </c>
      <c r="E8" s="75"/>
      <c r="F8" s="39">
        <f>(A8*B8)*MATERIALES!$D$82</f>
        <v>169.60000000000002</v>
      </c>
      <c r="G8" s="38">
        <f t="shared" si="0"/>
        <v>2601.172</v>
      </c>
      <c r="H8" s="49">
        <f t="shared" si="1"/>
        <v>3500.2436000000007</v>
      </c>
      <c r="M8" s="68">
        <v>0.8</v>
      </c>
      <c r="N8" s="69">
        <v>0.4</v>
      </c>
      <c r="O8" s="59">
        <f>((((M8*2)+(N8*2))*MATERIALES!$C$5)+((M8*2)*MATERIALES!$C$6)+((N8*2)*MATERIALES!$C$7)+((N8*2)*MATERIALES!$C$8)+((2*N8)*MATERIALES!$C$20)+(N8*MATERIALES!$C$21))*MATERIALES!$F$2</f>
        <v>2014.3468800000003</v>
      </c>
      <c r="P8" s="59">
        <f>(8*MATERIALES!$C$136)+(8*MATERIALES!$C$137)+(1*MATERIALES!$C$152)+(4*MATERIALES!$C$142)+(8*MATERIALES!$C$144)+((8*4)*MATERIALES!$C$145)+(('HERR CLASICA CORREDIZA'!O8*4)*MATERIALES!$C$140)+((('HERR CLASICA CORREDIZA'!N8*2)+('HERR CLASICA CORREDIZA'!O8*4))*MATERIALES!$C$141)+(4*MATERIALES!$C$148)+((('HERR CLASICA CORREDIZA'!N8*5)*2)*MATERIALES!$C$147)+(4*MATERIALES!$C$146)+(2*MATERIALES!$C$144)+(2*MATERIALES!$C$168)+(2*MATERIALES!$C$145)+(10*MATERIALES!$C$145)+(2*MATERIALES!$C$138)</f>
        <v>756.33168000000012</v>
      </c>
      <c r="Q8" s="75"/>
      <c r="R8" s="55">
        <f>(M8*N8)*MATERIALES!$D$82</f>
        <v>169.60000000000002</v>
      </c>
      <c r="S8" s="59">
        <f t="shared" si="2"/>
        <v>2940.2785600000002</v>
      </c>
      <c r="T8" s="67">
        <f t="shared" si="3"/>
        <v>3941.0821280000009</v>
      </c>
    </row>
    <row r="9" spans="1:24" ht="15.75" hidden="1" thickBot="1">
      <c r="A9" s="42">
        <v>0.8</v>
      </c>
      <c r="B9" s="37">
        <v>0.6</v>
      </c>
      <c r="C9" s="38">
        <f>((((A9*2)+(B9*2))*MATERIALES!$C$5)+((A9*2)*MATERIALES!$C$6)+((B9*2)*MATERIALES!$C$7)+((B9*2)*MATERIALES!$C$8))*MATERIALES!$F$2</f>
        <v>2096.9020799999998</v>
      </c>
      <c r="D9" s="38">
        <f>(8*MATERIALES!$C$136)+(8*MATERIALES!$C$137)+(1*MATERIALES!$C$152)+(4*MATERIALES!$C$142)+(8*MATERIALES!$C$144)+((8*4)*MATERIALES!$C$145)+((B9*4)*MATERIALES!$C$140)+(((A9*2)+(B9*4))*MATERIALES!$C$141)+(2*MATERIALES!$C$138)+(4*MATERIALES!$C$148)+(((A9*5)*2)*MATERIALES!$C$147)+(4*MATERIALES!$C$146)</f>
        <v>715.02287999999999</v>
      </c>
      <c r="E9" s="75"/>
      <c r="F9" s="39">
        <f>(A9*B9)*MATERIALES!$D$82</f>
        <v>254.39999999999998</v>
      </c>
      <c r="G9" s="38">
        <f t="shared" si="0"/>
        <v>3066.3249599999999</v>
      </c>
      <c r="H9" s="49">
        <f t="shared" si="1"/>
        <v>4164.3024479999995</v>
      </c>
      <c r="M9" s="68">
        <v>0.8</v>
      </c>
      <c r="N9" s="69">
        <v>0.6</v>
      </c>
      <c r="O9" s="59">
        <f>((((M9*2)+(N9*2))*MATERIALES!$C$5)+((M9*2)*MATERIALES!$C$6)+((N9*2)*MATERIALES!$C$7)+((N9*2)*MATERIALES!$C$8)+((2*N9)*MATERIALES!$C$20)+(N9*MATERIALES!$C$21))*MATERIALES!$F$2</f>
        <v>2510.4643199999996</v>
      </c>
      <c r="P9" s="59">
        <f>(8*MATERIALES!$C$136)+(8*MATERIALES!$C$137)+(1*MATERIALES!$C$152)+(4*MATERIALES!$C$142)+(8*MATERIALES!$C$144)+((8*4)*MATERIALES!$C$145)+(('HERR CLASICA CORREDIZA'!O9*4)*MATERIALES!$C$140)+((('HERR CLASICA CORREDIZA'!N9*2)+('HERR CLASICA CORREDIZA'!O9*4))*MATERIALES!$C$141)+(4*MATERIALES!$C$148)+((('HERR CLASICA CORREDIZA'!N9*5)*2)*MATERIALES!$C$147)+(4*MATERIALES!$C$146)+(2*MATERIALES!$C$144)+(2*MATERIALES!$C$168)+(2*MATERIALES!$C$145)+(10*MATERIALES!$C$145)+(2*MATERIALES!$C$138)</f>
        <v>778.42128000000014</v>
      </c>
      <c r="Q9" s="75"/>
      <c r="R9" s="55">
        <f>(M9*N9)*MATERIALES!$D$82</f>
        <v>254.39999999999998</v>
      </c>
      <c r="S9" s="59">
        <f t="shared" si="2"/>
        <v>3543.2855999999997</v>
      </c>
      <c r="T9" s="67">
        <f t="shared" si="3"/>
        <v>4784.3512799999999</v>
      </c>
    </row>
    <row r="10" spans="1:24" ht="15.75" hidden="1" thickBot="1">
      <c r="A10" s="42">
        <v>0.8</v>
      </c>
      <c r="B10" s="37">
        <v>0.8</v>
      </c>
      <c r="C10" s="38">
        <f>((((A10*2)+(B10*2))*MATERIALES!$C$5)+((A10*2)*MATERIALES!$C$6)+((B10*2)*MATERIALES!$C$7)+((B10*2)*MATERIALES!$C$8))*MATERIALES!$F$2</f>
        <v>2455.1654400000002</v>
      </c>
      <c r="D10" s="38">
        <f>(8*MATERIALES!$C$136)+(8*MATERIALES!$C$137)+(1*MATERIALES!$C$152)+(4*MATERIALES!$C$142)+(8*MATERIALES!$C$144)+((8*4)*MATERIALES!$C$145)+((B10*4)*MATERIALES!$C$140)+(((A10*2)+(B10*4))*MATERIALES!$C$141)+(2*MATERIALES!$C$138)+(4*MATERIALES!$C$148)+(((A10*5)*2)*MATERIALES!$C$147)+(4*MATERIALES!$C$146)</f>
        <v>737.11248000000001</v>
      </c>
      <c r="E10" s="75"/>
      <c r="F10" s="39">
        <f>(A10*B10)*MATERIALES!$D$82</f>
        <v>339.20000000000005</v>
      </c>
      <c r="G10" s="38">
        <f t="shared" si="0"/>
        <v>3531.4779200000003</v>
      </c>
      <c r="H10" s="49">
        <f t="shared" si="1"/>
        <v>4828.3612960000009</v>
      </c>
      <c r="M10" s="68">
        <v>0.8</v>
      </c>
      <c r="N10" s="69">
        <v>0.8</v>
      </c>
      <c r="O10" s="59">
        <f>((((M10*2)+(N10*2))*MATERIALES!$C$5)+((M10*2)*MATERIALES!$C$6)+((N10*2)*MATERIALES!$C$7)+((N10*2)*MATERIALES!$C$8)+((2*N10)*MATERIALES!$C$20)+(N10*MATERIALES!$C$21))*MATERIALES!$F$2</f>
        <v>3006.5817600000009</v>
      </c>
      <c r="P10" s="59">
        <f>(8*MATERIALES!$C$136)+(8*MATERIALES!$C$137)+(1*MATERIALES!$C$152)+(4*MATERIALES!$C$142)+(8*MATERIALES!$C$144)+((8*4)*MATERIALES!$C$145)+(('HERR CLASICA CORREDIZA'!O10*4)*MATERIALES!$C$140)+((('HERR CLASICA CORREDIZA'!N10*2)+('HERR CLASICA CORREDIZA'!O10*4))*MATERIALES!$C$141)+(4*MATERIALES!$C$148)+((('HERR CLASICA CORREDIZA'!N10*5)*2)*MATERIALES!$C$147)+(4*MATERIALES!$C$146)+(2*MATERIALES!$C$144)+(2*MATERIALES!$C$168)+(2*MATERIALES!$C$145)+(10*MATERIALES!$C$145)+(2*MATERIALES!$C$138)</f>
        <v>764.86800000000005</v>
      </c>
      <c r="Q10" s="75"/>
      <c r="R10" s="55">
        <f>(M10*N10)*MATERIALES!$D$82</f>
        <v>339.20000000000005</v>
      </c>
      <c r="S10" s="59">
        <f t="shared" si="2"/>
        <v>4110.6497600000012</v>
      </c>
      <c r="T10" s="67">
        <f t="shared" si="3"/>
        <v>5581.2846880000016</v>
      </c>
    </row>
    <row r="11" spans="1:24" ht="15.75" hidden="1" thickBot="1">
      <c r="A11" s="42">
        <v>1</v>
      </c>
      <c r="B11" s="37">
        <v>0.4</v>
      </c>
      <c r="C11" s="38">
        <f>((((A11*2)+(B11*2))*MATERIALES!$C$5)+((A11*2)*MATERIALES!$C$6)+((B11*2)*MATERIALES!$C$7)+((B11*2)*MATERIALES!$C$8))*MATERIALES!$F$2</f>
        <v>1994.1667199999999</v>
      </c>
      <c r="D11" s="38">
        <f>(8*MATERIALES!$C$136)+(8*MATERIALES!$C$137)+(1*MATERIALES!$C$152)+(4*MATERIALES!$C$142)+(8*MATERIALES!$C$144)+((8*4)*MATERIALES!$C$145)+((B11*4)*MATERIALES!$C$140)+(((A11*2)+(B11*4))*MATERIALES!$C$141)+(2*MATERIALES!$C$138)+(4*MATERIALES!$C$148)+(((A11*5)*2)*MATERIALES!$C$147)+(4*MATERIALES!$C$146)</f>
        <v>701.46960000000013</v>
      </c>
      <c r="E11" s="75"/>
      <c r="F11" s="39">
        <f>(A11*B11)*MATERIALES!$D$82</f>
        <v>212</v>
      </c>
      <c r="G11" s="38">
        <f t="shared" si="0"/>
        <v>2907.6363200000001</v>
      </c>
      <c r="H11" s="49">
        <f t="shared" si="1"/>
        <v>3928.3272160000001</v>
      </c>
      <c r="M11" s="68">
        <v>1</v>
      </c>
      <c r="N11" s="69">
        <v>0.4</v>
      </c>
      <c r="O11" s="59">
        <f>((((M11*2)+(N11*2))*MATERIALES!$C$5)+((M11*2)*MATERIALES!$C$6)+((N11*2)*MATERIALES!$C$7)+((N11*2)*MATERIALES!$C$8)+((2*N11)*MATERIALES!$C$20)+(N11*MATERIALES!$C$21))*MATERIALES!$F$2</f>
        <v>2269.8748800000003</v>
      </c>
      <c r="P11" s="59">
        <f>(8*MATERIALES!$C$136)+(8*MATERIALES!$C$137)+(1*MATERIALES!$C$152)+(4*MATERIALES!$C$142)+(8*MATERIALES!$C$144)+((8*4)*MATERIALES!$C$145)+(('HERR CLASICA CORREDIZA'!O11*4)*MATERIALES!$C$140)+((('HERR CLASICA CORREDIZA'!N11*2)+('HERR CLASICA CORREDIZA'!O11*4))*MATERIALES!$C$141)+(4*MATERIALES!$C$148)+((('HERR CLASICA CORREDIZA'!N11*5)*2)*MATERIALES!$C$147)+(4*MATERIALES!$C$146)+(2*MATERIALES!$C$144)+(2*MATERIALES!$C$168)+(2*MATERIALES!$C$145)+(10*MATERIALES!$C$145)+(2*MATERIALES!$C$138)</f>
        <v>786.95760000000007</v>
      </c>
      <c r="Q11" s="75"/>
      <c r="R11" s="55">
        <f>(M11*N11)*MATERIALES!$D$82</f>
        <v>212</v>
      </c>
      <c r="S11" s="59">
        <f t="shared" si="2"/>
        <v>3268.8324800000005</v>
      </c>
      <c r="T11" s="67">
        <f t="shared" si="3"/>
        <v>4397.8822240000009</v>
      </c>
    </row>
    <row r="12" spans="1:24" ht="15.75" hidden="1" thickBot="1">
      <c r="A12" s="42">
        <v>1</v>
      </c>
      <c r="B12" s="37">
        <v>0.6</v>
      </c>
      <c r="C12" s="38">
        <f>((((A12*2)+(B12*2))*MATERIALES!$C$5)+((A12*2)*MATERIALES!$C$6)+((B12*2)*MATERIALES!$C$7)+((B12*2)*MATERIALES!$C$8))*MATERIALES!$F$2</f>
        <v>2352.4300800000001</v>
      </c>
      <c r="D12" s="38">
        <f>(8*MATERIALES!$C$136)+(8*MATERIALES!$C$137)+(1*MATERIALES!$C$152)+(4*MATERIALES!$C$142)+(8*MATERIALES!$C$144)+((8*4)*MATERIALES!$C$145)+((B12*4)*MATERIALES!$C$140)+(((A12*2)+(B12*4))*MATERIALES!$C$141)+(2*MATERIALES!$C$138)+(4*MATERIALES!$C$148)+(((A12*5)*2)*MATERIALES!$C$147)+(4*MATERIALES!$C$146)</f>
        <v>723.55920000000003</v>
      </c>
      <c r="E12" s="75"/>
      <c r="F12" s="39">
        <f>(A12*B12)*MATERIALES!$D$82</f>
        <v>318</v>
      </c>
      <c r="G12" s="38">
        <f t="shared" si="0"/>
        <v>3393.9892800000002</v>
      </c>
      <c r="H12" s="49">
        <f t="shared" si="1"/>
        <v>4634.7860639999999</v>
      </c>
      <c r="M12" s="68">
        <v>1</v>
      </c>
      <c r="N12" s="69">
        <v>0.6</v>
      </c>
      <c r="O12" s="59">
        <f>((((M12*2)+(N12*2))*MATERIALES!$C$5)+((M12*2)*MATERIALES!$C$6)+((N12*2)*MATERIALES!$C$7)+((N12*2)*MATERIALES!$C$8)+((2*N12)*MATERIALES!$C$20)+(N12*MATERIALES!$C$21))*MATERIALES!$F$2</f>
        <v>2765.9923199999998</v>
      </c>
      <c r="P12" s="59">
        <f>(8*MATERIALES!$C$136)+(8*MATERIALES!$C$137)+(1*MATERIALES!$C$152)+(4*MATERIALES!$C$142)+(8*MATERIALES!$C$144)+((8*4)*MATERIALES!$C$145)+(('HERR CLASICA CORREDIZA'!O12*4)*MATERIALES!$C$140)+((('HERR CLASICA CORREDIZA'!N12*2)+('HERR CLASICA CORREDIZA'!O12*4))*MATERIALES!$C$141)+(4*MATERIALES!$C$148)+((('HERR CLASICA CORREDIZA'!N12*5)*2)*MATERIALES!$C$147)+(4*MATERIALES!$C$146)+(2*MATERIALES!$C$144)+(2*MATERIALES!$C$168)+(2*MATERIALES!$C$145)+(10*MATERIALES!$C$145)+(2*MATERIALES!$C$138)</f>
        <v>809.04720000000009</v>
      </c>
      <c r="Q12" s="75"/>
      <c r="R12" s="55">
        <f>(M12*N12)*MATERIALES!$D$82</f>
        <v>318</v>
      </c>
      <c r="S12" s="59">
        <f t="shared" si="2"/>
        <v>3893.0395199999998</v>
      </c>
      <c r="T12" s="67">
        <f t="shared" si="3"/>
        <v>5283.5513760000003</v>
      </c>
    </row>
    <row r="13" spans="1:24" ht="15.75" hidden="1" thickBot="1">
      <c r="A13" s="42">
        <v>1</v>
      </c>
      <c r="B13" s="37">
        <v>0.8</v>
      </c>
      <c r="C13" s="38">
        <f>((((A13*2)+(B13*2))*MATERIALES!$C$5)+((A13*2)*MATERIALES!$C$6)+((B13*2)*MATERIALES!$C$7)+((B13*2)*MATERIALES!$C$8))*MATERIALES!$F$2</f>
        <v>2710.69344</v>
      </c>
      <c r="D13" s="38">
        <f>(8*MATERIALES!$C$136)+(8*MATERIALES!$C$137)+(1*MATERIALES!$C$152)+(4*MATERIALES!$C$142)+(8*MATERIALES!$C$144)+((8*4)*MATERIALES!$C$145)+((B13*4)*MATERIALES!$C$140)+(((A13*2)+(B13*4))*MATERIALES!$C$141)+(2*MATERIALES!$C$138)+(4*MATERIALES!$C$148)+(((A13*5)*2)*MATERIALES!$C$147)+(4*MATERIALES!$C$146)</f>
        <v>745.64880000000005</v>
      </c>
      <c r="E13" s="75"/>
      <c r="F13" s="39">
        <f>(A13*B13)*MATERIALES!$D$82</f>
        <v>424</v>
      </c>
      <c r="G13" s="38">
        <f t="shared" si="0"/>
        <v>3880.3422399999999</v>
      </c>
      <c r="H13" s="49">
        <f t="shared" si="1"/>
        <v>5341.2449120000001</v>
      </c>
      <c r="M13" s="68">
        <v>1</v>
      </c>
      <c r="N13" s="69">
        <v>0.8</v>
      </c>
      <c r="O13" s="59">
        <f>((((M13*2)+(N13*2))*MATERIALES!$C$5)+((M13*2)*MATERIALES!$C$6)+((N13*2)*MATERIALES!$C$7)+((N13*2)*MATERIALES!$C$8)+((2*N13)*MATERIALES!$C$20)+(N13*MATERIALES!$C$21))*MATERIALES!$F$2</f>
        <v>3262.1097600000007</v>
      </c>
      <c r="P13" s="59">
        <f>(8*MATERIALES!$C$136)+(8*MATERIALES!$C$137)+(1*MATERIALES!$C$152)+(4*MATERIALES!$C$142)+(8*MATERIALES!$C$144)+((8*4)*MATERIALES!$C$145)+(('HERR CLASICA CORREDIZA'!O13*4)*MATERIALES!$C$140)+((('HERR CLASICA CORREDIZA'!N13*2)+('HERR CLASICA CORREDIZA'!O13*4))*MATERIALES!$C$141)+(4*MATERIALES!$C$148)+((('HERR CLASICA CORREDIZA'!N13*5)*2)*MATERIALES!$C$147)+(4*MATERIALES!$C$146)+(2*MATERIALES!$C$144)+(2*MATERIALES!$C$168)+(2*MATERIALES!$C$145)+(10*MATERIALES!$C$145)+(2*MATERIALES!$C$138)</f>
        <v>831.13680000000011</v>
      </c>
      <c r="Q13" s="75"/>
      <c r="R13" s="55">
        <f>(M13*N13)*MATERIALES!$D$82</f>
        <v>424</v>
      </c>
      <c r="S13" s="59">
        <f t="shared" si="2"/>
        <v>4517.2465600000014</v>
      </c>
      <c r="T13" s="67">
        <f t="shared" si="3"/>
        <v>6169.2205280000017</v>
      </c>
    </row>
    <row r="14" spans="1:24" ht="15.75" hidden="1" thickBot="1">
      <c r="A14" s="42">
        <v>1</v>
      </c>
      <c r="B14" s="37">
        <v>1</v>
      </c>
      <c r="C14" s="38">
        <f>((((A14*2)+(B14*2))*MATERIALES!$C$5)+((A14*2)*MATERIALES!$C$6)+((B14*2)*MATERIALES!$C$7)+((B14*2)*MATERIALES!$C$8))*MATERIALES!$F$2</f>
        <v>3068.9567999999999</v>
      </c>
      <c r="D14" s="38">
        <f>(8*MATERIALES!$C$136)+(8*MATERIALES!$C$137)+(1*MATERIALES!$C$152)+(4*MATERIALES!$C$142)+(8*MATERIALES!$C$144)+((8*4)*MATERIALES!$C$145)+((B14*4)*MATERIALES!$C$140)+(((A14*2)+(B14*4))*MATERIALES!$C$141)+(2*MATERIALES!$C$138)+(4*MATERIALES!$C$148)+(((A14*5)*2)*MATERIALES!$C$147)+(4*MATERIALES!$C$146)</f>
        <v>767.73839999999996</v>
      </c>
      <c r="E14" s="75"/>
      <c r="F14" s="39">
        <f>(A14*B14)*MATERIALES!$D$82</f>
        <v>530</v>
      </c>
      <c r="G14" s="38">
        <f t="shared" si="0"/>
        <v>4366.6952000000001</v>
      </c>
      <c r="H14" s="49">
        <f t="shared" si="1"/>
        <v>6047.7037600000003</v>
      </c>
      <c r="J14">
        <f>(2262.29+331.02)*1.07</f>
        <v>2774.8416999999999</v>
      </c>
      <c r="K14">
        <f>(H14/J14)</f>
        <v>2.1794770346719239</v>
      </c>
      <c r="M14" s="68">
        <v>1</v>
      </c>
      <c r="N14" s="69">
        <v>1</v>
      </c>
      <c r="O14" s="59">
        <f>((((M14*2)+(N14*2))*MATERIALES!$C$5)+((M14*2)*MATERIALES!$C$6)+((N14*2)*MATERIALES!$C$7)+((N14*2)*MATERIALES!$C$8)+((2*N14)*MATERIALES!$C$20)+(N14*MATERIALES!$C$21))*MATERIALES!$F$2</f>
        <v>3758.2271999999994</v>
      </c>
      <c r="P14" s="59">
        <f>(8*MATERIALES!$C$136)+(8*MATERIALES!$C$137)+(1*MATERIALES!$C$152)+(4*MATERIALES!$C$142)+(8*MATERIALES!$C$144)+((8*4)*MATERIALES!$C$145)+(('HERR CLASICA CORREDIZA'!O14*4)*MATERIALES!$C$140)+((('HERR CLASICA CORREDIZA'!N14*2)+('HERR CLASICA CORREDIZA'!O14*4))*MATERIALES!$C$141)+(4*MATERIALES!$C$148)+((('HERR CLASICA CORREDIZA'!N14*5)*2)*MATERIALES!$C$147)+(4*MATERIALES!$C$146)+(2*MATERIALES!$C$144)+(2*MATERIALES!$C$168)+(2*MATERIALES!$C$145)+(10*MATERIALES!$C$145)+(2*MATERIALES!$C$138)</f>
        <v>842.1816</v>
      </c>
      <c r="Q14" s="75"/>
      <c r="R14" s="55">
        <f>(M14*N14)*MATERIALES!$D$82</f>
        <v>530</v>
      </c>
      <c r="S14" s="59">
        <f t="shared" si="2"/>
        <v>5130.4087999999992</v>
      </c>
      <c r="T14" s="67">
        <f t="shared" si="3"/>
        <v>7040.5314399999988</v>
      </c>
    </row>
    <row r="15" spans="1:24" ht="15.75" hidden="1" thickBot="1">
      <c r="A15" s="42">
        <v>1</v>
      </c>
      <c r="B15" s="37">
        <v>1.1000000000000001</v>
      </c>
      <c r="C15" s="38">
        <f>((((A15*2)+(B15*2))*MATERIALES!$C$5)+((A15*2)*MATERIALES!$C$6)+((B15*2)*MATERIALES!$C$7)+((B15*2)*MATERIALES!$C$8))*MATERIALES!$F$2</f>
        <v>3248.0884799999999</v>
      </c>
      <c r="D15" s="38">
        <f>(8*MATERIALES!$C$136)+(8*MATERIALES!$C$137)+(1*MATERIALES!$C$152)+(4*MATERIALES!$C$142)+(8*MATERIALES!$C$144)+((8*4)*MATERIALES!$C$145)+((B15*4)*MATERIALES!$C$140)+(((A15*2)+(B15*4))*MATERIALES!$C$141)+(2*MATERIALES!$C$138)+(4*MATERIALES!$C$148)+(((A15*5)*2)*MATERIALES!$C$147)+(4*MATERIALES!$C$146)</f>
        <v>778.78320000000008</v>
      </c>
      <c r="E15" s="75"/>
      <c r="F15" s="39">
        <f>(A15*B15)*MATERIALES!$D$82</f>
        <v>583</v>
      </c>
      <c r="G15" s="38">
        <f t="shared" si="0"/>
        <v>4609.8716800000002</v>
      </c>
      <c r="H15" s="49">
        <f t="shared" si="1"/>
        <v>6400.9331840000004</v>
      </c>
      <c r="M15" s="68">
        <v>1</v>
      </c>
      <c r="N15" s="69">
        <v>1.1000000000000001</v>
      </c>
      <c r="O15" s="59">
        <f>((((M15*2)+(N15*2))*MATERIALES!$C$5)+((M15*2)*MATERIALES!$C$6)+((N15*2)*MATERIALES!$C$7)+((N15*2)*MATERIALES!$C$8)+((2*N15)*MATERIALES!$C$20)+(N15*MATERIALES!$C$21))*MATERIALES!$F$2</f>
        <v>4006.2859199999998</v>
      </c>
      <c r="P15" s="59">
        <f>(8*MATERIALES!$C$136)+(8*MATERIALES!$C$137)+(1*MATERIALES!$C$152)+(4*MATERIALES!$C$142)+(8*MATERIALES!$C$144)+((8*4)*MATERIALES!$C$145)+(('HERR CLASICA CORREDIZA'!O15*4)*MATERIALES!$C$140)+((('HERR CLASICA CORREDIZA'!N15*2)+('HERR CLASICA CORREDIZA'!O15*4))*MATERIALES!$C$141)+(4*MATERIALES!$C$148)+((('HERR CLASICA CORREDIZA'!N15*5)*2)*MATERIALES!$C$147)+(4*MATERIALES!$C$146)+(2*MATERIALES!$C$144)+(2*MATERIALES!$C$168)+(2*MATERIALES!$C$145)+(10*MATERIALES!$C$145)+(2*MATERIALES!$C$138)</f>
        <v>853.22640000000013</v>
      </c>
      <c r="Q15" s="75"/>
      <c r="R15" s="55">
        <f>(M15*N15)*MATERIALES!$D$82</f>
        <v>583</v>
      </c>
      <c r="S15" s="59">
        <f t="shared" si="2"/>
        <v>5442.5123199999998</v>
      </c>
      <c r="T15" s="67">
        <f t="shared" si="3"/>
        <v>7483.3660159999999</v>
      </c>
      <c r="V15">
        <f>(3065.75+420.21)*1.07</f>
        <v>3729.9772000000003</v>
      </c>
      <c r="X15">
        <f>(T15/V15)</f>
        <v>2.0062766110205712</v>
      </c>
    </row>
    <row r="16" spans="1:24" ht="15.75" hidden="1" thickBot="1">
      <c r="A16" s="42">
        <v>1</v>
      </c>
      <c r="B16" s="37">
        <v>1.2</v>
      </c>
      <c r="C16" s="38">
        <f>((((A16*2)+(B16*2))*MATERIALES!$C$5)+((A16*2)*MATERIALES!$C$6)+((B16*2)*MATERIALES!$C$7)+((B16*2)*MATERIALES!$C$8))*MATERIALES!$F$2</f>
        <v>3427.2201600000003</v>
      </c>
      <c r="D16" s="38">
        <f>(8*MATERIALES!$C$136)+(8*MATERIALES!$C$137)+(1*MATERIALES!$C$152)+(4*MATERIALES!$C$142)+(8*MATERIALES!$C$144)+((8*4)*MATERIALES!$C$145)+((B16*4)*MATERIALES!$C$140)+(((A16*2)+(B16*4))*MATERIALES!$C$141)+(2*MATERIALES!$C$138)+(4*MATERIALES!$C$148)+(((A16*5)*2)*MATERIALES!$C$147)+(4*MATERIALES!$C$146)</f>
        <v>789.82799999999997</v>
      </c>
      <c r="E16" s="75"/>
      <c r="F16" s="39">
        <f>(A16*B16)*MATERIALES!$D$82</f>
        <v>636</v>
      </c>
      <c r="G16" s="38">
        <f t="shared" si="0"/>
        <v>4853.0481600000003</v>
      </c>
      <c r="H16" s="49">
        <f t="shared" si="1"/>
        <v>6754.1626080000005</v>
      </c>
      <c r="M16" s="68">
        <v>1</v>
      </c>
      <c r="N16" s="69">
        <v>1.2</v>
      </c>
      <c r="O16" s="59">
        <f>((((M16*2)+(N16*2))*MATERIALES!$C$5)+((M16*2)*MATERIALES!$C$6)+((N16*2)*MATERIALES!$C$7)+((N16*2)*MATERIALES!$C$8)+((2*N16)*MATERIALES!$C$20)+(N16*MATERIALES!$C$21))*MATERIALES!$F$2</f>
        <v>4254.3446400000003</v>
      </c>
      <c r="P16" s="59">
        <f>(8*MATERIALES!$C$136)+(8*MATERIALES!$C$137)+(1*MATERIALES!$C$152)+(4*MATERIALES!$C$142)+(8*MATERIALES!$C$144)+((8*4)*MATERIALES!$C$145)+(('HERR CLASICA CORREDIZA'!O16*4)*MATERIALES!$C$140)+((('HERR CLASICA CORREDIZA'!N16*2)+('HERR CLASICA CORREDIZA'!O16*4))*MATERIALES!$C$141)+(4*MATERIALES!$C$148)+((('HERR CLASICA CORREDIZA'!N16*5)*2)*MATERIALES!$C$147)+(4*MATERIALES!$C$146)+(2*MATERIALES!$C$144)+(2*MATERIALES!$C$168)+(2*MATERIALES!$C$145)+(10*MATERIALES!$C$145)+(2*MATERIALES!$C$138)</f>
        <v>886.36080000000004</v>
      </c>
      <c r="Q16" s="75"/>
      <c r="R16" s="55">
        <f>(M16*N16)*MATERIALES!$D$82</f>
        <v>636</v>
      </c>
      <c r="S16" s="59">
        <f t="shared" si="2"/>
        <v>5776.7054400000006</v>
      </c>
      <c r="T16" s="67">
        <f t="shared" si="3"/>
        <v>7954.9170720000011</v>
      </c>
    </row>
    <row r="17" spans="1:24" ht="15.75" hidden="1" thickBot="1">
      <c r="A17" s="42">
        <v>1</v>
      </c>
      <c r="B17" s="37">
        <v>1.5</v>
      </c>
      <c r="C17" s="38">
        <f>((((A17*2)+(B17*2))*MATERIALES!$C$5)+((A17*2)*MATERIALES!$C$6)+((B17*2)*MATERIALES!$C$7)+((B17*2)*MATERIALES!$C$8))*MATERIALES!$F$2</f>
        <v>3964.6152000000002</v>
      </c>
      <c r="D17" s="38">
        <f>(8*MATERIALES!$C$136)+(8*MATERIALES!$C$137)+(1*MATERIALES!$C$152)+(4*MATERIALES!$C$142)+(8*MATERIALES!$C$144)+((8*4)*MATERIALES!$C$145)+((B17*4)*MATERIALES!$C$140)+(((A17*2)+(B17*4))*MATERIALES!$C$141)+(2*MATERIALES!$C$138)+(4*MATERIALES!$C$148)+(((A17*5)*2)*MATERIALES!$C$147)+(4*MATERIALES!$C$146)</f>
        <v>822.96240000000012</v>
      </c>
      <c r="E17" s="75"/>
      <c r="F17" s="39">
        <f>(A17*B17)*MATERIALES!$D$82</f>
        <v>795</v>
      </c>
      <c r="G17" s="38">
        <f t="shared" si="0"/>
        <v>5582.5776000000005</v>
      </c>
      <c r="H17" s="49">
        <f t="shared" si="1"/>
        <v>7813.8508800000009</v>
      </c>
      <c r="M17" s="68">
        <v>1</v>
      </c>
      <c r="N17" s="69">
        <v>1.5</v>
      </c>
      <c r="O17" s="59">
        <f>((((M17*2)+(N17*2))*MATERIALES!$C$5)+((M17*2)*MATERIALES!$C$6)+((N17*2)*MATERIALES!$C$7)+((N17*2)*MATERIALES!$C$8)+((2*N17)*MATERIALES!$C$20)+(N17*MATERIALES!$C$21))*MATERIALES!$F$2</f>
        <v>4998.5208000000002</v>
      </c>
      <c r="P17" s="59">
        <f>(8*MATERIALES!$C$136)+(8*MATERIALES!$C$137)+(1*MATERIALES!$C$152)+(4*MATERIALES!$C$142)+(8*MATERIALES!$C$144)+((8*4)*MATERIALES!$C$145)+(('HERR CLASICA CORREDIZA'!O17*4)*MATERIALES!$C$140)+((('HERR CLASICA CORREDIZA'!N17*2)+('HERR CLASICA CORREDIZA'!O17*4))*MATERIALES!$C$141)+(4*MATERIALES!$C$148)+((('HERR CLASICA CORREDIZA'!N17*5)*2)*MATERIALES!$C$147)+(4*MATERIALES!$C$146)+(2*MATERIALES!$C$144)+(2*MATERIALES!$C$168)+(2*MATERIALES!$C$145)+(10*MATERIALES!$C$145)+(2*MATERIALES!$C$138)</f>
        <v>773.4043200000001</v>
      </c>
      <c r="Q17" s="75"/>
      <c r="R17" s="55">
        <f>(M17*N17)*MATERIALES!$D$82</f>
        <v>795</v>
      </c>
      <c r="S17" s="59">
        <f t="shared" si="2"/>
        <v>6566.9251199999999</v>
      </c>
      <c r="T17" s="67">
        <f t="shared" si="3"/>
        <v>9093.5026560000006</v>
      </c>
    </row>
    <row r="18" spans="1:24" ht="15.75" hidden="1" thickBot="1">
      <c r="A18" s="42">
        <v>1.2</v>
      </c>
      <c r="B18" s="37">
        <v>0.4</v>
      </c>
      <c r="C18" s="38">
        <f>((((A18*2)+(B18*2))*MATERIALES!$C$5)+((A18*2)*MATERIALES!$C$6)+((B18*2)*MATERIALES!$C$7)+((B18*2)*MATERIALES!$C$8))*MATERIALES!$F$2</f>
        <v>2249.6947200000004</v>
      </c>
      <c r="D18" s="38">
        <f>(8*MATERIALES!$C$136)+(8*MATERIALES!$C$137)+(1*MATERIALES!$C$152)+(4*MATERIALES!$C$142)+(8*MATERIALES!$C$144)+((8*4)*MATERIALES!$C$145)+((B18*4)*MATERIALES!$C$140)+(((A18*2)+(B18*4))*MATERIALES!$C$141)+(2*MATERIALES!$C$138)+(4*MATERIALES!$C$148)+(((A18*5)*2)*MATERIALES!$C$147)+(4*MATERIALES!$C$146)</f>
        <v>710.00592000000006</v>
      </c>
      <c r="E18" s="75"/>
      <c r="F18" s="39">
        <f>(A18*B18)*MATERIALES!$D$82</f>
        <v>254.39999999999998</v>
      </c>
      <c r="G18" s="38">
        <f t="shared" si="0"/>
        <v>3214.1006400000006</v>
      </c>
      <c r="H18" s="49">
        <f t="shared" si="1"/>
        <v>4356.4108320000005</v>
      </c>
      <c r="M18" s="68">
        <v>1.2</v>
      </c>
      <c r="N18" s="69">
        <v>0.4</v>
      </c>
      <c r="O18" s="59">
        <f>((((M18*2)+(N18*2))*MATERIALES!$C$5)+((M18*2)*MATERIALES!$C$6)+((N18*2)*MATERIALES!$C$7)+((N18*2)*MATERIALES!$C$8)+((2*N18)*MATERIALES!$C$20)+(N18*MATERIALES!$C$21))*MATERIALES!$F$2</f>
        <v>2525.4028800000006</v>
      </c>
      <c r="P18" s="59">
        <f>(8*MATERIALES!$C$136)+(8*MATERIALES!$C$137)+(1*MATERIALES!$C$152)+(4*MATERIALES!$C$142)+(8*MATERIALES!$C$144)+((8*4)*MATERIALES!$C$145)+(('HERR CLASICA CORREDIZA'!O18*4)*MATERIALES!$C$140)+((('HERR CLASICA CORREDIZA'!N18*2)+('HERR CLASICA CORREDIZA'!O18*4))*MATERIALES!$C$141)+(4*MATERIALES!$C$148)+((('HERR CLASICA CORREDIZA'!N18*5)*2)*MATERIALES!$C$147)+(4*MATERIALES!$C$146)+(2*MATERIALES!$C$144)+(2*MATERIALES!$C$168)+(2*MATERIALES!$C$145)+(10*MATERIALES!$C$145)+(2*MATERIALES!$C$138)</f>
        <v>795.49392</v>
      </c>
      <c r="Q18" s="75"/>
      <c r="R18" s="55">
        <f>(M18*N18)*MATERIALES!$D$82</f>
        <v>254.39999999999998</v>
      </c>
      <c r="S18" s="59">
        <f t="shared" si="2"/>
        <v>3575.2968000000005</v>
      </c>
      <c r="T18" s="67">
        <f t="shared" si="3"/>
        <v>4825.9658400000008</v>
      </c>
    </row>
    <row r="19" spans="1:24" ht="15.75" hidden="1" thickBot="1">
      <c r="A19" s="42">
        <v>1.2</v>
      </c>
      <c r="B19" s="37">
        <v>0.6</v>
      </c>
      <c r="C19" s="38">
        <f>((((A19*2)+(B19*2))*MATERIALES!$C$5)+((A19*2)*MATERIALES!$C$6)+((B19*2)*MATERIALES!$C$7)+((B19*2)*MATERIALES!$C$8))*MATERIALES!$F$2</f>
        <v>2607.9580799999999</v>
      </c>
      <c r="D19" s="38">
        <f>(8*MATERIALES!$C$136)+(8*MATERIALES!$C$137)+(1*MATERIALES!$C$152)+(4*MATERIALES!$C$142)+(8*MATERIALES!$C$144)+((8*4)*MATERIALES!$C$145)+((B19*4)*MATERIALES!$C$140)+(((A19*2)+(B19*4))*MATERIALES!$C$141)+(2*MATERIALES!$C$138)+(4*MATERIALES!$C$148)+(((A19*5)*2)*MATERIALES!$C$147)+(4*MATERIALES!$C$146)</f>
        <v>732.09552000000008</v>
      </c>
      <c r="E19" s="75"/>
      <c r="F19" s="39">
        <f>(A19*B19)*MATERIALES!$D$82</f>
        <v>381.59999999999997</v>
      </c>
      <c r="G19" s="38">
        <f t="shared" si="0"/>
        <v>3721.6536000000001</v>
      </c>
      <c r="H19" s="49">
        <f t="shared" si="1"/>
        <v>5105.2696800000003</v>
      </c>
      <c r="M19" s="68">
        <v>1.2</v>
      </c>
      <c r="N19" s="69">
        <v>0.6</v>
      </c>
      <c r="O19" s="59">
        <f>((((M19*2)+(N19*2))*MATERIALES!$C$5)+((M19*2)*MATERIALES!$C$6)+((N19*2)*MATERIALES!$C$7)+((N19*2)*MATERIALES!$C$8)+((2*N19)*MATERIALES!$C$20)+(N19*MATERIALES!$C$21))*MATERIALES!$F$2</f>
        <v>3021.5203199999996</v>
      </c>
      <c r="P19" s="59">
        <f>(8*MATERIALES!$C$136)+(8*MATERIALES!$C$137)+(1*MATERIALES!$C$152)+(4*MATERIALES!$C$142)+(8*MATERIALES!$C$144)+((8*4)*MATERIALES!$C$145)+(('HERR CLASICA CORREDIZA'!O19*4)*MATERIALES!$C$140)+((('HERR CLASICA CORREDIZA'!N19*2)+('HERR CLASICA CORREDIZA'!O19*4))*MATERIALES!$C$141)+(4*MATERIALES!$C$148)+((('HERR CLASICA CORREDIZA'!N19*5)*2)*MATERIALES!$C$147)+(4*MATERIALES!$C$146)+(2*MATERIALES!$C$144)+(2*MATERIALES!$C$168)+(2*MATERIALES!$C$145)+(10*MATERIALES!$C$145)+(2*MATERIALES!$C$138)</f>
        <v>817.58352000000002</v>
      </c>
      <c r="Q19" s="75"/>
      <c r="R19" s="55">
        <f>(M19*N19)*MATERIALES!$D$82</f>
        <v>381.59999999999997</v>
      </c>
      <c r="S19" s="59">
        <f t="shared" si="2"/>
        <v>4220.7038400000001</v>
      </c>
      <c r="T19" s="67">
        <f t="shared" si="3"/>
        <v>5754.0349919999999</v>
      </c>
    </row>
    <row r="20" spans="1:24" ht="15.75" hidden="1" thickBot="1">
      <c r="A20" s="42">
        <v>1.2</v>
      </c>
      <c r="B20" s="37">
        <v>0.8</v>
      </c>
      <c r="C20" s="38">
        <f>((((A20*2)+(B20*2))*MATERIALES!$C$5)+((A20*2)*MATERIALES!$C$6)+((B20*2)*MATERIALES!$C$7)+((B20*2)*MATERIALES!$C$8))*MATERIALES!$F$2</f>
        <v>2966.2214399999998</v>
      </c>
      <c r="D20" s="38">
        <f>(8*MATERIALES!$C$136)+(8*MATERIALES!$C$137)+(1*MATERIALES!$C$152)+(4*MATERIALES!$C$142)+(8*MATERIALES!$C$144)+((8*4)*MATERIALES!$C$145)+((B20*4)*MATERIALES!$C$140)+(((A20*2)+(B20*4))*MATERIALES!$C$141)+(2*MATERIALES!$C$138)+(4*MATERIALES!$C$148)+(((A20*5)*2)*MATERIALES!$C$147)+(4*MATERIALES!$C$146)</f>
        <v>754.1851200000001</v>
      </c>
      <c r="E20" s="75"/>
      <c r="F20" s="39">
        <f>(A20*B20)*MATERIALES!$D$82</f>
        <v>508.79999999999995</v>
      </c>
      <c r="G20" s="38">
        <f t="shared" si="0"/>
        <v>4229.2065599999996</v>
      </c>
      <c r="H20" s="49">
        <f t="shared" si="1"/>
        <v>5854.1285279999993</v>
      </c>
      <c r="M20" s="68">
        <v>1.2</v>
      </c>
      <c r="N20" s="69">
        <v>0.8</v>
      </c>
      <c r="O20" s="59">
        <f>((((M20*2)+(N20*2))*MATERIALES!$C$5)+((M20*2)*MATERIALES!$C$6)+((N20*2)*MATERIALES!$C$7)+((N20*2)*MATERIALES!$C$8)+((2*N20)*MATERIALES!$C$20)+(N20*MATERIALES!$C$21))*MATERIALES!$F$2</f>
        <v>3517.6377600000005</v>
      </c>
      <c r="P20" s="59">
        <f>(8*MATERIALES!$C$136)+(8*MATERIALES!$C$137)+(1*MATERIALES!$C$152)+(4*MATERIALES!$C$142)+(8*MATERIALES!$C$144)+((8*4)*MATERIALES!$C$145)+(('HERR CLASICA CORREDIZA'!O20*4)*MATERIALES!$C$140)+((('HERR CLASICA CORREDIZA'!N20*2)+('HERR CLASICA CORREDIZA'!O20*4))*MATERIALES!$C$141)+(4*MATERIALES!$C$148)+((('HERR CLASICA CORREDIZA'!N20*5)*2)*MATERIALES!$C$147)+(4*MATERIALES!$C$146)+(2*MATERIALES!$C$144)+(2*MATERIALES!$C$168)+(2*MATERIALES!$C$145)+(10*MATERIALES!$C$145)+(2*MATERIALES!$C$138)</f>
        <v>839.67312000000004</v>
      </c>
      <c r="Q20" s="75"/>
      <c r="R20" s="55">
        <f>(M20*N20)*MATERIALES!$D$82</f>
        <v>508.79999999999995</v>
      </c>
      <c r="S20" s="59">
        <f t="shared" si="2"/>
        <v>4866.1108800000011</v>
      </c>
      <c r="T20" s="67">
        <f t="shared" si="3"/>
        <v>6682.1041440000008</v>
      </c>
    </row>
    <row r="21" spans="1:24" ht="15.75" hidden="1" thickBot="1">
      <c r="A21" s="42">
        <v>1.2</v>
      </c>
      <c r="B21" s="37">
        <v>1</v>
      </c>
      <c r="C21" s="38">
        <f>((((A21*2)+(B21*2))*MATERIALES!$C$5)+((A21*2)*MATERIALES!$C$6)+((B21*2)*MATERIALES!$C$7)+((B21*2)*MATERIALES!$C$8))*MATERIALES!$F$2</f>
        <v>3324.4848000000002</v>
      </c>
      <c r="D21" s="38">
        <f>(8*MATERIALES!$C$136)+(8*MATERIALES!$C$137)+(1*MATERIALES!$C$152)+(4*MATERIALES!$C$142)+(8*MATERIALES!$C$144)+((8*4)*MATERIALES!$C$145)+((B21*4)*MATERIALES!$C$140)+(((A21*2)+(B21*4))*MATERIALES!$C$141)+(2*MATERIALES!$C$138)+(4*MATERIALES!$C$148)+(((A21*5)*2)*MATERIALES!$C$147)+(4*MATERIALES!$C$146)</f>
        <v>776.27472000000012</v>
      </c>
      <c r="E21" s="75"/>
      <c r="F21" s="39">
        <f>(A21*B21)*MATERIALES!$D$82</f>
        <v>636</v>
      </c>
      <c r="G21" s="38">
        <f t="shared" si="0"/>
        <v>4736.7595200000005</v>
      </c>
      <c r="H21" s="49">
        <f t="shared" si="1"/>
        <v>6602.9873760000009</v>
      </c>
      <c r="J21">
        <f>(2411.58+410.16)*1.07</f>
        <v>3019.2617999999998</v>
      </c>
      <c r="K21">
        <f>(H21/J21)</f>
        <v>2.1869542336474437</v>
      </c>
      <c r="M21" s="68">
        <v>1.2</v>
      </c>
      <c r="N21" s="69">
        <v>1</v>
      </c>
      <c r="O21" s="59">
        <f>((((M21*2)+(N21*2))*MATERIALES!$C$5)+((M21*2)*MATERIALES!$C$6)+((N21*2)*MATERIALES!$C$7)+((N21*2)*MATERIALES!$C$8)+((2*N21)*MATERIALES!$C$20)+(N21*MATERIALES!$C$21))*MATERIALES!$F$2</f>
        <v>4013.7552000000001</v>
      </c>
      <c r="P21" s="59">
        <f>(8*MATERIALES!$C$136)+(8*MATERIALES!$C$137)+(1*MATERIALES!$C$152)+(4*MATERIALES!$C$142)+(8*MATERIALES!$C$144)+((8*4)*MATERIALES!$C$145)+(('HERR CLASICA CORREDIZA'!O21*4)*MATERIALES!$C$140)+((('HERR CLASICA CORREDIZA'!N21*2)+('HERR CLASICA CORREDIZA'!O21*4))*MATERIALES!$C$141)+(4*MATERIALES!$C$148)+((('HERR CLASICA CORREDIZA'!N21*5)*2)*MATERIALES!$C$147)+(4*MATERIALES!$C$146)+(2*MATERIALES!$C$144)+(2*MATERIALES!$C$168)+(2*MATERIALES!$C$145)+(10*MATERIALES!$C$145)+(2*MATERIALES!$C$138)</f>
        <v>850.71792000000016</v>
      </c>
      <c r="Q21" s="75"/>
      <c r="R21" s="55">
        <f>(M21*N21)*MATERIALES!$D$82</f>
        <v>636</v>
      </c>
      <c r="S21" s="59">
        <f t="shared" si="2"/>
        <v>5500.4731200000006</v>
      </c>
      <c r="T21" s="67">
        <f t="shared" si="3"/>
        <v>7595.8150560000013</v>
      </c>
      <c r="V21">
        <f>(2811.24+410.16)*1.07</f>
        <v>3446.8979999999997</v>
      </c>
      <c r="X21">
        <f>(T21/V21)</f>
        <v>2.2036669074628845</v>
      </c>
    </row>
    <row r="22" spans="1:24" ht="15.75" hidden="1" thickBot="1">
      <c r="A22" s="42">
        <v>1.2</v>
      </c>
      <c r="B22" s="37">
        <v>1.1000000000000001</v>
      </c>
      <c r="C22" s="38">
        <f>((((A22*2)+(B22*2))*MATERIALES!$C$5)+((A22*2)*MATERIALES!$C$6)+((B22*2)*MATERIALES!$C$7)+((B22*2)*MATERIALES!$C$8))*MATERIALES!$F$2</f>
        <v>3503.6164799999997</v>
      </c>
      <c r="D22" s="38">
        <f>(8*MATERIALES!$C$136)+(8*MATERIALES!$C$137)+(1*MATERIALES!$C$152)+(4*MATERIALES!$C$142)+(8*MATERIALES!$C$144)+((8*4)*MATERIALES!$C$145)+((B22*4)*MATERIALES!$C$140)+(((A22*2)+(B22*4))*MATERIALES!$C$141)+(2*MATERIALES!$C$138)+(4*MATERIALES!$C$148)+(((A22*5)*2)*MATERIALES!$C$147)+(4*MATERIALES!$C$146)</f>
        <v>787.31952000000001</v>
      </c>
      <c r="E22" s="75"/>
      <c r="F22" s="39">
        <f>(A22*B22)*MATERIALES!$D$82</f>
        <v>699.6</v>
      </c>
      <c r="G22" s="38">
        <f t="shared" si="0"/>
        <v>4990.5360000000001</v>
      </c>
      <c r="H22" s="49">
        <f t="shared" si="1"/>
        <v>6977.4168</v>
      </c>
      <c r="M22" s="68">
        <v>1.2</v>
      </c>
      <c r="N22" s="69">
        <v>1.1000000000000001</v>
      </c>
      <c r="O22" s="59">
        <f>((((M22*2)+(N22*2))*MATERIALES!$C$5)+((M22*2)*MATERIALES!$C$6)+((N22*2)*MATERIALES!$C$7)+((N22*2)*MATERIALES!$C$8)+((2*N22)*MATERIALES!$C$20)+(N22*MATERIALES!$C$21))*MATERIALES!$F$2</f>
        <v>4261.8139199999996</v>
      </c>
      <c r="P22" s="59">
        <f>(8*MATERIALES!$C$136)+(8*MATERIALES!$C$137)+(1*MATERIALES!$C$152)+(4*MATERIALES!$C$142)+(8*MATERIALES!$C$144)+((8*4)*MATERIALES!$C$145)+(('HERR CLASICA CORREDIZA'!O22*4)*MATERIALES!$C$140)+((('HERR CLASICA CORREDIZA'!N22*2)+('HERR CLASICA CORREDIZA'!O22*4))*MATERIALES!$C$141)+(4*MATERIALES!$C$148)+((('HERR CLASICA CORREDIZA'!N22*5)*2)*MATERIALES!$C$147)+(4*MATERIALES!$C$146)+(2*MATERIALES!$C$144)+(2*MATERIALES!$C$168)+(2*MATERIALES!$C$145)+(10*MATERIALES!$C$145)+(2*MATERIALES!$C$138)</f>
        <v>861.76272000000006</v>
      </c>
      <c r="Q22" s="75"/>
      <c r="R22" s="55">
        <f>(M22*N22)*MATERIALES!$D$82</f>
        <v>699.6</v>
      </c>
      <c r="S22" s="59">
        <f t="shared" si="2"/>
        <v>5823.1766399999997</v>
      </c>
      <c r="T22" s="67">
        <f t="shared" si="3"/>
        <v>8059.8496319999995</v>
      </c>
    </row>
    <row r="23" spans="1:24" ht="15.75" hidden="1" thickBot="1">
      <c r="A23" s="42">
        <v>1.2</v>
      </c>
      <c r="B23" s="37">
        <v>1.2</v>
      </c>
      <c r="C23" s="38">
        <f>((((A23*2)+(B23*2))*MATERIALES!$C$5)+((A23*2)*MATERIALES!$C$6)+((B23*2)*MATERIALES!$C$7)+((B23*2)*MATERIALES!$C$8))*MATERIALES!$F$2</f>
        <v>3682.7481599999996</v>
      </c>
      <c r="D23" s="38">
        <f>(8*MATERIALES!$C$136)+(8*MATERIALES!$C$137)+(1*MATERIALES!$C$152)+(4*MATERIALES!$C$142)+(8*MATERIALES!$C$144)+((8*4)*MATERIALES!$C$145)+((B23*4)*MATERIALES!$C$140)+(((A23*2)+(B23*4))*MATERIALES!$C$141)+(2*MATERIALES!$C$138)+(4*MATERIALES!$C$148)+(((A23*5)*2)*MATERIALES!$C$147)+(4*MATERIALES!$C$146)</f>
        <v>798.36432000000013</v>
      </c>
      <c r="E23" s="75"/>
      <c r="F23" s="39">
        <f>(A23*B23)*MATERIALES!$D$82</f>
        <v>763.19999999999993</v>
      </c>
      <c r="G23" s="38">
        <f t="shared" si="0"/>
        <v>5244.3124799999996</v>
      </c>
      <c r="H23" s="49">
        <f t="shared" si="1"/>
        <v>7351.8462239999999</v>
      </c>
      <c r="M23" s="68">
        <v>1.2</v>
      </c>
      <c r="N23" s="69">
        <v>1.2</v>
      </c>
      <c r="O23" s="59">
        <f>((((M23*2)+(N23*2))*MATERIALES!$C$5)+((M23*2)*MATERIALES!$C$6)+((N23*2)*MATERIALES!$C$7)+((N23*2)*MATERIALES!$C$8)+((2*N23)*MATERIALES!$C$20)+(N23*MATERIALES!$C$21))*MATERIALES!$F$2</f>
        <v>4509.8726399999996</v>
      </c>
      <c r="P23" s="59">
        <f>(8*MATERIALES!$C$136)+(8*MATERIALES!$C$137)+(1*MATERIALES!$C$152)+(4*MATERIALES!$C$142)+(8*MATERIALES!$C$144)+((8*4)*MATERIALES!$C$145)+(('HERR CLASICA CORREDIZA'!O23*4)*MATERIALES!$C$140)+((('HERR CLASICA CORREDIZA'!N23*2)+('HERR CLASICA CORREDIZA'!O23*4))*MATERIALES!$C$141)+(4*MATERIALES!$C$148)+((('HERR CLASICA CORREDIZA'!N23*5)*2)*MATERIALES!$C$147)+(4*MATERIALES!$C$146)+(2*MATERIALES!$C$144)+(2*MATERIALES!$C$168)+(2*MATERIALES!$C$145)+(10*MATERIALES!$C$145)+(2*MATERIALES!$C$138)</f>
        <v>894.8971200000002</v>
      </c>
      <c r="Q23" s="75"/>
      <c r="R23" s="55">
        <f>(M23*N23)*MATERIALES!$D$82</f>
        <v>763.19999999999993</v>
      </c>
      <c r="S23" s="59">
        <f t="shared" si="2"/>
        <v>6167.96976</v>
      </c>
      <c r="T23" s="67">
        <f t="shared" si="3"/>
        <v>8552.6006880000004</v>
      </c>
    </row>
    <row r="24" spans="1:24" ht="15.75" hidden="1" thickBot="1">
      <c r="A24" s="42">
        <v>1.2</v>
      </c>
      <c r="B24" s="37">
        <v>1.5</v>
      </c>
      <c r="C24" s="38">
        <f>((((A24*2)+(B24*2))*MATERIALES!$C$5)+((A24*2)*MATERIALES!$C$6)+((B24*2)*MATERIALES!$C$7)+((B24*2)*MATERIALES!$C$8))*MATERIALES!$F$2</f>
        <v>4220.1432000000004</v>
      </c>
      <c r="D24" s="38">
        <f>(8*MATERIALES!$C$136)+(8*MATERIALES!$C$137)+(1*MATERIALES!$C$152)+(4*MATERIALES!$C$142)+(8*MATERIALES!$C$144)+((8*4)*MATERIALES!$C$145)+((B24*4)*MATERIALES!$C$140)+(((A24*2)+(B24*4))*MATERIALES!$C$141)+(2*MATERIALES!$C$138)+(4*MATERIALES!$C$148)+(((A24*5)*2)*MATERIALES!$C$147)+(4*MATERIALES!$C$146)</f>
        <v>831.49872000000005</v>
      </c>
      <c r="E24" s="75"/>
      <c r="F24" s="39">
        <f>(A24*B24)*MATERIALES!$D$82</f>
        <v>953.99999999999989</v>
      </c>
      <c r="G24" s="38">
        <f t="shared" si="0"/>
        <v>6005.64192</v>
      </c>
      <c r="H24" s="49">
        <f t="shared" si="1"/>
        <v>8475.1344960000006</v>
      </c>
      <c r="M24" s="68">
        <v>1.2</v>
      </c>
      <c r="N24" s="69">
        <v>1.5</v>
      </c>
      <c r="O24" s="59">
        <f>((((M24*2)+(N24*2))*MATERIALES!$C$5)+((M24*2)*MATERIALES!$C$6)+((N24*2)*MATERIALES!$C$7)+((N24*2)*MATERIALES!$C$8)+((2*N24)*MATERIALES!$C$20)+(N24*MATERIALES!$C$21))*MATERIALES!$F$2</f>
        <v>5254.0488000000005</v>
      </c>
      <c r="P24" s="59">
        <f>(8*MATERIALES!$C$136)+(8*MATERIALES!$C$137)+(1*MATERIALES!$C$152)+(4*MATERIALES!$C$142)+(8*MATERIALES!$C$144)+((8*4)*MATERIALES!$C$145)+(('HERR CLASICA CORREDIZA'!O24*4)*MATERIALES!$C$140)+((('HERR CLASICA CORREDIZA'!N24*2)+('HERR CLASICA CORREDIZA'!O24*4))*MATERIALES!$C$141)+(4*MATERIALES!$C$148)+((('HERR CLASICA CORREDIZA'!N24*5)*2)*MATERIALES!$C$147)+(4*MATERIALES!$C$146)+(2*MATERIALES!$C$144)+(2*MATERIALES!$C$168)+(2*MATERIALES!$C$145)+(10*MATERIALES!$C$145)+(2*MATERIALES!$C$138)</f>
        <v>928.03152000000011</v>
      </c>
      <c r="Q24" s="75"/>
      <c r="R24" s="55">
        <f>(M24*N24)*MATERIALES!$D$82</f>
        <v>953.99999999999989</v>
      </c>
      <c r="S24" s="59">
        <f t="shared" si="2"/>
        <v>7136.0803200000009</v>
      </c>
      <c r="T24" s="67">
        <f t="shared" si="3"/>
        <v>9944.7044160000005</v>
      </c>
    </row>
    <row r="25" spans="1:24" ht="15.75" hidden="1" thickBot="1">
      <c r="A25" s="42">
        <v>1.2</v>
      </c>
      <c r="B25" s="37">
        <v>1.8</v>
      </c>
      <c r="C25" s="38">
        <f>((((A25*2)+(B25*2))*MATERIALES!$C$5)+((A25*2)*MATERIALES!$C$6)+((B25*2)*MATERIALES!$C$7)+((B25*2)*MATERIALES!$C$8))*MATERIALES!$F$2</f>
        <v>4757.5382399999999</v>
      </c>
      <c r="D25" s="38">
        <f>(8*MATERIALES!$C$136)+(8*MATERIALES!$C$137)+(1*MATERIALES!$C$152)+(4*MATERIALES!$C$142)+(8*MATERIALES!$C$144)+((8*4)*MATERIALES!$C$145)+((B25*4)*MATERIALES!$C$140)+(((A25*2)+(B25*4))*MATERIALES!$C$141)+(2*MATERIALES!$C$138)+(4*MATERIALES!$C$148)+(((A25*5)*2)*MATERIALES!$C$147)+(4*MATERIALES!$C$146)</f>
        <v>864.63311999999996</v>
      </c>
      <c r="E25" s="75"/>
      <c r="F25" s="39">
        <f>(A25*B25)*MATERIALES!$D$82</f>
        <v>1144.8000000000002</v>
      </c>
      <c r="G25" s="38">
        <f t="shared" si="0"/>
        <v>6766.9713600000005</v>
      </c>
      <c r="H25" s="49">
        <f t="shared" si="1"/>
        <v>9598.4227680000004</v>
      </c>
      <c r="M25" s="68">
        <v>1.2</v>
      </c>
      <c r="N25" s="69">
        <v>1.8</v>
      </c>
      <c r="O25" s="59">
        <f>((((M25*2)+(N25*2))*MATERIALES!$C$5)+((M25*2)*MATERIALES!$C$6)+((N25*2)*MATERIALES!$C$7)+((N25*2)*MATERIALES!$C$8)+((2*N25)*MATERIALES!$C$20)+(N25*MATERIALES!$C$21))*MATERIALES!$F$2</f>
        <v>5998.2249600000005</v>
      </c>
      <c r="P25" s="59">
        <f>(8*MATERIALES!$C$136)+(8*MATERIALES!$C$137)+(1*MATERIALES!$C$152)+(4*MATERIALES!$C$142)+(8*MATERIALES!$C$144)+((8*4)*MATERIALES!$C$145)+(('HERR CLASICA CORREDIZA'!O25*4)*MATERIALES!$C$140)+((('HERR CLASICA CORREDIZA'!N25*2)+('HERR CLASICA CORREDIZA'!O25*4))*MATERIALES!$C$141)+(4*MATERIALES!$C$148)+((('HERR CLASICA CORREDIZA'!N25*5)*2)*MATERIALES!$C$147)+(4*MATERIALES!$C$146)+(2*MATERIALES!$C$144)+(2*MATERIALES!$C$168)+(2*MATERIALES!$C$145)+(10*MATERIALES!$C$145)+(2*MATERIALES!$C$138)</f>
        <v>786.20880000000011</v>
      </c>
      <c r="Q25" s="75"/>
      <c r="R25" s="55">
        <f>(M25*N25)*MATERIALES!$D$82</f>
        <v>1144.8000000000002</v>
      </c>
      <c r="S25" s="59">
        <f t="shared" si="2"/>
        <v>7929.233760000001</v>
      </c>
      <c r="T25" s="67">
        <f t="shared" si="3"/>
        <v>11109.363888000002</v>
      </c>
    </row>
    <row r="26" spans="1:24" ht="15.75" hidden="1" thickBot="1">
      <c r="A26" s="42">
        <v>1.5</v>
      </c>
      <c r="B26" s="37">
        <v>0.4</v>
      </c>
      <c r="C26" s="38">
        <f>((((A26*2)+(B26*2))*MATERIALES!$C$5)+((A26*2)*MATERIALES!$C$6)+((B26*2)*MATERIALES!$C$7)+((B26*2)*MATERIALES!$C$8))*MATERIALES!$F$2</f>
        <v>2632.9867199999999</v>
      </c>
      <c r="D26" s="38">
        <f>(8*MATERIALES!$C$136)+(8*MATERIALES!$C$137)+(1*MATERIALES!$C$152)+(4*MATERIALES!$C$142)+(8*MATERIALES!$C$144)+((8*4)*MATERIALES!$C$145)+((B26*4)*MATERIALES!$C$140)+(((A26*2)+(B26*4))*MATERIALES!$C$141)+(2*MATERIALES!$C$138)+(4*MATERIALES!$C$148)+(((A26*5)*2)*MATERIALES!$C$147)+(4*MATERIALES!$C$146)</f>
        <v>722.81040000000007</v>
      </c>
      <c r="E26" s="75"/>
      <c r="F26" s="39">
        <f>(A26*B26)*MATERIALES!$D$82</f>
        <v>318.00000000000006</v>
      </c>
      <c r="G26" s="38">
        <f t="shared" si="0"/>
        <v>3673.7971200000002</v>
      </c>
      <c r="H26" s="49">
        <f t="shared" si="1"/>
        <v>4998.5362560000003</v>
      </c>
      <c r="M26" s="68">
        <v>1.5</v>
      </c>
      <c r="N26" s="69">
        <v>0.4</v>
      </c>
      <c r="O26" s="59">
        <f>((((M26*2)+(N26*2))*MATERIALES!$C$5)+((M26*2)*MATERIALES!$C$6)+((N26*2)*MATERIALES!$C$7)+((N26*2)*MATERIALES!$C$8)+((2*N26)*MATERIALES!$C$20)+(N26*MATERIALES!$C$21))*MATERIALES!$F$2</f>
        <v>2908.6948799999996</v>
      </c>
      <c r="P26" s="59">
        <f>(8*MATERIALES!$C$136)+(8*MATERIALES!$C$137)+(1*MATERIALES!$C$152)+(4*MATERIALES!$C$142)+(8*MATERIALES!$C$144)+((8*4)*MATERIALES!$C$145)+(('HERR CLASICA CORREDIZA'!O26*4)*MATERIALES!$C$140)+((('HERR CLASICA CORREDIZA'!N26*2)+('HERR CLASICA CORREDIZA'!O26*4))*MATERIALES!$C$141)+(4*MATERIALES!$C$148)+((('HERR CLASICA CORREDIZA'!N26*5)*2)*MATERIALES!$C$147)+(4*MATERIALES!$C$146)+(2*MATERIALES!$C$144)+(2*MATERIALES!$C$168)+(2*MATERIALES!$C$145)+(10*MATERIALES!$C$145)+(2*MATERIALES!$C$138)</f>
        <v>808.29840000000002</v>
      </c>
      <c r="Q26" s="75"/>
      <c r="R26" s="55">
        <f>(M26*N26)*MATERIALES!$D$82</f>
        <v>318.00000000000006</v>
      </c>
      <c r="S26" s="59">
        <f t="shared" si="2"/>
        <v>4034.9932799999997</v>
      </c>
      <c r="T26" s="67">
        <f t="shared" si="3"/>
        <v>5468.0912639999997</v>
      </c>
    </row>
    <row r="27" spans="1:24" ht="15.75" hidden="1" thickBot="1">
      <c r="A27" s="42">
        <v>1.5</v>
      </c>
      <c r="B27" s="37">
        <v>0.6</v>
      </c>
      <c r="C27" s="38">
        <f>((((A27*2)+(B27*2))*MATERIALES!$C$5)+((A27*2)*MATERIALES!$C$6)+((B27*2)*MATERIALES!$C$7)+((B27*2)*MATERIALES!$C$8))*MATERIALES!$F$2</f>
        <v>2991.2500800000003</v>
      </c>
      <c r="D27" s="38">
        <f>(8*MATERIALES!$C$136)+(8*MATERIALES!$C$137)+(1*MATERIALES!$C$152)+(4*MATERIALES!$C$142)+(8*MATERIALES!$C$144)+((8*4)*MATERIALES!$C$145)+((B27*4)*MATERIALES!$C$140)+(((A27*2)+(B27*4))*MATERIALES!$C$141)+(2*MATERIALES!$C$138)+(4*MATERIALES!$C$148)+(((A27*5)*2)*MATERIALES!$C$147)+(4*MATERIALES!$C$146)</f>
        <v>744.90000000000009</v>
      </c>
      <c r="E27" s="75"/>
      <c r="F27" s="39">
        <f>(A27*B27)*MATERIALES!$D$82</f>
        <v>476.99999999999994</v>
      </c>
      <c r="G27" s="38">
        <f t="shared" si="0"/>
        <v>4213.1500800000003</v>
      </c>
      <c r="H27" s="49">
        <f t="shared" si="1"/>
        <v>5810.9951040000005</v>
      </c>
      <c r="M27" s="68">
        <v>1.5</v>
      </c>
      <c r="N27" s="69">
        <v>0.6</v>
      </c>
      <c r="O27" s="59">
        <f>((((M27*2)+(N27*2))*MATERIALES!$C$5)+((M27*2)*MATERIALES!$C$6)+((N27*2)*MATERIALES!$C$7)+((N27*2)*MATERIALES!$C$8)+((2*N27)*MATERIALES!$C$20)+(N27*MATERIALES!$C$21))*MATERIALES!$F$2</f>
        <v>3404.8123200000005</v>
      </c>
      <c r="P27" s="59">
        <f>(8*MATERIALES!$C$136)+(8*MATERIALES!$C$137)+(1*MATERIALES!$C$152)+(4*MATERIALES!$C$142)+(8*MATERIALES!$C$144)+((8*4)*MATERIALES!$C$145)+(('HERR CLASICA CORREDIZA'!O27*4)*MATERIALES!$C$140)+((('HERR CLASICA CORREDIZA'!N27*2)+('HERR CLASICA CORREDIZA'!O27*4))*MATERIALES!$C$141)+(4*MATERIALES!$C$148)+((('HERR CLASICA CORREDIZA'!N27*5)*2)*MATERIALES!$C$147)+(4*MATERIALES!$C$146)+(2*MATERIALES!$C$144)+(2*MATERIALES!$C$168)+(2*MATERIALES!$C$145)+(10*MATERIALES!$C$145)+(2*MATERIALES!$C$138)</f>
        <v>830.38800000000003</v>
      </c>
      <c r="Q27" s="75"/>
      <c r="R27" s="55">
        <f>(M27*N27)*MATERIALES!$D$82</f>
        <v>476.99999999999994</v>
      </c>
      <c r="S27" s="59">
        <f t="shared" si="2"/>
        <v>4712.2003200000008</v>
      </c>
      <c r="T27" s="67">
        <f t="shared" si="3"/>
        <v>6459.760416000001</v>
      </c>
    </row>
    <row r="28" spans="1:24" ht="15.75" hidden="1" thickBot="1">
      <c r="A28" s="42">
        <v>1.5</v>
      </c>
      <c r="B28" s="37">
        <v>0.8</v>
      </c>
      <c r="C28" s="38">
        <f>((((A28*2)+(B28*2))*MATERIALES!$C$5)+((A28*2)*MATERIALES!$C$6)+((B28*2)*MATERIALES!$C$7)+((B28*2)*MATERIALES!$C$8))*MATERIALES!$F$2</f>
        <v>3349.5134400000006</v>
      </c>
      <c r="D28" s="38">
        <f>(8*MATERIALES!$C$136)+(8*MATERIALES!$C$137)+(1*MATERIALES!$C$152)+(4*MATERIALES!$C$142)+(8*MATERIALES!$C$144)+((8*4)*MATERIALES!$C$145)+((B28*4)*MATERIALES!$C$140)+(((A28*2)+(B28*4))*MATERIALES!$C$141)+(2*MATERIALES!$C$138)+(4*MATERIALES!$C$148)+(((A28*5)*2)*MATERIALES!$C$147)+(4*MATERIALES!$C$146)</f>
        <v>766.98960000000011</v>
      </c>
      <c r="E28" s="75"/>
      <c r="F28" s="39">
        <f>(A28*B28)*MATERIALES!$D$82</f>
        <v>636.00000000000011</v>
      </c>
      <c r="G28" s="38">
        <f t="shared" si="0"/>
        <v>4752.5030400000005</v>
      </c>
      <c r="H28" s="49">
        <f t="shared" si="1"/>
        <v>6623.4539520000008</v>
      </c>
      <c r="J28">
        <f>(2970.09+679.61)*1.07</f>
        <v>3905.1790000000005</v>
      </c>
      <c r="K28">
        <f>(H28/J28)</f>
        <v>1.6960692331900791</v>
      </c>
      <c r="M28" s="68">
        <v>1.5</v>
      </c>
      <c r="N28" s="69">
        <v>0.8</v>
      </c>
      <c r="O28" s="59">
        <f>((((M28*2)+(N28*2))*MATERIALES!$C$5)+((M28*2)*MATERIALES!$C$6)+((N28*2)*MATERIALES!$C$7)+((N28*2)*MATERIALES!$C$8)+((2*N28)*MATERIALES!$C$20)+(N28*MATERIALES!$C$21))*MATERIALES!$F$2</f>
        <v>3900.9297600000009</v>
      </c>
      <c r="P28" s="59">
        <f>(8*MATERIALES!$C$136)+(8*MATERIALES!$C$137)+(1*MATERIALES!$C$152)+(4*MATERIALES!$C$142)+(8*MATERIALES!$C$144)+((8*4)*MATERIALES!$C$145)+(('HERR CLASICA CORREDIZA'!O28*4)*MATERIALES!$C$140)+((('HERR CLASICA CORREDIZA'!N28*2)+('HERR CLASICA CORREDIZA'!O28*4))*MATERIALES!$C$141)+(4*MATERIALES!$C$148)+((('HERR CLASICA CORREDIZA'!N28*5)*2)*MATERIALES!$C$147)+(4*MATERIALES!$C$146)+(2*MATERIALES!$C$144)+(2*MATERIALES!$C$168)+(2*MATERIALES!$C$145)+(10*MATERIALES!$C$145)+(2*MATERIALES!$C$138)</f>
        <v>852.47760000000005</v>
      </c>
      <c r="Q28" s="75"/>
      <c r="R28" s="55">
        <f>(M28*N28)*MATERIALES!$D$82</f>
        <v>636.00000000000011</v>
      </c>
      <c r="S28" s="59">
        <f t="shared" si="2"/>
        <v>5389.4073600000011</v>
      </c>
      <c r="T28" s="67">
        <f t="shared" si="3"/>
        <v>7451.4295680000014</v>
      </c>
      <c r="V28">
        <f>(2970.09+679.61)*1.07</f>
        <v>3905.1790000000005</v>
      </c>
      <c r="X28">
        <f>(T28/V28)</f>
        <v>1.9080891216510178</v>
      </c>
    </row>
    <row r="29" spans="1:24" ht="15.75" hidden="1" thickBot="1">
      <c r="A29" s="42">
        <v>1.5</v>
      </c>
      <c r="B29" s="37">
        <v>1</v>
      </c>
      <c r="C29" s="38">
        <f>((((A29*2)+(B29*2))*MATERIALES!$C$5)+((A29*2)*MATERIALES!$C$6)+((B29*2)*MATERIALES!$C$7)+((B29*2)*MATERIALES!$C$8))*MATERIALES!$F$2</f>
        <v>3707.7768000000005</v>
      </c>
      <c r="D29" s="38">
        <f>(8*MATERIALES!$C$136)+(8*MATERIALES!$C$137)+(1*MATERIALES!$C$152)+(4*MATERIALES!$C$142)+(8*MATERIALES!$C$144)+((8*4)*MATERIALES!$C$145)+((B29*4)*MATERIALES!$C$140)+(((A29*2)+(B29*4))*MATERIALES!$C$141)+(2*MATERIALES!$C$138)+(4*MATERIALES!$C$148)+(((A29*5)*2)*MATERIALES!$C$147)+(4*MATERIALES!$C$146)</f>
        <v>789.07920000000001</v>
      </c>
      <c r="E29" s="75"/>
      <c r="F29" s="39">
        <f>(A29*B29)*MATERIALES!$D$82</f>
        <v>795</v>
      </c>
      <c r="G29" s="38">
        <f t="shared" si="0"/>
        <v>5291.8560000000007</v>
      </c>
      <c r="H29" s="49">
        <f t="shared" si="1"/>
        <v>7435.912800000001</v>
      </c>
      <c r="M29" s="68">
        <v>1.5</v>
      </c>
      <c r="N29" s="69">
        <v>1</v>
      </c>
      <c r="O29" s="59">
        <f>((((M29*2)+(N29*2))*MATERIALES!$C$5)+((M29*2)*MATERIALES!$C$6)+((N29*2)*MATERIALES!$C$7)+((N29*2)*MATERIALES!$C$8)+((2*N29)*MATERIALES!$C$20)+(N29*MATERIALES!$C$21))*MATERIALES!$F$2</f>
        <v>4397.0472000000009</v>
      </c>
      <c r="P29" s="59">
        <f>(8*MATERIALES!$C$136)+(8*MATERIALES!$C$137)+(1*MATERIALES!$C$152)+(4*MATERIALES!$C$142)+(8*MATERIALES!$C$144)+((8*4)*MATERIALES!$C$145)+(('HERR CLASICA CORREDIZA'!O29*4)*MATERIALES!$C$140)+((('HERR CLASICA CORREDIZA'!N29*2)+('HERR CLASICA CORREDIZA'!O29*4))*MATERIALES!$C$141)+(4*MATERIALES!$C$148)+((('HERR CLASICA CORREDIZA'!N29*5)*2)*MATERIALES!$C$147)+(4*MATERIALES!$C$146)+(2*MATERIALES!$C$144)+(2*MATERIALES!$C$168)+(2*MATERIALES!$C$145)+(10*MATERIALES!$C$145)+(2*MATERIALES!$C$138)</f>
        <v>863.52240000000018</v>
      </c>
      <c r="Q29" s="75"/>
      <c r="R29" s="55">
        <f>(M29*N29)*MATERIALES!$D$82</f>
        <v>795</v>
      </c>
      <c r="S29" s="59">
        <f t="shared" si="2"/>
        <v>6055.5696000000007</v>
      </c>
      <c r="T29" s="67">
        <f t="shared" si="3"/>
        <v>8428.7404800000004</v>
      </c>
    </row>
    <row r="30" spans="1:24" ht="15.75" hidden="1" thickBot="1">
      <c r="A30" s="42">
        <v>1.5</v>
      </c>
      <c r="B30" s="37">
        <v>1.1000000000000001</v>
      </c>
      <c r="C30" s="38">
        <f>((((A30*2)+(B30*2))*MATERIALES!$C$5)+((A30*2)*MATERIALES!$C$6)+((B30*2)*MATERIALES!$C$7)+((B30*2)*MATERIALES!$C$8))*MATERIALES!$F$2</f>
        <v>3886.9084800000001</v>
      </c>
      <c r="D30" s="38">
        <f>(8*MATERIALES!$C$136)+(8*MATERIALES!$C$137)+(1*MATERIALES!$C$152)+(4*MATERIALES!$C$142)+(8*MATERIALES!$C$144)+((8*4)*MATERIALES!$C$145)+((B30*4)*MATERIALES!$C$140)+(((A30*2)+(B30*4))*MATERIALES!$C$141)+(2*MATERIALES!$C$138)+(4*MATERIALES!$C$148)+(((A30*5)*2)*MATERIALES!$C$147)+(4*MATERIALES!$C$146)</f>
        <v>800.12400000000002</v>
      </c>
      <c r="E30" s="75"/>
      <c r="F30" s="39">
        <f>(A30*B30)*MATERIALES!$D$82</f>
        <v>874.50000000000011</v>
      </c>
      <c r="G30" s="38">
        <f t="shared" si="0"/>
        <v>5561.5324799999999</v>
      </c>
      <c r="H30" s="49">
        <f t="shared" si="1"/>
        <v>7842.1422240000002</v>
      </c>
      <c r="M30" s="68">
        <v>1.5</v>
      </c>
      <c r="N30" s="69">
        <v>1.1000000000000001</v>
      </c>
      <c r="O30" s="59">
        <f>((((M30*2)+(N30*2))*MATERIALES!$C$5)+((M30*2)*MATERIALES!$C$6)+((N30*2)*MATERIALES!$C$7)+((N30*2)*MATERIALES!$C$8)+((2*N30)*MATERIALES!$C$20)+(N30*MATERIALES!$C$21))*MATERIALES!$F$2</f>
        <v>4645.10592</v>
      </c>
      <c r="P30" s="59">
        <f>(8*MATERIALES!$C$136)+(8*MATERIALES!$C$137)+(1*MATERIALES!$C$152)+(4*MATERIALES!$C$142)+(8*MATERIALES!$C$144)+((8*4)*MATERIALES!$C$145)+(('HERR CLASICA CORREDIZA'!O30*4)*MATERIALES!$C$140)+((('HERR CLASICA CORREDIZA'!N30*2)+('HERR CLASICA CORREDIZA'!O30*4))*MATERIALES!$C$141)+(4*MATERIALES!$C$148)+((('HERR CLASICA CORREDIZA'!N30*5)*2)*MATERIALES!$C$147)+(4*MATERIALES!$C$146)+(2*MATERIALES!$C$144)+(2*MATERIALES!$C$168)+(2*MATERIALES!$C$145)+(10*MATERIALES!$C$145)+(2*MATERIALES!$C$138)</f>
        <v>874.56720000000007</v>
      </c>
      <c r="Q30" s="75"/>
      <c r="R30" s="55">
        <f>(M30*N30)*MATERIALES!$D$82</f>
        <v>874.50000000000011</v>
      </c>
      <c r="S30" s="59">
        <f t="shared" si="2"/>
        <v>6394.1731200000004</v>
      </c>
      <c r="T30" s="67">
        <f t="shared" si="3"/>
        <v>8924.5750560000015</v>
      </c>
    </row>
    <row r="31" spans="1:24" ht="15.75" hidden="1" thickBot="1">
      <c r="A31" s="42">
        <v>1.5</v>
      </c>
      <c r="B31" s="37">
        <v>1.2</v>
      </c>
      <c r="C31" s="38">
        <f>((((A31*2)+(B31*2))*MATERIALES!$C$5)+((A31*2)*MATERIALES!$C$6)+((B31*2)*MATERIALES!$C$7)+((B31*2)*MATERIALES!$C$8))*MATERIALES!$F$2</f>
        <v>4066.0401600000005</v>
      </c>
      <c r="D31" s="38">
        <f>(8*MATERIALES!$C$136)+(8*MATERIALES!$C$137)+(1*MATERIALES!$C$152)+(4*MATERIALES!$C$142)+(8*MATERIALES!$C$144)+((8*4)*MATERIALES!$C$145)+((B31*4)*MATERIALES!$C$140)+(((A31*2)+(B31*4))*MATERIALES!$C$141)+(2*MATERIALES!$C$138)+(4*MATERIALES!$C$148)+(((A31*5)*2)*MATERIALES!$C$147)+(4*MATERIALES!$C$146)</f>
        <v>811.16880000000015</v>
      </c>
      <c r="E31" s="75"/>
      <c r="F31" s="39">
        <f>(A31*B31)*MATERIALES!$D$82</f>
        <v>953.99999999999989</v>
      </c>
      <c r="G31" s="38">
        <f t="shared" si="0"/>
        <v>5831.2089600000008</v>
      </c>
      <c r="H31" s="49">
        <f t="shared" si="1"/>
        <v>8248.3716480000003</v>
      </c>
      <c r="M31" s="68">
        <v>1.5</v>
      </c>
      <c r="N31" s="69">
        <v>1.2</v>
      </c>
      <c r="O31" s="59">
        <f>((((M31*2)+(N31*2))*MATERIALES!$C$5)+((M31*2)*MATERIALES!$C$6)+((N31*2)*MATERIALES!$C$7)+((N31*2)*MATERIALES!$C$8)+((2*N31)*MATERIALES!$C$20)+(N31*MATERIALES!$C$21))*MATERIALES!$F$2</f>
        <v>4893.16464</v>
      </c>
      <c r="P31" s="59">
        <f>(8*MATERIALES!$C$136)+(8*MATERIALES!$C$137)+(1*MATERIALES!$C$152)+(4*MATERIALES!$C$142)+(8*MATERIALES!$C$144)+((8*4)*MATERIALES!$C$145)+(('HERR CLASICA CORREDIZA'!O31*4)*MATERIALES!$C$140)+((('HERR CLASICA CORREDIZA'!N31*2)+('HERR CLASICA CORREDIZA'!O31*4))*MATERIALES!$C$141)+(4*MATERIALES!$C$148)+((('HERR CLASICA CORREDIZA'!N31*5)*2)*MATERIALES!$C$147)+(4*MATERIALES!$C$146)+(2*MATERIALES!$C$144)+(2*MATERIALES!$C$168)+(2*MATERIALES!$C$145)+(10*MATERIALES!$C$145)+(2*MATERIALES!$C$138)</f>
        <v>907.70160000000021</v>
      </c>
      <c r="Q31" s="75"/>
      <c r="R31" s="55">
        <f>(M31*N31)*MATERIALES!$D$82</f>
        <v>953.99999999999989</v>
      </c>
      <c r="S31" s="59">
        <f t="shared" si="2"/>
        <v>6754.8662400000003</v>
      </c>
      <c r="T31" s="67">
        <f t="shared" si="3"/>
        <v>9449.1261119999999</v>
      </c>
    </row>
    <row r="32" spans="1:24" ht="15" hidden="1" customHeight="1" thickBot="1">
      <c r="A32" s="42">
        <v>1.5</v>
      </c>
      <c r="B32" s="37">
        <v>1.5</v>
      </c>
      <c r="C32" s="38">
        <f>((((A32*2)+(B32*2))*MATERIALES!$C$5)+((A32*2)*MATERIALES!$C$6)+((B32*2)*MATERIALES!$C$7)+((B32*2)*MATERIALES!$C$8))*MATERIALES!$F$2</f>
        <v>4603.4351999999999</v>
      </c>
      <c r="D32" s="38">
        <f>(8*MATERIALES!$C$136)+(8*MATERIALES!$C$137)+(1*MATERIALES!$C$152)+(4*MATERIALES!$C$142)+(8*MATERIALES!$C$144)+((8*4)*MATERIALES!$C$145)+((B32*4)*MATERIALES!$C$140)+(((A32*2)+(B32*4))*MATERIALES!$C$141)+(2*MATERIALES!$C$138)+(4*MATERIALES!$C$148)+(((A32*5)*2)*MATERIALES!$C$147)+(4*MATERIALES!$C$146)</f>
        <v>844.30320000000006</v>
      </c>
      <c r="E32" s="75"/>
      <c r="F32" s="39">
        <f>(A32*B32)*MATERIALES!$D$82</f>
        <v>1192.5</v>
      </c>
      <c r="G32" s="38">
        <f t="shared" si="0"/>
        <v>6640.2384000000002</v>
      </c>
      <c r="H32" s="49">
        <f t="shared" si="1"/>
        <v>9467.0599199999997</v>
      </c>
      <c r="I32" s="57"/>
      <c r="M32" s="68">
        <v>1.5</v>
      </c>
      <c r="N32" s="69">
        <v>1.5</v>
      </c>
      <c r="O32" s="59">
        <f>((((M32*2)+(N32*2))*MATERIALES!$C$5)+((M32*2)*MATERIALES!$C$6)+((N32*2)*MATERIALES!$C$7)+((N32*2)*MATERIALES!$C$8)+((2*N32)*MATERIALES!$C$20)+(N32*MATERIALES!$C$21))*MATERIALES!$F$2</f>
        <v>5637.3408000000009</v>
      </c>
      <c r="P32" s="59">
        <f>(8*MATERIALES!$C$136)+(8*MATERIALES!$C$137)+(1*MATERIALES!$C$152)+(4*MATERIALES!$C$142)+(8*MATERIALES!$C$144)+((8*4)*MATERIALES!$C$145)+(('HERR CLASICA CORREDIZA'!O32*4)*MATERIALES!$C$140)+((('HERR CLASICA CORREDIZA'!N32*2)+('HERR CLASICA CORREDIZA'!O32*4))*MATERIALES!$C$141)+(4*MATERIALES!$C$148)+((('HERR CLASICA CORREDIZA'!N32*5)*2)*MATERIALES!$C$147)+(4*MATERIALES!$C$146)+(2*MATERIALES!$C$144)+(2*MATERIALES!$C$168)+(2*MATERIALES!$C$145)+(10*MATERIALES!$C$145)+(2*MATERIALES!$C$138)</f>
        <v>940.83600000000013</v>
      </c>
      <c r="Q32" s="75"/>
      <c r="R32" s="55">
        <f>(M32*N32)*MATERIALES!$D$82</f>
        <v>1192.5</v>
      </c>
      <c r="S32" s="59">
        <f t="shared" si="2"/>
        <v>7770.6768000000011</v>
      </c>
      <c r="T32" s="67">
        <f t="shared" si="3"/>
        <v>10936.629840000001</v>
      </c>
      <c r="U32" s="57"/>
    </row>
    <row r="33" spans="1:21" ht="15.75" hidden="1" thickBot="1">
      <c r="A33" s="42">
        <v>1.5</v>
      </c>
      <c r="B33" s="37">
        <v>1.8</v>
      </c>
      <c r="C33" s="38">
        <f>((((A33*2)+(B33*2))*MATERIALES!$C$5)+((A33*2)*MATERIALES!$C$6)+((B33*2)*MATERIALES!$C$7)+((B33*2)*MATERIALES!$C$8))*MATERIALES!$F$2</f>
        <v>5140.8302400000002</v>
      </c>
      <c r="D33" s="38">
        <f>(8*MATERIALES!$C$136)+(8*MATERIALES!$C$137)+(1*MATERIALES!$C$152)+(4*MATERIALES!$C$142)+(8*MATERIALES!$C$144)+((8*4)*MATERIALES!$C$145)+((B33*4)*MATERIALES!$C$140)+(((A33*2)+(B33*4))*MATERIALES!$C$141)+(2*MATERIALES!$C$138)+(4*MATERIALES!$C$148)+(((A33*5)*2)*MATERIALES!$C$147)+(4*MATERIALES!$C$146)</f>
        <v>877.43759999999997</v>
      </c>
      <c r="E33" s="75"/>
      <c r="F33" s="39">
        <f>(A33*B33)*MATERIALES!$D$82</f>
        <v>1431</v>
      </c>
      <c r="G33" s="38">
        <f t="shared" si="0"/>
        <v>7449.2678400000004</v>
      </c>
      <c r="H33" s="49">
        <f t="shared" si="1"/>
        <v>10685.748192000001</v>
      </c>
      <c r="I33" s="57"/>
      <c r="M33" s="68">
        <v>1.5</v>
      </c>
      <c r="N33" s="69">
        <v>1.8</v>
      </c>
      <c r="O33" s="59">
        <f>((((M33*2)+(N33*2))*MATERIALES!$C$5)+((M33*2)*MATERIALES!$C$6)+((N33*2)*MATERIALES!$C$7)+((N33*2)*MATERIALES!$C$8)+((2*N33)*MATERIALES!$C$20)+(N33*MATERIALES!$C$21))*MATERIALES!$F$2</f>
        <v>6381.5169599999999</v>
      </c>
      <c r="P33" s="59">
        <f>(8*MATERIALES!$C$136)+(8*MATERIALES!$C$137)+(1*MATERIALES!$C$152)+(4*MATERIALES!$C$142)+(8*MATERIALES!$C$144)+((8*4)*MATERIALES!$C$145)+(('HERR CLASICA CORREDIZA'!O33*4)*MATERIALES!$C$140)+((('HERR CLASICA CORREDIZA'!N33*2)+('HERR CLASICA CORREDIZA'!O33*4))*MATERIALES!$C$141)+(4*MATERIALES!$C$148)+((('HERR CLASICA CORREDIZA'!N33*5)*2)*MATERIALES!$C$147)+(4*MATERIALES!$C$146)+(2*MATERIALES!$C$144)+(2*MATERIALES!$C$168)+(2*MATERIALES!$C$145)+(10*MATERIALES!$C$145)+(2*MATERIALES!$C$138)</f>
        <v>843.19248000000005</v>
      </c>
      <c r="Q33" s="75"/>
      <c r="R33" s="55">
        <f>(M33*N33)*MATERIALES!$D$82</f>
        <v>1431</v>
      </c>
      <c r="S33" s="59">
        <f t="shared" si="2"/>
        <v>8655.7094399999987</v>
      </c>
      <c r="T33" s="67">
        <f t="shared" si="3"/>
        <v>12254.122272000001</v>
      </c>
      <c r="U33" s="57"/>
    </row>
    <row r="34" spans="1:21" ht="15.75" hidden="1" thickBot="1">
      <c r="A34" s="42">
        <v>1.8</v>
      </c>
      <c r="B34" s="37">
        <v>0.8</v>
      </c>
      <c r="C34" s="38">
        <f>((((A34*2)+(B34*2))*MATERIALES!$C$5)+((A34*2)*MATERIALES!$C$6)+((B34*2)*MATERIALES!$C$7)+((B34*2)*MATERIALES!$C$8))*MATERIALES!$F$2</f>
        <v>3732.8054400000005</v>
      </c>
      <c r="D34" s="38">
        <f>(8*MATERIALES!$C$136)+(8*MATERIALES!$C$137)+(1*MATERIALES!$C$152)+(4*MATERIALES!$C$142)+(8*MATERIALES!$C$144)+((8*4)*MATERIALES!$C$145)+((B34*4)*MATERIALES!$C$140)+(((A34*2)+(B34*4))*MATERIALES!$C$141)+(2*MATERIALES!$C$138)+(4*MATERIALES!$C$148)+(((A34*5)*2)*MATERIALES!$C$147)+(4*MATERIALES!$C$146)</f>
        <v>779.79408000000012</v>
      </c>
      <c r="E34" s="75"/>
      <c r="F34" s="39">
        <f>(A34*B34)*MATERIALES!$D$82</f>
        <v>763.2</v>
      </c>
      <c r="G34" s="38">
        <f t="shared" si="0"/>
        <v>5275.7995200000005</v>
      </c>
      <c r="H34" s="49">
        <f t="shared" si="1"/>
        <v>7392.7793760000004</v>
      </c>
      <c r="I34" s="57"/>
      <c r="M34" s="68">
        <v>1.8</v>
      </c>
      <c r="N34" s="69">
        <v>0.8</v>
      </c>
      <c r="O34" s="59">
        <f>((((M34*2)+(N34*2))*MATERIALES!$C$5)+((M34*2)*MATERIALES!$C$6)+((N34*2)*MATERIALES!$C$7)+((N34*2)*MATERIALES!$C$8)+((2*N34)*MATERIALES!$C$20)+(N34*MATERIALES!$C$21))*MATERIALES!$F$2</f>
        <v>4284.2217600000013</v>
      </c>
      <c r="P34" s="59">
        <f>(8*MATERIALES!$C$136)+(8*MATERIALES!$C$137)+(1*MATERIALES!$C$152)+(4*MATERIALES!$C$142)+(8*MATERIALES!$C$144)+((8*4)*MATERIALES!$C$145)+(('HERR CLASICA CORREDIZA'!O34*4)*MATERIALES!$C$140)+((('HERR CLASICA CORREDIZA'!N34*2)+('HERR CLASICA CORREDIZA'!O34*4))*MATERIALES!$C$141)+(4*MATERIALES!$C$148)+((('HERR CLASICA CORREDIZA'!N34*5)*2)*MATERIALES!$C$147)+(4*MATERIALES!$C$146)+(2*MATERIALES!$C$144)+(2*MATERIALES!$C$168)+(2*MATERIALES!$C$145)+(10*MATERIALES!$C$145)+(2*MATERIALES!$C$138)</f>
        <v>865.28208000000006</v>
      </c>
      <c r="Q34" s="75"/>
      <c r="R34" s="55">
        <f>(M34*N34)*MATERIALES!$D$82</f>
        <v>763.2</v>
      </c>
      <c r="S34" s="59">
        <f t="shared" si="2"/>
        <v>5912.703840000001</v>
      </c>
      <c r="T34" s="67">
        <f t="shared" si="3"/>
        <v>8220.7549920000019</v>
      </c>
      <c r="U34" s="57"/>
    </row>
    <row r="35" spans="1:21" ht="15.75" hidden="1" thickBot="1">
      <c r="A35" s="42">
        <v>1.8</v>
      </c>
      <c r="B35" s="37">
        <v>1</v>
      </c>
      <c r="C35" s="38">
        <f>((((A35*2)+(B35*2))*MATERIALES!$C$5)+((A35*2)*MATERIALES!$C$6)+((B35*2)*MATERIALES!$C$7)+((B35*2)*MATERIALES!$C$8))*MATERIALES!$F$2</f>
        <v>4091.0688</v>
      </c>
      <c r="D35" s="38">
        <f>(8*MATERIALES!$C$136)+(8*MATERIALES!$C$137)+(1*MATERIALES!$C$152)+(4*MATERIALES!$C$142)+(8*MATERIALES!$C$144)+((8*4)*MATERIALES!$C$145)+((B35*4)*MATERIALES!$C$140)+(((A35*2)+(B35*4))*MATERIALES!$C$141)+(2*MATERIALES!$C$138)+(4*MATERIALES!$C$148)+(((A35*5)*2)*MATERIALES!$C$147)+(4*MATERIALES!$C$146)</f>
        <v>801.88367999999991</v>
      </c>
      <c r="E35" s="75"/>
      <c r="F35" s="39">
        <f>(A35*B35)*MATERIALES!$D$82</f>
        <v>954</v>
      </c>
      <c r="G35" s="38">
        <f t="shared" si="0"/>
        <v>5846.9524799999999</v>
      </c>
      <c r="H35" s="49">
        <f t="shared" si="1"/>
        <v>8268.8382239999992</v>
      </c>
      <c r="I35" s="57"/>
      <c r="M35" s="68">
        <v>1.8</v>
      </c>
      <c r="N35" s="69">
        <v>1</v>
      </c>
      <c r="O35" s="59">
        <f>((((M35*2)+(N35*2))*MATERIALES!$C$5)+((M35*2)*MATERIALES!$C$6)+((N35*2)*MATERIALES!$C$7)+((N35*2)*MATERIALES!$C$8)+((2*N35)*MATERIALES!$C$20)+(N35*MATERIALES!$C$21))*MATERIALES!$F$2</f>
        <v>4780.3392000000003</v>
      </c>
      <c r="P35" s="59">
        <f>(8*MATERIALES!$C$136)+(8*MATERIALES!$C$137)+(1*MATERIALES!$C$152)+(4*MATERIALES!$C$142)+(8*MATERIALES!$C$144)+((8*4)*MATERIALES!$C$145)+(('HERR CLASICA CORREDIZA'!O35*4)*MATERIALES!$C$140)+((('HERR CLASICA CORREDIZA'!N35*2)+('HERR CLASICA CORREDIZA'!O35*4))*MATERIALES!$C$141)+(4*MATERIALES!$C$148)+((('HERR CLASICA CORREDIZA'!N35*5)*2)*MATERIALES!$C$147)+(4*MATERIALES!$C$146)+(2*MATERIALES!$C$144)+(2*MATERIALES!$C$168)+(2*MATERIALES!$C$145)+(10*MATERIALES!$C$145)+(2*MATERIALES!$C$138)</f>
        <v>876.32688000000007</v>
      </c>
      <c r="Q35" s="75"/>
      <c r="R35" s="55">
        <f>(M35*N35)*MATERIALES!$D$82</f>
        <v>954</v>
      </c>
      <c r="S35" s="59">
        <f t="shared" si="2"/>
        <v>6610.6660800000009</v>
      </c>
      <c r="T35" s="67">
        <f t="shared" si="3"/>
        <v>9261.6659040000013</v>
      </c>
      <c r="U35" s="57"/>
    </row>
    <row r="36" spans="1:21" ht="15.75" hidden="1" thickBot="1">
      <c r="A36" s="42">
        <v>1.8</v>
      </c>
      <c r="B36" s="37">
        <v>1.1000000000000001</v>
      </c>
      <c r="C36" s="38">
        <f>((((A36*2)+(B36*2))*MATERIALES!$C$5)+((A36*2)*MATERIALES!$C$6)+((B36*2)*MATERIALES!$C$7)+((B36*2)*MATERIALES!$C$8))*MATERIALES!$F$2</f>
        <v>4270.2004800000004</v>
      </c>
      <c r="D36" s="38">
        <f>(8*MATERIALES!$C$136)+(8*MATERIALES!$C$137)+(1*MATERIALES!$C$152)+(4*MATERIALES!$C$142)+(8*MATERIALES!$C$144)+((8*4)*MATERIALES!$C$145)+((B36*4)*MATERIALES!$C$140)+(((A36*2)+(B36*4))*MATERIALES!$C$141)+(2*MATERIALES!$C$138)+(4*MATERIALES!$C$148)+(((A36*5)*2)*MATERIALES!$C$147)+(4*MATERIALES!$C$146)</f>
        <v>812.92848000000004</v>
      </c>
      <c r="E36" s="75"/>
      <c r="F36" s="39">
        <f>(A36*B36)*MATERIALES!$D$82</f>
        <v>1049.4000000000001</v>
      </c>
      <c r="G36" s="38">
        <f t="shared" si="0"/>
        <v>6132.5289599999996</v>
      </c>
      <c r="H36" s="49">
        <f t="shared" si="1"/>
        <v>8706.8676479999995</v>
      </c>
      <c r="I36" s="57"/>
      <c r="M36" s="68">
        <v>1.8</v>
      </c>
      <c r="N36" s="69">
        <v>1.1000000000000001</v>
      </c>
      <c r="O36" s="59">
        <f>((((M36*2)+(N36*2))*MATERIALES!$C$5)+((M36*2)*MATERIALES!$C$6)+((N36*2)*MATERIALES!$C$7)+((N36*2)*MATERIALES!$C$8)+((2*N36)*MATERIALES!$C$20)+(N36*MATERIALES!$C$21))*MATERIALES!$F$2</f>
        <v>5028.3979200000003</v>
      </c>
      <c r="P36" s="59">
        <f>(8*MATERIALES!$C$136)+(8*MATERIALES!$C$137)+(1*MATERIALES!$C$152)+(4*MATERIALES!$C$142)+(8*MATERIALES!$C$144)+((8*4)*MATERIALES!$C$145)+(('HERR CLASICA CORREDIZA'!O36*4)*MATERIALES!$C$140)+((('HERR CLASICA CORREDIZA'!N36*2)+('HERR CLASICA CORREDIZA'!O36*4))*MATERIALES!$C$141)+(4*MATERIALES!$C$148)+((('HERR CLASICA CORREDIZA'!N36*5)*2)*MATERIALES!$C$147)+(4*MATERIALES!$C$146)+(2*MATERIALES!$C$144)+(2*MATERIALES!$C$168)+(2*MATERIALES!$C$145)+(10*MATERIALES!$C$145)+(2*MATERIALES!$C$138)</f>
        <v>887.37168000000008</v>
      </c>
      <c r="Q36" s="75"/>
      <c r="R36" s="55">
        <f>(M36*N36)*MATERIALES!$D$82</f>
        <v>1049.4000000000001</v>
      </c>
      <c r="S36" s="59">
        <f t="shared" si="2"/>
        <v>6965.1696000000011</v>
      </c>
      <c r="T36" s="67">
        <f t="shared" si="3"/>
        <v>9789.3004800000017</v>
      </c>
      <c r="U36" s="57"/>
    </row>
    <row r="37" spans="1:21" ht="15.75" hidden="1" thickBot="1">
      <c r="A37" s="42">
        <v>1.8</v>
      </c>
      <c r="B37" s="37">
        <v>1.2</v>
      </c>
      <c r="C37" s="38">
        <f>((((A37*2)+(B37*2))*MATERIALES!$C$5)+((A37*2)*MATERIALES!$C$6)+((B37*2)*MATERIALES!$C$7)+((B37*2)*MATERIALES!$C$8))*MATERIALES!$F$2</f>
        <v>4449.3321599999999</v>
      </c>
      <c r="D37" s="38">
        <f>(8*MATERIALES!$C$136)+(8*MATERIALES!$C$137)+(1*MATERIALES!$C$152)+(4*MATERIALES!$C$142)+(8*MATERIALES!$C$144)+((8*4)*MATERIALES!$C$145)+((B37*4)*MATERIALES!$C$140)+(((A37*2)+(B37*4))*MATERIALES!$C$141)+(2*MATERIALES!$C$138)+(4*MATERIALES!$C$148)+(((A37*5)*2)*MATERIALES!$C$147)+(4*MATERIALES!$C$146)</f>
        <v>823.97328000000016</v>
      </c>
      <c r="E37" s="75"/>
      <c r="F37" s="39">
        <f>(A37*B37)*MATERIALES!$D$82</f>
        <v>1144.8000000000002</v>
      </c>
      <c r="G37" s="38">
        <f t="shared" si="0"/>
        <v>6418.1054400000003</v>
      </c>
      <c r="H37" s="49">
        <f t="shared" si="1"/>
        <v>9144.8970719999998</v>
      </c>
      <c r="I37" s="57"/>
      <c r="J37">
        <f>(4049.19+1295.42)*1.07</f>
        <v>5718.7327000000014</v>
      </c>
      <c r="K37">
        <f>(H37/J37)</f>
        <v>1.5991125222551488</v>
      </c>
      <c r="M37" s="68">
        <v>1.8</v>
      </c>
      <c r="N37" s="69">
        <v>1.2</v>
      </c>
      <c r="O37" s="59">
        <f>((((M37*2)+(N37*2))*MATERIALES!$C$5)+((M37*2)*MATERIALES!$C$6)+((N37*2)*MATERIALES!$C$7)+((N37*2)*MATERIALES!$C$8)+((2*N37)*MATERIALES!$C$20)+(N37*MATERIALES!$C$21))*MATERIALES!$F$2</f>
        <v>5276.4566399999994</v>
      </c>
      <c r="P37" s="59">
        <f>(8*MATERIALES!$C$136)+(8*MATERIALES!$C$137)+(1*MATERIALES!$C$152)+(4*MATERIALES!$C$142)+(8*MATERIALES!$C$144)+((8*4)*MATERIALES!$C$145)+(('HERR CLASICA CORREDIZA'!O37*4)*MATERIALES!$C$140)+((('HERR CLASICA CORREDIZA'!N37*2)+('HERR CLASICA CORREDIZA'!O37*4))*MATERIALES!$C$141)+(4*MATERIALES!$C$148)+((('HERR CLASICA CORREDIZA'!N37*5)*2)*MATERIALES!$C$147)+(4*MATERIALES!$C$146)+(2*MATERIALES!$C$144)+(2*MATERIALES!$C$168)+(2*MATERIALES!$C$145)+(10*MATERIALES!$C$145)+(2*MATERIALES!$C$138)</f>
        <v>920.50608</v>
      </c>
      <c r="Q37" s="75"/>
      <c r="R37" s="55">
        <f>(M37*N37)*MATERIALES!$D$82</f>
        <v>1144.8000000000002</v>
      </c>
      <c r="S37" s="59">
        <f t="shared" si="2"/>
        <v>7341.7627199999997</v>
      </c>
      <c r="T37" s="67">
        <f t="shared" si="3"/>
        <v>10345.651536000001</v>
      </c>
      <c r="U37" s="57"/>
    </row>
    <row r="38" spans="1:21" ht="15.75" hidden="1" thickBot="1">
      <c r="A38" s="42">
        <v>1.8</v>
      </c>
      <c r="B38" s="37">
        <v>1.5</v>
      </c>
      <c r="C38" s="38">
        <f>((((A38*2)+(B38*2))*MATERIALES!$C$5)+((A38*2)*MATERIALES!$C$6)+((B38*2)*MATERIALES!$C$7)+((B38*2)*MATERIALES!$C$8))*MATERIALES!$F$2</f>
        <v>4986.7272000000003</v>
      </c>
      <c r="D38" s="38">
        <f>(8*MATERIALES!$C$136)+(8*MATERIALES!$C$137)+(1*MATERIALES!$C$152)+(4*MATERIALES!$C$142)+(8*MATERIALES!$C$144)+((8*4)*MATERIALES!$C$145)+((B38*4)*MATERIALES!$C$140)+(((A38*2)+(B38*4))*MATERIALES!$C$141)+(2*MATERIALES!$C$138)+(4*MATERIALES!$C$148)+(((A38*5)*2)*MATERIALES!$C$147)+(4*MATERIALES!$C$146)</f>
        <v>857.10768000000007</v>
      </c>
      <c r="E38" s="75"/>
      <c r="F38" s="39">
        <f>(A38*B38)*MATERIALES!$D$82</f>
        <v>1431</v>
      </c>
      <c r="G38" s="38">
        <f t="shared" si="0"/>
        <v>7274.8348800000003</v>
      </c>
      <c r="H38" s="49">
        <f t="shared" si="1"/>
        <v>10458.985344000001</v>
      </c>
      <c r="I38" s="57"/>
      <c r="M38" s="68">
        <v>1.8</v>
      </c>
      <c r="N38" s="69">
        <v>1.5</v>
      </c>
      <c r="O38" s="59">
        <f>((((M38*2)+(N38*2))*MATERIALES!$C$5)+((M38*2)*MATERIALES!$C$6)+((N38*2)*MATERIALES!$C$7)+((N38*2)*MATERIALES!$C$8)+((2*N38)*MATERIALES!$C$20)+(N38*MATERIALES!$C$21))*MATERIALES!$F$2</f>
        <v>6020.6328000000003</v>
      </c>
      <c r="P38" s="59">
        <f>(8*MATERIALES!$C$136)+(8*MATERIALES!$C$137)+(1*MATERIALES!$C$152)+(4*MATERIALES!$C$142)+(8*MATERIALES!$C$144)+((8*4)*MATERIALES!$C$145)+(('HERR CLASICA CORREDIZA'!O38*4)*MATERIALES!$C$140)+((('HERR CLASICA CORREDIZA'!N38*2)+('HERR CLASICA CORREDIZA'!O38*4))*MATERIALES!$C$141)+(4*MATERIALES!$C$148)+((('HERR CLASICA CORREDIZA'!N38*5)*2)*MATERIALES!$C$147)+(4*MATERIALES!$C$146)+(2*MATERIALES!$C$144)+(2*MATERIALES!$C$168)+(2*MATERIALES!$C$145)+(10*MATERIALES!$C$145)+(2*MATERIALES!$C$138)</f>
        <v>953.64048000000014</v>
      </c>
      <c r="Q38" s="75"/>
      <c r="R38" s="55">
        <f>(M38*N38)*MATERIALES!$D$82</f>
        <v>1431</v>
      </c>
      <c r="S38" s="59">
        <f t="shared" si="2"/>
        <v>8405.2732800000013</v>
      </c>
      <c r="T38" s="67">
        <f t="shared" si="3"/>
        <v>11928.555264000001</v>
      </c>
      <c r="U38" s="57"/>
    </row>
    <row r="39" spans="1:21" ht="15.75" hidden="1" thickBot="1">
      <c r="A39" s="42">
        <v>1.8</v>
      </c>
      <c r="B39" s="37">
        <v>1.8</v>
      </c>
      <c r="C39" s="38">
        <f>((((A39*2)+(B39*2))*MATERIALES!$C$5)+((A39*2)*MATERIALES!$C$6)+((B39*2)*MATERIALES!$C$7)+((B39*2)*MATERIALES!$C$8))*MATERIALES!$F$2</f>
        <v>5524.1222400000006</v>
      </c>
      <c r="D39" s="38">
        <f>(8*MATERIALES!$C$136)+(8*MATERIALES!$C$137)+(1*MATERIALES!$C$152)+(4*MATERIALES!$C$142)+(8*MATERIALES!$C$144)+((8*4)*MATERIALES!$C$145)+((B39*4)*MATERIALES!$C$140)+(((A39*2)+(B39*4))*MATERIALES!$C$141)+(2*MATERIALES!$C$138)+(4*MATERIALES!$C$148)+(((A39*5)*2)*MATERIALES!$C$147)+(4*MATERIALES!$C$146)</f>
        <v>890.24207999999999</v>
      </c>
      <c r="E39" s="75"/>
      <c r="F39" s="39">
        <f>(A39*B39)*MATERIALES!$D$82</f>
        <v>1717.2</v>
      </c>
      <c r="G39" s="38">
        <f t="shared" si="0"/>
        <v>8131.5643200000004</v>
      </c>
      <c r="H39" s="49">
        <f t="shared" si="1"/>
        <v>11773.073616000001</v>
      </c>
      <c r="I39" s="57"/>
      <c r="M39" s="68">
        <v>1.8</v>
      </c>
      <c r="N39" s="69">
        <v>1.8</v>
      </c>
      <c r="O39" s="59">
        <f>((((M39*2)+(N39*2))*MATERIALES!$C$5)+((M39*2)*MATERIALES!$C$6)+((N39*2)*MATERIALES!$C$7)+((N39*2)*MATERIALES!$C$8)+((2*N39)*MATERIALES!$C$20)+(N39*MATERIALES!$C$21))*MATERIALES!$F$2</f>
        <v>6764.8089600000003</v>
      </c>
      <c r="P39" s="59">
        <f>(8*MATERIALES!$C$136)+(8*MATERIALES!$C$137)+(1*MATERIALES!$C$152)+(4*MATERIALES!$C$142)+(8*MATERIALES!$C$144)+((8*4)*MATERIALES!$C$145)+(('HERR CLASICA CORREDIZA'!O39*4)*MATERIALES!$C$140)+((('HERR CLASICA CORREDIZA'!N39*2)+('HERR CLASICA CORREDIZA'!O39*4))*MATERIALES!$C$141)+(4*MATERIALES!$C$148)+((('HERR CLASICA CORREDIZA'!N39*5)*2)*MATERIALES!$C$147)+(4*MATERIALES!$C$146)+(2*MATERIALES!$C$144)+(2*MATERIALES!$C$168)+(2*MATERIALES!$C$145)+(10*MATERIALES!$C$145)+(2*MATERIALES!$C$138)</f>
        <v>851.72879999999998</v>
      </c>
      <c r="Q39" s="75"/>
      <c r="R39" s="55">
        <f>(M39*N39)*MATERIALES!$D$82</f>
        <v>1717.2</v>
      </c>
      <c r="S39" s="59">
        <f t="shared" si="2"/>
        <v>9333.73776</v>
      </c>
      <c r="T39" s="67">
        <f t="shared" si="3"/>
        <v>13335.899088</v>
      </c>
      <c r="U39" s="57"/>
    </row>
    <row r="40" spans="1:21" ht="15.75" hidden="1" thickBot="1">
      <c r="A40" s="42">
        <v>2</v>
      </c>
      <c r="B40" s="37">
        <v>0.8</v>
      </c>
      <c r="C40" s="38">
        <f>((((A40*2)+(B40*2))*MATERIALES!$C$5)+((A40*2)*MATERIALES!$C$6)+((B40*2)*MATERIALES!$C$7)+((B40*2)*MATERIALES!$C$8))*MATERIALES!$F$2</f>
        <v>3988.3334399999999</v>
      </c>
      <c r="D40" s="38">
        <f>(8*MATERIALES!$C$136)+(8*MATERIALES!$C$137)+(1*MATERIALES!$C$152)+(4*MATERIALES!$C$142)+(8*MATERIALES!$C$144)+((8*4)*MATERIALES!$C$145)+((B40*4)*MATERIALES!$C$140)+(((A40*2)+(B40*4))*MATERIALES!$C$141)+(2*MATERIALES!$C$138)+(4*MATERIALES!$C$148)+(((A40*5)*2)*MATERIALES!$C$147)+(4*MATERIALES!$C$146)</f>
        <v>788.33040000000005</v>
      </c>
      <c r="E40" s="75"/>
      <c r="F40" s="39">
        <f>(A40*B40)*MATERIALES!$D$82</f>
        <v>848</v>
      </c>
      <c r="G40" s="38">
        <f t="shared" si="0"/>
        <v>5624.6638400000002</v>
      </c>
      <c r="H40" s="49">
        <f t="shared" si="1"/>
        <v>7905.6629920000005</v>
      </c>
      <c r="I40" s="57"/>
      <c r="M40" s="68">
        <v>2</v>
      </c>
      <c r="N40" s="69">
        <v>0.8</v>
      </c>
      <c r="O40" s="59">
        <f>((((M40*2)+(N40*2))*MATERIALES!$C$5)+((M40*2)*MATERIALES!$C$6)+((N40*2)*MATERIALES!$C$7)+((N40*2)*MATERIALES!$C$8)+((2*N40)*MATERIALES!$C$20)+(N40*MATERIALES!$C$21))*MATERIALES!$F$2</f>
        <v>4539.7497600000006</v>
      </c>
      <c r="P40" s="59">
        <f>(8*MATERIALES!$C$136)+(8*MATERIALES!$C$137)+(1*MATERIALES!$C$152)+(4*MATERIALES!$C$142)+(8*MATERIALES!$C$144)+((8*4)*MATERIALES!$C$145)+(('HERR CLASICA CORREDIZA'!O40*4)*MATERIALES!$C$140)+((('HERR CLASICA CORREDIZA'!N40*2)+('HERR CLASICA CORREDIZA'!O40*4))*MATERIALES!$C$141)+(4*MATERIALES!$C$148)+((('HERR CLASICA CORREDIZA'!N40*5)*2)*MATERIALES!$C$147)+(4*MATERIALES!$C$146)+(2*MATERIALES!$C$144)+(2*MATERIALES!$C$168)+(2*MATERIALES!$C$145)+(10*MATERIALES!$C$145)+(2*MATERIALES!$C$138)</f>
        <v>873.8184</v>
      </c>
      <c r="Q40" s="75"/>
      <c r="R40" s="55">
        <f>(M40*N40)*MATERIALES!$D$82</f>
        <v>848</v>
      </c>
      <c r="S40" s="59">
        <f t="shared" si="2"/>
        <v>6261.5681600000007</v>
      </c>
      <c r="T40" s="67">
        <f t="shared" si="3"/>
        <v>8733.6386080000011</v>
      </c>
      <c r="U40" s="57"/>
    </row>
    <row r="41" spans="1:21" ht="15.75" hidden="1" thickBot="1">
      <c r="A41" s="42">
        <v>2</v>
      </c>
      <c r="B41" s="37">
        <v>1</v>
      </c>
      <c r="C41" s="38">
        <f>((((A41*2)+(B41*2))*MATERIALES!$C$5)+((A41*2)*MATERIALES!$C$6)+((B41*2)*MATERIALES!$C$7)+((B41*2)*MATERIALES!$C$8))*MATERIALES!$F$2</f>
        <v>4346.5968000000003</v>
      </c>
      <c r="D41" s="38">
        <f>(8*MATERIALES!$C$136)+(8*MATERIALES!$C$137)+(1*MATERIALES!$C$152)+(4*MATERIALES!$C$142)+(8*MATERIALES!$C$144)+((8*4)*MATERIALES!$C$145)+((B41*4)*MATERIALES!$C$140)+(((A41*2)+(B41*4))*MATERIALES!$C$141)+(2*MATERIALES!$C$138)+(4*MATERIALES!$C$148)+(((A41*5)*2)*MATERIALES!$C$147)+(4*MATERIALES!$C$146)</f>
        <v>810.42000000000007</v>
      </c>
      <c r="E41" s="75"/>
      <c r="F41" s="39">
        <f>(A41*B41)*MATERIALES!$D$82</f>
        <v>1060</v>
      </c>
      <c r="G41" s="38">
        <f t="shared" si="0"/>
        <v>6217.0168000000003</v>
      </c>
      <c r="H41" s="49">
        <f t="shared" si="1"/>
        <v>8824.1218399999998</v>
      </c>
      <c r="I41" s="57"/>
      <c r="M41" s="68">
        <v>2</v>
      </c>
      <c r="N41" s="69">
        <v>1</v>
      </c>
      <c r="O41" s="59">
        <f>((((M41*2)+(N41*2))*MATERIALES!$C$5)+((M41*2)*MATERIALES!$C$6)+((N41*2)*MATERIALES!$C$7)+((N41*2)*MATERIALES!$C$8)+((2*N41)*MATERIALES!$C$20)+(N41*MATERIALES!$C$21))*MATERIALES!$F$2</f>
        <v>5035.8672000000006</v>
      </c>
      <c r="P41" s="59">
        <f>(8*MATERIALES!$C$136)+(8*MATERIALES!$C$137)+(1*MATERIALES!$C$152)+(4*MATERIALES!$C$142)+(8*MATERIALES!$C$144)+((8*4)*MATERIALES!$C$145)+(('HERR CLASICA CORREDIZA'!O41*4)*MATERIALES!$C$140)+((('HERR CLASICA CORREDIZA'!N41*2)+('HERR CLASICA CORREDIZA'!O41*4))*MATERIALES!$C$141)+(4*MATERIALES!$C$148)+((('HERR CLASICA CORREDIZA'!N41*5)*2)*MATERIALES!$C$147)+(4*MATERIALES!$C$146)+(2*MATERIALES!$C$144)+(2*MATERIALES!$C$168)+(2*MATERIALES!$C$145)+(10*MATERIALES!$C$145)+(2*MATERIALES!$C$138)</f>
        <v>884.86320000000012</v>
      </c>
      <c r="Q41" s="75"/>
      <c r="R41" s="55">
        <f>(M41*N41)*MATERIALES!$D$82</f>
        <v>1060</v>
      </c>
      <c r="S41" s="59">
        <f t="shared" si="2"/>
        <v>6980.7304000000004</v>
      </c>
      <c r="T41" s="67">
        <f t="shared" si="3"/>
        <v>9816.9495200000019</v>
      </c>
      <c r="U41" s="57"/>
    </row>
    <row r="42" spans="1:21" ht="15.75" hidden="1" thickBot="1">
      <c r="A42" s="42">
        <v>2</v>
      </c>
      <c r="B42" s="37">
        <v>1.1000000000000001</v>
      </c>
      <c r="C42" s="38">
        <f>((((A42*2)+(B42*2))*MATERIALES!$C$5)+((A42*2)*MATERIALES!$C$6)+((B42*2)*MATERIALES!$C$7)+((B42*2)*MATERIALES!$C$8))*MATERIALES!$F$2</f>
        <v>4525.7284800000007</v>
      </c>
      <c r="D42" s="38">
        <f>(8*MATERIALES!$C$136)+(8*MATERIALES!$C$137)+(1*MATERIALES!$C$152)+(4*MATERIALES!$C$142)+(8*MATERIALES!$C$144)+((8*4)*MATERIALES!$C$145)+((B42*4)*MATERIALES!$C$140)+(((A42*2)+(B42*4))*MATERIALES!$C$141)+(2*MATERIALES!$C$138)+(4*MATERIALES!$C$148)+(((A42*5)*2)*MATERIALES!$C$147)+(4*MATERIALES!$C$146)</f>
        <v>821.46479999999997</v>
      </c>
      <c r="E42" s="75"/>
      <c r="F42" s="39">
        <f>(A42*B42)*MATERIALES!$D$82</f>
        <v>1166</v>
      </c>
      <c r="G42" s="38">
        <f t="shared" si="0"/>
        <v>6513.1932800000004</v>
      </c>
      <c r="H42" s="49">
        <f t="shared" si="1"/>
        <v>9283.3512640000008</v>
      </c>
      <c r="I42" s="57"/>
      <c r="M42" s="68">
        <v>2</v>
      </c>
      <c r="N42" s="69">
        <v>1.1000000000000001</v>
      </c>
      <c r="O42" s="59">
        <f>((((M42*2)+(N42*2))*MATERIALES!$C$5)+((M42*2)*MATERIALES!$C$6)+((N42*2)*MATERIALES!$C$7)+((N42*2)*MATERIALES!$C$8)+((2*N42)*MATERIALES!$C$20)+(N42*MATERIALES!$C$21))*MATERIALES!$F$2</f>
        <v>5283.9259200000006</v>
      </c>
      <c r="P42" s="59">
        <f>(8*MATERIALES!$C$136)+(8*MATERIALES!$C$137)+(1*MATERIALES!$C$152)+(4*MATERIALES!$C$142)+(8*MATERIALES!$C$144)+((8*4)*MATERIALES!$C$145)+(('HERR CLASICA CORREDIZA'!O42*4)*MATERIALES!$C$140)+((('HERR CLASICA CORREDIZA'!N42*2)+('HERR CLASICA CORREDIZA'!O42*4))*MATERIALES!$C$141)+(4*MATERIALES!$C$148)+((('HERR CLASICA CORREDIZA'!N42*5)*2)*MATERIALES!$C$147)+(4*MATERIALES!$C$146)+(2*MATERIALES!$C$144)+(2*MATERIALES!$C$168)+(2*MATERIALES!$C$145)+(10*MATERIALES!$C$145)+(2*MATERIALES!$C$138)</f>
        <v>895.90800000000002</v>
      </c>
      <c r="Q42" s="75"/>
      <c r="R42" s="55">
        <f>(M42*N42)*MATERIALES!$D$82</f>
        <v>1166</v>
      </c>
      <c r="S42" s="59">
        <f t="shared" si="2"/>
        <v>7345.8339200000009</v>
      </c>
      <c r="T42" s="67">
        <f t="shared" si="3"/>
        <v>10365.784096000001</v>
      </c>
      <c r="U42" s="57"/>
    </row>
    <row r="43" spans="1:21" ht="15.75" hidden="1" thickBot="1">
      <c r="A43" s="42">
        <v>2</v>
      </c>
      <c r="B43" s="37">
        <v>1.2</v>
      </c>
      <c r="C43" s="38">
        <f>((((A43*2)+(B43*2))*MATERIALES!$C$5)+((A43*2)*MATERIALES!$C$6)+((B43*2)*MATERIALES!$C$7)+((B43*2)*MATERIALES!$C$8))*MATERIALES!$F$2</f>
        <v>4704.8601600000002</v>
      </c>
      <c r="D43" s="38">
        <f>(8*MATERIALES!$C$136)+(8*MATERIALES!$C$137)+(1*MATERIALES!$C$152)+(4*MATERIALES!$C$142)+(8*MATERIALES!$C$144)+((8*4)*MATERIALES!$C$145)+((B43*4)*MATERIALES!$C$140)+(((A43*2)+(B43*4))*MATERIALES!$C$141)+(2*MATERIALES!$C$138)+(4*MATERIALES!$C$148)+(((A43*5)*2)*MATERIALES!$C$147)+(4*MATERIALES!$C$146)</f>
        <v>832.50960000000009</v>
      </c>
      <c r="E43" s="75"/>
      <c r="F43" s="39">
        <f>(A43*B43)*MATERIALES!$D$82</f>
        <v>1272</v>
      </c>
      <c r="G43" s="38">
        <f t="shared" si="0"/>
        <v>6809.3697600000005</v>
      </c>
      <c r="H43" s="49">
        <f t="shared" si="1"/>
        <v>9742.5806880000018</v>
      </c>
      <c r="I43" s="57"/>
      <c r="M43" s="68">
        <v>2</v>
      </c>
      <c r="N43" s="69">
        <v>1.2</v>
      </c>
      <c r="O43" s="59">
        <f>((((M43*2)+(N43*2))*MATERIALES!$C$5)+((M43*2)*MATERIALES!$C$6)+((N43*2)*MATERIALES!$C$7)+((N43*2)*MATERIALES!$C$8)+((2*N43)*MATERIALES!$C$20)+(N43*MATERIALES!$C$21))*MATERIALES!$F$2</f>
        <v>5531.9846399999997</v>
      </c>
      <c r="P43" s="59">
        <f>(8*MATERIALES!$C$136)+(8*MATERIALES!$C$137)+(1*MATERIALES!$C$152)+(4*MATERIALES!$C$142)+(8*MATERIALES!$C$144)+((8*4)*MATERIALES!$C$145)+(('HERR CLASICA CORREDIZA'!O43*4)*MATERIALES!$C$140)+((('HERR CLASICA CORREDIZA'!N43*2)+('HERR CLASICA CORREDIZA'!O43*4))*MATERIALES!$C$141)+(4*MATERIALES!$C$148)+((('HERR CLASICA CORREDIZA'!N43*5)*2)*MATERIALES!$C$147)+(4*MATERIALES!$C$146)+(2*MATERIALES!$C$144)+(2*MATERIALES!$C$168)+(2*MATERIALES!$C$145)+(10*MATERIALES!$C$145)+(2*MATERIALES!$C$138)</f>
        <v>929.04240000000016</v>
      </c>
      <c r="Q43" s="75"/>
      <c r="R43" s="55">
        <f>(M43*N43)*MATERIALES!$D$82</f>
        <v>1272</v>
      </c>
      <c r="S43" s="59">
        <f t="shared" si="2"/>
        <v>7733.0270399999999</v>
      </c>
      <c r="T43" s="67">
        <f t="shared" si="3"/>
        <v>10943.335152</v>
      </c>
      <c r="U43" s="57"/>
    </row>
    <row r="44" spans="1:21" ht="15.75" hidden="1" thickBot="1">
      <c r="A44" s="42">
        <v>2</v>
      </c>
      <c r="B44" s="37">
        <v>1.5</v>
      </c>
      <c r="C44" s="38">
        <f>((((A44*2)+(B44*2))*MATERIALES!$C$5)+((A44*2)*MATERIALES!$C$6)+((B44*2)*MATERIALES!$C$7)+((B44*2)*MATERIALES!$C$8))*MATERIALES!$F$2</f>
        <v>5242.2551999999996</v>
      </c>
      <c r="D44" s="38">
        <f>(8*MATERIALES!$C$136)+(8*MATERIALES!$C$137)+(1*MATERIALES!$C$152)+(4*MATERIALES!$C$142)+(8*MATERIALES!$C$144)+((8*4)*MATERIALES!$C$145)+((B44*4)*MATERIALES!$C$140)+(((A44*2)+(B44*4))*MATERIALES!$C$141)+(2*MATERIALES!$C$138)+(4*MATERIALES!$C$148)+(((A44*5)*2)*MATERIALES!$C$147)+(4*MATERIALES!$C$146)</f>
        <v>865.64400000000001</v>
      </c>
      <c r="E44" s="75"/>
      <c r="F44" s="39">
        <f>(A44*B44)*MATERIALES!$D$82</f>
        <v>1590</v>
      </c>
      <c r="G44" s="38">
        <f t="shared" si="0"/>
        <v>7697.8991999999998</v>
      </c>
      <c r="H44" s="49">
        <f t="shared" si="1"/>
        <v>11120.268960000001</v>
      </c>
      <c r="I44" s="57"/>
      <c r="J44">
        <f>(4246.54+1453.06)*1.07</f>
        <v>6098.572000000001</v>
      </c>
      <c r="K44">
        <f>(H44/J44)</f>
        <v>1.8234217715229073</v>
      </c>
      <c r="M44" s="68">
        <v>2</v>
      </c>
      <c r="N44" s="69">
        <v>1.5</v>
      </c>
      <c r="O44" s="59">
        <f>((((M44*2)+(N44*2))*MATERIALES!$C$5)+((M44*2)*MATERIALES!$C$6)+((N44*2)*MATERIALES!$C$7)+((N44*2)*MATERIALES!$C$8)+((2*N44)*MATERIALES!$C$20)+(N44*MATERIALES!$C$21))*MATERIALES!$F$2</f>
        <v>6276.1608000000006</v>
      </c>
      <c r="P44" s="59">
        <f>(8*MATERIALES!$C$136)+(8*MATERIALES!$C$137)+(1*MATERIALES!$C$152)+(4*MATERIALES!$C$142)+(8*MATERIALES!$C$144)+((8*4)*MATERIALES!$C$145)+(('HERR CLASICA CORREDIZA'!O44*4)*MATERIALES!$C$140)+((('HERR CLASICA CORREDIZA'!N44*2)+('HERR CLASICA CORREDIZA'!O44*4))*MATERIALES!$C$141)+(4*MATERIALES!$C$148)+((('HERR CLASICA CORREDIZA'!N44*5)*2)*MATERIALES!$C$147)+(4*MATERIALES!$C$146)+(2*MATERIALES!$C$144)+(2*MATERIALES!$C$168)+(2*MATERIALES!$C$145)+(10*MATERIALES!$C$145)+(2*MATERIALES!$C$138)</f>
        <v>962.17680000000007</v>
      </c>
      <c r="Q44" s="75"/>
      <c r="R44" s="55">
        <f>(M44*N44)*MATERIALES!$D$82</f>
        <v>1590</v>
      </c>
      <c r="S44" s="59">
        <f t="shared" si="2"/>
        <v>8828.3376000000007</v>
      </c>
      <c r="T44" s="67">
        <f t="shared" si="3"/>
        <v>12589.838880000001</v>
      </c>
      <c r="U44" s="57"/>
    </row>
    <row r="45" spans="1:21" ht="15.75" hidden="1" thickBot="1">
      <c r="A45" s="42">
        <v>2</v>
      </c>
      <c r="B45" s="37">
        <v>1.8</v>
      </c>
      <c r="C45" s="38">
        <f>((((A45*2)+(B45*2))*MATERIALES!$C$5)+((A45*2)*MATERIALES!$C$6)+((B45*2)*MATERIALES!$C$7)+((B45*2)*MATERIALES!$C$8))*MATERIALES!$F$2</f>
        <v>5779.6502399999999</v>
      </c>
      <c r="D45" s="38">
        <f>(8*MATERIALES!$C$136)+(8*MATERIALES!$C$137)+(1*MATERIALES!$C$152)+(4*MATERIALES!$C$142)+(8*MATERIALES!$C$144)+((8*4)*MATERIALES!$C$145)+((B45*4)*MATERIALES!$C$140)+(((A45*2)+(B45*4))*MATERIALES!$C$141)+(2*MATERIALES!$C$138)+(4*MATERIALES!$C$148)+(((A45*5)*2)*MATERIALES!$C$147)+(4*MATERIALES!$C$146)</f>
        <v>898.77840000000015</v>
      </c>
      <c r="E45" s="75"/>
      <c r="F45" s="39">
        <f>(A45*B45)*MATERIALES!$D$82</f>
        <v>1908</v>
      </c>
      <c r="G45" s="38">
        <f t="shared" si="0"/>
        <v>8586.4286400000001</v>
      </c>
      <c r="H45" s="49">
        <f t="shared" si="1"/>
        <v>12497.957232000001</v>
      </c>
      <c r="I45" s="57"/>
      <c r="M45" s="68">
        <v>2</v>
      </c>
      <c r="N45" s="69">
        <v>1.8</v>
      </c>
      <c r="O45" s="59">
        <f>((((M45*2)+(N45*2))*MATERIALES!$C$5)+((M45*2)*MATERIALES!$C$6)+((N45*2)*MATERIALES!$C$7)+((N45*2)*MATERIALES!$C$8)+((2*N45)*MATERIALES!$C$20)+(N45*MATERIALES!$C$21))*MATERIALES!$F$2</f>
        <v>7020.3369600000005</v>
      </c>
      <c r="P45" s="59">
        <f>(8*MATERIALES!$C$136)+(8*MATERIALES!$C$137)+(1*MATERIALES!$C$152)+(4*MATERIALES!$C$142)+(8*MATERIALES!$C$144)+((8*4)*MATERIALES!$C$145)+(('HERR CLASICA CORREDIZA'!O45*4)*MATERIALES!$C$140)+((('HERR CLASICA CORREDIZA'!N45*2)+('HERR CLASICA CORREDIZA'!O45*4))*MATERIALES!$C$141)+(4*MATERIALES!$C$148)+((('HERR CLASICA CORREDIZA'!N45*5)*2)*MATERIALES!$C$147)+(4*MATERIALES!$C$146)+(2*MATERIALES!$C$144)+(2*MATERIALES!$C$168)+(2*MATERIALES!$C$145)+(10*MATERIALES!$C$145)+(2*MATERIALES!$C$138)</f>
        <v>962.17680000000007</v>
      </c>
      <c r="Q45" s="75"/>
      <c r="R45" s="55">
        <f>(M45*N45)*MATERIALES!$D$82</f>
        <v>1908</v>
      </c>
      <c r="S45" s="59">
        <f t="shared" si="2"/>
        <v>9890.5137600000016</v>
      </c>
      <c r="T45" s="67">
        <f t="shared" si="3"/>
        <v>14193.267888000002</v>
      </c>
      <c r="U45" s="57"/>
    </row>
    <row r="46" spans="1:21" ht="15.75" hidden="1" thickBot="1">
      <c r="A46" s="42">
        <v>0</v>
      </c>
      <c r="B46" s="37">
        <v>0</v>
      </c>
      <c r="C46" s="38">
        <f>((((A46*2)+(B46*2))*MATERIALES!$C$5)+((A46*2)*MATERIALES!$C$6)+((B46*2)*MATERIALES!$C$7)+((B46*2)*MATERIALES!$C$8))*MATERIALES!$F$2</f>
        <v>0</v>
      </c>
      <c r="D46" s="38">
        <f>(8*MATERIALES!$C$136)+(8*MATERIALES!$C$137)+(1*MATERIALES!$C$152)+(4*MATERIALES!$C$142)+(8*MATERIALES!$C$144)+((8*4)*MATERIALES!$C$145)+((B46*4)*MATERIALES!$C$140)+(((A46*2)+(B46*4))*MATERIALES!$C$141)+(2*MATERIALES!$C$138)+(4*MATERIALES!$C$148)+(((A46*5)*2)*MATERIALES!$C$147)+(4*MATERIALES!$C$146)</f>
        <v>614.60879999999997</v>
      </c>
      <c r="E46" s="75"/>
      <c r="F46" s="39">
        <f>(A46*B46)*MATERIALES!$D$82</f>
        <v>0</v>
      </c>
      <c r="G46" s="38">
        <f t="shared" si="0"/>
        <v>614.60879999999997</v>
      </c>
      <c r="H46" s="49">
        <f t="shared" si="1"/>
        <v>798.99144000000001</v>
      </c>
      <c r="I46" s="57"/>
      <c r="M46" s="68">
        <v>0</v>
      </c>
      <c r="N46" s="69">
        <v>0</v>
      </c>
      <c r="O46" s="59">
        <f>((((M46*2)+(N46*2))*MATERIALES!$C$5)+((M46*2)*MATERIALES!$C$6)+((N46*2)*MATERIALES!$C$7)+((N46*2)*MATERIALES!$C$8)+((2*N46)*MATERIALES!$C$20)+(N46*MATERIALES!$C$21))*MATERIALES!$F$2</f>
        <v>0</v>
      </c>
      <c r="P46" s="59">
        <f>(8*MATERIALES!$C$136)+(8*MATERIALES!$C$137)+(1*MATERIALES!$C$152)+(4*MATERIALES!$C$142)+(8*MATERIALES!$C$144)+((8*4)*MATERIALES!$C$145)+(('HERR CLASICA CORREDIZA'!O46*4)*MATERIALES!$C$140)+((('HERR CLASICA CORREDIZA'!N46*2)+('HERR CLASICA CORREDIZA'!O46*4))*MATERIALES!$C$141)+(4*MATERIALES!$C$148)+((('HERR CLASICA CORREDIZA'!N46*5)*2)*MATERIALES!$C$147)+(4*MATERIALES!$C$146)+(2*MATERIALES!$C$144)+(2*MATERIALES!$C$168)+(2*MATERIALES!$C$145)+(10*MATERIALES!$C$145)+(2*MATERIALES!$C$138)</f>
        <v>816.0859200000001</v>
      </c>
      <c r="Q46" s="75"/>
      <c r="R46" s="55">
        <f>(M46*N46)*MATERIALES!$D$82</f>
        <v>0</v>
      </c>
      <c r="S46" s="59">
        <f t="shared" si="2"/>
        <v>816.0859200000001</v>
      </c>
      <c r="T46" s="67">
        <f t="shared" si="3"/>
        <v>1060.9116960000001</v>
      </c>
      <c r="U46" s="57"/>
    </row>
    <row r="47" spans="1:21" ht="15.75" hidden="1" thickBot="1">
      <c r="A47" s="42">
        <v>0</v>
      </c>
      <c r="B47" s="37">
        <v>0</v>
      </c>
      <c r="C47" s="38">
        <f>((((A47*2)+(B47*2))*MATERIALES!$C$5)+((A47*2)*MATERIALES!$C$6)+((B47*2)*MATERIALES!$C$7)+((B47*2)*MATERIALES!$C$8))*MATERIALES!$F$2</f>
        <v>0</v>
      </c>
      <c r="D47" s="38">
        <f>(8*MATERIALES!$C$136)+(8*MATERIALES!$C$137)+(1*MATERIALES!$C$152)+(4*MATERIALES!$C$142)+(8*MATERIALES!$C$144)+((8*4)*MATERIALES!$C$145)+((B47*4)*MATERIALES!$C$140)+(((A47*2)+(B47*4))*MATERIALES!$C$141)+(2*MATERIALES!$C$138)+(4*MATERIALES!$C$148)+(((A47*5)*2)*MATERIALES!$C$147)+(4*MATERIALES!$C$146)</f>
        <v>614.60879999999997</v>
      </c>
      <c r="E47" s="75"/>
      <c r="F47" s="39">
        <f>(A47*B47)*MATERIALES!$D$82</f>
        <v>0</v>
      </c>
      <c r="G47" s="38">
        <f t="shared" si="0"/>
        <v>614.60879999999997</v>
      </c>
      <c r="H47" s="49">
        <f t="shared" si="1"/>
        <v>798.99144000000001</v>
      </c>
      <c r="I47" s="57"/>
      <c r="M47" s="68">
        <v>0</v>
      </c>
      <c r="N47" s="69">
        <v>0</v>
      </c>
      <c r="O47" s="59">
        <f>((((M47*2)+(N47*2))*MATERIALES!$C$5)+((M47*2)*MATERIALES!$C$6)+((N47*2)*MATERIALES!$C$7)+((N47*2)*MATERIALES!$C$8)+((2*N47)*MATERIALES!$C$20)+(N47*MATERIALES!$C$21))*MATERIALES!$F$2</f>
        <v>0</v>
      </c>
      <c r="P47" s="59">
        <f>(8*MATERIALES!$C$136)+(8*MATERIALES!$C$137)+(1*MATERIALES!$C$152)+(4*MATERIALES!$C$142)+(8*MATERIALES!$C$144)+((8*4)*MATERIALES!$C$145)+(('HERR CLASICA CORREDIZA'!O47*4)*MATERIALES!$C$140)+((('HERR CLASICA CORREDIZA'!N47*2)+('HERR CLASICA CORREDIZA'!O47*4))*MATERIALES!$C$141)+(4*MATERIALES!$C$148)+((('HERR CLASICA CORREDIZA'!N47*5)*2)*MATERIALES!$C$147)+(4*MATERIALES!$C$146)+(2*MATERIALES!$C$144)+(2*MATERIALES!$C$168)+(2*MATERIALES!$C$145)+(10*MATERIALES!$C$145)+(2*MATERIALES!$C$138)</f>
        <v>838.17552000000012</v>
      </c>
      <c r="Q47" s="75"/>
      <c r="R47" s="55">
        <f>(M47*N47)*MATERIALES!$D$82</f>
        <v>0</v>
      </c>
      <c r="S47" s="59">
        <f t="shared" si="2"/>
        <v>838.17552000000012</v>
      </c>
      <c r="T47" s="67">
        <f t="shared" si="3"/>
        <v>1089.6281760000002</v>
      </c>
      <c r="U47" s="57"/>
    </row>
    <row r="48" spans="1:21" ht="15.75" hidden="1" thickBot="1">
      <c r="A48" s="42">
        <v>0</v>
      </c>
      <c r="B48" s="37">
        <v>0</v>
      </c>
      <c r="C48" s="38">
        <f>((((A48*2)+(B48*2))*MATERIALES!$C$5)+((A48*2)*MATERIALES!$C$6)+((B48*2)*MATERIALES!$C$7)+((B48*2)*MATERIALES!$C$8))*MATERIALES!$F$2</f>
        <v>0</v>
      </c>
      <c r="D48" s="38">
        <f>(8*MATERIALES!$C$136)+(8*MATERIALES!$C$137)+(1*MATERIALES!$C$152)+(4*MATERIALES!$C$142)+(8*MATERIALES!$C$144)+((8*4)*MATERIALES!$C$145)+((B48*4)*MATERIALES!$C$140)+(((A48*2)+(B48*4))*MATERIALES!$C$141)+(2*MATERIALES!$C$138)+(4*MATERIALES!$C$148)+(((A48*5)*2)*MATERIALES!$C$147)+(4*MATERIALES!$C$146)</f>
        <v>614.60879999999997</v>
      </c>
      <c r="E48" s="75"/>
      <c r="F48" s="39">
        <f>(A48*B48)*MATERIALES!$D$82</f>
        <v>0</v>
      </c>
      <c r="G48" s="38">
        <f t="shared" si="0"/>
        <v>614.60879999999997</v>
      </c>
      <c r="H48" s="49">
        <f t="shared" si="1"/>
        <v>798.99144000000001</v>
      </c>
      <c r="I48" s="57"/>
      <c r="M48" s="68">
        <v>0</v>
      </c>
      <c r="N48" s="69">
        <v>0</v>
      </c>
      <c r="O48" s="59">
        <f>((((M48*2)+(N48*2))*MATERIALES!$C$5)+((M48*2)*MATERIALES!$C$6)+((N48*2)*MATERIALES!$C$7)+((N48*2)*MATERIALES!$C$8)+((2*N48)*MATERIALES!$C$20)+(N48*MATERIALES!$C$21))*MATERIALES!$F$2</f>
        <v>0</v>
      </c>
      <c r="P48" s="59">
        <f>(8*MATERIALES!$C$136)+(8*MATERIALES!$C$137)+(1*MATERIALES!$C$152)+(4*MATERIALES!$C$142)+(8*MATERIALES!$C$144)+((8*4)*MATERIALES!$C$145)+(('HERR CLASICA CORREDIZA'!O48*4)*MATERIALES!$C$140)+((('HERR CLASICA CORREDIZA'!N48*2)+('HERR CLASICA CORREDIZA'!O48*4))*MATERIALES!$C$141)+(4*MATERIALES!$C$148)+((('HERR CLASICA CORREDIZA'!N48*5)*2)*MATERIALES!$C$147)+(4*MATERIALES!$C$146)+(2*MATERIALES!$C$144)+(2*MATERIALES!$C$168)+(2*MATERIALES!$C$145)+(10*MATERIALES!$C$145)+(2*MATERIALES!$C$138)</f>
        <v>860.26512000000014</v>
      </c>
      <c r="Q48" s="75"/>
      <c r="R48" s="55">
        <f>(M48*N48)*MATERIALES!$D$82</f>
        <v>0</v>
      </c>
      <c r="S48" s="59">
        <f t="shared" si="2"/>
        <v>860.26512000000014</v>
      </c>
      <c r="T48" s="67">
        <f t="shared" si="3"/>
        <v>1118.3446560000002</v>
      </c>
      <c r="U48" s="57"/>
    </row>
    <row r="49" spans="1:21" ht="15.75" hidden="1" thickBot="1">
      <c r="A49" s="42">
        <v>0</v>
      </c>
      <c r="B49" s="37">
        <v>0</v>
      </c>
      <c r="C49" s="38">
        <f>((((A49*2)+(B49*2))*MATERIALES!$C$5)+((A49*2)*MATERIALES!$C$6)+((B49*2)*MATERIALES!$C$7)+((B49*2)*MATERIALES!$C$8))*MATERIALES!$F$2</f>
        <v>0</v>
      </c>
      <c r="D49" s="38">
        <f>(8*MATERIALES!$C$136)+(8*MATERIALES!$C$137)+(1*MATERIALES!$C$152)+(4*MATERIALES!$C$142)+(8*MATERIALES!$C$144)+((8*4)*MATERIALES!$C$145)+((B49*4)*MATERIALES!$C$140)+(((A49*2)+(B49*4))*MATERIALES!$C$141)+(2*MATERIALES!$C$138)+(4*MATERIALES!$C$148)+(((A49*5)*2)*MATERIALES!$C$147)+(4*MATERIALES!$C$146)</f>
        <v>614.60879999999997</v>
      </c>
      <c r="E49" s="75"/>
      <c r="F49" s="39">
        <f>(A49*B49)*MATERIALES!$D$82</f>
        <v>0</v>
      </c>
      <c r="G49" s="38">
        <f t="shared" si="0"/>
        <v>614.60879999999997</v>
      </c>
      <c r="H49" s="49">
        <f t="shared" si="1"/>
        <v>798.99144000000001</v>
      </c>
      <c r="I49" s="57"/>
      <c r="M49" s="68">
        <v>0</v>
      </c>
      <c r="N49" s="69">
        <v>0</v>
      </c>
      <c r="O49" s="59">
        <f>((((M49*2)+(N49*2))*MATERIALES!$C$5)+((M49*2)*MATERIALES!$C$6)+((N49*2)*MATERIALES!$C$7)+((N49*2)*MATERIALES!$C$8)+((2*N49)*MATERIALES!$C$20)+(N49*MATERIALES!$C$21))*MATERIALES!$F$2</f>
        <v>0</v>
      </c>
      <c r="P49" s="59">
        <f>(8*MATERIALES!$C$136)+(8*MATERIALES!$C$137)+(1*MATERIALES!$C$152)+(4*MATERIALES!$C$142)+(8*MATERIALES!$C$144)+((8*4)*MATERIALES!$C$145)+(('HERR CLASICA CORREDIZA'!O49*4)*MATERIALES!$C$140)+((('HERR CLASICA CORREDIZA'!N49*2)+('HERR CLASICA CORREDIZA'!O49*4))*MATERIALES!$C$141)+(4*MATERIALES!$C$148)+((('HERR CLASICA CORREDIZA'!N49*5)*2)*MATERIALES!$C$147)+(4*MATERIALES!$C$146)+(2*MATERIALES!$C$144)+(2*MATERIALES!$C$168)+(2*MATERIALES!$C$145)+(10*MATERIALES!$C$145)+(2*MATERIALES!$C$138)</f>
        <v>882.35472000000016</v>
      </c>
      <c r="Q49" s="75"/>
      <c r="R49" s="55">
        <f>(M49*N49)*MATERIALES!$D$82</f>
        <v>0</v>
      </c>
      <c r="S49" s="59">
        <f t="shared" si="2"/>
        <v>882.35472000000016</v>
      </c>
      <c r="T49" s="67">
        <f t="shared" si="3"/>
        <v>1147.0611360000003</v>
      </c>
      <c r="U49" s="57"/>
    </row>
    <row r="50" spans="1:21" ht="15.75" hidden="1" thickBot="1">
      <c r="A50" s="42">
        <v>2.2000000000000002</v>
      </c>
      <c r="B50" s="37">
        <v>1.2</v>
      </c>
      <c r="C50" s="38">
        <f>((((A50*2)+(B50*2))*MATERIALES!$C$5)+((A50*2)*MATERIALES!$C$6)+((B50*2)*MATERIALES!$C$7)+((B50*2)*MATERIALES!$C$8))*MATERIALES!$F$2</f>
        <v>4960.3881600000004</v>
      </c>
      <c r="D50" s="38">
        <f>(8*MATERIALES!$C$136)+(8*MATERIALES!$C$137)+(1*MATERIALES!$C$152)+(4*MATERIALES!$C$142)+(8*MATERIALES!$C$144)+((8*4)*MATERIALES!$C$145)+((B50*4)*MATERIALES!$C$140)+(((A50*2)+(B50*4))*MATERIALES!$C$141)+(2*MATERIALES!$C$138)+(4*MATERIALES!$C$148)+(((A50*5)*2)*MATERIALES!$C$147)+(4*MATERIALES!$C$146)</f>
        <v>841.04592000000002</v>
      </c>
      <c r="E50" s="75"/>
      <c r="F50" s="39">
        <f>(A50*B50)*MATERIALES!$D$82</f>
        <v>1399.2</v>
      </c>
      <c r="G50" s="38">
        <f t="shared" si="0"/>
        <v>7200.6340800000007</v>
      </c>
      <c r="H50" s="49">
        <f t="shared" si="1"/>
        <v>10340.264304000002</v>
      </c>
      <c r="I50" s="57"/>
      <c r="M50" s="68">
        <v>2.2000000000000002</v>
      </c>
      <c r="N50" s="69">
        <v>1.2</v>
      </c>
      <c r="O50" s="59">
        <f>((((M50*2)+(N50*2))*MATERIALES!$C$5)+((M50*2)*MATERIALES!$C$6)+((N50*2)*MATERIALES!$C$7)+((N50*2)*MATERIALES!$C$8)+((2*N50)*MATERIALES!$C$20)+(N50*MATERIALES!$C$21))*MATERIALES!$F$2</f>
        <v>5787.5126399999999</v>
      </c>
      <c r="P50" s="59">
        <f>(8*MATERIALES!$C$136)+(8*MATERIALES!$C$137)+(1*MATERIALES!$C$152)+(4*MATERIALES!$C$142)+(8*MATERIALES!$C$144)+((8*4)*MATERIALES!$C$145)+(('HERR CLASICA CORREDIZA'!O50*4)*MATERIALES!$C$140)+((('HERR CLASICA CORREDIZA'!N50*2)+('HERR CLASICA CORREDIZA'!O50*4))*MATERIALES!$C$141)+(4*MATERIALES!$C$148)+((('HERR CLASICA CORREDIZA'!N50*5)*2)*MATERIALES!$C$147)+(4*MATERIALES!$C$146)+(2*MATERIALES!$C$144)+(2*MATERIALES!$C$168)+(2*MATERIALES!$C$145)+(10*MATERIALES!$C$145)+(2*MATERIALES!$C$138)</f>
        <v>904.44432000000018</v>
      </c>
      <c r="Q50" s="75"/>
      <c r="R50" s="55">
        <f>(M50*N50)*MATERIALES!$D$82</f>
        <v>1399.2</v>
      </c>
      <c r="S50" s="59">
        <f t="shared" si="2"/>
        <v>8091.1569600000003</v>
      </c>
      <c r="T50" s="67">
        <f t="shared" si="3"/>
        <v>11497.944048000001</v>
      </c>
      <c r="U50" s="57"/>
    </row>
    <row r="51" spans="1:21" ht="15.75" hidden="1" thickBot="1">
      <c r="A51" s="42">
        <v>2.2000000000000002</v>
      </c>
      <c r="B51" s="37">
        <v>1.5</v>
      </c>
      <c r="C51" s="38">
        <f>((((A51*2)+(B51*2))*MATERIALES!$C$5)+((A51*2)*MATERIALES!$C$6)+((B51*2)*MATERIALES!$C$7)+((B51*2)*MATERIALES!$C$8))*MATERIALES!$F$2</f>
        <v>5497.7832000000008</v>
      </c>
      <c r="D51" s="38">
        <f>(8*MATERIALES!$C$136)+(8*MATERIALES!$C$137)+(1*MATERIALES!$C$152)+(4*MATERIALES!$C$142)+(8*MATERIALES!$C$144)+((8*4)*MATERIALES!$C$145)+((B51*4)*MATERIALES!$C$140)+(((A51*2)+(B51*4))*MATERIALES!$C$141)+(2*MATERIALES!$C$138)+(4*MATERIALES!$C$148)+(((A51*5)*2)*MATERIALES!$C$147)+(4*MATERIALES!$C$146)</f>
        <v>874.18032000000017</v>
      </c>
      <c r="E51" s="75"/>
      <c r="F51" s="39">
        <f>(A51*B51)*MATERIALES!$D$82</f>
        <v>1749.0000000000002</v>
      </c>
      <c r="G51" s="38">
        <f t="shared" si="0"/>
        <v>8120.9635200000012</v>
      </c>
      <c r="H51" s="49">
        <f t="shared" si="1"/>
        <v>11781.552576000002</v>
      </c>
      <c r="I51" s="57"/>
      <c r="M51" s="68">
        <v>2.2000000000000002</v>
      </c>
      <c r="N51" s="69">
        <v>1.5</v>
      </c>
      <c r="O51" s="59">
        <f>((((M51*2)+(N51*2))*MATERIALES!$C$5)+((M51*2)*MATERIALES!$C$6)+((N51*2)*MATERIALES!$C$7)+((N51*2)*MATERIALES!$C$8)+((2*N51)*MATERIALES!$C$20)+(N51*MATERIALES!$C$21))*MATERIALES!$F$2</f>
        <v>6531.6888000000008</v>
      </c>
      <c r="P51" s="59">
        <f>(8*MATERIALES!$C$136)+(8*MATERIALES!$C$137)+(1*MATERIALES!$C$152)+(4*MATERIALES!$C$142)+(8*MATERIALES!$C$144)+((8*4)*MATERIALES!$C$145)+(('HERR CLASICA CORREDIZA'!O51*4)*MATERIALES!$C$140)+((('HERR CLASICA CORREDIZA'!N51*2)+('HERR CLASICA CORREDIZA'!O51*4))*MATERIALES!$C$141)+(4*MATERIALES!$C$148)+((('HERR CLASICA CORREDIZA'!N51*5)*2)*MATERIALES!$C$147)+(4*MATERIALES!$C$146)+(2*MATERIALES!$C$144)+(2*MATERIALES!$C$168)+(2*MATERIALES!$C$145)+(10*MATERIALES!$C$145)+(2*MATERIALES!$C$138)</f>
        <v>937.57872000000009</v>
      </c>
      <c r="Q51" s="75"/>
      <c r="R51" s="55">
        <f>(M51*N51)*MATERIALES!$D$82</f>
        <v>1749.0000000000002</v>
      </c>
      <c r="S51" s="59">
        <f t="shared" si="2"/>
        <v>9218.2675200000012</v>
      </c>
      <c r="T51" s="67">
        <f t="shared" si="3"/>
        <v>13208.047776000001</v>
      </c>
      <c r="U51" s="57"/>
    </row>
    <row r="52" spans="1:21" ht="15.75" hidden="1" thickBot="1">
      <c r="A52" s="42">
        <v>2.2000000000000002</v>
      </c>
      <c r="B52" s="37">
        <v>1.8</v>
      </c>
      <c r="C52" s="38">
        <f>((((A52*2)+(B52*2))*MATERIALES!$C$5)+((A52*2)*MATERIALES!$C$6)+((B52*2)*MATERIALES!$C$7)+((B52*2)*MATERIALES!$C$8))*MATERIALES!$F$2</f>
        <v>6035.1782400000002</v>
      </c>
      <c r="D52" s="38">
        <f>(8*MATERIALES!$C$136)+(8*MATERIALES!$C$137)+(1*MATERIALES!$C$152)+(4*MATERIALES!$C$142)+(8*MATERIALES!$C$144)+((8*4)*MATERIALES!$C$145)+((B52*4)*MATERIALES!$C$140)+(((A52*2)+(B52*4))*MATERIALES!$C$141)+(2*MATERIALES!$C$138)+(4*MATERIALES!$C$148)+(((A52*5)*2)*MATERIALES!$C$147)+(4*MATERIALES!$C$146)</f>
        <v>907.31472000000008</v>
      </c>
      <c r="E52" s="75"/>
      <c r="F52" s="39">
        <f>(A52*B52)*MATERIALES!$D$82</f>
        <v>2098.8000000000002</v>
      </c>
      <c r="G52" s="38">
        <f t="shared" si="0"/>
        <v>9041.2929600000007</v>
      </c>
      <c r="H52" s="49">
        <f t="shared" si="1"/>
        <v>13222.840848000002</v>
      </c>
      <c r="I52" s="57"/>
      <c r="M52" s="68">
        <v>2.2000000000000002</v>
      </c>
      <c r="N52" s="69">
        <v>1.8</v>
      </c>
      <c r="O52" s="59">
        <f>((((M52*2)+(N52*2))*MATERIALES!$C$5)+((M52*2)*MATERIALES!$C$6)+((N52*2)*MATERIALES!$C$7)+((N52*2)*MATERIALES!$C$8)+((2*N52)*MATERIALES!$C$20)+(N52*MATERIALES!$C$21))*MATERIALES!$F$2</f>
        <v>7275.8649600000008</v>
      </c>
      <c r="P52" s="59">
        <f>(8*MATERIALES!$C$136)+(8*MATERIALES!$C$137)+(1*MATERIALES!$C$152)+(4*MATERIALES!$C$142)+(8*MATERIALES!$C$144)+((8*4)*MATERIALES!$C$145)+(('HERR CLASICA CORREDIZA'!O52*4)*MATERIALES!$C$140)+((('HERR CLASICA CORREDIZA'!N52*2)+('HERR CLASICA CORREDIZA'!O52*4))*MATERIALES!$C$141)+(4*MATERIALES!$C$148)+((('HERR CLASICA CORREDIZA'!N52*5)*2)*MATERIALES!$C$147)+(4*MATERIALES!$C$146)+(2*MATERIALES!$C$144)+(2*MATERIALES!$C$168)+(2*MATERIALES!$C$145)+(10*MATERIALES!$C$145)+(2*MATERIALES!$C$138)</f>
        <v>970.71312000000023</v>
      </c>
      <c r="Q52" s="75"/>
      <c r="R52" s="55">
        <f>(M52*N52)*MATERIALES!$D$82</f>
        <v>2098.8000000000002</v>
      </c>
      <c r="S52" s="59">
        <f t="shared" si="2"/>
        <v>10345.378080000002</v>
      </c>
      <c r="T52" s="67">
        <f t="shared" si="3"/>
        <v>14918.151504000003</v>
      </c>
      <c r="U52" s="57"/>
    </row>
    <row r="53" spans="1:21" ht="15.75" hidden="1" thickBot="1">
      <c r="A53" s="42">
        <v>2.4</v>
      </c>
      <c r="B53" s="37">
        <v>0.4</v>
      </c>
      <c r="C53" s="38">
        <f>((((A53*2)+(B53*2))*MATERIALES!$C$5)+((A53*2)*MATERIALES!$C$6)+((B53*2)*MATERIALES!$C$7)+((B53*2)*MATERIALES!$C$8))*MATERIALES!$F$2</f>
        <v>3782.8627199999996</v>
      </c>
      <c r="D53" s="38">
        <f>(8*MATERIALES!$C$136)+(8*MATERIALES!$C$137)+(1*MATERIALES!$C$152)+(4*MATERIALES!$C$142)+(8*MATERIALES!$C$144)+((8*4)*MATERIALES!$C$145)+((B53*4)*MATERIALES!$C$140)+(((A53*2)+(B53*4))*MATERIALES!$C$141)+(2*MATERIALES!$C$138)+(4*MATERIALES!$C$148)+(((A53*5)*2)*MATERIALES!$C$147)+(4*MATERIALES!$C$146)</f>
        <v>761.22384000000011</v>
      </c>
      <c r="E53" s="75"/>
      <c r="F53" s="39">
        <f>(A53*B53)*MATERIALES!$D$82</f>
        <v>508.79999999999995</v>
      </c>
      <c r="G53" s="38">
        <f t="shared" si="0"/>
        <v>5052.8865599999999</v>
      </c>
      <c r="H53" s="49">
        <f t="shared" si="1"/>
        <v>6924.9125279999989</v>
      </c>
      <c r="I53" s="57"/>
      <c r="M53" s="68">
        <v>2.4</v>
      </c>
      <c r="N53" s="69">
        <v>0.4</v>
      </c>
      <c r="O53" s="59">
        <f>((((M53*2)+(N53*2))*MATERIALES!$C$5)+((M53*2)*MATERIALES!$C$6)+((N53*2)*MATERIALES!$C$7)+((N53*2)*MATERIALES!$C$8)+((2*N53)*MATERIALES!$C$20)+(N53*MATERIALES!$C$21))*MATERIALES!$F$2</f>
        <v>4058.5708799999998</v>
      </c>
      <c r="P53" s="59">
        <f>(8*MATERIALES!$C$136)+(8*MATERIALES!$C$137)+(1*MATERIALES!$C$152)+(4*MATERIALES!$C$142)+(8*MATERIALES!$C$144)+((8*4)*MATERIALES!$C$145)+(('HERR CLASICA CORREDIZA'!O53*4)*MATERIALES!$C$140)+((('HERR CLASICA CORREDIZA'!N53*2)+('HERR CLASICA CORREDIZA'!O53*4))*MATERIALES!$C$141)+(4*MATERIALES!$C$148)+((('HERR CLASICA CORREDIZA'!N53*5)*2)*MATERIALES!$C$147)+(4*MATERIALES!$C$146)+(2*MATERIALES!$C$144)+(2*MATERIALES!$C$168)+(2*MATERIALES!$C$145)+(10*MATERIALES!$C$145)+(2*MATERIALES!$C$138)</f>
        <v>824.62224000000003</v>
      </c>
      <c r="Q53" s="75"/>
      <c r="R53" s="55">
        <f>(M53*N53)*MATERIALES!$D$82</f>
        <v>508.79999999999995</v>
      </c>
      <c r="S53" s="59">
        <f t="shared" si="2"/>
        <v>5391.9931200000001</v>
      </c>
      <c r="T53" s="67">
        <f t="shared" si="3"/>
        <v>7365.7510559999992</v>
      </c>
      <c r="U53" s="57"/>
    </row>
    <row r="54" spans="1:21" ht="15.75" hidden="1" thickBot="1">
      <c r="A54" s="42">
        <v>2.4</v>
      </c>
      <c r="B54" s="37">
        <v>0.6</v>
      </c>
      <c r="C54" s="38">
        <f>((((A54*2)+(B54*2))*MATERIALES!$C$5)+((A54*2)*MATERIALES!$C$6)+((B54*2)*MATERIALES!$C$7)+((B54*2)*MATERIALES!$C$8))*MATERIALES!$F$2</f>
        <v>4141.12608</v>
      </c>
      <c r="D54" s="38">
        <f>(8*MATERIALES!$C$136)+(8*MATERIALES!$C$137)+(1*MATERIALES!$C$152)+(4*MATERIALES!$C$142)+(8*MATERIALES!$C$144)+((8*4)*MATERIALES!$C$145)+((B54*4)*MATERIALES!$C$140)+(((A54*2)+(B54*4))*MATERIALES!$C$141)+(2*MATERIALES!$C$138)+(4*MATERIALES!$C$148)+(((A54*5)*2)*MATERIALES!$C$147)+(4*MATERIALES!$C$146)</f>
        <v>783.31344000000013</v>
      </c>
      <c r="E54" s="75"/>
      <c r="F54" s="39">
        <f>(A54*B54)*MATERIALES!$D$82</f>
        <v>763.19999999999993</v>
      </c>
      <c r="G54" s="38">
        <f t="shared" si="0"/>
        <v>5687.6395199999997</v>
      </c>
      <c r="H54" s="49">
        <f t="shared" si="1"/>
        <v>7928.1713759999993</v>
      </c>
      <c r="I54" s="57"/>
      <c r="M54" s="68">
        <v>2.4</v>
      </c>
      <c r="N54" s="69">
        <v>0.6</v>
      </c>
      <c r="O54" s="59">
        <f>((((M54*2)+(N54*2))*MATERIALES!$C$5)+((M54*2)*MATERIALES!$C$6)+((N54*2)*MATERIALES!$C$7)+((N54*2)*MATERIALES!$C$8)+((2*N54)*MATERIALES!$C$20)+(N54*MATERIALES!$C$21))*MATERIALES!$F$2</f>
        <v>4554.6883199999993</v>
      </c>
      <c r="P54" s="59">
        <f>(8*MATERIALES!$C$136)+(8*MATERIALES!$C$137)+(1*MATERIALES!$C$152)+(4*MATERIALES!$C$142)+(8*MATERIALES!$C$144)+((8*4)*MATERIALES!$C$145)+(('HERR CLASICA CORREDIZA'!O54*4)*MATERIALES!$C$140)+((('HERR CLASICA CORREDIZA'!N54*2)+('HERR CLASICA CORREDIZA'!O54*4))*MATERIALES!$C$141)+(4*MATERIALES!$C$148)+((('HERR CLASICA CORREDIZA'!N54*5)*2)*MATERIALES!$C$147)+(4*MATERIALES!$C$146)+(2*MATERIALES!$C$144)+(2*MATERIALES!$C$168)+(2*MATERIALES!$C$145)+(10*MATERIALES!$C$145)+(2*MATERIALES!$C$138)</f>
        <v>846.71184000000005</v>
      </c>
      <c r="Q54" s="75"/>
      <c r="R54" s="55">
        <f>(M54*N54)*MATERIALES!$D$82</f>
        <v>763.19999999999993</v>
      </c>
      <c r="S54" s="59">
        <f t="shared" si="2"/>
        <v>6164.6001599999991</v>
      </c>
      <c r="T54" s="67">
        <f t="shared" si="3"/>
        <v>8548.2202079999988</v>
      </c>
      <c r="U54" s="57"/>
    </row>
    <row r="55" spans="1:21" ht="15.75" hidden="1" thickBot="1">
      <c r="A55" s="42">
        <v>2.4</v>
      </c>
      <c r="B55" s="37">
        <v>0.8</v>
      </c>
      <c r="C55" s="38">
        <f>((((A55*2)+(B55*2))*MATERIALES!$C$5)+((A55*2)*MATERIALES!$C$6)+((B55*2)*MATERIALES!$C$7)+((B55*2)*MATERIALES!$C$8))*MATERIALES!$F$2</f>
        <v>4499.3894400000008</v>
      </c>
      <c r="D55" s="38">
        <f>(8*MATERIALES!$C$136)+(8*MATERIALES!$C$137)+(1*MATERIALES!$C$152)+(4*MATERIALES!$C$142)+(8*MATERIALES!$C$144)+((8*4)*MATERIALES!$C$145)+((B55*4)*MATERIALES!$C$140)+(((A55*2)+(B55*4))*MATERIALES!$C$141)+(2*MATERIALES!$C$138)+(4*MATERIALES!$C$148)+(((A55*5)*2)*MATERIALES!$C$147)+(4*MATERIALES!$C$146)</f>
        <v>805.40303999999992</v>
      </c>
      <c r="E55" s="75"/>
      <c r="F55" s="39">
        <f>(A55*B55)*MATERIALES!$D$82</f>
        <v>1017.5999999999999</v>
      </c>
      <c r="G55" s="38">
        <f t="shared" si="0"/>
        <v>6322.3924800000004</v>
      </c>
      <c r="H55" s="49">
        <f t="shared" si="1"/>
        <v>8931.4302240000015</v>
      </c>
      <c r="I55" s="57"/>
      <c r="M55" s="68">
        <v>2.4</v>
      </c>
      <c r="N55" s="69">
        <v>0.8</v>
      </c>
      <c r="O55" s="59">
        <f>((((M55*2)+(N55*2))*MATERIALES!$C$5)+((M55*2)*MATERIALES!$C$6)+((N55*2)*MATERIALES!$C$7)+((N55*2)*MATERIALES!$C$8)+((2*N55)*MATERIALES!$C$20)+(N55*MATERIALES!$C$21))*MATERIALES!$F$2</f>
        <v>5050.8057600000011</v>
      </c>
      <c r="P55" s="59">
        <f>(8*MATERIALES!$C$136)+(8*MATERIALES!$C$137)+(1*MATERIALES!$C$152)+(4*MATERIALES!$C$142)+(8*MATERIALES!$C$144)+((8*4)*MATERIALES!$C$145)+(('HERR CLASICA CORREDIZA'!O55*4)*MATERIALES!$C$140)+((('HERR CLASICA CORREDIZA'!N55*2)+('HERR CLASICA CORREDIZA'!O55*4))*MATERIALES!$C$141)+(4*MATERIALES!$C$148)+((('HERR CLASICA CORREDIZA'!N55*5)*2)*MATERIALES!$C$147)+(4*MATERIALES!$C$146)+(2*MATERIALES!$C$144)+(2*MATERIALES!$C$168)+(2*MATERIALES!$C$145)+(10*MATERIALES!$C$145)+(2*MATERIALES!$C$138)</f>
        <v>868.80144000000007</v>
      </c>
      <c r="Q55" s="75"/>
      <c r="R55" s="55">
        <f>(M55*N55)*MATERIALES!$D$82</f>
        <v>1017.5999999999999</v>
      </c>
      <c r="S55" s="59">
        <f t="shared" si="2"/>
        <v>6937.2072000000007</v>
      </c>
      <c r="T55" s="67">
        <f t="shared" si="3"/>
        <v>9730.6893600000021</v>
      </c>
      <c r="U55" s="57"/>
    </row>
    <row r="56" spans="1:21" ht="15.75" hidden="1" thickBot="1">
      <c r="A56" s="42">
        <v>2.4</v>
      </c>
      <c r="B56" s="37">
        <v>1</v>
      </c>
      <c r="C56" s="38">
        <f>((((A56*2)+(B56*2))*MATERIALES!$C$5)+((A56*2)*MATERIALES!$C$6)+((B56*2)*MATERIALES!$C$7)+((B56*2)*MATERIALES!$C$8))*MATERIALES!$F$2</f>
        <v>4857.6527999999998</v>
      </c>
      <c r="D56" s="38">
        <f>(8*MATERIALES!$C$136)+(8*MATERIALES!$C$137)+(1*MATERIALES!$C$152)+(4*MATERIALES!$C$142)+(8*MATERIALES!$C$144)+((8*4)*MATERIALES!$C$145)+((B56*4)*MATERIALES!$C$140)+(((A56*2)+(B56*4))*MATERIALES!$C$141)+(2*MATERIALES!$C$138)+(4*MATERIALES!$C$148)+(((A56*5)*2)*MATERIALES!$C$147)+(4*MATERIALES!$C$146)</f>
        <v>827.49263999999994</v>
      </c>
      <c r="E56" s="75"/>
      <c r="F56" s="39">
        <f>(A56*B56)*MATERIALES!$D$82</f>
        <v>1272</v>
      </c>
      <c r="G56" s="38">
        <f t="shared" si="0"/>
        <v>6957.1454400000002</v>
      </c>
      <c r="H56" s="49">
        <f t="shared" si="1"/>
        <v>9934.689072000001</v>
      </c>
      <c r="I56" s="57"/>
      <c r="M56" s="68">
        <v>2.4</v>
      </c>
      <c r="N56" s="69">
        <v>1</v>
      </c>
      <c r="O56" s="59">
        <f>((((M56*2)+(N56*2))*MATERIALES!$C$5)+((M56*2)*MATERIALES!$C$6)+((N56*2)*MATERIALES!$C$7)+((N56*2)*MATERIALES!$C$8)+((2*N56)*MATERIALES!$C$20)+(N56*MATERIALES!$C$21))*MATERIALES!$F$2</f>
        <v>5546.9232000000002</v>
      </c>
      <c r="P56" s="59">
        <f>(8*MATERIALES!$C$136)+(8*MATERIALES!$C$137)+(1*MATERIALES!$C$152)+(4*MATERIALES!$C$142)+(8*MATERIALES!$C$144)+((8*4)*MATERIALES!$C$145)+(('HERR CLASICA CORREDIZA'!O56*4)*MATERIALES!$C$140)+((('HERR CLASICA CORREDIZA'!N56*2)+('HERR CLASICA CORREDIZA'!O56*4))*MATERIALES!$C$141)+(4*MATERIALES!$C$148)+((('HERR CLASICA CORREDIZA'!N56*5)*2)*MATERIALES!$C$147)+(4*MATERIALES!$C$146)+(2*MATERIALES!$C$144)+(2*MATERIALES!$C$168)+(2*MATERIALES!$C$145)+(10*MATERIALES!$C$145)+(2*MATERIALES!$C$138)</f>
        <v>890.89104000000009</v>
      </c>
      <c r="Q56" s="75"/>
      <c r="R56" s="55">
        <f>(M56*N56)*MATERIALES!$D$82</f>
        <v>1272</v>
      </c>
      <c r="S56" s="59">
        <f t="shared" si="2"/>
        <v>7709.8142400000006</v>
      </c>
      <c r="T56" s="67">
        <f t="shared" si="3"/>
        <v>10913.158512000002</v>
      </c>
      <c r="U56" s="57"/>
    </row>
    <row r="57" spans="1:21" ht="15.75" hidden="1" thickBot="1">
      <c r="A57" s="42">
        <v>2.4</v>
      </c>
      <c r="B57" s="37">
        <v>1.2</v>
      </c>
      <c r="C57" s="38">
        <f>((((A57*2)+(B57*2))*MATERIALES!$C$5)+((A57*2)*MATERIALES!$C$6)+((B57*2)*MATERIALES!$C$7)+((B57*2)*MATERIALES!$C$8))*MATERIALES!$F$2</f>
        <v>5215.9161599999998</v>
      </c>
      <c r="D57" s="38">
        <f>(8*MATERIALES!$C$136)+(8*MATERIALES!$C$137)+(1*MATERIALES!$C$152)+(4*MATERIALES!$C$142)+(8*MATERIALES!$C$144)+((8*4)*MATERIALES!$C$145)+((B57*4)*MATERIALES!$C$140)+(((A57*2)+(B57*4))*MATERIALES!$C$141)+(2*MATERIALES!$C$138)+(4*MATERIALES!$C$148)+(((A57*5)*2)*MATERIALES!$C$147)+(4*MATERIALES!$C$146)</f>
        <v>849.58223999999996</v>
      </c>
      <c r="E57" s="75"/>
      <c r="F57" s="39">
        <f>(A57*B57)*MATERIALES!$D$82</f>
        <v>1526.3999999999999</v>
      </c>
      <c r="G57" s="38">
        <f t="shared" si="0"/>
        <v>7591.8983999999991</v>
      </c>
      <c r="H57" s="49">
        <f t="shared" si="1"/>
        <v>10937.947919999999</v>
      </c>
      <c r="I57" s="57"/>
      <c r="M57" s="68">
        <v>2.4</v>
      </c>
      <c r="N57" s="69">
        <v>1.2</v>
      </c>
      <c r="O57" s="59">
        <f>((((M57*2)+(N57*2))*MATERIALES!$C$5)+((M57*2)*MATERIALES!$C$6)+((N57*2)*MATERIALES!$C$7)+((N57*2)*MATERIALES!$C$8)+((2*N57)*MATERIALES!$C$20)+(N57*MATERIALES!$C$21))*MATERIALES!$F$2</f>
        <v>6043.0406399999993</v>
      </c>
      <c r="P57" s="59">
        <f>(8*MATERIALES!$C$136)+(8*MATERIALES!$C$137)+(1*MATERIALES!$C$152)+(4*MATERIALES!$C$142)+(8*MATERIALES!$C$144)+((8*4)*MATERIALES!$C$145)+(('HERR CLASICA CORREDIZA'!O57*4)*MATERIALES!$C$140)+((('HERR CLASICA CORREDIZA'!N57*2)+('HERR CLASICA CORREDIZA'!O57*4))*MATERIALES!$C$141)+(4*MATERIALES!$C$148)+((('HERR CLASICA CORREDIZA'!N57*5)*2)*MATERIALES!$C$147)+(4*MATERIALES!$C$146)+(2*MATERIALES!$C$144)+(2*MATERIALES!$C$168)+(2*MATERIALES!$C$145)+(10*MATERIALES!$C$145)+(2*MATERIALES!$C$138)</f>
        <v>912.98064000000011</v>
      </c>
      <c r="Q57" s="75"/>
      <c r="R57" s="55">
        <f>(M57*N57)*MATERIALES!$D$82</f>
        <v>1526.3999999999999</v>
      </c>
      <c r="S57" s="59">
        <f t="shared" si="2"/>
        <v>8482.4212799999987</v>
      </c>
      <c r="T57" s="67">
        <f t="shared" si="3"/>
        <v>12095.627663999998</v>
      </c>
      <c r="U57" s="57"/>
    </row>
    <row r="58" spans="1:21" ht="15.75" hidden="1" thickBot="1">
      <c r="A58" s="42">
        <v>2.4</v>
      </c>
      <c r="B58" s="37">
        <v>1.5</v>
      </c>
      <c r="C58" s="38">
        <f>((((A58*2)+(B58*2))*MATERIALES!$C$5)+((A58*2)*MATERIALES!$C$6)+((B58*2)*MATERIALES!$C$7)+((B58*2)*MATERIALES!$C$8))*MATERIALES!$F$2</f>
        <v>5753.3111999999992</v>
      </c>
      <c r="D58" s="38">
        <f>(8*MATERIALES!$C$136)+(8*MATERIALES!$C$137)+(1*MATERIALES!$C$152)+(4*MATERIALES!$C$142)+(8*MATERIALES!$C$144)+((8*4)*MATERIALES!$C$145)+((B58*4)*MATERIALES!$C$140)+(((A58*2)+(B58*4))*MATERIALES!$C$141)+(2*MATERIALES!$C$138)+(4*MATERIALES!$C$148)+(((A58*5)*2)*MATERIALES!$C$147)+(4*MATERIALES!$C$146)</f>
        <v>882.7166400000001</v>
      </c>
      <c r="E58" s="75"/>
      <c r="F58" s="39">
        <f>(A58*B58)*MATERIALES!$D$82</f>
        <v>1907.9999999999998</v>
      </c>
      <c r="G58" s="38">
        <f t="shared" si="0"/>
        <v>8544.0278399999988</v>
      </c>
      <c r="H58" s="49">
        <f t="shared" si="1"/>
        <v>12442.836191999999</v>
      </c>
      <c r="I58" s="57"/>
      <c r="M58" s="68">
        <v>2.4</v>
      </c>
      <c r="N58" s="69">
        <v>1.5</v>
      </c>
      <c r="O58" s="59">
        <f>((((M58*2)+(N58*2))*MATERIALES!$C$5)+((M58*2)*MATERIALES!$C$6)+((N58*2)*MATERIALES!$C$7)+((N58*2)*MATERIALES!$C$8)+((2*N58)*MATERIALES!$C$20)+(N58*MATERIALES!$C$21))*MATERIALES!$F$2</f>
        <v>6787.2168000000001</v>
      </c>
      <c r="P58" s="59">
        <f>(8*MATERIALES!$C$136)+(8*MATERIALES!$C$137)+(1*MATERIALES!$C$152)+(4*MATERIALES!$C$142)+(8*MATERIALES!$C$144)+((8*4)*MATERIALES!$C$145)+(('HERR CLASICA CORREDIZA'!O58*4)*MATERIALES!$C$140)+((('HERR CLASICA CORREDIZA'!N58*2)+('HERR CLASICA CORREDIZA'!O58*4))*MATERIALES!$C$141)+(4*MATERIALES!$C$148)+((('HERR CLASICA CORREDIZA'!N58*5)*2)*MATERIALES!$C$147)+(4*MATERIALES!$C$146)+(2*MATERIALES!$C$144)+(2*MATERIALES!$C$168)+(2*MATERIALES!$C$145)+(10*MATERIALES!$C$145)+(2*MATERIALES!$C$138)</f>
        <v>946.11504000000002</v>
      </c>
      <c r="Q58" s="75"/>
      <c r="R58" s="55">
        <f>(M58*N58)*MATERIALES!$D$82</f>
        <v>1907.9999999999998</v>
      </c>
      <c r="S58" s="59">
        <f t="shared" si="2"/>
        <v>9641.3318399999989</v>
      </c>
      <c r="T58" s="67">
        <f t="shared" si="3"/>
        <v>13869.331392</v>
      </c>
      <c r="U58" s="57"/>
    </row>
    <row r="59" spans="1:21" ht="15.75" hidden="1" thickBot="1">
      <c r="A59" s="44">
        <v>2.4</v>
      </c>
      <c r="B59" s="45">
        <v>1.8</v>
      </c>
      <c r="C59" s="50">
        <f>((((A59*2)+(B59*2))*MATERIALES!$C$5)+((A59*2)*MATERIALES!$C$6)+((B59*2)*MATERIALES!$C$7)+((B59*2)*MATERIALES!$C$8))*MATERIALES!$F$2</f>
        <v>6290.7062400000004</v>
      </c>
      <c r="D59" s="50">
        <f>(8*MATERIALES!$C$136)+(8*MATERIALES!$C$137)+(1*MATERIALES!$C$152)+(4*MATERIALES!$C$142)+(8*MATERIALES!$C$144)+((8*4)*MATERIALES!$C$145)+((B59*4)*MATERIALES!$C$140)+(((A59*2)+(B59*4))*MATERIALES!$C$141)+(2*MATERIALES!$C$138)+(4*MATERIALES!$C$148)+(((A59*5)*2)*MATERIALES!$C$147)+(4*MATERIALES!$C$146)</f>
        <v>915.85104000000001</v>
      </c>
      <c r="E59" s="76"/>
      <c r="F59" s="51">
        <f>(A59*B59)*MATERIALES!$D$82</f>
        <v>2289.6000000000004</v>
      </c>
      <c r="G59" s="50">
        <f t="shared" si="0"/>
        <v>9496.1572800000013</v>
      </c>
      <c r="H59" s="49">
        <f t="shared" si="1"/>
        <v>13947.724464000003</v>
      </c>
      <c r="I59" s="57"/>
      <c r="J59">
        <f>(5600.37+2224.33)*1.07</f>
        <v>8372.4290000000001</v>
      </c>
      <c r="K59">
        <f>(H59/J59)</f>
        <v>1.665911345918849</v>
      </c>
      <c r="M59" s="71">
        <v>2.4</v>
      </c>
      <c r="N59" s="72">
        <v>1.8</v>
      </c>
      <c r="O59" s="60">
        <f>((((M59*2)+(N59*2))*MATERIALES!$C$5)+((M59*2)*MATERIALES!$C$6)+((N59*2)*MATERIALES!$C$7)+((N59*2)*MATERIALES!$C$8)+((2*N59)*MATERIALES!$C$20)+(N59*MATERIALES!$C$21))*MATERIALES!$F$2</f>
        <v>7531.392960000001</v>
      </c>
      <c r="P59" s="60">
        <f>(8*MATERIALES!$C$136)+(8*MATERIALES!$C$137)+(1*MATERIALES!$C$152)+(4*MATERIALES!$C$142)+(8*MATERIALES!$C$144)+((8*4)*MATERIALES!$C$145)+(('HERR CLASICA CORREDIZA'!O59*4)*MATERIALES!$C$140)+((('HERR CLASICA CORREDIZA'!N59*2)+('HERR CLASICA CORREDIZA'!O59*4))*MATERIALES!$C$141)+(4*MATERIALES!$C$148)+((('HERR CLASICA CORREDIZA'!N59*5)*2)*MATERIALES!$C$147)+(4*MATERIALES!$C$146)+(2*MATERIALES!$C$144)+(2*MATERIALES!$C$168)+(2*MATERIALES!$C$145)+(10*MATERIALES!$C$145)+(2*MATERIALES!$C$138)</f>
        <v>979.24944000000016</v>
      </c>
      <c r="Q59" s="76"/>
      <c r="R59" s="56">
        <f>(M59*N59)*MATERIALES!$D$82</f>
        <v>2289.6000000000004</v>
      </c>
      <c r="S59" s="60">
        <f t="shared" si="2"/>
        <v>10800.242400000001</v>
      </c>
      <c r="T59" s="67">
        <f t="shared" si="3"/>
        <v>15643.035120000002</v>
      </c>
      <c r="U59" s="57"/>
    </row>
    <row r="60" spans="1:21" hidden="1"/>
    <row r="61" spans="1:21" hidden="1"/>
    <row r="62" spans="1:21" ht="15.75" hidden="1" thickBot="1">
      <c r="A62" s="64"/>
      <c r="M62" s="64"/>
    </row>
    <row r="63" spans="1:21" ht="15.75" hidden="1" thickBot="1">
      <c r="C63" s="801">
        <v>0.2</v>
      </c>
      <c r="D63" s="802"/>
      <c r="E63" s="803"/>
      <c r="F63" s="61">
        <v>1</v>
      </c>
      <c r="H63" s="62" t="s">
        <v>163</v>
      </c>
      <c r="O63" s="801">
        <v>0.2</v>
      </c>
      <c r="P63" s="802"/>
      <c r="Q63" s="803"/>
      <c r="R63" s="61">
        <v>1</v>
      </c>
      <c r="T63" s="62" t="s">
        <v>163</v>
      </c>
    </row>
    <row r="64" spans="1:21" ht="15.75" hidden="1" thickBot="1">
      <c r="A64" s="792" t="s">
        <v>168</v>
      </c>
      <c r="B64" s="793"/>
      <c r="C64" s="793"/>
      <c r="D64" s="793"/>
      <c r="E64" s="793"/>
      <c r="F64" s="793"/>
      <c r="G64" s="793"/>
      <c r="H64" s="794"/>
      <c r="M64" s="792" t="s">
        <v>234</v>
      </c>
      <c r="N64" s="793"/>
      <c r="O64" s="793"/>
      <c r="P64" s="793"/>
      <c r="Q64" s="793"/>
      <c r="R64" s="793"/>
      <c r="S64" s="793"/>
      <c r="T64" s="794"/>
    </row>
    <row r="65" spans="1:21" ht="15.75" hidden="1" thickBot="1">
      <c r="A65" s="36" t="s">
        <v>116</v>
      </c>
      <c r="B65" s="36" t="s">
        <v>117</v>
      </c>
      <c r="C65" s="36" t="s">
        <v>162</v>
      </c>
      <c r="D65" s="36" t="s">
        <v>119</v>
      </c>
      <c r="E65" s="36" t="s">
        <v>120</v>
      </c>
      <c r="F65" s="36" t="s">
        <v>118</v>
      </c>
      <c r="G65" s="36" t="s">
        <v>121</v>
      </c>
      <c r="H65" s="36" t="s">
        <v>122</v>
      </c>
      <c r="M65" s="36" t="s">
        <v>116</v>
      </c>
      <c r="N65" s="36" t="s">
        <v>117</v>
      </c>
      <c r="O65" s="36" t="s">
        <v>162</v>
      </c>
      <c r="P65" s="36" t="s">
        <v>119</v>
      </c>
      <c r="Q65" s="36" t="s">
        <v>120</v>
      </c>
      <c r="R65" s="36" t="s">
        <v>118</v>
      </c>
      <c r="S65" s="36" t="s">
        <v>121</v>
      </c>
      <c r="T65" s="36" t="s">
        <v>122</v>
      </c>
    </row>
    <row r="66" spans="1:21" ht="15.75" hidden="1" thickBot="1">
      <c r="A66" s="795"/>
      <c r="B66" s="796"/>
      <c r="C66" s="796"/>
      <c r="D66" s="796"/>
      <c r="E66" s="796"/>
      <c r="F66" s="796"/>
      <c r="G66" s="796"/>
      <c r="H66" s="797"/>
      <c r="M66" s="795"/>
      <c r="N66" s="796"/>
      <c r="O66" s="796"/>
      <c r="P66" s="796"/>
      <c r="Q66" s="796"/>
      <c r="R66" s="796"/>
      <c r="S66" s="796"/>
      <c r="T66" s="797"/>
    </row>
    <row r="67" spans="1:21" ht="15.75" hidden="1" thickBot="1">
      <c r="A67" s="65">
        <v>1.2</v>
      </c>
      <c r="B67" s="66">
        <v>2</v>
      </c>
      <c r="C67" s="58">
        <f>((((A67*2)+(B67*2))*MATERIALES!$C$5)+(A67*MATERIALES!$C$6)+(A67*MATERIALES!$C$9)+((B67*2)*MATERIALES!$C$7)+((B67*2)*MATERIALES!$C$8)+(A67*MATERIALES!$C$6))*MATERIALES!$F$2</f>
        <v>5752.6559999999999</v>
      </c>
      <c r="D67" s="58">
        <f>(8*MATERIALES!$C$136)+(12*MATERIALES!$C$137)+(1*MATERIALES!$C$152)+(4*MATERIALES!$C$143)+(12*MATERIALES!$C$144)+((8*4)*MATERIALES!$C$145)+(('HERR CLASICA CORREDIZA'!B67*4)*MATERIALES!$C$140)+((('HERR CLASICA CORREDIZA'!A67*4)+('HERR CLASICA CORREDIZA'!B67*4))*MATERIALES!$C$141)+(4*MATERIALES!$C$148)+((('HERR CLASICA CORREDIZA'!A67*5)*2)*MATERIALES!$C$147)+(4*MATERIALES!$C$146)+(2*MATERIALES!$C$138)</f>
        <v>1020.68304</v>
      </c>
      <c r="E67" s="74"/>
      <c r="F67" s="54">
        <f>(A67*B67)*MATERIALES!$D$82</f>
        <v>1272</v>
      </c>
      <c r="G67" s="58">
        <f>SUM(C67:F67)</f>
        <v>8045.3390399999998</v>
      </c>
      <c r="H67" s="67">
        <f>(SUM(C67:E67)*1.3)+(F67*2)</f>
        <v>11349.340752</v>
      </c>
      <c r="I67" s="53"/>
      <c r="J67">
        <f>(4776.46+1148.12)*1.07</f>
        <v>6339.3006000000005</v>
      </c>
      <c r="K67">
        <f>(H67/J67)</f>
        <v>1.7903143371999111</v>
      </c>
      <c r="M67" s="65">
        <v>1.2</v>
      </c>
      <c r="N67" s="66">
        <v>2</v>
      </c>
      <c r="O67" s="58">
        <f>((((M67*2)+(N67*2))*MATERIALES!$C$5)+(M67*MATERIALES!$C$6)+(M67*MATERIALES!$C$9)+((N67*2)*MATERIALES!$C$7)+((N67*2)*MATERIALES!$C$8)+(M67*MATERIALES!$C$6)+((2*N67)*MATERIALES!$C$20)+(N67*MATERIALES!$C$21))*MATERIALES!$F$2</f>
        <v>7131.1967999999997</v>
      </c>
      <c r="P67" s="58">
        <f>(8*MATERIALES!$C$136)+(12*MATERIALES!$C$137)+(1*MATERIALES!$C$152)+(4*MATERIALES!$C$143)+(12*MATERIALES!$C$144)+((8*4)*MATERIALES!$C$145)+(('HERR CLASICA CORREDIZA'!O67*4)*MATERIALES!$C$140)+((('HERR CLASICA CORREDIZA'!N67*4)+('HERR CLASICA CORREDIZA'!O67*4))*MATERIALES!$C$141)+(4*MATERIALES!$C$148)+((('HERR CLASICA CORREDIZA'!N67*5)*2)*MATERIALES!$C$147)+(4*MATERIALES!$C$146)+(2*MATERIALES!$C$144)+(2*MATERIALES!$C$168)+(2*MATERIALES!$C$145)+(10*MATERIALES!$C$145)+(2*MATERIALES!$C$138)</f>
        <v>1084.0814399999999</v>
      </c>
      <c r="Q67" s="74"/>
      <c r="R67" s="54">
        <f>(M67*N67)*MATERIALES!$D$82</f>
        <v>1272</v>
      </c>
      <c r="S67" s="58">
        <f>SUM(O67:R67)</f>
        <v>9487.2782399999996</v>
      </c>
      <c r="T67" s="67">
        <f>(SUM(O67:Q67)*1.3)+(R67*2)</f>
        <v>13223.861712</v>
      </c>
      <c r="U67" s="53"/>
    </row>
    <row r="68" spans="1:21" ht="15.75" hidden="1" thickBot="1">
      <c r="A68" s="68">
        <v>1.5</v>
      </c>
      <c r="B68" s="69">
        <v>2</v>
      </c>
      <c r="C68" s="59">
        <f>((((A68*2)+(B68*2))*MATERIALES!$C$5)+(A68*MATERIALES!$C$6)+(A68*MATERIALES!$C$9)+((B68*2)*MATERIALES!$C$7)+((B68*2)*MATERIALES!$C$8)+(A68*MATERIALES!$C$6))*MATERIALES!$F$2</f>
        <v>6295.1616000000004</v>
      </c>
      <c r="D68" s="59">
        <f>(8*MATERIALES!$C$136)+(12*MATERIALES!$C$137)+(1*MATERIALES!$C$152)+(4*MATERIALES!$C$143)+(12*MATERIALES!$C$144)+((8*4)*MATERIALES!$C$145)+(('HERR CLASICA CORREDIZA'!B68*4)*MATERIALES!$C$140)+((('HERR CLASICA CORREDIZA'!A68*4)+('HERR CLASICA CORREDIZA'!B68*4))*MATERIALES!$C$141)+(4*MATERIALES!$C$148)+((('HERR CLASICA CORREDIZA'!A68*5)*2)*MATERIALES!$C$147)+(4*MATERIALES!$C$146)+(2*MATERIALES!$C$138)</f>
        <v>1046.2919999999999</v>
      </c>
      <c r="E68" s="75"/>
      <c r="F68" s="55">
        <f>(A68*B68)*MATERIALES!$D$82</f>
        <v>1590</v>
      </c>
      <c r="G68" s="59">
        <f t="shared" ref="G68:G72" si="4">SUM(C68:F68)</f>
        <v>8931.4536000000007</v>
      </c>
      <c r="H68" s="67">
        <f t="shared" ref="H68:H72" si="5">(SUM(C68:E68)*1.3)+(F68*2)</f>
        <v>12723.889680000002</v>
      </c>
      <c r="M68" s="68">
        <v>1.5</v>
      </c>
      <c r="N68" s="69">
        <v>2</v>
      </c>
      <c r="O68" s="59">
        <f>((((M68*2)+(N68*2))*MATERIALES!$C$5)+(M68*MATERIALES!$C$6)+(M68*MATERIALES!$C$9)+((N68*2)*MATERIALES!$C$7)+((N68*2)*MATERIALES!$C$8)+(M68*MATERIALES!$C$6)+((2*N68)*MATERIALES!$C$20)+(N68*MATERIALES!$C$21))*MATERIALES!$F$2</f>
        <v>7673.7024000000001</v>
      </c>
      <c r="P68" s="59">
        <f>(8*MATERIALES!$C$136)+(12*MATERIALES!$C$137)+(1*MATERIALES!$C$152)+(4*MATERIALES!$C$143)+(12*MATERIALES!$C$144)+((8*4)*MATERIALES!$C$145)+(('HERR CLASICA CORREDIZA'!O68*4)*MATERIALES!$C$140)+((('HERR CLASICA CORREDIZA'!N68*4)+('HERR CLASICA CORREDIZA'!O68*4))*MATERIALES!$C$141)+(4*MATERIALES!$C$148)+((('HERR CLASICA CORREDIZA'!N68*5)*2)*MATERIALES!$C$147)+(4*MATERIALES!$C$146)+(2*MATERIALES!$C$144)+(2*MATERIALES!$C$168)+(2*MATERIALES!$C$145)+(10*MATERIALES!$C$145)+(2*MATERIALES!$C$138)</f>
        <v>1109.6904</v>
      </c>
      <c r="Q68" s="75"/>
      <c r="R68" s="55">
        <f>(M68*N68)*MATERIALES!$D$82</f>
        <v>1590</v>
      </c>
      <c r="S68" s="59">
        <f t="shared" ref="S68:S72" si="6">SUM(O68:R68)</f>
        <v>10373.3928</v>
      </c>
      <c r="T68" s="67">
        <f t="shared" ref="T68:T72" si="7">(SUM(O68:Q68)*1.3)+(R68*2)</f>
        <v>14598.41064</v>
      </c>
    </row>
    <row r="69" spans="1:21" ht="15.75" hidden="1" thickBot="1">
      <c r="A69" s="68">
        <v>1.8</v>
      </c>
      <c r="B69" s="69">
        <v>2</v>
      </c>
      <c r="C69" s="59">
        <f>((((A69*2)+(B69*2))*MATERIALES!$C$5)+(A69*MATERIALES!$C$6)+(A69*MATERIALES!$C$9)+((B69*2)*MATERIALES!$C$7)+((B69*2)*MATERIALES!$C$8)+(A69*MATERIALES!$C$6))*MATERIALES!$F$2</f>
        <v>6837.6672000000008</v>
      </c>
      <c r="D69" s="59">
        <f>(8*MATERIALES!$C$136)+(12*MATERIALES!$C$137)+(1*MATERIALES!$C$152)+(4*MATERIALES!$C$143)+(12*MATERIALES!$C$144)+((8*4)*MATERIALES!$C$145)+(('HERR CLASICA CORREDIZA'!B69*4)*MATERIALES!$C$140)+((('HERR CLASICA CORREDIZA'!A69*4)+('HERR CLASICA CORREDIZA'!B69*4))*MATERIALES!$C$141)+(4*MATERIALES!$C$148)+((('HERR CLASICA CORREDIZA'!A69*5)*2)*MATERIALES!$C$147)+(4*MATERIALES!$C$146)+(2*MATERIALES!$C$138)</f>
        <v>1071.9009599999999</v>
      </c>
      <c r="E69" s="75"/>
      <c r="F69" s="55">
        <f>(A69*B69)*MATERIALES!$D$82</f>
        <v>1908</v>
      </c>
      <c r="G69" s="59">
        <f t="shared" si="4"/>
        <v>9817.5681600000007</v>
      </c>
      <c r="H69" s="67">
        <f t="shared" si="5"/>
        <v>14098.438608</v>
      </c>
      <c r="J69">
        <f>(5419.13+1809.64)*1.07</f>
        <v>7734.7839000000013</v>
      </c>
      <c r="K69">
        <f>(H69/J69)</f>
        <v>1.8227320621071259</v>
      </c>
      <c r="M69" s="68">
        <v>1.8</v>
      </c>
      <c r="N69" s="69">
        <v>2</v>
      </c>
      <c r="O69" s="59">
        <f>((((M69*2)+(N69*2))*MATERIALES!$C$5)+(M69*MATERIALES!$C$6)+(M69*MATERIALES!$C$9)+((N69*2)*MATERIALES!$C$7)+((N69*2)*MATERIALES!$C$8)+(M69*MATERIALES!$C$6)+((2*N69)*MATERIALES!$C$20)+(N69*MATERIALES!$C$21))*MATERIALES!$F$2</f>
        <v>8216.2080000000005</v>
      </c>
      <c r="P69" s="59">
        <f>(8*MATERIALES!$C$136)+(12*MATERIALES!$C$137)+(1*MATERIALES!$C$152)+(4*MATERIALES!$C$143)+(12*MATERIALES!$C$144)+((8*4)*MATERIALES!$C$145)+(('HERR CLASICA CORREDIZA'!O69*4)*MATERIALES!$C$140)+((('HERR CLASICA CORREDIZA'!N69*4)+('HERR CLASICA CORREDIZA'!O69*4))*MATERIALES!$C$141)+(4*MATERIALES!$C$148)+((('HERR CLASICA CORREDIZA'!N69*5)*2)*MATERIALES!$C$147)+(4*MATERIALES!$C$146)+(2*MATERIALES!$C$144)+(2*MATERIALES!$C$168)+(2*MATERIALES!$C$145)+(10*MATERIALES!$C$145)+(2*MATERIALES!$C$138)</f>
        <v>1135.29936</v>
      </c>
      <c r="Q69" s="75"/>
      <c r="R69" s="55">
        <f>(M69*N69)*MATERIALES!$D$82</f>
        <v>1908</v>
      </c>
      <c r="S69" s="59">
        <f t="shared" si="6"/>
        <v>11259.50736</v>
      </c>
      <c r="T69" s="67">
        <f t="shared" si="7"/>
        <v>15972.959568</v>
      </c>
    </row>
    <row r="70" spans="1:21" ht="15.75" hidden="1" thickBot="1">
      <c r="A70" s="68">
        <v>2</v>
      </c>
      <c r="B70" s="69">
        <v>2</v>
      </c>
      <c r="C70" s="59">
        <f>((((A70*2)+(B70*2))*MATERIALES!$C$5)+(A70*MATERIALES!$C$6)+(A70*MATERIALES!$C$9)+((B70*2)*MATERIALES!$C$7)+((B70*2)*MATERIALES!$C$8)+(A70*MATERIALES!$C$6))*MATERIALES!$F$2</f>
        <v>7199.3376000000017</v>
      </c>
      <c r="D70" s="59">
        <f>(8*MATERIALES!$C$136)+(12*MATERIALES!$C$137)+(1*MATERIALES!$C$152)+(4*MATERIALES!$C$143)+(12*MATERIALES!$C$144)+((8*4)*MATERIALES!$C$145)+(('HERR CLASICA CORREDIZA'!B70*4)*MATERIALES!$C$140)+((('HERR CLASICA CORREDIZA'!A70*4)+('HERR CLASICA CORREDIZA'!B70*4))*MATERIALES!$C$141)+(4*MATERIALES!$C$148)+((('HERR CLASICA CORREDIZA'!A70*5)*2)*MATERIALES!$C$147)+(4*MATERIALES!$C$146)+(2*MATERIALES!$C$138)</f>
        <v>1088.9736</v>
      </c>
      <c r="E70" s="75"/>
      <c r="F70" s="55">
        <f>(A70*B70)*MATERIALES!$D$82</f>
        <v>2120</v>
      </c>
      <c r="G70" s="59">
        <f t="shared" si="4"/>
        <v>10408.311200000002</v>
      </c>
      <c r="H70" s="67">
        <f t="shared" si="5"/>
        <v>15014.804560000002</v>
      </c>
      <c r="M70" s="68">
        <v>2</v>
      </c>
      <c r="N70" s="69">
        <v>2</v>
      </c>
      <c r="O70" s="59">
        <f>((((M70*2)+(N70*2))*MATERIALES!$C$5)+(M70*MATERIALES!$C$6)+(M70*MATERIALES!$C$9)+((N70*2)*MATERIALES!$C$7)+((N70*2)*MATERIALES!$C$8)+(M70*MATERIALES!$C$6)+((2*N70)*MATERIALES!$C$20)+(N70*MATERIALES!$C$21))*MATERIALES!$F$2</f>
        <v>8577.8784000000014</v>
      </c>
      <c r="P70" s="59">
        <f>(8*MATERIALES!$C$136)+(12*MATERIALES!$C$137)+(1*MATERIALES!$C$152)+(4*MATERIALES!$C$143)+(12*MATERIALES!$C$144)+((8*4)*MATERIALES!$C$145)+(('HERR CLASICA CORREDIZA'!O70*4)*MATERIALES!$C$140)+((('HERR CLASICA CORREDIZA'!N70*4)+('HERR CLASICA CORREDIZA'!O70*4))*MATERIALES!$C$141)+(4*MATERIALES!$C$148)+((('HERR CLASICA CORREDIZA'!N70*5)*2)*MATERIALES!$C$147)+(4*MATERIALES!$C$146)+(2*MATERIALES!$C$144)+(2*MATERIALES!$C$168)+(2*MATERIALES!$C$145)+(10*MATERIALES!$C$145)+(2*MATERIALES!$C$138)</f>
        <v>1152.3720000000001</v>
      </c>
      <c r="Q70" s="75"/>
      <c r="R70" s="55">
        <f>(M70*N70)*MATERIALES!$D$82</f>
        <v>2120</v>
      </c>
      <c r="S70" s="59">
        <f t="shared" si="6"/>
        <v>11850.250400000001</v>
      </c>
      <c r="T70" s="67">
        <f t="shared" si="7"/>
        <v>16889.325520000002</v>
      </c>
    </row>
    <row r="71" spans="1:21" ht="15.75" hidden="1" thickBot="1">
      <c r="A71" s="68">
        <v>2.4</v>
      </c>
      <c r="B71" s="69">
        <v>2</v>
      </c>
      <c r="C71" s="59">
        <f>((((A71*2)+(B71*2))*MATERIALES!$C$5)+(A71*MATERIALES!$C$6)+(A71*MATERIALES!$C$9)+((B71*2)*MATERIALES!$C$7)+((B71*2)*MATERIALES!$C$8)+(A71*MATERIALES!$C$6))*MATERIALES!$F$2</f>
        <v>7922.6784000000025</v>
      </c>
      <c r="D71" s="59">
        <f>(8*MATERIALES!$C$136)+(12*MATERIALES!$C$137)+(1*MATERIALES!$C$152)+(4*MATERIALES!$C$143)+(12*MATERIALES!$C$144)+((8*4)*MATERIALES!$C$145)+(('HERR CLASICA CORREDIZA'!B71*4)*MATERIALES!$C$140)+((('HERR CLASICA CORREDIZA'!A71*4)+('HERR CLASICA CORREDIZA'!B71*4))*MATERIALES!$C$141)+(4*MATERIALES!$C$148)+((('HERR CLASICA CORREDIZA'!A71*5)*2)*MATERIALES!$C$147)+(4*MATERIALES!$C$146)+(2*MATERIALES!$C$138)</f>
        <v>1123.11888</v>
      </c>
      <c r="E71" s="75"/>
      <c r="F71" s="55">
        <f>(A71*B71)*MATERIALES!$D$82</f>
        <v>2544</v>
      </c>
      <c r="G71" s="59">
        <f t="shared" si="4"/>
        <v>11589.797280000003</v>
      </c>
      <c r="H71" s="67">
        <f t="shared" si="5"/>
        <v>16847.536464000004</v>
      </c>
      <c r="M71" s="68">
        <v>2.4</v>
      </c>
      <c r="N71" s="69">
        <v>2</v>
      </c>
      <c r="O71" s="59">
        <f>((((M71*2)+(N71*2))*MATERIALES!$C$5)+(M71*MATERIALES!$C$6)+(M71*MATERIALES!$C$9)+((N71*2)*MATERIALES!$C$7)+((N71*2)*MATERIALES!$C$8)+(M71*MATERIALES!$C$6)+((2*N71)*MATERIALES!$C$20)+(N71*MATERIALES!$C$21))*MATERIALES!$F$2</f>
        <v>9301.2192000000014</v>
      </c>
      <c r="P71" s="59">
        <f>(8*MATERIALES!$C$136)+(12*MATERIALES!$C$137)+(1*MATERIALES!$C$152)+(4*MATERIALES!$C$143)+(12*MATERIALES!$C$144)+((8*4)*MATERIALES!$C$145)+(('HERR CLASICA CORREDIZA'!O71*4)*MATERIALES!$C$140)+((('HERR CLASICA CORREDIZA'!N71*4)+('HERR CLASICA CORREDIZA'!O71*4))*MATERIALES!$C$141)+(4*MATERIALES!$C$148)+((('HERR CLASICA CORREDIZA'!N71*5)*2)*MATERIALES!$C$147)+(4*MATERIALES!$C$146)+(2*MATERIALES!$C$144)+(2*MATERIALES!$C$168)+(2*MATERIALES!$C$145)+(10*MATERIALES!$C$145)+(2*MATERIALES!$C$138)</f>
        <v>1186.51728</v>
      </c>
      <c r="Q71" s="75"/>
      <c r="R71" s="55">
        <f>(M71*N71)*MATERIALES!$D$82</f>
        <v>2544</v>
      </c>
      <c r="S71" s="59">
        <f t="shared" si="6"/>
        <v>13031.736480000001</v>
      </c>
      <c r="T71" s="67">
        <f t="shared" si="7"/>
        <v>18722.057424000002</v>
      </c>
    </row>
    <row r="72" spans="1:21" ht="15.75" hidden="1" thickBot="1">
      <c r="A72" s="71">
        <v>2.4</v>
      </c>
      <c r="B72" s="72">
        <v>2</v>
      </c>
      <c r="C72" s="60">
        <f>((((A72*2)+(B72*2))*MATERIALES!$C$5)+(A72*MATERIALES!$C$6)+(A72*MATERIALES!$C$9)+((B72*2)*MATERIALES!$C$7)+((B72*2)*MATERIALES!$C$8)+(A72*MATERIALES!$C$6))*MATERIALES!$F$2</f>
        <v>7922.6784000000025</v>
      </c>
      <c r="D72" s="60">
        <f>(8*MATERIALES!$C$136)+(12*MATERIALES!$C$137)+(1*MATERIALES!$C$152)+(4*MATERIALES!$C$143)+(12*MATERIALES!$C$144)+((8*4)*MATERIALES!$C$145)+(('HERR CLASICA CORREDIZA'!B72*4)*MATERIALES!$C$140)+((('HERR CLASICA CORREDIZA'!A72*4)+('HERR CLASICA CORREDIZA'!B72*4))*MATERIALES!$C$141)+(4*MATERIALES!$C$148)+((('HERR CLASICA CORREDIZA'!A72*5)*2)*MATERIALES!$C$147)+(4*MATERIALES!$C$146)+(2*MATERIALES!$C$138)</f>
        <v>1123.11888</v>
      </c>
      <c r="E72" s="76"/>
      <c r="F72" s="56">
        <f>(A72*B72)*MATERIALES!$D$82</f>
        <v>2544</v>
      </c>
      <c r="G72" s="60">
        <f t="shared" si="4"/>
        <v>11589.797280000003</v>
      </c>
      <c r="H72" s="67">
        <f t="shared" si="5"/>
        <v>16847.536464000004</v>
      </c>
      <c r="J72">
        <f>(6222.93+2471.45)*1.07</f>
        <v>9302.986600000002</v>
      </c>
      <c r="K72">
        <f>(H72/J72)</f>
        <v>1.8109814824413486</v>
      </c>
      <c r="M72" s="71">
        <v>2.4</v>
      </c>
      <c r="N72" s="72">
        <v>2</v>
      </c>
      <c r="O72" s="60">
        <f>((((M72*2)+(N72*2))*MATERIALES!$C$5)+(M72*MATERIALES!$C$6)+(M72*MATERIALES!$C$9)+((N72*2)*MATERIALES!$C$7)+((N72*2)*MATERIALES!$C$8)+(M72*MATERIALES!$C$6)+((2*N72)*MATERIALES!$C$20)+(N72*MATERIALES!$C$21))*MATERIALES!$F$2</f>
        <v>9301.2192000000014</v>
      </c>
      <c r="P72" s="60">
        <f>(8*MATERIALES!$C$136)+(12*MATERIALES!$C$137)+(1*MATERIALES!$C$152)+(4*MATERIALES!$C$143)+(12*MATERIALES!$C$144)+((8*4)*MATERIALES!$C$145)+(('HERR CLASICA CORREDIZA'!O72*4)*MATERIALES!$C$140)+((('HERR CLASICA CORREDIZA'!N72*4)+('HERR CLASICA CORREDIZA'!O72*4))*MATERIALES!$C$141)+(4*MATERIALES!$C$148)+((('HERR CLASICA CORREDIZA'!N72*5)*2)*MATERIALES!$C$147)+(4*MATERIALES!$C$146)+(2*MATERIALES!$C$144)+(2*MATERIALES!$C$168)+(2*MATERIALES!$C$145)+(10*MATERIALES!$C$145)+(2*MATERIALES!$C$138)</f>
        <v>1186.51728</v>
      </c>
      <c r="Q72" s="76"/>
      <c r="R72" s="56">
        <f>(M72*N72)*MATERIALES!$D$82</f>
        <v>2544</v>
      </c>
      <c r="S72" s="60">
        <f t="shared" si="6"/>
        <v>13031.736480000001</v>
      </c>
      <c r="T72" s="67">
        <f t="shared" si="7"/>
        <v>18722.057424000002</v>
      </c>
    </row>
    <row r="73" spans="1:21" hidden="1"/>
    <row r="74" spans="1:21" hidden="1">
      <c r="A74" s="64"/>
      <c r="M74" s="64"/>
    </row>
    <row r="75" spans="1:21" ht="15.75" hidden="1" thickBot="1">
      <c r="A75" s="64"/>
      <c r="M75" s="64"/>
    </row>
    <row r="76" spans="1:21" ht="15.75" hidden="1" thickBot="1">
      <c r="C76" s="801">
        <v>0.2</v>
      </c>
      <c r="D76" s="802"/>
      <c r="E76" s="803"/>
      <c r="F76" s="61">
        <v>1</v>
      </c>
      <c r="H76" s="62" t="s">
        <v>163</v>
      </c>
      <c r="O76" s="801">
        <v>0.2</v>
      </c>
      <c r="P76" s="802"/>
      <c r="Q76" s="803"/>
      <c r="R76" s="61">
        <v>1</v>
      </c>
      <c r="T76" s="62" t="s">
        <v>163</v>
      </c>
    </row>
    <row r="77" spans="1:21" ht="15.75" hidden="1" thickBot="1">
      <c r="A77" s="792" t="s">
        <v>205</v>
      </c>
      <c r="B77" s="793"/>
      <c r="C77" s="793"/>
      <c r="D77" s="793"/>
      <c r="E77" s="793"/>
      <c r="F77" s="793"/>
      <c r="G77" s="793"/>
      <c r="H77" s="794"/>
      <c r="M77" s="792" t="s">
        <v>235</v>
      </c>
      <c r="N77" s="793"/>
      <c r="O77" s="793"/>
      <c r="P77" s="793"/>
      <c r="Q77" s="793"/>
      <c r="R77" s="793"/>
      <c r="S77" s="793"/>
      <c r="T77" s="794"/>
    </row>
    <row r="78" spans="1:21" ht="15.75" hidden="1" thickBot="1">
      <c r="A78" s="36" t="s">
        <v>116</v>
      </c>
      <c r="B78" s="36" t="s">
        <v>117</v>
      </c>
      <c r="C78" s="36" t="s">
        <v>162</v>
      </c>
      <c r="D78" s="36" t="s">
        <v>119</v>
      </c>
      <c r="E78" s="36" t="s">
        <v>120</v>
      </c>
      <c r="F78" s="36" t="s">
        <v>118</v>
      </c>
      <c r="G78" s="36" t="s">
        <v>121</v>
      </c>
      <c r="H78" s="36" t="s">
        <v>122</v>
      </c>
      <c r="M78" s="36" t="s">
        <v>116</v>
      </c>
      <c r="N78" s="36" t="s">
        <v>117</v>
      </c>
      <c r="O78" s="36" t="s">
        <v>162</v>
      </c>
      <c r="P78" s="36" t="s">
        <v>119</v>
      </c>
      <c r="Q78" s="36" t="s">
        <v>120</v>
      </c>
      <c r="R78" s="36" t="s">
        <v>118</v>
      </c>
      <c r="S78" s="36" t="s">
        <v>121</v>
      </c>
      <c r="T78" s="36" t="s">
        <v>122</v>
      </c>
    </row>
    <row r="79" spans="1:21" ht="15.75" hidden="1" thickBot="1">
      <c r="A79" s="795"/>
      <c r="B79" s="796"/>
      <c r="C79" s="796"/>
      <c r="D79" s="796"/>
      <c r="E79" s="796"/>
      <c r="F79" s="796"/>
      <c r="G79" s="796"/>
      <c r="H79" s="797"/>
      <c r="M79" s="795"/>
      <c r="N79" s="796"/>
      <c r="O79" s="796"/>
      <c r="P79" s="796"/>
      <c r="Q79" s="796"/>
      <c r="R79" s="796"/>
      <c r="S79" s="796"/>
      <c r="T79" s="797"/>
    </row>
    <row r="80" spans="1:21" ht="15.75" hidden="1" thickBot="1">
      <c r="A80" s="40">
        <v>1.2</v>
      </c>
      <c r="B80" s="41">
        <v>2</v>
      </c>
      <c r="C80" s="47">
        <f>((((A80*1)+(B80*2))*MATERIALES!$C$5)+(A80*MATERIALES!$C$6)+(A80*MATERIALES!$C$9)+((B80*2)*MATERIALES!$C$7)+((B80*2)*MATERIALES!$C$8)+(A80*MATERIALES!$C$6)+(A80*MATERIALES!$C$10))*MATERIALES!$F$2</f>
        <v>5930.3462400000017</v>
      </c>
      <c r="D80" s="47">
        <f>(8*MATERIALES!$C$136)+(12*MATERIALES!$C$137)+(1*MATERIALES!$C$152)+(4*MATERIALES!$C$143)+(12*MATERIALES!$C$144)+((8*2)*MATERIALES!$C$145)+(('HERR CLASICA CORREDIZA'!B80*4)*MATERIALES!$C$140)+((('HERR CLASICA CORREDIZA'!A80*4)+('HERR CLASICA CORREDIZA'!B80*4))*MATERIALES!$C$141)+(4*MATERIALES!$C$148)+((('HERR CLASICA CORREDIZA'!A80*5)*2)*MATERIALES!$C$147)+(2*MATERIALES!$C$146)+(4*MATERIALES!$C$158)+(2*MATERIALES!$C$138)</f>
        <v>872.10864000000015</v>
      </c>
      <c r="E80" s="74"/>
      <c r="F80" s="48">
        <f>(A80*B80)*MATERIALES!$D$82</f>
        <v>1272</v>
      </c>
      <c r="G80" s="47">
        <f>SUM(C80:F80)</f>
        <v>8074.454880000002</v>
      </c>
      <c r="H80" s="49">
        <f>(SUM(C80:E80)*1.3)+(F80*2)</f>
        <v>11387.191344000003</v>
      </c>
      <c r="I80" s="53"/>
      <c r="M80" s="65">
        <v>1.2</v>
      </c>
      <c r="N80" s="66">
        <v>2</v>
      </c>
      <c r="O80" s="58">
        <f>((((M80*1)+(N80*2))*MATERIALES!$C$5)+(M80*MATERIALES!$C$6)+(M80*MATERIALES!$C$9)+((N80*2)*MATERIALES!$C$7)+((N80*2)*MATERIALES!$C$8)+(M80*MATERIALES!$C$6)+(M80*MATERIALES!$C$10)+((2*N80)*MATERIALES!$C$20)+(N80*MATERIALES!$C$21))*MATERIALES!$F$2</f>
        <v>7308.8870400000005</v>
      </c>
      <c r="P80" s="58">
        <f>(8*MATERIALES!$C$136)+(12*MATERIALES!$C$137)+(1*MATERIALES!$C$152)+(4*MATERIALES!$C$143)+(12*MATERIALES!$C$144)+((8*2)*MATERIALES!$C$145)+(('HERR CLASICA CORREDIZA'!O80*4)*MATERIALES!$C$140)+((('HERR CLASICA CORREDIZA'!N80*4)+('HERR CLASICA CORREDIZA'!O80*4))*MATERIALES!$C$141)+(4*MATERIALES!$C$148)+((('HERR CLASICA CORREDIZA'!N80*5)*2)*MATERIALES!$C$147)+(2*MATERIALES!$C$146)+(4*MATERIALES!$C$158)+(2*MATERIALES!$C$144)+(2*MATERIALES!$C$168)+(2*MATERIALES!$C$145)+(10*MATERIALES!$C$145)+(2*MATERIALES!$C$138)</f>
        <v>935.50704000000019</v>
      </c>
      <c r="Q80" s="74"/>
      <c r="R80" s="54">
        <f>(M80*N80)*MATERIALES!$D$82</f>
        <v>1272</v>
      </c>
      <c r="S80" s="58">
        <f>SUM(O80:R80)</f>
        <v>9516.39408</v>
      </c>
      <c r="T80" s="67">
        <f>(SUM(O80:Q80)*1.3)+(R80*2)</f>
        <v>13261.712304000001</v>
      </c>
      <c r="U80" s="53"/>
    </row>
    <row r="81" spans="1:20" ht="15.75" hidden="1" thickBot="1">
      <c r="A81" s="42">
        <v>1.5</v>
      </c>
      <c r="B81" s="37">
        <v>2</v>
      </c>
      <c r="C81" s="38">
        <f>((((A81*1)+(B81*2))*MATERIALES!$C$5)+(A81*MATERIALES!$C$6)+(A81*MATERIALES!$C$9)+((B81*2)*MATERIALES!$C$7)+((B81*2)*MATERIALES!$C$8)+(A81*MATERIALES!$C$6)+(A81*MATERIALES!$C$10))*MATERIALES!$F$2</f>
        <v>6517.2744000000002</v>
      </c>
      <c r="D81" s="38">
        <f>(8*MATERIALES!$C$136)+(12*MATERIALES!$C$137)+(1*MATERIALES!$C$152)+(4*MATERIALES!$C$143)+(12*MATERIALES!$C$144)+((8*2)*MATERIALES!$C$145)+(('HERR CLASICA CORREDIZA'!B81*4)*MATERIALES!$C$140)+((('HERR CLASICA CORREDIZA'!A81*4)+('HERR CLASICA CORREDIZA'!B81*4))*MATERIALES!$C$141)+(4*MATERIALES!$C$148)+((('HERR CLASICA CORREDIZA'!A81*5)*2)*MATERIALES!$C$147)+(2*MATERIALES!$C$146)+(4*MATERIALES!$C$158)+(2*MATERIALES!$C$138)</f>
        <v>897.71760000000017</v>
      </c>
      <c r="E81" s="75"/>
      <c r="F81" s="39">
        <f>(A81*B81)*MATERIALES!$D$82</f>
        <v>1590</v>
      </c>
      <c r="G81" s="38">
        <f t="shared" ref="G81:G85" si="8">SUM(C81:F81)</f>
        <v>9004.9920000000002</v>
      </c>
      <c r="H81" s="49">
        <f t="shared" ref="H81:H85" si="9">(SUM(C81:E81)*1.3)+(F81*2)</f>
        <v>12819.489600000001</v>
      </c>
      <c r="M81" s="68">
        <v>1.5</v>
      </c>
      <c r="N81" s="69">
        <v>2</v>
      </c>
      <c r="O81" s="59">
        <f>((((M81*1)+(N81*2))*MATERIALES!$C$5)+(M81*MATERIALES!$C$6)+(M81*MATERIALES!$C$9)+((N81*2)*MATERIALES!$C$7)+((N81*2)*MATERIALES!$C$8)+(M81*MATERIALES!$C$6)+(M81*MATERIALES!$C$10)+((2*N81)*MATERIALES!$C$20)+(N81*MATERIALES!$C$21))*MATERIALES!$F$2</f>
        <v>7895.8151999999991</v>
      </c>
      <c r="P81" s="59">
        <f>(8*MATERIALES!$C$136)+(12*MATERIALES!$C$137)+(1*MATERIALES!$C$152)+(4*MATERIALES!$C$143)+(12*MATERIALES!$C$144)+((8*2)*MATERIALES!$C$145)+(('HERR CLASICA CORREDIZA'!O81*4)*MATERIALES!$C$140)+((('HERR CLASICA CORREDIZA'!N81*4)+('HERR CLASICA CORREDIZA'!O81*4))*MATERIALES!$C$141)+(4*MATERIALES!$C$148)+((('HERR CLASICA CORREDIZA'!N81*5)*2)*MATERIALES!$C$147)+(2*MATERIALES!$C$146)+(4*MATERIALES!$C$158)+(2*MATERIALES!$C$144)+(2*MATERIALES!$C$168)+(2*MATERIALES!$C$145)+(10*MATERIALES!$C$145)+(2*MATERIALES!$C$138)</f>
        <v>961.11600000000021</v>
      </c>
      <c r="Q81" s="75"/>
      <c r="R81" s="55">
        <f>(M81*N81)*MATERIALES!$D$82</f>
        <v>1590</v>
      </c>
      <c r="S81" s="59">
        <f t="shared" ref="S81:S85" si="10">SUM(O81:R81)</f>
        <v>10446.931199999999</v>
      </c>
      <c r="T81" s="67">
        <f t="shared" ref="T81:T85" si="11">(SUM(O81:Q81)*1.3)+(R81*2)</f>
        <v>14694.010559999999</v>
      </c>
    </row>
    <row r="82" spans="1:20" ht="15.75" hidden="1" thickBot="1">
      <c r="A82" s="42">
        <v>1.8</v>
      </c>
      <c r="B82" s="37">
        <v>2</v>
      </c>
      <c r="C82" s="38">
        <f>((((A82*1)+(B82*2))*MATERIALES!$C$5)+(A82*MATERIALES!$C$6)+(A82*MATERIALES!$C$9)+((B82*2)*MATERIALES!$C$7)+((B82*2)*MATERIALES!$C$8)+(A82*MATERIALES!$C$6)+(A82*MATERIALES!$C$10))*MATERIALES!$F$2</f>
        <v>7104.2025600000006</v>
      </c>
      <c r="D82" s="38">
        <f>(8*MATERIALES!$C$136)+(12*MATERIALES!$C$137)+(1*MATERIALES!$C$152)+(4*MATERIALES!$C$143)+(12*MATERIALES!$C$144)+((8*2)*MATERIALES!$C$145)+(('HERR CLASICA CORREDIZA'!B82*4)*MATERIALES!$C$140)+((('HERR CLASICA CORREDIZA'!A82*4)+('HERR CLASICA CORREDIZA'!B82*4))*MATERIALES!$C$141)+(4*MATERIALES!$C$148)+((('HERR CLASICA CORREDIZA'!A82*5)*2)*MATERIALES!$C$147)+(2*MATERIALES!$C$146)+(4*MATERIALES!$C$158)+(2*MATERIALES!$C$138)</f>
        <v>923.32656000000009</v>
      </c>
      <c r="E82" s="75"/>
      <c r="F82" s="39">
        <f>(A82*B82)*MATERIALES!$D$82</f>
        <v>1908</v>
      </c>
      <c r="G82" s="38">
        <f t="shared" si="8"/>
        <v>9935.5291200000011</v>
      </c>
      <c r="H82" s="49">
        <f t="shared" si="9"/>
        <v>14251.787856000001</v>
      </c>
      <c r="M82" s="68">
        <v>1.8</v>
      </c>
      <c r="N82" s="69">
        <v>2</v>
      </c>
      <c r="O82" s="59">
        <f>((((M82*1)+(N82*2))*MATERIALES!$C$5)+(M82*MATERIALES!$C$6)+(M82*MATERIALES!$C$9)+((N82*2)*MATERIALES!$C$7)+((N82*2)*MATERIALES!$C$8)+(M82*MATERIALES!$C$6)+(M82*MATERIALES!$C$10)+((2*N82)*MATERIALES!$C$20)+(N82*MATERIALES!$C$21))*MATERIALES!$F$2</f>
        <v>8482.7433600000004</v>
      </c>
      <c r="P82" s="59">
        <f>(8*MATERIALES!$C$136)+(12*MATERIALES!$C$137)+(1*MATERIALES!$C$152)+(4*MATERIALES!$C$143)+(12*MATERIALES!$C$144)+((8*2)*MATERIALES!$C$145)+(('HERR CLASICA CORREDIZA'!O82*4)*MATERIALES!$C$140)+((('HERR CLASICA CORREDIZA'!N82*4)+('HERR CLASICA CORREDIZA'!O82*4))*MATERIALES!$C$141)+(4*MATERIALES!$C$148)+((('HERR CLASICA CORREDIZA'!N82*5)*2)*MATERIALES!$C$147)+(2*MATERIALES!$C$146)+(4*MATERIALES!$C$158)+(2*MATERIALES!$C$144)+(2*MATERIALES!$C$168)+(2*MATERIALES!$C$145)+(10*MATERIALES!$C$145)+(2*MATERIALES!$C$138)</f>
        <v>986.72496000000012</v>
      </c>
      <c r="Q82" s="75"/>
      <c r="R82" s="55">
        <f>(M82*N82)*MATERIALES!$D$82</f>
        <v>1908</v>
      </c>
      <c r="S82" s="59">
        <f t="shared" si="10"/>
        <v>11377.46832</v>
      </c>
      <c r="T82" s="67">
        <f t="shared" si="11"/>
        <v>16126.308816000001</v>
      </c>
    </row>
    <row r="83" spans="1:20" ht="15.75" hidden="1" thickBot="1">
      <c r="A83" s="42">
        <v>2</v>
      </c>
      <c r="B83" s="37">
        <v>2</v>
      </c>
      <c r="C83" s="38">
        <f>((((A83*1)+(B83*2))*MATERIALES!$C$5)+(A83*MATERIALES!$C$6)+(A83*MATERIALES!$C$9)+((B83*2)*MATERIALES!$C$7)+((B83*2)*MATERIALES!$C$8)+(A83*MATERIALES!$C$6)+(A83*MATERIALES!$C$10))*MATERIALES!$F$2</f>
        <v>7495.4880000000003</v>
      </c>
      <c r="D83" s="38">
        <f>(8*MATERIALES!$C$136)+(12*MATERIALES!$C$137)+(1*MATERIALES!$C$152)+(4*MATERIALES!$C$143)+(12*MATERIALES!$C$144)+((8*2)*MATERIALES!$C$145)+(('HERR CLASICA CORREDIZA'!B83*4)*MATERIALES!$C$140)+((('HERR CLASICA CORREDIZA'!A83*4)+('HERR CLASICA CORREDIZA'!B83*4))*MATERIALES!$C$141)+(4*MATERIALES!$C$148)+((('HERR CLASICA CORREDIZA'!A83*5)*2)*MATERIALES!$C$147)+(2*MATERIALES!$C$146)+(4*MATERIALES!$C$158)+(2*MATERIALES!$C$138)</f>
        <v>940.39920000000006</v>
      </c>
      <c r="E83" s="75"/>
      <c r="F83" s="39">
        <f>(A83*B83)*MATERIALES!$D$82</f>
        <v>2120</v>
      </c>
      <c r="G83" s="38">
        <f t="shared" si="8"/>
        <v>10555.887200000001</v>
      </c>
      <c r="H83" s="49">
        <f t="shared" si="9"/>
        <v>15206.653360000002</v>
      </c>
      <c r="M83" s="68">
        <v>2</v>
      </c>
      <c r="N83" s="69">
        <v>2</v>
      </c>
      <c r="O83" s="59">
        <f>((((M83*1)+(N83*2))*MATERIALES!$C$5)+(M83*MATERIALES!$C$6)+(M83*MATERIALES!$C$9)+((N83*2)*MATERIALES!$C$7)+((N83*2)*MATERIALES!$C$8)+(M83*MATERIALES!$C$6)+(M83*MATERIALES!$C$10)+((2*N83)*MATERIALES!$C$20)+(N83*MATERIALES!$C$21))*MATERIALES!$F$2</f>
        <v>8874.0288</v>
      </c>
      <c r="P83" s="59">
        <f>(8*MATERIALES!$C$136)+(12*MATERIALES!$C$137)+(1*MATERIALES!$C$152)+(4*MATERIALES!$C$143)+(12*MATERIALES!$C$144)+((8*2)*MATERIALES!$C$145)+(('HERR CLASICA CORREDIZA'!O83*4)*MATERIALES!$C$140)+((('HERR CLASICA CORREDIZA'!N83*4)+('HERR CLASICA CORREDIZA'!O83*4))*MATERIALES!$C$141)+(4*MATERIALES!$C$148)+((('HERR CLASICA CORREDIZA'!N83*5)*2)*MATERIALES!$C$147)+(2*MATERIALES!$C$146)+(4*MATERIALES!$C$158)+(2*MATERIALES!$C$144)+(2*MATERIALES!$C$168)+(2*MATERIALES!$C$145)+(10*MATERIALES!$C$145)+(2*MATERIALES!$C$138)</f>
        <v>1003.7976000000001</v>
      </c>
      <c r="Q83" s="75"/>
      <c r="R83" s="55">
        <f>(M83*N83)*MATERIALES!$D$82</f>
        <v>2120</v>
      </c>
      <c r="S83" s="59">
        <f t="shared" si="10"/>
        <v>11997.8264</v>
      </c>
      <c r="T83" s="67">
        <f t="shared" si="11"/>
        <v>17081.174319999998</v>
      </c>
    </row>
    <row r="84" spans="1:20" ht="15.75" hidden="1" thickBot="1">
      <c r="A84" s="42">
        <v>2.2000000000000002</v>
      </c>
      <c r="B84" s="37">
        <v>2</v>
      </c>
      <c r="C84" s="38">
        <f>((((A84*1)+(B84*2))*MATERIALES!$C$5)+(A84*MATERIALES!$C$6)+(A84*MATERIALES!$C$9)+((B84*2)*MATERIALES!$C$7)+((B84*2)*MATERIALES!$C$8)+(A84*MATERIALES!$C$6)+(A84*MATERIALES!$C$10))*MATERIALES!$F$2</f>
        <v>7886.7734400000008</v>
      </c>
      <c r="D84" s="38">
        <f>(8*MATERIALES!$C$136)+(12*MATERIALES!$C$137)+(1*MATERIALES!$C$152)+(4*MATERIALES!$C$143)+(12*MATERIALES!$C$144)+((8*2)*MATERIALES!$C$145)+(('HERR CLASICA CORREDIZA'!B84*4)*MATERIALES!$C$140)+((('HERR CLASICA CORREDIZA'!A84*4)+('HERR CLASICA CORREDIZA'!B84*4))*MATERIALES!$C$141)+(4*MATERIALES!$C$148)+((('HERR CLASICA CORREDIZA'!A84*5)*2)*MATERIALES!$C$147)+(2*MATERIALES!$C$146)+(4*MATERIALES!$C$158)+(2*MATERIALES!$C$138)</f>
        <v>974.54448000000014</v>
      </c>
      <c r="E84" s="75"/>
      <c r="F84" s="39">
        <f>(A84*B84)*MATERIALES!$D$82</f>
        <v>2332</v>
      </c>
      <c r="G84" s="38">
        <f t="shared" si="8"/>
        <v>11193.317920000001</v>
      </c>
      <c r="H84" s="49">
        <f t="shared" si="9"/>
        <v>16183.713296000002</v>
      </c>
      <c r="M84" s="68">
        <v>2.2000000000000002</v>
      </c>
      <c r="N84" s="69">
        <v>2</v>
      </c>
      <c r="O84" s="59">
        <f>((((M84*1)+(N84*2))*MATERIALES!$C$5)+(M84*MATERIALES!$C$6)+(M84*MATERIALES!$C$9)+((N84*2)*MATERIALES!$C$7)+((N84*2)*MATERIALES!$C$8)+(M84*MATERIALES!$C$6)+(M84*MATERIALES!$C$10)+((2*N84)*MATERIALES!$C$20)+(N84*MATERIALES!$C$21))*MATERIALES!$F$2</f>
        <v>9265.3142399999997</v>
      </c>
      <c r="P84" s="59">
        <f>(8*MATERIALES!$C$136)+(12*MATERIALES!$C$137)+(1*MATERIALES!$C$152)+(4*MATERIALES!$C$143)+(12*MATERIALES!$C$144)+((8*2)*MATERIALES!$C$145)+(('HERR CLASICA CORREDIZA'!O84*4)*MATERIALES!$C$140)+((('HERR CLASICA CORREDIZA'!N84*4)+('HERR CLASICA CORREDIZA'!O84*4))*MATERIALES!$C$141)+(4*MATERIALES!$C$148)+((('HERR CLASICA CORREDIZA'!N84*5)*2)*MATERIALES!$C$147)+(2*MATERIALES!$C$146)+(4*MATERIALES!$C$158)+(2*MATERIALES!$C$144)+(2*MATERIALES!$C$168)+(2*MATERIALES!$C$145)+(10*MATERIALES!$C$145)+(2*MATERIALES!$C$138)</f>
        <v>1037.9428800000001</v>
      </c>
      <c r="Q84" s="75"/>
      <c r="R84" s="55">
        <f>(M84*N84)*MATERIALES!$D$82</f>
        <v>2332</v>
      </c>
      <c r="S84" s="59">
        <f t="shared" si="10"/>
        <v>12635.25712</v>
      </c>
      <c r="T84" s="67">
        <f t="shared" si="11"/>
        <v>18058.234256000003</v>
      </c>
    </row>
    <row r="85" spans="1:20" ht="15.75" hidden="1" thickBot="1">
      <c r="A85" s="44">
        <v>2.4</v>
      </c>
      <c r="B85" s="45">
        <v>2</v>
      </c>
      <c r="C85" s="50">
        <f>((((A85*1)+(B85*2))*MATERIALES!$C$5)+(A85*MATERIALES!$C$6)+(A85*MATERIALES!$C$9)+((B85*2)*MATERIALES!$C$7)+((B85*2)*MATERIALES!$C$8)+(A85*MATERIALES!$C$6)+(A85*MATERIALES!$C$10))*MATERIALES!$F$2</f>
        <v>8278.0588800000005</v>
      </c>
      <c r="D85" s="50">
        <f>(8*MATERIALES!$C$136)+(12*MATERIALES!$C$137)+(1*MATERIALES!$C$152)+(4*MATERIALES!$C$143)+(12*MATERIALES!$C$144)+((8*2)*MATERIALES!$C$145)+(('HERR CLASICA CORREDIZA'!B85*4)*MATERIALES!$C$140)+((('HERR CLASICA CORREDIZA'!A85*4)+('HERR CLASICA CORREDIZA'!B85*4))*MATERIALES!$C$141)+(4*MATERIALES!$C$148)+((('HERR CLASICA CORREDIZA'!A85*5)*2)*MATERIALES!$C$147)+(2*MATERIALES!$C$146)+(4*MATERIALES!$C$158)+(2*MATERIALES!$C$138)</f>
        <v>974.54448000000014</v>
      </c>
      <c r="E85" s="76"/>
      <c r="F85" s="51">
        <f>(A85*B85)*MATERIALES!$D$82</f>
        <v>2544</v>
      </c>
      <c r="G85" s="50">
        <f t="shared" si="8"/>
        <v>11796.603360000001</v>
      </c>
      <c r="H85" s="49">
        <f t="shared" si="9"/>
        <v>17116.384367999999</v>
      </c>
      <c r="M85" s="71">
        <v>2.4</v>
      </c>
      <c r="N85" s="72">
        <v>2</v>
      </c>
      <c r="O85" s="60">
        <f>((((M85*1)+(N85*2))*MATERIALES!$C$5)+(M85*MATERIALES!$C$6)+(M85*MATERIALES!$C$9)+((N85*2)*MATERIALES!$C$7)+((N85*2)*MATERIALES!$C$8)+(M85*MATERIALES!$C$6)+(M85*MATERIALES!$C$10)+((2*N85)*MATERIALES!$C$20)+(N85*MATERIALES!$C$21))*MATERIALES!$F$2</f>
        <v>9656.5996799999994</v>
      </c>
      <c r="P85" s="60">
        <f>(8*MATERIALES!$C$136)+(12*MATERIALES!$C$137)+(1*MATERIALES!$C$152)+(4*MATERIALES!$C$143)+(12*MATERIALES!$C$144)+((8*2)*MATERIALES!$C$145)+(('HERR CLASICA CORREDIZA'!O85*4)*MATERIALES!$C$140)+((('HERR CLASICA CORREDIZA'!N85*4)+('HERR CLASICA CORREDIZA'!O85*4))*MATERIALES!$C$141)+(4*MATERIALES!$C$148)+((('HERR CLASICA CORREDIZA'!N85*5)*2)*MATERIALES!$C$147)+(2*MATERIALES!$C$146)+(4*MATERIALES!$C$158)+(2*MATERIALES!$C$144)+(2*MATERIALES!$C$168)+(2*MATERIALES!$C$145)+(10*MATERIALES!$C$145)+(2*MATERIALES!$C$138)</f>
        <v>1037.9428800000001</v>
      </c>
      <c r="Q85" s="76"/>
      <c r="R85" s="56">
        <f>(M85*N85)*MATERIALES!$D$82</f>
        <v>2544</v>
      </c>
      <c r="S85" s="60">
        <f t="shared" si="10"/>
        <v>13238.54256</v>
      </c>
      <c r="T85" s="67">
        <f t="shared" si="11"/>
        <v>18990.905328000001</v>
      </c>
    </row>
    <row r="86" spans="1:20" hidden="1"/>
    <row r="87" spans="1:20" s="81" customFormat="1" hidden="1">
      <c r="A87" s="79"/>
      <c r="B87" s="79"/>
      <c r="C87" s="79"/>
      <c r="D87" s="79"/>
      <c r="E87" s="79"/>
      <c r="F87" s="79"/>
      <c r="G87" s="79"/>
      <c r="H87" s="80"/>
      <c r="M87" s="79"/>
      <c r="N87" s="79"/>
      <c r="O87" s="79"/>
      <c r="P87" s="79"/>
      <c r="Q87" s="79"/>
      <c r="R87" s="79"/>
      <c r="S87" s="79"/>
      <c r="T87" s="80"/>
    </row>
    <row r="88" spans="1:20" ht="15.75" hidden="1" thickBot="1"/>
    <row r="89" spans="1:20" ht="15.75" hidden="1" thickBot="1">
      <c r="C89" s="807">
        <v>1.4</v>
      </c>
      <c r="D89" s="808"/>
      <c r="E89" s="808"/>
      <c r="F89" s="809"/>
      <c r="G89" s="548">
        <v>2</v>
      </c>
      <c r="H89" s="46" t="s">
        <v>163</v>
      </c>
      <c r="O89" s="807">
        <v>1.4</v>
      </c>
      <c r="P89" s="808"/>
      <c r="Q89" s="808"/>
      <c r="R89" s="809"/>
      <c r="S89" s="32">
        <v>2</v>
      </c>
      <c r="T89" s="62" t="s">
        <v>163</v>
      </c>
    </row>
    <row r="90" spans="1:20" ht="15.75" hidden="1" thickBot="1">
      <c r="A90" s="792" t="s">
        <v>237</v>
      </c>
      <c r="B90" s="793"/>
      <c r="C90" s="793"/>
      <c r="D90" s="793"/>
      <c r="E90" s="793"/>
      <c r="F90" s="793"/>
      <c r="G90" s="793"/>
      <c r="H90" s="794"/>
      <c r="M90" s="792" t="s">
        <v>247</v>
      </c>
      <c r="N90" s="793"/>
      <c r="O90" s="793"/>
      <c r="P90" s="793"/>
      <c r="Q90" s="793"/>
      <c r="R90" s="793"/>
      <c r="S90" s="793"/>
      <c r="T90" s="794"/>
    </row>
    <row r="91" spans="1:20" ht="15.75" hidden="1" thickBot="1">
      <c r="A91" s="36" t="s">
        <v>116</v>
      </c>
      <c r="B91" s="36" t="s">
        <v>117</v>
      </c>
      <c r="C91" s="36" t="s">
        <v>162</v>
      </c>
      <c r="D91" s="36" t="s">
        <v>119</v>
      </c>
      <c r="E91" s="36" t="s">
        <v>120</v>
      </c>
      <c r="F91" s="36" t="s">
        <v>238</v>
      </c>
      <c r="G91" s="36" t="s">
        <v>121</v>
      </c>
      <c r="H91" s="36" t="s">
        <v>122</v>
      </c>
      <c r="M91" s="36" t="s">
        <v>116</v>
      </c>
      <c r="N91" s="36" t="s">
        <v>117</v>
      </c>
      <c r="O91" s="36" t="s">
        <v>162</v>
      </c>
      <c r="P91" s="36" t="s">
        <v>119</v>
      </c>
      <c r="Q91" s="36" t="s">
        <v>120</v>
      </c>
      <c r="R91" s="36" t="s">
        <v>238</v>
      </c>
      <c r="S91" s="36" t="s">
        <v>121</v>
      </c>
      <c r="T91" s="36" t="s">
        <v>122</v>
      </c>
    </row>
    <row r="92" spans="1:20" hidden="1">
      <c r="A92" s="795"/>
      <c r="B92" s="796"/>
      <c r="C92" s="796"/>
      <c r="D92" s="796"/>
      <c r="E92" s="796"/>
      <c r="F92" s="796"/>
      <c r="G92" s="796"/>
      <c r="H92" s="797"/>
      <c r="M92" s="795"/>
      <c r="N92" s="796"/>
      <c r="O92" s="796"/>
      <c r="P92" s="796"/>
      <c r="Q92" s="796"/>
      <c r="R92" s="796"/>
      <c r="S92" s="796"/>
      <c r="T92" s="797"/>
    </row>
    <row r="93" spans="1:20" hidden="1">
      <c r="A93" s="69">
        <v>0.6</v>
      </c>
      <c r="B93" s="69">
        <v>0.4</v>
      </c>
      <c r="C93" s="59">
        <f>(((A93)+(B93*2))*MATERIALES!$C$16)*MATERIALES!$F$2</f>
        <v>285.27407999999997</v>
      </c>
      <c r="D93" s="59">
        <f>(16*MATERIALES!$C$145)+(2*MATERIALES!$C$172)+(2*MATERIALES!$C$173)+(4*MATERIALES!$C$171)+(((A93)+(B93*2))*MATERIALES!$C$170)</f>
        <v>116.3032</v>
      </c>
      <c r="E93" s="75"/>
      <c r="F93" s="55">
        <f>((A93/2)*B93)*MATERIALES!$C$169</f>
        <v>98.28</v>
      </c>
      <c r="G93" s="59">
        <f>SUM(C93:F93)</f>
        <v>499.85727999999995</v>
      </c>
      <c r="H93" s="124">
        <f>(SUM(C93:E93)*$C$89)+(F93*$G$89)</f>
        <v>758.768192</v>
      </c>
      <c r="M93" s="69">
        <v>1.2</v>
      </c>
      <c r="N93" s="69">
        <v>2</v>
      </c>
      <c r="O93" s="59">
        <f>((((M93)+(N93*2))*MATERIALES!$C$16)+(M93*MATERIALES!$C$17))*MATERIALES!$F$2</f>
        <v>1486.5177600000002</v>
      </c>
      <c r="P93" s="59">
        <f>(16*MATERIALES!$C$145)+(2*MATERIALES!$C$172)+(2*MATERIALES!$C$173)+(4*MATERIALES!$C$171)+(((M93*2)+(N93*2))*MATERIALES!$C$170)+(4*MATERIALES!$C$174)</f>
        <v>176.6336</v>
      </c>
      <c r="Q93" s="75"/>
      <c r="R93" s="55">
        <f>((M93/2)*N93)*MATERIALES!$C$169</f>
        <v>982.8</v>
      </c>
      <c r="S93" s="59">
        <f>SUM(O93:R93)</f>
        <v>2645.95136</v>
      </c>
      <c r="T93" s="124">
        <f>(SUM(O93:Q93)*$O$89)+(R93*$S$89)</f>
        <v>4294.011904</v>
      </c>
    </row>
    <row r="94" spans="1:20" hidden="1">
      <c r="A94" s="69">
        <v>0.6</v>
      </c>
      <c r="B94" s="69">
        <v>0.6</v>
      </c>
      <c r="C94" s="59">
        <f>(((A94)+(B94*2))*MATERIALES!$C$16)*MATERIALES!$F$2</f>
        <v>366.78095999999999</v>
      </c>
      <c r="D94" s="59">
        <f>(16*MATERIALES!$C$145)+(2*MATERIALES!$C$172)+(2*MATERIALES!$C$173)+(4*MATERIALES!$C$171)+(((A94)+(B94*2))*MATERIALES!$C$170)</f>
        <v>119.8184</v>
      </c>
      <c r="E94" s="75"/>
      <c r="F94" s="55">
        <f>((A94/2)*B94)*MATERIALES!$C$169</f>
        <v>147.41999999999999</v>
      </c>
      <c r="G94" s="59">
        <f>SUM(C94:F94)</f>
        <v>634.01936000000001</v>
      </c>
      <c r="H94" s="124">
        <f>(SUM(C94:E94)*$C$89)+(F94*$G$89)</f>
        <v>976.07910399999992</v>
      </c>
      <c r="M94" s="69">
        <v>1.5</v>
      </c>
      <c r="N94" s="69">
        <v>2</v>
      </c>
      <c r="O94" s="59">
        <f>((((M94)+(N94*2))*MATERIALES!$C$16)+(M94*MATERIALES!$C$17))*MATERIALES!$F$2</f>
        <v>1654.38</v>
      </c>
      <c r="P94" s="59">
        <f>(16*MATERIALES!$C$145)+(2*MATERIALES!$C$172)+(2*MATERIALES!$C$173)+(4*MATERIALES!$C$171)+(((M94*2)+(N94*2))*MATERIALES!$C$170)+(4*MATERIALES!$C$174)</f>
        <v>181.90640000000002</v>
      </c>
      <c r="Q94" s="75"/>
      <c r="R94" s="55">
        <f>((M94/2)*N94)*MATERIALES!$C$169</f>
        <v>1228.5</v>
      </c>
      <c r="S94" s="59">
        <f t="shared" ref="S94:S98" si="12">SUM(O94:R94)</f>
        <v>3064.7864</v>
      </c>
      <c r="T94" s="124">
        <f>(SUM(O94:Q94)*$O$89)+(R94*$S$89)</f>
        <v>5027.8009600000005</v>
      </c>
    </row>
    <row r="95" spans="1:20" hidden="1">
      <c r="A95" s="69">
        <v>0.8</v>
      </c>
      <c r="B95" s="69">
        <v>0.4</v>
      </c>
      <c r="C95" s="59">
        <f>(((A95)+(B95*2))*MATERIALES!$C$16)*MATERIALES!$F$2</f>
        <v>326.02752000000004</v>
      </c>
      <c r="D95" s="59">
        <f>(16*MATERIALES!$C$145)+(2*MATERIALES!$C$172)+(2*MATERIALES!$C$173)+(4*MATERIALES!$C$171)+(((A95)+(B95*2))*MATERIALES!$C$170)</f>
        <v>118.0608</v>
      </c>
      <c r="E95" s="75"/>
      <c r="F95" s="55">
        <f>((A95/2)*B95)*MATERIALES!$C$169</f>
        <v>131.04000000000002</v>
      </c>
      <c r="G95" s="59">
        <f t="shared" ref="G95:G146" si="13">SUM(C95:F95)</f>
        <v>575.12832000000003</v>
      </c>
      <c r="H95" s="124">
        <f>(SUM(C95:E95)*$C$89)+(F95*$G$89)</f>
        <v>883.80364800000007</v>
      </c>
      <c r="M95" s="69">
        <v>1.8</v>
      </c>
      <c r="N95" s="69">
        <v>2</v>
      </c>
      <c r="O95" s="59">
        <f>((((M95)+(N95*2))*MATERIALES!$C$16)+(M95*MATERIALES!$C$17))*MATERIALES!$F$2</f>
        <v>1822.2422400000003</v>
      </c>
      <c r="P95" s="59">
        <f>(16*MATERIALES!$C$145)+(2*MATERIALES!$C$172)+(2*MATERIALES!$C$173)+(4*MATERIALES!$C$171)+(((M95*2)+(N95*2))*MATERIALES!$C$170)+(4*MATERIALES!$C$174)</f>
        <v>187.17919999999998</v>
      </c>
      <c r="Q95" s="75"/>
      <c r="R95" s="55">
        <f>((M95/2)*N95)*MATERIALES!$C$169</f>
        <v>1474.2</v>
      </c>
      <c r="S95" s="59">
        <f t="shared" si="12"/>
        <v>3483.6214400000003</v>
      </c>
      <c r="T95" s="124">
        <f>(SUM(O95:Q95)*$O$89)+(R95*$S$89)</f>
        <v>5761.5900160000001</v>
      </c>
    </row>
    <row r="96" spans="1:20" hidden="1">
      <c r="A96" s="69">
        <v>0.8</v>
      </c>
      <c r="B96" s="69">
        <v>0.6</v>
      </c>
      <c r="C96" s="59">
        <f>(((A96)+(B96*2))*MATERIALES!$C$16)*MATERIALES!$F$2</f>
        <v>407.53440000000001</v>
      </c>
      <c r="D96" s="59">
        <f>(16*MATERIALES!$C$145)+(2*MATERIALES!$C$172)+(2*MATERIALES!$C$173)+(4*MATERIALES!$C$171)+(((A96)+(B96*2))*MATERIALES!$C$170)</f>
        <v>121.57599999999999</v>
      </c>
      <c r="E96" s="75"/>
      <c r="F96" s="55">
        <f>((A96/2)*B96)*MATERIALES!$C$169</f>
        <v>196.56</v>
      </c>
      <c r="G96" s="59">
        <f t="shared" si="13"/>
        <v>725.67039999999997</v>
      </c>
      <c r="H96" s="124">
        <f>(SUM(C96:E96)*$C$89)+(F96*$G$89)</f>
        <v>1133.87456</v>
      </c>
      <c r="M96" s="69">
        <v>2</v>
      </c>
      <c r="N96" s="69">
        <v>2</v>
      </c>
      <c r="O96" s="59">
        <f>((((M96)+(N96*2))*MATERIALES!$C$16)+(M96*MATERIALES!$C$17))*MATERIALES!$F$2</f>
        <v>1934.1504000000002</v>
      </c>
      <c r="P96" s="59">
        <f>(16*MATERIALES!$C$145)+(2*MATERIALES!$C$172)+(2*MATERIALES!$C$173)+(4*MATERIALES!$C$171)+(((M96*2)+(N96*2))*MATERIALES!$C$170)+(4*MATERIALES!$C$174)</f>
        <v>190.6944</v>
      </c>
      <c r="Q96" s="75"/>
      <c r="R96" s="55">
        <f>((M96/2)*N96)*MATERIALES!$C$169</f>
        <v>1638</v>
      </c>
      <c r="S96" s="59">
        <f t="shared" si="12"/>
        <v>3762.8448000000003</v>
      </c>
      <c r="T96" s="124">
        <f>(SUM(O96:Q96)*$O$89)+(R96*$S$89)</f>
        <v>6250.7827200000002</v>
      </c>
    </row>
    <row r="97" spans="1:20" hidden="1">
      <c r="A97" s="69">
        <v>0.8</v>
      </c>
      <c r="B97" s="69">
        <v>0.8</v>
      </c>
      <c r="C97" s="59">
        <f>(((A97)+(B97*2))*MATERIALES!$C$16)*MATERIALES!$F$2</f>
        <v>489.04128000000009</v>
      </c>
      <c r="D97" s="59">
        <f>(16*MATERIALES!$C$145)+(2*MATERIALES!$C$172)+(2*MATERIALES!$C$173)+(4*MATERIALES!$C$171)+(((A97)+(B97*2))*MATERIALES!$C$170)</f>
        <v>125.0912</v>
      </c>
      <c r="E97" s="75"/>
      <c r="F97" s="55">
        <f>((A97/2)*B97)*MATERIALES!$C$169</f>
        <v>262.08000000000004</v>
      </c>
      <c r="G97" s="59">
        <f t="shared" si="13"/>
        <v>876.21248000000014</v>
      </c>
      <c r="H97" s="124">
        <f t="shared" ref="H97:H146" si="14">(SUM(C97:E97)*$C$89)+(F97*$G$89)</f>
        <v>1383.9454720000003</v>
      </c>
      <c r="M97" s="69">
        <v>2.4</v>
      </c>
      <c r="N97" s="69">
        <v>2</v>
      </c>
      <c r="O97" s="59">
        <f>((((M97)+(N97*2))*MATERIALES!$C$16)+(M97*MATERIALES!$C$17))*MATERIALES!$F$2</f>
        <v>2157.9667200000004</v>
      </c>
      <c r="P97" s="59">
        <f>(16*MATERIALES!$C$145)+(2*MATERIALES!$C$172)+(2*MATERIALES!$C$173)+(4*MATERIALES!$C$171)+(((M97*2)+(N97*2))*MATERIALES!$C$170)+(4*MATERIALES!$C$174)</f>
        <v>197.72480000000002</v>
      </c>
      <c r="Q97" s="75"/>
      <c r="R97" s="55">
        <f>((M97/2)*N97)*MATERIALES!$C$169</f>
        <v>1965.6</v>
      </c>
      <c r="S97" s="59">
        <f t="shared" si="12"/>
        <v>4321.2915200000007</v>
      </c>
      <c r="T97" s="124">
        <f t="shared" ref="T97:T98" si="15">(SUM(O97:Q97)*$O$89)+(R97*$S$89)</f>
        <v>7229.1681280000003</v>
      </c>
    </row>
    <row r="98" spans="1:20" hidden="1">
      <c r="A98" s="69">
        <v>1</v>
      </c>
      <c r="B98" s="69">
        <v>0.4</v>
      </c>
      <c r="C98" s="59">
        <f>(((A98)+(B98*2))*MATERIALES!$C$16)*MATERIALES!$F$2</f>
        <v>366.78095999999999</v>
      </c>
      <c r="D98" s="59">
        <f>(16*MATERIALES!$C$145)+(2*MATERIALES!$C$172)+(2*MATERIALES!$C$173)+(4*MATERIALES!$C$171)+(((A98)+(B98*2))*MATERIALES!$C$170)</f>
        <v>119.8184</v>
      </c>
      <c r="E98" s="75"/>
      <c r="F98" s="55">
        <f>((A98/2)*B98)*MATERIALES!$C$169</f>
        <v>163.80000000000001</v>
      </c>
      <c r="G98" s="59">
        <f t="shared" si="13"/>
        <v>650.39936</v>
      </c>
      <c r="H98" s="124">
        <f t="shared" si="14"/>
        <v>1008.839104</v>
      </c>
      <c r="M98" s="69">
        <v>2.4</v>
      </c>
      <c r="N98" s="69">
        <v>2</v>
      </c>
      <c r="O98" s="59">
        <f>((((M98)+(N98*2))*MATERIALES!$C$16)+(M98*MATERIALES!$C$17))*MATERIALES!$F$2</f>
        <v>2157.9667200000004</v>
      </c>
      <c r="P98" s="59">
        <f>(16*MATERIALES!$C$145)+(2*MATERIALES!$C$172)+(2*MATERIALES!$C$173)+(4*MATERIALES!$C$171)+(((M98*2)+(N98*2))*MATERIALES!$C$170)+(4*MATERIALES!$C$174)</f>
        <v>197.72480000000002</v>
      </c>
      <c r="Q98" s="75"/>
      <c r="R98" s="55">
        <f>((M98/2)*N98)*MATERIALES!$C$169</f>
        <v>1965.6</v>
      </c>
      <c r="S98" s="59">
        <f t="shared" si="12"/>
        <v>4321.2915200000007</v>
      </c>
      <c r="T98" s="124">
        <f t="shared" si="15"/>
        <v>7229.1681280000003</v>
      </c>
    </row>
    <row r="99" spans="1:20" hidden="1">
      <c r="A99" s="69">
        <v>1</v>
      </c>
      <c r="B99" s="69">
        <v>0.6</v>
      </c>
      <c r="C99" s="59">
        <f>(((A99)+(B99*2))*MATERIALES!$C$16)*MATERIALES!$F$2</f>
        <v>448.28784000000007</v>
      </c>
      <c r="D99" s="59">
        <f>(16*MATERIALES!$C$145)+(2*MATERIALES!$C$172)+(2*MATERIALES!$C$173)+(4*MATERIALES!$C$171)+(((A99)+(B99*2))*MATERIALES!$C$170)</f>
        <v>123.3336</v>
      </c>
      <c r="E99" s="75"/>
      <c r="F99" s="55">
        <f>((A99/2)*B99)*MATERIALES!$C$169</f>
        <v>245.7</v>
      </c>
      <c r="G99" s="59">
        <f t="shared" si="13"/>
        <v>817.32144000000017</v>
      </c>
      <c r="H99" s="124">
        <f t="shared" si="14"/>
        <v>1291.670016</v>
      </c>
    </row>
    <row r="100" spans="1:20" ht="15.75" hidden="1" thickBot="1">
      <c r="A100" s="69">
        <v>1</v>
      </c>
      <c r="B100" s="69">
        <v>0.8</v>
      </c>
      <c r="C100" s="59">
        <f>(((A100)+(B100*2))*MATERIALES!$C$16)*MATERIALES!$F$2</f>
        <v>529.79471999999998</v>
      </c>
      <c r="D100" s="59">
        <f>(16*MATERIALES!$C$145)+(2*MATERIALES!$C$172)+(2*MATERIALES!$C$173)+(4*MATERIALES!$C$171)+(((A100)+(B100*2))*MATERIALES!$C$170)</f>
        <v>126.8488</v>
      </c>
      <c r="E100" s="75"/>
      <c r="F100" s="55">
        <f>((A100/2)*B100)*MATERIALES!$C$169</f>
        <v>327.60000000000002</v>
      </c>
      <c r="G100" s="59">
        <f t="shared" si="13"/>
        <v>984.24351999999999</v>
      </c>
      <c r="H100" s="124">
        <f t="shared" si="14"/>
        <v>1574.5009279999999</v>
      </c>
    </row>
    <row r="101" spans="1:20" ht="15.75" hidden="1" thickBot="1">
      <c r="A101" s="69">
        <v>1</v>
      </c>
      <c r="B101" s="69">
        <v>1</v>
      </c>
      <c r="C101" s="59">
        <f>(((A101)+(B101*2))*MATERIALES!$C$16)*MATERIALES!$F$2</f>
        <v>611.30160000000012</v>
      </c>
      <c r="D101" s="59">
        <f>(16*MATERIALES!$C$145)+(2*MATERIALES!$C$172)+(2*MATERIALES!$C$173)+(4*MATERIALES!$C$171)+(((A101)+(B101*2))*MATERIALES!$C$170)</f>
        <v>130.364</v>
      </c>
      <c r="E101" s="75"/>
      <c r="F101" s="55">
        <f>((A101/2)*B101)*MATERIALES!$C$169</f>
        <v>409.5</v>
      </c>
      <c r="G101" s="59">
        <f t="shared" si="13"/>
        <v>1151.1656000000003</v>
      </c>
      <c r="H101" s="124">
        <f t="shared" si="14"/>
        <v>1857.3318400000001</v>
      </c>
      <c r="O101" s="807">
        <v>1.4</v>
      </c>
      <c r="P101" s="808"/>
      <c r="Q101" s="808"/>
      <c r="R101" s="809"/>
      <c r="S101" s="32">
        <v>2</v>
      </c>
      <c r="T101" s="46" t="s">
        <v>163</v>
      </c>
    </row>
    <row r="102" spans="1:20" ht="15.75" hidden="1" thickBot="1">
      <c r="A102" s="69">
        <v>1</v>
      </c>
      <c r="B102" s="69">
        <v>1.1000000000000001</v>
      </c>
      <c r="C102" s="59">
        <f>(((A102)+(B102*2))*MATERIALES!$C$16)*MATERIALES!$F$2</f>
        <v>652.05504000000008</v>
      </c>
      <c r="D102" s="59">
        <f>(16*MATERIALES!$C$145)+(2*MATERIALES!$C$172)+(2*MATERIALES!$C$173)+(4*MATERIALES!$C$171)+(((A102)+(B102*2))*MATERIALES!$C$170)</f>
        <v>132.1216</v>
      </c>
      <c r="E102" s="75"/>
      <c r="F102" s="55">
        <f>((A102/2)*B102)*MATERIALES!$C$169</f>
        <v>450.45000000000005</v>
      </c>
      <c r="G102" s="59">
        <f t="shared" si="13"/>
        <v>1234.6266400000002</v>
      </c>
      <c r="H102" s="124">
        <f t="shared" si="14"/>
        <v>1998.7472960000002</v>
      </c>
      <c r="M102" s="792" t="s">
        <v>237</v>
      </c>
      <c r="N102" s="793"/>
      <c r="O102" s="793"/>
      <c r="P102" s="793"/>
      <c r="Q102" s="793"/>
      <c r="R102" s="793"/>
      <c r="S102" s="793"/>
      <c r="T102" s="794"/>
    </row>
    <row r="103" spans="1:20" ht="15.75" hidden="1" thickBot="1">
      <c r="A103" s="69">
        <v>1</v>
      </c>
      <c r="B103" s="69">
        <v>1.2</v>
      </c>
      <c r="C103" s="59">
        <f>(((A103)+(B103*2))*MATERIALES!$C$16)*MATERIALES!$F$2</f>
        <v>692.80848000000003</v>
      </c>
      <c r="D103" s="59">
        <f>(16*MATERIALES!$C$145)+(2*MATERIALES!$C$172)+(2*MATERIALES!$C$173)+(4*MATERIALES!$C$171)+(((A103)+(B103*2))*MATERIALES!$C$170)</f>
        <v>133.8792</v>
      </c>
      <c r="E103" s="75"/>
      <c r="F103" s="55">
        <f>((A103/2)*B103)*MATERIALES!$C$169</f>
        <v>491.4</v>
      </c>
      <c r="G103" s="59">
        <f t="shared" si="13"/>
        <v>1318.0876800000001</v>
      </c>
      <c r="H103" s="124">
        <f t="shared" si="14"/>
        <v>2140.1627520000002</v>
      </c>
      <c r="M103" s="36" t="s">
        <v>116</v>
      </c>
      <c r="N103" s="36" t="s">
        <v>117</v>
      </c>
      <c r="O103" s="36" t="s">
        <v>162</v>
      </c>
      <c r="P103" s="36" t="s">
        <v>119</v>
      </c>
      <c r="Q103" s="36" t="s">
        <v>120</v>
      </c>
      <c r="R103" s="36" t="s">
        <v>238</v>
      </c>
      <c r="S103" s="36" t="s">
        <v>121</v>
      </c>
      <c r="T103" s="36" t="s">
        <v>122</v>
      </c>
    </row>
    <row r="104" spans="1:20" hidden="1">
      <c r="A104" s="69">
        <v>1</v>
      </c>
      <c r="B104" s="69">
        <v>1.5</v>
      </c>
      <c r="C104" s="59">
        <f>(((A104)+(B104*2))*MATERIALES!$C$16)*MATERIALES!$F$2</f>
        <v>815.06880000000001</v>
      </c>
      <c r="D104" s="59">
        <f>(16*MATERIALES!$C$145)+(2*MATERIALES!$C$172)+(2*MATERIALES!$C$173)+(4*MATERIALES!$C$171)+(((A104)+(B104*2))*MATERIALES!$C$170)</f>
        <v>139.15199999999999</v>
      </c>
      <c r="E104" s="75"/>
      <c r="F104" s="55">
        <f>((A104/2)*B104)*MATERIALES!$C$169</f>
        <v>614.25</v>
      </c>
      <c r="G104" s="59">
        <f t="shared" si="13"/>
        <v>1568.4708000000001</v>
      </c>
      <c r="H104" s="124">
        <f t="shared" si="14"/>
        <v>2564.4091200000003</v>
      </c>
      <c r="M104" s="795"/>
      <c r="N104" s="796"/>
      <c r="O104" s="796"/>
      <c r="P104" s="796"/>
      <c r="Q104" s="796"/>
      <c r="R104" s="796"/>
      <c r="S104" s="796"/>
      <c r="T104" s="797"/>
    </row>
    <row r="105" spans="1:20" hidden="1">
      <c r="A105" s="69">
        <v>1.2</v>
      </c>
      <c r="B105" s="69">
        <v>0.4</v>
      </c>
      <c r="C105" s="59">
        <f>(((A105)+(B105*2))*MATERIALES!$C$16)*MATERIALES!$F$2</f>
        <v>407.53440000000001</v>
      </c>
      <c r="D105" s="59">
        <f>(16*MATERIALES!$C$145)+(2*MATERIALES!$C$172)+(2*MATERIALES!$C$173)+(4*MATERIALES!$C$171)+(((A105)+(B105*2))*MATERIALES!$C$170)</f>
        <v>121.57599999999999</v>
      </c>
      <c r="E105" s="75"/>
      <c r="F105" s="55">
        <f>((A105/2)*B105)*MATERIALES!$C$169</f>
        <v>196.56</v>
      </c>
      <c r="G105" s="59">
        <f t="shared" si="13"/>
        <v>725.67039999999997</v>
      </c>
      <c r="H105" s="124">
        <f t="shared" si="14"/>
        <v>1133.87456</v>
      </c>
      <c r="M105" s="69">
        <v>0.6</v>
      </c>
      <c r="N105" s="69">
        <v>0.4</v>
      </c>
      <c r="O105" s="59">
        <f>(((M105)+(N105*2))*MATERIALES!$C$16)*MATERIALES!$F$2</f>
        <v>285.27407999999997</v>
      </c>
      <c r="P105" s="59">
        <f>(16*MATERIALES!$C$145)+(2*MATERIALES!$C$172)+(2*MATERIALES!$C$173)+(4*MATERIALES!$C$171)+(((M105)+(N105*2))*MATERIALES!$C$170)</f>
        <v>116.3032</v>
      </c>
      <c r="Q105" s="75"/>
      <c r="R105" s="55">
        <f>((M105/2)*N105)*MATERIALES!$C$169</f>
        <v>98.28</v>
      </c>
      <c r="S105" s="59">
        <f>SUM(O105:R105)</f>
        <v>499.85727999999995</v>
      </c>
      <c r="T105" s="124">
        <f>(SUM(O105:Q105)*$O$101)+(R105*$S$101)</f>
        <v>758.768192</v>
      </c>
    </row>
    <row r="106" spans="1:20" hidden="1">
      <c r="A106" s="69">
        <v>1.2</v>
      </c>
      <c r="B106" s="69">
        <v>0.6</v>
      </c>
      <c r="C106" s="59">
        <f>(((A106)+(B106*2))*MATERIALES!$C$16)*MATERIALES!$F$2</f>
        <v>489.04128000000003</v>
      </c>
      <c r="D106" s="59">
        <f>(16*MATERIALES!$C$145)+(2*MATERIALES!$C$172)+(2*MATERIALES!$C$173)+(4*MATERIALES!$C$171)+(((A106)+(B106*2))*MATERIALES!$C$170)</f>
        <v>125.0912</v>
      </c>
      <c r="E106" s="75"/>
      <c r="F106" s="55">
        <f>((A106/2)*B106)*MATERIALES!$C$169</f>
        <v>294.83999999999997</v>
      </c>
      <c r="G106" s="59">
        <f t="shared" si="13"/>
        <v>908.9724799999999</v>
      </c>
      <c r="H106" s="124">
        <f t="shared" si="14"/>
        <v>1449.4654719999999</v>
      </c>
      <c r="M106" s="69">
        <v>0.6</v>
      </c>
      <c r="N106" s="69">
        <v>0.6</v>
      </c>
      <c r="O106" s="59">
        <f>(((M106)+(N106*2))*MATERIALES!$C$16)*MATERIALES!$F$2</f>
        <v>366.78095999999999</v>
      </c>
      <c r="P106" s="59">
        <f>(16*MATERIALES!$C$145)+(2*MATERIALES!$C$172)+(2*MATERIALES!$C$173)+(4*MATERIALES!$C$171)+(((M106)+(N106*2))*MATERIALES!$C$170)</f>
        <v>119.8184</v>
      </c>
      <c r="Q106" s="75"/>
      <c r="R106" s="55">
        <f>((M106/2)*N106)*MATERIALES!$C$169</f>
        <v>147.41999999999999</v>
      </c>
      <c r="S106" s="59">
        <f>SUM(O106:R106)</f>
        <v>634.01936000000001</v>
      </c>
      <c r="T106" s="124">
        <f t="shared" ref="T106:T124" si="16">(SUM(O106:Q106)*$O$101)+(R106*$S$101)</f>
        <v>976.07910399999992</v>
      </c>
    </row>
    <row r="107" spans="1:20" hidden="1">
      <c r="A107" s="69">
        <v>1.2</v>
      </c>
      <c r="B107" s="69">
        <v>0.8</v>
      </c>
      <c r="C107" s="59">
        <f>(((A107)+(B107*2))*MATERIALES!$C$16)*MATERIALES!$F$2</f>
        <v>570.54815999999994</v>
      </c>
      <c r="D107" s="59">
        <f>(16*MATERIALES!$C$145)+(2*MATERIALES!$C$172)+(2*MATERIALES!$C$173)+(4*MATERIALES!$C$171)+(((A107)+(B107*2))*MATERIALES!$C$170)</f>
        <v>128.60640000000001</v>
      </c>
      <c r="E107" s="75"/>
      <c r="F107" s="55">
        <f>((A107/2)*B107)*MATERIALES!$C$169</f>
        <v>393.12</v>
      </c>
      <c r="G107" s="59">
        <f t="shared" si="13"/>
        <v>1092.2745599999998</v>
      </c>
      <c r="H107" s="124">
        <f t="shared" si="14"/>
        <v>1765.056384</v>
      </c>
      <c r="M107" s="69">
        <v>0.6</v>
      </c>
      <c r="N107" s="69">
        <v>0.8</v>
      </c>
      <c r="O107" s="59">
        <f>(((M107)+(N107*2))*MATERIALES!$C$16)*MATERIALES!$F$2</f>
        <v>448.28784000000007</v>
      </c>
      <c r="P107" s="59">
        <f>(16*MATERIALES!$C$145)+(2*MATERIALES!$C$172)+(2*MATERIALES!$C$173)+(4*MATERIALES!$C$171)+(((M107)+(N107*2))*MATERIALES!$C$170)</f>
        <v>123.3336</v>
      </c>
      <c r="Q107" s="75"/>
      <c r="R107" s="55">
        <f>((M107/2)*N107)*MATERIALES!$C$169</f>
        <v>196.56</v>
      </c>
      <c r="S107" s="59">
        <f t="shared" ref="S107:S124" si="17">SUM(O107:R107)</f>
        <v>768.18144000000007</v>
      </c>
      <c r="T107" s="124">
        <f t="shared" si="16"/>
        <v>1193.3900160000003</v>
      </c>
    </row>
    <row r="108" spans="1:20" hidden="1">
      <c r="A108" s="69">
        <v>1.2</v>
      </c>
      <c r="B108" s="69">
        <v>1</v>
      </c>
      <c r="C108" s="59">
        <f>(((A108)+(B108*2))*MATERIALES!$C$16)*MATERIALES!$F$2</f>
        <v>652.05504000000008</v>
      </c>
      <c r="D108" s="59">
        <f>(16*MATERIALES!$C$145)+(2*MATERIALES!$C$172)+(2*MATERIALES!$C$173)+(4*MATERIALES!$C$171)+(((A108)+(B108*2))*MATERIALES!$C$170)</f>
        <v>132.1216</v>
      </c>
      <c r="E108" s="75"/>
      <c r="F108" s="55">
        <f>((A108/2)*B108)*MATERIALES!$C$169</f>
        <v>491.4</v>
      </c>
      <c r="G108" s="59">
        <f t="shared" si="13"/>
        <v>1275.5766400000002</v>
      </c>
      <c r="H108" s="124">
        <f t="shared" si="14"/>
        <v>2080.6472960000001</v>
      </c>
      <c r="M108" s="69">
        <v>0.6</v>
      </c>
      <c r="N108" s="69">
        <v>1</v>
      </c>
      <c r="O108" s="59">
        <f>(((M108)+(N108*2))*MATERIALES!$C$16)*MATERIALES!$F$2</f>
        <v>529.79471999999998</v>
      </c>
      <c r="P108" s="59">
        <f>(16*MATERIALES!$C$145)+(2*MATERIALES!$C$172)+(2*MATERIALES!$C$173)+(4*MATERIALES!$C$171)+(((M108)+(N108*2))*MATERIALES!$C$170)</f>
        <v>126.8488</v>
      </c>
      <c r="Q108" s="75"/>
      <c r="R108" s="55">
        <f>((M108/2)*N108)*MATERIALES!$C$169</f>
        <v>245.7</v>
      </c>
      <c r="S108" s="59">
        <f t="shared" si="17"/>
        <v>902.3435199999999</v>
      </c>
      <c r="T108" s="124">
        <f t="shared" si="16"/>
        <v>1410.7009279999997</v>
      </c>
    </row>
    <row r="109" spans="1:20" hidden="1">
      <c r="A109" s="69">
        <v>1.2</v>
      </c>
      <c r="B109" s="69">
        <v>1.1000000000000001</v>
      </c>
      <c r="C109" s="59">
        <f>(((A109)+(B109*2))*MATERIALES!$C$16)*MATERIALES!$F$2</f>
        <v>692.80848000000015</v>
      </c>
      <c r="D109" s="59">
        <f>(16*MATERIALES!$C$145)+(2*MATERIALES!$C$172)+(2*MATERIALES!$C$173)+(4*MATERIALES!$C$171)+(((A109)+(B109*2))*MATERIALES!$C$170)</f>
        <v>133.8792</v>
      </c>
      <c r="E109" s="75"/>
      <c r="F109" s="55">
        <f>((A109/2)*B109)*MATERIALES!$C$169</f>
        <v>540.54000000000008</v>
      </c>
      <c r="G109" s="59">
        <f t="shared" si="13"/>
        <v>1367.2276800000002</v>
      </c>
      <c r="H109" s="124">
        <f t="shared" si="14"/>
        <v>2238.4427519999999</v>
      </c>
      <c r="M109" s="69">
        <v>0.6</v>
      </c>
      <c r="N109" s="69">
        <v>1.2</v>
      </c>
      <c r="O109" s="59">
        <f>(((M109)+(N109*2))*MATERIALES!$C$16)*MATERIALES!$F$2</f>
        <v>611.30160000000012</v>
      </c>
      <c r="P109" s="59">
        <f>(16*MATERIALES!$C$145)+(2*MATERIALES!$C$172)+(2*MATERIALES!$C$173)+(4*MATERIALES!$C$171)+(((M109)+(N109*2))*MATERIALES!$C$170)</f>
        <v>130.364</v>
      </c>
      <c r="Q109" s="75"/>
      <c r="R109" s="55">
        <f>((M109/2)*N109)*MATERIALES!$C$169</f>
        <v>294.83999999999997</v>
      </c>
      <c r="S109" s="59">
        <f t="shared" si="17"/>
        <v>1036.5056000000002</v>
      </c>
      <c r="T109" s="124">
        <f t="shared" si="16"/>
        <v>1628.0118400000001</v>
      </c>
    </row>
    <row r="110" spans="1:20" hidden="1">
      <c r="A110" s="69">
        <v>1.2</v>
      </c>
      <c r="B110" s="69">
        <v>1.2</v>
      </c>
      <c r="C110" s="59">
        <f>(((A110)+(B110*2))*MATERIALES!$C$16)*MATERIALES!$F$2</f>
        <v>733.56191999999999</v>
      </c>
      <c r="D110" s="59">
        <f>(16*MATERIALES!$C$145)+(2*MATERIALES!$C$172)+(2*MATERIALES!$C$173)+(4*MATERIALES!$C$171)+(((A110)+(B110*2))*MATERIALES!$C$170)</f>
        <v>135.63679999999999</v>
      </c>
      <c r="E110" s="75"/>
      <c r="F110" s="55">
        <f>((A110/2)*B110)*MATERIALES!$C$169</f>
        <v>589.67999999999995</v>
      </c>
      <c r="G110" s="59">
        <f t="shared" si="13"/>
        <v>1458.8787199999999</v>
      </c>
      <c r="H110" s="124">
        <f t="shared" si="14"/>
        <v>2396.2382079999998</v>
      </c>
      <c r="M110" s="69">
        <v>0.8</v>
      </c>
      <c r="N110" s="69">
        <v>0.4</v>
      </c>
      <c r="O110" s="59">
        <f>(((M110)+(N110*2))*MATERIALES!$C$16)*MATERIALES!$F$2</f>
        <v>326.02752000000004</v>
      </c>
      <c r="P110" s="59">
        <f>(16*MATERIALES!$C$145)+(2*MATERIALES!$C$172)+(2*MATERIALES!$C$173)+(4*MATERIALES!$C$171)+(((M110)+(N110*2))*MATERIALES!$C$170)</f>
        <v>118.0608</v>
      </c>
      <c r="Q110" s="75"/>
      <c r="R110" s="55">
        <f>((M110/2)*N110)*MATERIALES!$C$169</f>
        <v>131.04000000000002</v>
      </c>
      <c r="S110" s="59">
        <f t="shared" si="17"/>
        <v>575.12832000000003</v>
      </c>
      <c r="T110" s="124">
        <f t="shared" si="16"/>
        <v>883.80364800000007</v>
      </c>
    </row>
    <row r="111" spans="1:20" hidden="1">
      <c r="A111" s="69">
        <v>1.2</v>
      </c>
      <c r="B111" s="69">
        <v>1.5</v>
      </c>
      <c r="C111" s="59">
        <f>(((A111)+(B111*2))*MATERIALES!$C$16)*MATERIALES!$F$2</f>
        <v>855.82224000000008</v>
      </c>
      <c r="D111" s="59">
        <f>(16*MATERIALES!$C$145)+(2*MATERIALES!$C$172)+(2*MATERIALES!$C$173)+(4*MATERIALES!$C$171)+(((A111)+(B111*2))*MATERIALES!$C$170)</f>
        <v>140.90960000000001</v>
      </c>
      <c r="E111" s="75"/>
      <c r="F111" s="55">
        <f>((A111/2)*B111)*MATERIALES!$C$169</f>
        <v>737.09999999999991</v>
      </c>
      <c r="G111" s="59">
        <f t="shared" si="13"/>
        <v>1733.8318400000001</v>
      </c>
      <c r="H111" s="124">
        <f t="shared" si="14"/>
        <v>2869.6245760000002</v>
      </c>
      <c r="M111" s="69">
        <v>0.8</v>
      </c>
      <c r="N111" s="69">
        <v>0.8</v>
      </c>
      <c r="O111" s="59">
        <f>(((M111)+(N111*2))*MATERIALES!$C$16)*MATERIALES!$F$2</f>
        <v>489.04128000000009</v>
      </c>
      <c r="P111" s="59">
        <f>(16*MATERIALES!$C$145)+(2*MATERIALES!$C$172)+(2*MATERIALES!$C$173)+(4*MATERIALES!$C$171)+(((M111)+(N111*2))*MATERIALES!$C$170)</f>
        <v>125.0912</v>
      </c>
      <c r="Q111" s="75"/>
      <c r="R111" s="55">
        <f>((M111/2)*N111)*MATERIALES!$C$169</f>
        <v>262.08000000000004</v>
      </c>
      <c r="S111" s="59">
        <f t="shared" si="17"/>
        <v>876.21248000000014</v>
      </c>
      <c r="T111" s="124">
        <f>(SUM(O111:Q111)*$O$101)+(R111*$S$101)</f>
        <v>1383.9454720000003</v>
      </c>
    </row>
    <row r="112" spans="1:20" hidden="1">
      <c r="A112" s="69">
        <v>1.2</v>
      </c>
      <c r="B112" s="69">
        <v>1.8</v>
      </c>
      <c r="C112" s="59">
        <f>(((A112)+(B112*2))*MATERIALES!$C$16)*MATERIALES!$F$2</f>
        <v>978.08256000000006</v>
      </c>
      <c r="D112" s="59">
        <f>(16*MATERIALES!$C$145)+(2*MATERIALES!$C$172)+(2*MATERIALES!$C$173)+(4*MATERIALES!$C$171)+(((A112)+(B112*2))*MATERIALES!$C$170)</f>
        <v>146.1824</v>
      </c>
      <c r="E112" s="75"/>
      <c r="F112" s="55">
        <f>((A112/2)*B112)*MATERIALES!$C$169</f>
        <v>884.5200000000001</v>
      </c>
      <c r="G112" s="59">
        <f t="shared" si="13"/>
        <v>2008.78496</v>
      </c>
      <c r="H112" s="124">
        <f t="shared" si="14"/>
        <v>3343.0109440000001</v>
      </c>
      <c r="M112" s="69">
        <v>0.8</v>
      </c>
      <c r="N112" s="69">
        <v>1</v>
      </c>
      <c r="O112" s="59">
        <f>(((M112)+(N112*2))*MATERIALES!$C$16)*MATERIALES!$F$2</f>
        <v>570.54815999999994</v>
      </c>
      <c r="P112" s="59">
        <f>(16*MATERIALES!$C$145)+(2*MATERIALES!$C$172)+(2*MATERIALES!$C$173)+(4*MATERIALES!$C$171)+(((M112)+(N112*2))*MATERIALES!$C$170)</f>
        <v>128.60640000000001</v>
      </c>
      <c r="Q112" s="75"/>
      <c r="R112" s="55">
        <f>((M112/2)*N112)*MATERIALES!$C$169</f>
        <v>327.60000000000002</v>
      </c>
      <c r="S112" s="59">
        <f t="shared" si="17"/>
        <v>1026.7545599999999</v>
      </c>
      <c r="T112" s="124">
        <f t="shared" si="16"/>
        <v>1634.016384</v>
      </c>
    </row>
    <row r="113" spans="1:20" hidden="1">
      <c r="A113" s="69">
        <v>1.5</v>
      </c>
      <c r="B113" s="69">
        <v>0.4</v>
      </c>
      <c r="C113" s="59">
        <f>(((A113)+(B113*2))*MATERIALES!$C$16)*MATERIALES!$F$2</f>
        <v>468.66455999999999</v>
      </c>
      <c r="D113" s="59">
        <f>(16*MATERIALES!$C$145)+(2*MATERIALES!$C$172)+(2*MATERIALES!$C$173)+(4*MATERIALES!$C$171)+(((A113)+(B113*2))*MATERIALES!$C$170)</f>
        <v>124.2124</v>
      </c>
      <c r="E113" s="75"/>
      <c r="F113" s="55">
        <f>((A113/2)*B113)*MATERIALES!$C$169</f>
        <v>245.70000000000005</v>
      </c>
      <c r="G113" s="59">
        <f t="shared" si="13"/>
        <v>838.5769600000001</v>
      </c>
      <c r="H113" s="124">
        <f t="shared" si="14"/>
        <v>1321.4277440000001</v>
      </c>
      <c r="M113" s="69">
        <v>0.8</v>
      </c>
      <c r="N113" s="69">
        <v>1.2</v>
      </c>
      <c r="O113" s="59">
        <f>(((M113)+(N113*2))*MATERIALES!$C$16)*MATERIALES!$F$2</f>
        <v>652.05504000000008</v>
      </c>
      <c r="P113" s="59">
        <f>(16*MATERIALES!$C$145)+(2*MATERIALES!$C$172)+(2*MATERIALES!$C$173)+(4*MATERIALES!$C$171)+(((M113)+(N113*2))*MATERIALES!$C$170)</f>
        <v>132.1216</v>
      </c>
      <c r="Q113" s="75"/>
      <c r="R113" s="55">
        <f>((M113/2)*N113)*MATERIALES!$C$169</f>
        <v>393.12</v>
      </c>
      <c r="S113" s="59">
        <f t="shared" si="17"/>
        <v>1177.29664</v>
      </c>
      <c r="T113" s="124">
        <f t="shared" si="16"/>
        <v>1884.0872960000002</v>
      </c>
    </row>
    <row r="114" spans="1:20" hidden="1">
      <c r="A114" s="69">
        <v>1.5</v>
      </c>
      <c r="B114" s="69">
        <v>0.6</v>
      </c>
      <c r="C114" s="59">
        <f>(((A114)+(B114*2))*MATERIALES!$C$16)*MATERIALES!$F$2</f>
        <v>550.17144000000008</v>
      </c>
      <c r="D114" s="59">
        <f>(16*MATERIALES!$C$145)+(2*MATERIALES!$C$172)+(2*MATERIALES!$C$173)+(4*MATERIALES!$C$171)+(((A114)+(B114*2))*MATERIALES!$C$170)</f>
        <v>127.7276</v>
      </c>
      <c r="E114" s="75"/>
      <c r="F114" s="55">
        <f>((A114/2)*B114)*MATERIALES!$C$169</f>
        <v>368.54999999999995</v>
      </c>
      <c r="G114" s="59">
        <f t="shared" si="13"/>
        <v>1046.44904</v>
      </c>
      <c r="H114" s="124">
        <f t="shared" si="14"/>
        <v>1686.1586559999998</v>
      </c>
      <c r="M114" s="69">
        <v>0.8</v>
      </c>
      <c r="N114" s="69">
        <v>1.5</v>
      </c>
      <c r="O114" s="59">
        <f>(((M114)+(N114*2))*MATERIALES!$C$16)*MATERIALES!$F$2</f>
        <v>774.31536000000006</v>
      </c>
      <c r="P114" s="59">
        <f>(16*MATERIALES!$C$145)+(2*MATERIALES!$C$172)+(2*MATERIALES!$C$173)+(4*MATERIALES!$C$171)+(((M114)+(N114*2))*MATERIALES!$C$170)</f>
        <v>137.39439999999999</v>
      </c>
      <c r="Q114" s="75"/>
      <c r="R114" s="55">
        <f>((M114/2)*N114)*MATERIALES!$C$169</f>
        <v>491.40000000000009</v>
      </c>
      <c r="S114" s="59">
        <f t="shared" si="17"/>
        <v>1403.1097600000003</v>
      </c>
      <c r="T114" s="124">
        <f t="shared" si="16"/>
        <v>2259.1936640000004</v>
      </c>
    </row>
    <row r="115" spans="1:20" hidden="1">
      <c r="A115" s="69">
        <v>1.5</v>
      </c>
      <c r="B115" s="69">
        <v>0.8</v>
      </c>
      <c r="C115" s="59">
        <f>(((A115)+(B115*2))*MATERIALES!$C$16)*MATERIALES!$F$2</f>
        <v>631.6783200000001</v>
      </c>
      <c r="D115" s="59">
        <f>(16*MATERIALES!$C$145)+(2*MATERIALES!$C$172)+(2*MATERIALES!$C$173)+(4*MATERIALES!$C$171)+(((A115)+(B115*2))*MATERIALES!$C$170)</f>
        <v>131.24279999999999</v>
      </c>
      <c r="E115" s="75"/>
      <c r="F115" s="55">
        <f>((A115/2)*B115)*MATERIALES!$C$169</f>
        <v>491.40000000000009</v>
      </c>
      <c r="G115" s="59">
        <f t="shared" si="13"/>
        <v>1254.3211200000001</v>
      </c>
      <c r="H115" s="124">
        <f t="shared" si="14"/>
        <v>2050.8895680000005</v>
      </c>
      <c r="M115" s="69">
        <v>1</v>
      </c>
      <c r="N115" s="69">
        <v>0.6</v>
      </c>
      <c r="O115" s="59">
        <f>(((M115)+(N115*2))*MATERIALES!$C$16)*MATERIALES!$F$2</f>
        <v>448.28784000000007</v>
      </c>
      <c r="P115" s="59">
        <f>(16*MATERIALES!$C$145)+(2*MATERIALES!$C$172)+(2*MATERIALES!$C$173)+(4*MATERIALES!$C$171)+(((M115)+(N115*2))*MATERIALES!$C$170)</f>
        <v>123.3336</v>
      </c>
      <c r="Q115" s="75"/>
      <c r="R115" s="55">
        <f>((M115/2)*N115)*MATERIALES!$C$169</f>
        <v>245.7</v>
      </c>
      <c r="S115" s="59">
        <f t="shared" si="17"/>
        <v>817.32144000000017</v>
      </c>
      <c r="T115" s="124">
        <f t="shared" si="16"/>
        <v>1291.670016</v>
      </c>
    </row>
    <row r="116" spans="1:20" hidden="1">
      <c r="A116" s="69">
        <v>1.5</v>
      </c>
      <c r="B116" s="69">
        <v>1</v>
      </c>
      <c r="C116" s="59">
        <f>(((A116)+(B116*2))*MATERIALES!$C$16)*MATERIALES!$F$2</f>
        <v>713.18520000000001</v>
      </c>
      <c r="D116" s="59">
        <f>(16*MATERIALES!$C$145)+(2*MATERIALES!$C$172)+(2*MATERIALES!$C$173)+(4*MATERIALES!$C$171)+(((A116)+(B116*2))*MATERIALES!$C$170)</f>
        <v>134.75800000000001</v>
      </c>
      <c r="E116" s="75"/>
      <c r="F116" s="55">
        <f>((A116/2)*B116)*MATERIALES!$C$169</f>
        <v>614.25</v>
      </c>
      <c r="G116" s="59">
        <f t="shared" si="13"/>
        <v>1462.1932000000002</v>
      </c>
      <c r="H116" s="124">
        <f t="shared" si="14"/>
        <v>2415.62048</v>
      </c>
      <c r="M116" s="69">
        <v>1</v>
      </c>
      <c r="N116" s="69">
        <v>0.8</v>
      </c>
      <c r="O116" s="59">
        <f>(((M116)+(N116*2))*MATERIALES!$C$16)*MATERIALES!$F$2</f>
        <v>529.79471999999998</v>
      </c>
      <c r="P116" s="59">
        <f>(16*MATERIALES!$C$145)+(2*MATERIALES!$C$172)+(2*MATERIALES!$C$173)+(4*MATERIALES!$C$171)+(((M116)+(N116*2))*MATERIALES!$C$170)</f>
        <v>126.8488</v>
      </c>
      <c r="Q116" s="75"/>
      <c r="R116" s="55">
        <f>((M116/2)*N116)*MATERIALES!$C$169</f>
        <v>327.60000000000002</v>
      </c>
      <c r="S116" s="59">
        <f t="shared" si="17"/>
        <v>984.24351999999999</v>
      </c>
      <c r="T116" s="124">
        <f t="shared" si="16"/>
        <v>1574.5009279999999</v>
      </c>
    </row>
    <row r="117" spans="1:20" hidden="1">
      <c r="A117" s="69">
        <v>1.5</v>
      </c>
      <c r="B117" s="69">
        <v>1.1000000000000001</v>
      </c>
      <c r="C117" s="59">
        <f>(((A117)+(B117*2))*MATERIALES!$C$16)*MATERIALES!$F$2</f>
        <v>753.93864000000008</v>
      </c>
      <c r="D117" s="59">
        <f>(16*MATERIALES!$C$145)+(2*MATERIALES!$C$172)+(2*MATERIALES!$C$173)+(4*MATERIALES!$C$171)+(((A117)+(B117*2))*MATERIALES!$C$170)</f>
        <v>136.51560000000001</v>
      </c>
      <c r="E117" s="75"/>
      <c r="F117" s="55">
        <f>((A117/2)*B117)*MATERIALES!$C$169</f>
        <v>675.67500000000007</v>
      </c>
      <c r="G117" s="59">
        <f t="shared" si="13"/>
        <v>1566.1292400000002</v>
      </c>
      <c r="H117" s="124">
        <f t="shared" si="14"/>
        <v>2597.985936</v>
      </c>
      <c r="M117" s="69">
        <v>1</v>
      </c>
      <c r="N117" s="69">
        <v>1</v>
      </c>
      <c r="O117" s="59">
        <f>(((M117)+(N117*2))*MATERIALES!$C$16)*MATERIALES!$F$2</f>
        <v>611.30160000000012</v>
      </c>
      <c r="P117" s="59">
        <f>(16*MATERIALES!$C$145)+(2*MATERIALES!$C$172)+(2*MATERIALES!$C$173)+(4*MATERIALES!$C$171)+(((M117)+(N117*2))*MATERIALES!$C$170)</f>
        <v>130.364</v>
      </c>
      <c r="Q117" s="75"/>
      <c r="R117" s="55">
        <f>((M117/2)*N117)*MATERIALES!$C$169</f>
        <v>409.5</v>
      </c>
      <c r="S117" s="59">
        <f t="shared" si="17"/>
        <v>1151.1656000000003</v>
      </c>
      <c r="T117" s="124">
        <f t="shared" si="16"/>
        <v>1857.3318400000001</v>
      </c>
    </row>
    <row r="118" spans="1:20" hidden="1">
      <c r="A118" s="69">
        <v>1.5</v>
      </c>
      <c r="B118" s="69">
        <v>1.2</v>
      </c>
      <c r="C118" s="59">
        <f>(((A118)+(B118*2))*MATERIALES!$C$16)*MATERIALES!$F$2</f>
        <v>794.69207999999992</v>
      </c>
      <c r="D118" s="59">
        <f>(16*MATERIALES!$C$145)+(2*MATERIALES!$C$172)+(2*MATERIALES!$C$173)+(4*MATERIALES!$C$171)+(((A118)+(B118*2))*MATERIALES!$C$170)</f>
        <v>138.2732</v>
      </c>
      <c r="E118" s="75"/>
      <c r="F118" s="55">
        <f>((A118/2)*B118)*MATERIALES!$C$169</f>
        <v>737.09999999999991</v>
      </c>
      <c r="G118" s="59">
        <f t="shared" si="13"/>
        <v>1670.0652799999998</v>
      </c>
      <c r="H118" s="124">
        <f t="shared" si="14"/>
        <v>2780.3513919999996</v>
      </c>
      <c r="M118" s="69">
        <v>1</v>
      </c>
      <c r="N118" s="69">
        <v>1.2</v>
      </c>
      <c r="O118" s="59">
        <f>(((M118)+(N118*2))*MATERIALES!$C$16)*MATERIALES!$F$2</f>
        <v>692.80848000000003</v>
      </c>
      <c r="P118" s="59">
        <f>(16*MATERIALES!$C$145)+(2*MATERIALES!$C$172)+(2*MATERIALES!$C$173)+(4*MATERIALES!$C$171)+(((M118)+(N118*2))*MATERIALES!$C$170)</f>
        <v>133.8792</v>
      </c>
      <c r="Q118" s="75"/>
      <c r="R118" s="55">
        <f>((M118/2)*N118)*MATERIALES!$C$169</f>
        <v>491.4</v>
      </c>
      <c r="S118" s="59">
        <f t="shared" si="17"/>
        <v>1318.0876800000001</v>
      </c>
      <c r="T118" s="124">
        <f t="shared" si="16"/>
        <v>2140.1627520000002</v>
      </c>
    </row>
    <row r="119" spans="1:20" hidden="1">
      <c r="A119" s="69">
        <v>1.5</v>
      </c>
      <c r="B119" s="69">
        <v>1.5</v>
      </c>
      <c r="C119" s="59">
        <f>(((A119)+(B119*2))*MATERIALES!$C$16)*MATERIALES!$F$2</f>
        <v>916.95240000000001</v>
      </c>
      <c r="D119" s="59">
        <f>(16*MATERIALES!$C$145)+(2*MATERIALES!$C$172)+(2*MATERIALES!$C$173)+(4*MATERIALES!$C$171)+(((A119)+(B119*2))*MATERIALES!$C$170)</f>
        <v>143.54599999999999</v>
      </c>
      <c r="E119" s="75"/>
      <c r="F119" s="55">
        <f>((A119/2)*B119)*MATERIALES!$C$169</f>
        <v>921.375</v>
      </c>
      <c r="G119" s="59">
        <f t="shared" si="13"/>
        <v>1981.8733999999999</v>
      </c>
      <c r="H119" s="124">
        <f t="shared" si="14"/>
        <v>3327.44776</v>
      </c>
      <c r="M119" s="69">
        <v>1</v>
      </c>
      <c r="N119" s="69">
        <v>1.5</v>
      </c>
      <c r="O119" s="59">
        <f>(((M119)+(N119*2))*MATERIALES!$C$16)*MATERIALES!$F$2</f>
        <v>815.06880000000001</v>
      </c>
      <c r="P119" s="59">
        <f>(16*MATERIALES!$C$145)+(2*MATERIALES!$C$172)+(2*MATERIALES!$C$173)+(4*MATERIALES!$C$171)+(((M119)+(N119*2))*MATERIALES!$C$170)</f>
        <v>139.15199999999999</v>
      </c>
      <c r="Q119" s="75"/>
      <c r="R119" s="55">
        <f>((M119/2)*N119)*MATERIALES!$C$169</f>
        <v>614.25</v>
      </c>
      <c r="S119" s="59">
        <f t="shared" si="17"/>
        <v>1568.4708000000001</v>
      </c>
      <c r="T119" s="124">
        <f t="shared" si="16"/>
        <v>2564.4091200000003</v>
      </c>
    </row>
    <row r="120" spans="1:20" hidden="1">
      <c r="A120" s="69">
        <v>1.5</v>
      </c>
      <c r="B120" s="69">
        <v>1.8</v>
      </c>
      <c r="C120" s="59">
        <f>(((A120)+(B120*2))*MATERIALES!$C$16)*MATERIALES!$F$2</f>
        <v>1039.21272</v>
      </c>
      <c r="D120" s="59">
        <f>(16*MATERIALES!$C$145)+(2*MATERIALES!$C$172)+(2*MATERIALES!$C$173)+(4*MATERIALES!$C$171)+(((A120)+(B120*2))*MATERIALES!$C$170)</f>
        <v>148.81880000000001</v>
      </c>
      <c r="E120" s="75"/>
      <c r="F120" s="55">
        <f>((A120/2)*B120)*MATERIALES!$C$169</f>
        <v>1105.6500000000001</v>
      </c>
      <c r="G120" s="59">
        <f t="shared" si="13"/>
        <v>2293.6815200000001</v>
      </c>
      <c r="H120" s="124">
        <f t="shared" si="14"/>
        <v>3874.544128</v>
      </c>
      <c r="M120" s="69">
        <v>1.2</v>
      </c>
      <c r="N120" s="69">
        <v>0.6</v>
      </c>
      <c r="O120" s="59">
        <f>(((M120)+(N120*2))*MATERIALES!$C$16)*MATERIALES!$F$2</f>
        <v>489.04128000000003</v>
      </c>
      <c r="P120" s="59">
        <f>(16*MATERIALES!$C$145)+(2*MATERIALES!$C$172)+(2*MATERIALES!$C$173)+(4*MATERIALES!$C$171)+(((M120)+(N120*2))*MATERIALES!$C$170)</f>
        <v>125.0912</v>
      </c>
      <c r="Q120" s="75"/>
      <c r="R120" s="55">
        <f>((M120/2)*N120)*MATERIALES!$C$169</f>
        <v>294.83999999999997</v>
      </c>
      <c r="S120" s="59">
        <f t="shared" si="17"/>
        <v>908.9724799999999</v>
      </c>
      <c r="T120" s="124">
        <f t="shared" si="16"/>
        <v>1449.4654719999999</v>
      </c>
    </row>
    <row r="121" spans="1:20" hidden="1">
      <c r="A121" s="69">
        <v>1.8</v>
      </c>
      <c r="B121" s="69">
        <v>0.8</v>
      </c>
      <c r="C121" s="59">
        <f>(((A121)+(B121*2))*MATERIALES!$C$16)*MATERIALES!$F$2</f>
        <v>692.80848000000015</v>
      </c>
      <c r="D121" s="59">
        <f>(16*MATERIALES!$C$145)+(2*MATERIALES!$C$172)+(2*MATERIALES!$C$173)+(4*MATERIALES!$C$171)+(((A121)+(B121*2))*MATERIALES!$C$170)</f>
        <v>133.8792</v>
      </c>
      <c r="E121" s="75"/>
      <c r="F121" s="55">
        <f>((A121/2)*B121)*MATERIALES!$C$169</f>
        <v>589.68000000000006</v>
      </c>
      <c r="G121" s="59">
        <f t="shared" si="13"/>
        <v>1416.3676800000003</v>
      </c>
      <c r="H121" s="124">
        <f t="shared" si="14"/>
        <v>2336.7227520000001</v>
      </c>
      <c r="M121" s="69">
        <v>1.2</v>
      </c>
      <c r="N121" s="69">
        <v>0.8</v>
      </c>
      <c r="O121" s="59">
        <f>(((M121)+(N121*2))*MATERIALES!$C$16)*MATERIALES!$F$2</f>
        <v>570.54815999999994</v>
      </c>
      <c r="P121" s="59">
        <f>(16*MATERIALES!$C$145)+(2*MATERIALES!$C$172)+(2*MATERIALES!$C$173)+(4*MATERIALES!$C$171)+(((M121)+(N121*2))*MATERIALES!$C$170)</f>
        <v>128.60640000000001</v>
      </c>
      <c r="Q121" s="75"/>
      <c r="R121" s="55">
        <f>((M121/2)*N121)*MATERIALES!$C$169</f>
        <v>393.12</v>
      </c>
      <c r="S121" s="59">
        <f t="shared" si="17"/>
        <v>1092.2745599999998</v>
      </c>
      <c r="T121" s="124">
        <f t="shared" si="16"/>
        <v>1765.056384</v>
      </c>
    </row>
    <row r="122" spans="1:20" hidden="1">
      <c r="A122" s="69">
        <v>1.8</v>
      </c>
      <c r="B122" s="69">
        <v>1</v>
      </c>
      <c r="C122" s="59">
        <f>(((A122)+(B122*2))*MATERIALES!$C$16)*MATERIALES!$F$2</f>
        <v>774.31536000000006</v>
      </c>
      <c r="D122" s="59">
        <f>(16*MATERIALES!$C$145)+(2*MATERIALES!$C$172)+(2*MATERIALES!$C$173)+(4*MATERIALES!$C$171)+(((A122)+(B122*2))*MATERIALES!$C$170)</f>
        <v>137.39439999999999</v>
      </c>
      <c r="E122" s="75"/>
      <c r="F122" s="55">
        <f>((A122/2)*B122)*MATERIALES!$C$169</f>
        <v>737.1</v>
      </c>
      <c r="G122" s="59">
        <f t="shared" si="13"/>
        <v>1648.8097600000001</v>
      </c>
      <c r="H122" s="124">
        <f t="shared" si="14"/>
        <v>2750.593664</v>
      </c>
      <c r="M122" s="69">
        <v>1.2</v>
      </c>
      <c r="N122" s="69">
        <v>1</v>
      </c>
      <c r="O122" s="59">
        <f>(((M122)+(N122*2))*MATERIALES!$C$16)*MATERIALES!$F$2</f>
        <v>652.05504000000008</v>
      </c>
      <c r="P122" s="59">
        <f>(16*MATERIALES!$C$145)+(2*MATERIALES!$C$172)+(2*MATERIALES!$C$173)+(4*MATERIALES!$C$171)+(((M122)+(N122*2))*MATERIALES!$C$170)</f>
        <v>132.1216</v>
      </c>
      <c r="Q122" s="75"/>
      <c r="R122" s="55">
        <f>((M122/2)*N122)*MATERIALES!$C$169</f>
        <v>491.4</v>
      </c>
      <c r="S122" s="59">
        <f t="shared" si="17"/>
        <v>1275.5766400000002</v>
      </c>
      <c r="T122" s="124">
        <f t="shared" si="16"/>
        <v>2080.6472960000001</v>
      </c>
    </row>
    <row r="123" spans="1:20" hidden="1">
      <c r="A123" s="69">
        <v>1.8</v>
      </c>
      <c r="B123" s="69">
        <v>1.1000000000000001</v>
      </c>
      <c r="C123" s="59">
        <f>(((A123)+(B123*2))*MATERIALES!$C$16)*MATERIALES!$F$2</f>
        <v>815.06880000000001</v>
      </c>
      <c r="D123" s="59">
        <f>(16*MATERIALES!$C$145)+(2*MATERIALES!$C$172)+(2*MATERIALES!$C$173)+(4*MATERIALES!$C$171)+(((A123)+(B123*2))*MATERIALES!$C$170)</f>
        <v>139.15199999999999</v>
      </c>
      <c r="E123" s="75"/>
      <c r="F123" s="55">
        <f>((A123/2)*B123)*MATERIALES!$C$169</f>
        <v>810.81000000000006</v>
      </c>
      <c r="G123" s="59">
        <f t="shared" si="13"/>
        <v>1765.0308</v>
      </c>
      <c r="H123" s="124">
        <f t="shared" si="14"/>
        <v>2957.5291200000001</v>
      </c>
      <c r="M123" s="69">
        <v>1.2</v>
      </c>
      <c r="N123" s="69">
        <v>1.2</v>
      </c>
      <c r="O123" s="59">
        <f>(((M123)+(N123*2))*MATERIALES!$C$16)*MATERIALES!$F$2</f>
        <v>733.56191999999999</v>
      </c>
      <c r="P123" s="59">
        <f>(16*MATERIALES!$C$145)+(2*MATERIALES!$C$172)+(2*MATERIALES!$C$173)+(4*MATERIALES!$C$171)+(((M123)+(N123*2))*MATERIALES!$C$170)</f>
        <v>135.63679999999999</v>
      </c>
      <c r="Q123" s="75"/>
      <c r="R123" s="55">
        <f>((M123/2)*N123)*MATERIALES!$C$169</f>
        <v>589.67999999999995</v>
      </c>
      <c r="S123" s="59">
        <f t="shared" si="17"/>
        <v>1458.8787199999999</v>
      </c>
      <c r="T123" s="124">
        <f t="shared" si="16"/>
        <v>2396.2382079999998</v>
      </c>
    </row>
    <row r="124" spans="1:20" hidden="1">
      <c r="A124" s="69">
        <v>1.8</v>
      </c>
      <c r="B124" s="69">
        <v>1.2</v>
      </c>
      <c r="C124" s="59">
        <f>(((A124)+(B124*2))*MATERIALES!$C$16)*MATERIALES!$F$2</f>
        <v>855.82224000000008</v>
      </c>
      <c r="D124" s="59">
        <f>(16*MATERIALES!$C$145)+(2*MATERIALES!$C$172)+(2*MATERIALES!$C$173)+(4*MATERIALES!$C$171)+(((A124)+(B124*2))*MATERIALES!$C$170)</f>
        <v>140.90960000000001</v>
      </c>
      <c r="E124" s="75"/>
      <c r="F124" s="55">
        <f>((A124/2)*B124)*MATERIALES!$C$169</f>
        <v>884.5200000000001</v>
      </c>
      <c r="G124" s="59">
        <f t="shared" si="13"/>
        <v>1881.2518400000004</v>
      </c>
      <c r="H124" s="124">
        <f t="shared" si="14"/>
        <v>3164.4645760000003</v>
      </c>
      <c r="M124" s="69">
        <v>1.2</v>
      </c>
      <c r="N124" s="69">
        <v>1.5</v>
      </c>
      <c r="O124" s="59">
        <f>(((M124)+(N124*2))*MATERIALES!$C$16)*MATERIALES!$F$2</f>
        <v>855.82224000000008</v>
      </c>
      <c r="P124" s="59">
        <f>(16*MATERIALES!$C$145)+(2*MATERIALES!$C$172)+(2*MATERIALES!$C$173)+(4*MATERIALES!$C$171)+(((M124)+(N124*2))*MATERIALES!$C$170)</f>
        <v>140.90960000000001</v>
      </c>
      <c r="Q124" s="75"/>
      <c r="R124" s="55">
        <f>((M124/2)*N124)*MATERIALES!$C$169</f>
        <v>737.09999999999991</v>
      </c>
      <c r="S124" s="59">
        <f t="shared" si="17"/>
        <v>1733.8318400000001</v>
      </c>
      <c r="T124" s="124">
        <f t="shared" si="16"/>
        <v>2869.6245760000002</v>
      </c>
    </row>
    <row r="125" spans="1:20" hidden="1">
      <c r="A125" s="69">
        <v>1.8</v>
      </c>
      <c r="B125" s="69">
        <v>1.5</v>
      </c>
      <c r="C125" s="59">
        <f>(((A125)+(B125*2))*MATERIALES!$C$16)*MATERIALES!$F$2</f>
        <v>978.08256000000006</v>
      </c>
      <c r="D125" s="59">
        <f>(16*MATERIALES!$C$145)+(2*MATERIALES!$C$172)+(2*MATERIALES!$C$173)+(4*MATERIALES!$C$171)+(((A125)+(B125*2))*MATERIALES!$C$170)</f>
        <v>146.1824</v>
      </c>
      <c r="E125" s="75"/>
      <c r="F125" s="55">
        <f>((A125/2)*B125)*MATERIALES!$C$169</f>
        <v>1105.6500000000001</v>
      </c>
      <c r="G125" s="59">
        <f t="shared" si="13"/>
        <v>2229.9149600000001</v>
      </c>
      <c r="H125" s="124">
        <f t="shared" si="14"/>
        <v>3785.2709439999999</v>
      </c>
      <c r="M125" s="117"/>
      <c r="N125" s="117"/>
      <c r="O125" s="376"/>
      <c r="P125" s="376"/>
      <c r="Q125" s="376"/>
      <c r="R125" s="378"/>
      <c r="S125" s="376"/>
      <c r="T125" s="379"/>
    </row>
    <row r="126" spans="1:20" hidden="1">
      <c r="A126" s="69">
        <v>1.8</v>
      </c>
      <c r="B126" s="69">
        <v>1.8</v>
      </c>
      <c r="C126" s="59">
        <f>(((A126)+(B126*2))*MATERIALES!$C$16)*MATERIALES!$F$2</f>
        <v>1100.3428800000002</v>
      </c>
      <c r="D126" s="59">
        <f>(16*MATERIALES!$C$145)+(2*MATERIALES!$C$172)+(2*MATERIALES!$C$173)+(4*MATERIALES!$C$171)+(((A126)+(B126*2))*MATERIALES!$C$170)</f>
        <v>151.45519999999999</v>
      </c>
      <c r="E126" s="75"/>
      <c r="F126" s="55">
        <f>((A126/2)*B126)*MATERIALES!$C$169</f>
        <v>1326.7800000000002</v>
      </c>
      <c r="G126" s="59">
        <f t="shared" si="13"/>
        <v>2578.5780800000002</v>
      </c>
      <c r="H126" s="124">
        <f t="shared" si="14"/>
        <v>4406.0773120000003</v>
      </c>
      <c r="M126" s="117"/>
      <c r="N126" s="117"/>
      <c r="O126" s="376"/>
      <c r="P126" s="376"/>
      <c r="Q126" s="376"/>
      <c r="R126" s="378"/>
      <c r="S126" s="376"/>
      <c r="T126" s="379"/>
    </row>
    <row r="127" spans="1:20" hidden="1">
      <c r="A127" s="69">
        <v>2</v>
      </c>
      <c r="B127" s="69">
        <v>0.8</v>
      </c>
      <c r="C127" s="59">
        <f>(((A127)+(B127*2))*MATERIALES!$C$16)*MATERIALES!$F$2</f>
        <v>733.56191999999999</v>
      </c>
      <c r="D127" s="59">
        <f>(16*MATERIALES!$C$145)+(2*MATERIALES!$C$172)+(2*MATERIALES!$C$173)+(4*MATERIALES!$C$171)+(((A127)+(B127*2))*MATERIALES!$C$170)</f>
        <v>135.63679999999999</v>
      </c>
      <c r="E127" s="75"/>
      <c r="F127" s="55">
        <f>((A127/2)*B127)*MATERIALES!$C$169</f>
        <v>655.20000000000005</v>
      </c>
      <c r="G127" s="59">
        <f t="shared" si="13"/>
        <v>1524.3987200000001</v>
      </c>
      <c r="H127" s="124">
        <f t="shared" si="14"/>
        <v>2527.2782079999997</v>
      </c>
      <c r="M127" s="117"/>
      <c r="N127" s="117"/>
      <c r="O127" s="376"/>
      <c r="P127" s="376"/>
      <c r="Q127" s="376"/>
      <c r="R127" s="378"/>
      <c r="S127" s="376"/>
      <c r="T127" s="379"/>
    </row>
    <row r="128" spans="1:20" hidden="1">
      <c r="A128" s="69">
        <v>2</v>
      </c>
      <c r="B128" s="69">
        <v>1</v>
      </c>
      <c r="C128" s="59">
        <f>(((A128)+(B128*2))*MATERIALES!$C$16)*MATERIALES!$F$2</f>
        <v>815.06880000000001</v>
      </c>
      <c r="D128" s="59">
        <f>(16*MATERIALES!$C$145)+(2*MATERIALES!$C$172)+(2*MATERIALES!$C$173)+(4*MATERIALES!$C$171)+(((A128)+(B128*2))*MATERIALES!$C$170)</f>
        <v>139.15199999999999</v>
      </c>
      <c r="E128" s="75"/>
      <c r="F128" s="55">
        <f>((A128/2)*B128)*MATERIALES!$C$169</f>
        <v>819</v>
      </c>
      <c r="G128" s="59">
        <f t="shared" si="13"/>
        <v>1773.2208000000001</v>
      </c>
      <c r="H128" s="124">
        <f t="shared" si="14"/>
        <v>2973.9091200000003</v>
      </c>
      <c r="M128" s="117"/>
      <c r="N128" s="117"/>
      <c r="O128" s="376"/>
      <c r="P128" s="376"/>
      <c r="Q128" s="376"/>
      <c r="R128" s="378"/>
      <c r="S128" s="376"/>
      <c r="T128" s="379"/>
    </row>
    <row r="129" spans="1:20" hidden="1">
      <c r="A129" s="69">
        <v>2</v>
      </c>
      <c r="B129" s="69">
        <v>1.1000000000000001</v>
      </c>
      <c r="C129" s="59">
        <f>(((A129)+(B129*2))*MATERIALES!$C$16)*MATERIALES!$F$2</f>
        <v>855.82224000000008</v>
      </c>
      <c r="D129" s="59">
        <f>(16*MATERIALES!$C$145)+(2*MATERIALES!$C$172)+(2*MATERIALES!$C$173)+(4*MATERIALES!$C$171)+(((A129)+(B129*2))*MATERIALES!$C$170)</f>
        <v>140.90960000000001</v>
      </c>
      <c r="E129" s="75"/>
      <c r="F129" s="55">
        <f>((A129/2)*B129)*MATERIALES!$C$169</f>
        <v>900.90000000000009</v>
      </c>
      <c r="G129" s="59">
        <f t="shared" si="13"/>
        <v>1897.6318400000002</v>
      </c>
      <c r="H129" s="124">
        <f t="shared" si="14"/>
        <v>3197.2245760000005</v>
      </c>
      <c r="M129" s="117"/>
      <c r="N129" s="117"/>
      <c r="O129" s="376"/>
      <c r="P129" s="376"/>
      <c r="Q129" s="376"/>
      <c r="R129" s="378"/>
      <c r="S129" s="376"/>
      <c r="T129" s="379"/>
    </row>
    <row r="130" spans="1:20" hidden="1">
      <c r="A130" s="69">
        <v>2</v>
      </c>
      <c r="B130" s="69">
        <v>1.2</v>
      </c>
      <c r="C130" s="59">
        <f>(((A130)+(B130*2))*MATERIALES!$C$16)*MATERIALES!$F$2</f>
        <v>896.57568000000015</v>
      </c>
      <c r="D130" s="59">
        <f>(16*MATERIALES!$C$145)+(2*MATERIALES!$C$172)+(2*MATERIALES!$C$173)+(4*MATERIALES!$C$171)+(((A130)+(B130*2))*MATERIALES!$C$170)</f>
        <v>142.66720000000001</v>
      </c>
      <c r="E130" s="75"/>
      <c r="F130" s="55">
        <f>((A130/2)*B130)*MATERIALES!$C$169</f>
        <v>982.8</v>
      </c>
      <c r="G130" s="59">
        <f t="shared" si="13"/>
        <v>2022.0428800000002</v>
      </c>
      <c r="H130" s="124">
        <f t="shared" si="14"/>
        <v>3420.5400319999999</v>
      </c>
      <c r="M130" s="117"/>
      <c r="N130" s="117"/>
      <c r="O130" s="376"/>
      <c r="P130" s="376"/>
      <c r="Q130" s="376"/>
      <c r="R130" s="378"/>
      <c r="S130" s="376"/>
      <c r="T130" s="379"/>
    </row>
    <row r="131" spans="1:20" hidden="1">
      <c r="A131" s="69">
        <v>2</v>
      </c>
      <c r="B131" s="69">
        <v>1.5</v>
      </c>
      <c r="C131" s="59">
        <f>(((A131)+(B131*2))*MATERIALES!$C$16)*MATERIALES!$F$2</f>
        <v>1018.836</v>
      </c>
      <c r="D131" s="59">
        <f>(16*MATERIALES!$C$145)+(2*MATERIALES!$C$172)+(2*MATERIALES!$C$173)+(4*MATERIALES!$C$171)+(((A131)+(B131*2))*MATERIALES!$C$170)</f>
        <v>147.94</v>
      </c>
      <c r="E131" s="75"/>
      <c r="F131" s="55">
        <f>((A131/2)*B131)*MATERIALES!$C$169</f>
        <v>1228.5</v>
      </c>
      <c r="G131" s="59">
        <f t="shared" si="13"/>
        <v>2395.2759999999998</v>
      </c>
      <c r="H131" s="124">
        <f t="shared" si="14"/>
        <v>4090.4863999999998</v>
      </c>
      <c r="M131" s="117"/>
      <c r="N131" s="117"/>
      <c r="O131" s="376"/>
      <c r="P131" s="376"/>
      <c r="Q131" s="376"/>
      <c r="R131" s="378"/>
      <c r="S131" s="376"/>
      <c r="T131" s="379"/>
    </row>
    <row r="132" spans="1:20" hidden="1">
      <c r="A132" s="69">
        <v>2</v>
      </c>
      <c r="B132" s="69">
        <v>1.8</v>
      </c>
      <c r="C132" s="59">
        <f>(((A132)+(B132*2))*MATERIALES!$C$16)*MATERIALES!$F$2</f>
        <v>1141.0963199999999</v>
      </c>
      <c r="D132" s="59">
        <f>(16*MATERIALES!$C$145)+(2*MATERIALES!$C$172)+(2*MATERIALES!$C$173)+(4*MATERIALES!$C$171)+(((A132)+(B132*2))*MATERIALES!$C$170)</f>
        <v>153.21280000000002</v>
      </c>
      <c r="E132" s="75"/>
      <c r="F132" s="55">
        <f>((A132/2)*B132)*MATERIALES!$C$169</f>
        <v>1474.2</v>
      </c>
      <c r="G132" s="59">
        <f t="shared" si="13"/>
        <v>2768.5091199999997</v>
      </c>
      <c r="H132" s="124">
        <f t="shared" si="14"/>
        <v>4760.4327679999997</v>
      </c>
      <c r="M132" s="117"/>
      <c r="N132" s="117"/>
      <c r="O132" s="376"/>
      <c r="P132" s="376"/>
      <c r="Q132" s="376"/>
      <c r="R132" s="378"/>
      <c r="S132" s="376"/>
      <c r="T132" s="379"/>
    </row>
    <row r="133" spans="1:20" hidden="1">
      <c r="A133" s="69">
        <v>0</v>
      </c>
      <c r="B133" s="69">
        <v>0</v>
      </c>
      <c r="C133" s="59">
        <f>(((A133)+(B133*2))*MATERIALES!$C$16)*MATERIALES!$F$2</f>
        <v>0</v>
      </c>
      <c r="D133" s="59">
        <f>(16*MATERIALES!$C$145)+(2*MATERIALES!$C$172)+(2*MATERIALES!$C$173)+(4*MATERIALES!$C$171)+(((A133)+(B133*2))*MATERIALES!$C$170)</f>
        <v>104</v>
      </c>
      <c r="E133" s="75"/>
      <c r="F133" s="55">
        <f>((A133/2)*B133)*MATERIALES!$C$169</f>
        <v>0</v>
      </c>
      <c r="G133" s="59">
        <f t="shared" si="13"/>
        <v>104</v>
      </c>
      <c r="H133" s="124">
        <f t="shared" si="14"/>
        <v>145.6</v>
      </c>
      <c r="M133" s="117"/>
      <c r="N133" s="117"/>
      <c r="O133" s="376"/>
      <c r="P133" s="376"/>
      <c r="Q133" s="376"/>
      <c r="R133" s="378"/>
      <c r="S133" s="376"/>
      <c r="T133" s="379"/>
    </row>
    <row r="134" spans="1:20" hidden="1">
      <c r="A134" s="69">
        <v>0</v>
      </c>
      <c r="B134" s="69">
        <v>0</v>
      </c>
      <c r="C134" s="59">
        <f>(((A134)+(B134*2))*MATERIALES!$C$16)*MATERIALES!$F$2</f>
        <v>0</v>
      </c>
      <c r="D134" s="59">
        <f>(16*MATERIALES!$C$145)+(2*MATERIALES!$C$172)+(2*MATERIALES!$C$173)+(4*MATERIALES!$C$171)+(((A134)+(B134*2))*MATERIALES!$C$170)</f>
        <v>104</v>
      </c>
      <c r="E134" s="75"/>
      <c r="F134" s="55">
        <f>((A134/2)*B134)*MATERIALES!$C$169</f>
        <v>0</v>
      </c>
      <c r="G134" s="59">
        <f t="shared" si="13"/>
        <v>104</v>
      </c>
      <c r="H134" s="124">
        <f t="shared" si="14"/>
        <v>145.6</v>
      </c>
      <c r="M134" s="117"/>
      <c r="N134" s="117"/>
      <c r="O134" s="376"/>
      <c r="P134" s="376"/>
      <c r="Q134" s="376"/>
      <c r="R134" s="378"/>
      <c r="S134" s="376"/>
      <c r="T134" s="379"/>
    </row>
    <row r="135" spans="1:20" hidden="1">
      <c r="A135" s="69">
        <v>2.2000000000000002</v>
      </c>
      <c r="B135" s="69">
        <v>0.8</v>
      </c>
      <c r="C135" s="59">
        <f>(((A135)+(B135*2))*MATERIALES!$C$16)*MATERIALES!$F$2</f>
        <v>774.31536000000017</v>
      </c>
      <c r="D135" s="59">
        <f>(16*MATERIALES!$C$145)+(2*MATERIALES!$C$172)+(2*MATERIALES!$C$173)+(4*MATERIALES!$C$171)+(((A135)+(B135*2))*MATERIALES!$C$170)</f>
        <v>137.39440000000002</v>
      </c>
      <c r="E135" s="75"/>
      <c r="F135" s="55">
        <f>((A135/2)*B135)*MATERIALES!$C$169</f>
        <v>720.72000000000014</v>
      </c>
      <c r="G135" s="59">
        <f t="shared" si="13"/>
        <v>1632.4297600000004</v>
      </c>
      <c r="H135" s="124">
        <f t="shared" si="14"/>
        <v>2717.8336640000007</v>
      </c>
      <c r="M135" s="117"/>
      <c r="N135" s="117"/>
      <c r="O135" s="376"/>
      <c r="P135" s="376"/>
      <c r="Q135" s="376"/>
      <c r="R135" s="378"/>
      <c r="S135" s="376"/>
      <c r="T135" s="379"/>
    </row>
    <row r="136" spans="1:20" hidden="1">
      <c r="A136" s="69">
        <v>2.2000000000000002</v>
      </c>
      <c r="B136" s="69">
        <v>1</v>
      </c>
      <c r="C136" s="59">
        <f>(((A136)+(B136*2))*MATERIALES!$C$16)*MATERIALES!$F$2</f>
        <v>855.82224000000008</v>
      </c>
      <c r="D136" s="59">
        <f>(16*MATERIALES!$C$145)+(2*MATERIALES!$C$172)+(2*MATERIALES!$C$173)+(4*MATERIALES!$C$171)+(((A136)+(B136*2))*MATERIALES!$C$170)</f>
        <v>140.90960000000001</v>
      </c>
      <c r="E136" s="75"/>
      <c r="F136" s="55">
        <f>((A136/2)*B136)*MATERIALES!$C$169</f>
        <v>900.90000000000009</v>
      </c>
      <c r="G136" s="59">
        <f t="shared" si="13"/>
        <v>1897.6318400000002</v>
      </c>
      <c r="H136" s="124">
        <f t="shared" si="14"/>
        <v>3197.2245760000005</v>
      </c>
      <c r="M136" s="117"/>
      <c r="N136" s="117"/>
      <c r="O136" s="376"/>
      <c r="P136" s="376"/>
      <c r="Q136" s="376"/>
      <c r="R136" s="378"/>
      <c r="S136" s="376"/>
      <c r="T136" s="379"/>
    </row>
    <row r="137" spans="1:20" hidden="1">
      <c r="A137" s="69">
        <v>2.2000000000000002</v>
      </c>
      <c r="B137" s="69">
        <v>1.2</v>
      </c>
      <c r="C137" s="59">
        <f>(((A137)+(B137*2))*MATERIALES!$C$16)*MATERIALES!$F$2</f>
        <v>937.32911999999999</v>
      </c>
      <c r="D137" s="59">
        <f>(16*MATERIALES!$C$145)+(2*MATERIALES!$C$172)+(2*MATERIALES!$C$173)+(4*MATERIALES!$C$171)+(((A137)+(B137*2))*MATERIALES!$C$170)</f>
        <v>144.4248</v>
      </c>
      <c r="E137" s="75"/>
      <c r="F137" s="55">
        <f>((A137/2)*B137)*MATERIALES!$C$169</f>
        <v>1081.0800000000002</v>
      </c>
      <c r="G137" s="59">
        <f t="shared" si="13"/>
        <v>2162.83392</v>
      </c>
      <c r="H137" s="124">
        <f t="shared" si="14"/>
        <v>3676.6154880000004</v>
      </c>
      <c r="M137" s="117"/>
      <c r="N137" s="117"/>
      <c r="O137" s="376"/>
      <c r="P137" s="376"/>
      <c r="Q137" s="376"/>
      <c r="R137" s="378"/>
      <c r="S137" s="376"/>
      <c r="T137" s="379"/>
    </row>
    <row r="138" spans="1:20" hidden="1">
      <c r="A138" s="69">
        <v>2.2000000000000002</v>
      </c>
      <c r="B138" s="69">
        <v>1.5</v>
      </c>
      <c r="C138" s="59">
        <f>(((A138)+(B138*2))*MATERIALES!$C$16)*MATERIALES!$F$2</f>
        <v>1059.58944</v>
      </c>
      <c r="D138" s="59">
        <f>(16*MATERIALES!$C$145)+(2*MATERIALES!$C$172)+(2*MATERIALES!$C$173)+(4*MATERIALES!$C$171)+(((A138)+(B138*2))*MATERIALES!$C$170)</f>
        <v>149.69759999999999</v>
      </c>
      <c r="E138" s="75"/>
      <c r="F138" s="55">
        <f>((A138/2)*B138)*MATERIALES!$C$169</f>
        <v>1351.3500000000001</v>
      </c>
      <c r="G138" s="59">
        <f t="shared" si="13"/>
        <v>2560.6370400000001</v>
      </c>
      <c r="H138" s="124">
        <f t="shared" si="14"/>
        <v>4395.7018559999997</v>
      </c>
      <c r="M138" s="117"/>
      <c r="N138" s="117"/>
      <c r="O138" s="376"/>
      <c r="P138" s="376"/>
      <c r="Q138" s="376"/>
      <c r="R138" s="378"/>
      <c r="S138" s="376"/>
      <c r="T138" s="379"/>
    </row>
    <row r="139" spans="1:20" hidden="1">
      <c r="A139" s="69">
        <v>2.2000000000000002</v>
      </c>
      <c r="B139" s="69">
        <v>1.8</v>
      </c>
      <c r="C139" s="59">
        <f>(((A139)+(B139*2))*MATERIALES!$C$16)*MATERIALES!$F$2</f>
        <v>1181.8497600000003</v>
      </c>
      <c r="D139" s="59">
        <f>(16*MATERIALES!$C$145)+(2*MATERIALES!$C$172)+(2*MATERIALES!$C$173)+(4*MATERIALES!$C$171)+(((A139)+(B139*2))*MATERIALES!$C$170)</f>
        <v>154.97040000000001</v>
      </c>
      <c r="E139" s="75"/>
      <c r="F139" s="55">
        <f>((A139/2)*B139)*MATERIALES!$C$169</f>
        <v>1621.6200000000001</v>
      </c>
      <c r="G139" s="59">
        <f t="shared" si="13"/>
        <v>2958.4401600000001</v>
      </c>
      <c r="H139" s="124">
        <f t="shared" si="14"/>
        <v>5114.7882239999999</v>
      </c>
      <c r="M139" s="117"/>
      <c r="N139" s="117"/>
      <c r="O139" s="376"/>
      <c r="P139" s="376"/>
      <c r="Q139" s="376"/>
      <c r="R139" s="378"/>
      <c r="S139" s="376"/>
      <c r="T139" s="379"/>
    </row>
    <row r="140" spans="1:20" hidden="1">
      <c r="A140" s="69">
        <v>2.4</v>
      </c>
      <c r="B140" s="69">
        <v>0.4</v>
      </c>
      <c r="C140" s="59">
        <f>(((A140)+(B140*2))*MATERIALES!$C$16)*MATERIALES!$F$2</f>
        <v>652.05504000000008</v>
      </c>
      <c r="D140" s="59">
        <f>(16*MATERIALES!$C$145)+(2*MATERIALES!$C$172)+(2*MATERIALES!$C$173)+(4*MATERIALES!$C$171)+(((A140)+(B140*2))*MATERIALES!$C$170)</f>
        <v>132.1216</v>
      </c>
      <c r="E140" s="75"/>
      <c r="F140" s="55">
        <f>((A140/2)*B140)*MATERIALES!$C$169</f>
        <v>393.12</v>
      </c>
      <c r="G140" s="59">
        <f t="shared" si="13"/>
        <v>1177.29664</v>
      </c>
      <c r="H140" s="124">
        <f t="shared" si="14"/>
        <v>1884.0872960000002</v>
      </c>
      <c r="M140" s="117"/>
      <c r="N140" s="117"/>
      <c r="O140" s="376"/>
      <c r="P140" s="376"/>
      <c r="Q140" s="376"/>
      <c r="R140" s="378"/>
      <c r="S140" s="376"/>
      <c r="T140" s="379"/>
    </row>
    <row r="141" spans="1:20" hidden="1">
      <c r="A141" s="69">
        <v>2.4</v>
      </c>
      <c r="B141" s="69">
        <v>0.6</v>
      </c>
      <c r="C141" s="59">
        <f>(((A141)+(B141*2))*MATERIALES!$C$16)*MATERIALES!$F$2</f>
        <v>733.56191999999999</v>
      </c>
      <c r="D141" s="59">
        <f>(16*MATERIALES!$C$145)+(2*MATERIALES!$C$172)+(2*MATERIALES!$C$173)+(4*MATERIALES!$C$171)+(((A141)+(B141*2))*MATERIALES!$C$170)</f>
        <v>135.63679999999999</v>
      </c>
      <c r="E141" s="75"/>
      <c r="F141" s="55">
        <f>((A141/2)*B141)*MATERIALES!$C$169</f>
        <v>589.67999999999995</v>
      </c>
      <c r="G141" s="59">
        <f t="shared" si="13"/>
        <v>1458.8787199999999</v>
      </c>
      <c r="H141" s="124">
        <f t="shared" si="14"/>
        <v>2396.2382079999998</v>
      </c>
      <c r="M141" s="117"/>
      <c r="N141" s="117"/>
      <c r="O141" s="376"/>
      <c r="P141" s="376"/>
      <c r="Q141" s="376"/>
      <c r="R141" s="378"/>
      <c r="S141" s="376"/>
      <c r="T141" s="379"/>
    </row>
    <row r="142" spans="1:20" hidden="1">
      <c r="A142" s="69">
        <v>2.4</v>
      </c>
      <c r="B142" s="69">
        <v>0.8</v>
      </c>
      <c r="C142" s="59">
        <f>(((A142)+(B142*2))*MATERIALES!$C$16)*MATERIALES!$F$2</f>
        <v>815.06880000000001</v>
      </c>
      <c r="D142" s="59">
        <f>(16*MATERIALES!$C$145)+(2*MATERIALES!$C$172)+(2*MATERIALES!$C$173)+(4*MATERIALES!$C$171)+(((A142)+(B142*2))*MATERIALES!$C$170)</f>
        <v>139.15199999999999</v>
      </c>
      <c r="E142" s="75"/>
      <c r="F142" s="55">
        <f>((A142/2)*B142)*MATERIALES!$C$169</f>
        <v>786.24</v>
      </c>
      <c r="G142" s="59">
        <f t="shared" si="13"/>
        <v>1740.4608000000001</v>
      </c>
      <c r="H142" s="124">
        <f t="shared" si="14"/>
        <v>2908.3891199999998</v>
      </c>
      <c r="M142" s="117"/>
      <c r="N142" s="117"/>
      <c r="O142" s="376"/>
      <c r="P142" s="376"/>
      <c r="Q142" s="376"/>
      <c r="R142" s="378"/>
      <c r="S142" s="376"/>
      <c r="T142" s="379"/>
    </row>
    <row r="143" spans="1:20" hidden="1">
      <c r="A143" s="69">
        <v>2.4</v>
      </c>
      <c r="B143" s="69">
        <v>1</v>
      </c>
      <c r="C143" s="59">
        <f>(((A143)+(B143*2))*MATERIALES!$C$16)*MATERIALES!$F$2</f>
        <v>896.57568000000015</v>
      </c>
      <c r="D143" s="59">
        <f>(16*MATERIALES!$C$145)+(2*MATERIALES!$C$172)+(2*MATERIALES!$C$173)+(4*MATERIALES!$C$171)+(((A143)+(B143*2))*MATERIALES!$C$170)</f>
        <v>142.66720000000001</v>
      </c>
      <c r="E143" s="75"/>
      <c r="F143" s="55">
        <f>((A143/2)*B143)*MATERIALES!$C$169</f>
        <v>982.8</v>
      </c>
      <c r="G143" s="59">
        <f t="shared" si="13"/>
        <v>2022.0428800000002</v>
      </c>
      <c r="H143" s="124">
        <f t="shared" si="14"/>
        <v>3420.5400319999999</v>
      </c>
      <c r="M143" s="117"/>
      <c r="N143" s="117"/>
      <c r="O143" s="376"/>
      <c r="P143" s="376"/>
      <c r="Q143" s="376"/>
      <c r="R143" s="378"/>
      <c r="S143" s="376"/>
      <c r="T143" s="379"/>
    </row>
    <row r="144" spans="1:20" hidden="1">
      <c r="A144" s="69">
        <v>2.4</v>
      </c>
      <c r="B144" s="69">
        <v>1.2</v>
      </c>
      <c r="C144" s="59">
        <f>(((A144)+(B144*2))*MATERIALES!$C$16)*MATERIALES!$F$2</f>
        <v>978.08256000000006</v>
      </c>
      <c r="D144" s="59">
        <f>(16*MATERIALES!$C$145)+(2*MATERIALES!$C$172)+(2*MATERIALES!$C$173)+(4*MATERIALES!$C$171)+(((A144)+(B144*2))*MATERIALES!$C$170)</f>
        <v>146.1824</v>
      </c>
      <c r="E144" s="75"/>
      <c r="F144" s="55">
        <f>((A144/2)*B144)*MATERIALES!$C$169</f>
        <v>1179.3599999999999</v>
      </c>
      <c r="G144" s="59">
        <f t="shared" si="13"/>
        <v>2303.6249600000001</v>
      </c>
      <c r="H144" s="124">
        <f t="shared" si="14"/>
        <v>3932.6909439999999</v>
      </c>
      <c r="M144" s="117"/>
      <c r="N144" s="117"/>
      <c r="O144" s="376"/>
      <c r="P144" s="376"/>
      <c r="Q144" s="376"/>
      <c r="R144" s="378"/>
      <c r="S144" s="376"/>
      <c r="T144" s="379"/>
    </row>
    <row r="145" spans="1:20" hidden="1">
      <c r="A145" s="69">
        <v>2.4</v>
      </c>
      <c r="B145" s="69">
        <v>1.5</v>
      </c>
      <c r="C145" s="59">
        <f>(((A145)+(B145*2))*MATERIALES!$C$16)*MATERIALES!$F$2</f>
        <v>1100.3428800000002</v>
      </c>
      <c r="D145" s="59">
        <f>(16*MATERIALES!$C$145)+(2*MATERIALES!$C$172)+(2*MATERIALES!$C$173)+(4*MATERIALES!$C$171)+(((A145)+(B145*2))*MATERIALES!$C$170)</f>
        <v>151.45519999999999</v>
      </c>
      <c r="E145" s="75"/>
      <c r="F145" s="55">
        <f>((A145/2)*B145)*MATERIALES!$C$169</f>
        <v>1474.1999999999998</v>
      </c>
      <c r="G145" s="59">
        <f t="shared" si="13"/>
        <v>2725.9980799999998</v>
      </c>
      <c r="H145" s="124">
        <f t="shared" si="14"/>
        <v>4700.9173119999996</v>
      </c>
      <c r="M145" s="117"/>
      <c r="N145" s="117"/>
      <c r="O145" s="376"/>
      <c r="P145" s="376"/>
      <c r="Q145" s="376"/>
      <c r="R145" s="378"/>
      <c r="S145" s="376"/>
      <c r="T145" s="379"/>
    </row>
    <row r="146" spans="1:20" hidden="1">
      <c r="A146" s="69">
        <v>2.4</v>
      </c>
      <c r="B146" s="69">
        <v>1.8</v>
      </c>
      <c r="C146" s="59">
        <f>(((A146)+(B146*2))*MATERIALES!$C$16)*MATERIALES!$F$2</f>
        <v>1222.6032000000002</v>
      </c>
      <c r="D146" s="59">
        <f>(16*MATERIALES!$C$145)+(2*MATERIALES!$C$172)+(2*MATERIALES!$C$173)+(4*MATERIALES!$C$171)+(((A146)+(B146*2))*MATERIALES!$C$170)</f>
        <v>156.72800000000001</v>
      </c>
      <c r="E146" s="75"/>
      <c r="F146" s="55">
        <f>((A146/2)*B146)*MATERIALES!$C$169</f>
        <v>1769.0400000000002</v>
      </c>
      <c r="G146" s="59">
        <f t="shared" si="13"/>
        <v>3148.3712000000005</v>
      </c>
      <c r="H146" s="124">
        <f t="shared" si="14"/>
        <v>5469.143680000001</v>
      </c>
      <c r="M146" s="117"/>
      <c r="N146" s="117"/>
      <c r="O146" s="376"/>
      <c r="P146" s="376"/>
      <c r="Q146" s="376"/>
      <c r="R146" s="378"/>
      <c r="S146" s="376"/>
      <c r="T146" s="379"/>
    </row>
    <row r="147" spans="1:20" hidden="1"/>
    <row r="148" spans="1:20" s="81" customFormat="1" hidden="1">
      <c r="A148" s="79"/>
      <c r="B148" s="79"/>
      <c r="C148" s="79"/>
      <c r="D148" s="79"/>
      <c r="E148" s="79"/>
      <c r="F148" s="79"/>
      <c r="G148" s="79"/>
      <c r="H148" s="80"/>
      <c r="M148" s="79"/>
      <c r="N148" s="79"/>
      <c r="O148" s="79"/>
      <c r="P148" s="79"/>
      <c r="Q148" s="79"/>
      <c r="R148" s="79"/>
      <c r="S148" s="79"/>
      <c r="T148" s="80"/>
    </row>
    <row r="149" spans="1:20" hidden="1"/>
    <row r="150" spans="1:20" ht="15.75" hidden="1" thickBot="1"/>
    <row r="151" spans="1:20" ht="15.75" hidden="1" thickBot="1">
      <c r="H151" s="32"/>
      <c r="I151" s="233">
        <v>0.3</v>
      </c>
      <c r="J151" s="234"/>
      <c r="K151" s="235"/>
      <c r="L151" s="46" t="s">
        <v>163</v>
      </c>
    </row>
    <row r="152" spans="1:20" ht="15.75" hidden="1" thickBot="1">
      <c r="G152" s="792" t="s">
        <v>253</v>
      </c>
      <c r="H152" s="793"/>
      <c r="I152" s="793"/>
      <c r="J152" s="793"/>
      <c r="K152" s="793"/>
      <c r="L152" s="794"/>
      <c r="M152" s="94"/>
    </row>
    <row r="153" spans="1:20" ht="15.75" hidden="1" thickBot="1">
      <c r="G153" s="36" t="s">
        <v>116</v>
      </c>
      <c r="H153" s="36" t="s">
        <v>117</v>
      </c>
      <c r="I153" s="36" t="s">
        <v>162</v>
      </c>
      <c r="J153" s="36" t="s">
        <v>120</v>
      </c>
      <c r="K153" s="36" t="s">
        <v>121</v>
      </c>
      <c r="L153" s="36" t="s">
        <v>122</v>
      </c>
      <c r="S153" s="2"/>
      <c r="T153"/>
    </row>
    <row r="154" spans="1:20" ht="15.75" hidden="1" thickBot="1">
      <c r="G154" s="91"/>
      <c r="H154" s="92"/>
      <c r="I154" s="92"/>
      <c r="J154" s="92"/>
      <c r="K154" s="92"/>
      <c r="L154" s="93"/>
      <c r="S154" s="2"/>
      <c r="T154"/>
    </row>
    <row r="155" spans="1:20" ht="15.75" hidden="1">
      <c r="D155" s="258" t="s">
        <v>539</v>
      </c>
      <c r="G155" s="65">
        <v>0.6</v>
      </c>
      <c r="H155" s="66">
        <v>0.4</v>
      </c>
      <c r="I155" s="58">
        <f>(((G155*2)+(H155*4)*MATERIALES!$C$31)+((H155*2)*MATERIALES!$C$32)+((G155*1)*MATERIALES!$C$32))*MATERIALES!$F$2</f>
        <v>1370.2852799999998</v>
      </c>
      <c r="J155" s="74"/>
      <c r="K155" s="58">
        <f t="shared" ref="K155:K186" si="18">SUM(I155:J155)</f>
        <v>1370.2852799999998</v>
      </c>
      <c r="L155" s="67">
        <f>SUM(I155:J155)*1.3</f>
        <v>1781.3708639999998</v>
      </c>
      <c r="M155" s="798" t="s">
        <v>255</v>
      </c>
      <c r="S155" s="2"/>
      <c r="T155"/>
    </row>
    <row r="156" spans="1:20" ht="15.75" hidden="1">
      <c r="D156" s="279" t="s">
        <v>540</v>
      </c>
      <c r="G156" s="68">
        <v>0.6</v>
      </c>
      <c r="H156" s="69">
        <v>0.6</v>
      </c>
      <c r="I156" s="59">
        <f>(((G156*2)+(H156*4)*MATERIALES!$C$31)+((H156*2)*MATERIALES!$C$32)+((G156*1)*MATERIALES!$C$32))*MATERIALES!$F$2</f>
        <v>1591.74288</v>
      </c>
      <c r="J156" s="75"/>
      <c r="K156" s="59">
        <f t="shared" si="18"/>
        <v>1591.74288</v>
      </c>
      <c r="L156" s="70">
        <f>SUM(I156:J156)*1.3</f>
        <v>2069.2657440000003</v>
      </c>
      <c r="M156" s="799"/>
      <c r="S156" s="2"/>
      <c r="T156"/>
    </row>
    <row r="157" spans="1:20" ht="15.75" hidden="1">
      <c r="D157" s="257" t="s">
        <v>541</v>
      </c>
      <c r="G157" s="68">
        <v>0.8</v>
      </c>
      <c r="H157" s="69">
        <v>0.4</v>
      </c>
      <c r="I157" s="59">
        <f>(((G157*2)+(H157*4)*MATERIALES!$C$31)+((H157*2)*MATERIALES!$C$32)+((G157*1)*MATERIALES!$C$32))*MATERIALES!$F$2</f>
        <v>1679.4086400000001</v>
      </c>
      <c r="J157" s="75"/>
      <c r="K157" s="59">
        <f t="shared" si="18"/>
        <v>1679.4086400000001</v>
      </c>
      <c r="L157" s="70">
        <f>SUM(I157:J157)*1.3</f>
        <v>2183.2312320000001</v>
      </c>
      <c r="M157" s="799"/>
      <c r="S157" s="2"/>
      <c r="T157"/>
    </row>
    <row r="158" spans="1:20" ht="15.75" hidden="1">
      <c r="D158" s="279" t="s">
        <v>542</v>
      </c>
      <c r="G158" s="68">
        <v>0.8</v>
      </c>
      <c r="H158" s="69">
        <v>0.6</v>
      </c>
      <c r="I158" s="59">
        <f>(((G158*2)+(H158*4)*MATERIALES!$C$31)+((H158*2)*MATERIALES!$C$32)+((G158*1)*MATERIALES!$C$32))*MATERIALES!$F$2</f>
        <v>1900.8662400000003</v>
      </c>
      <c r="J158" s="75"/>
      <c r="K158" s="59">
        <f t="shared" si="18"/>
        <v>1900.8662400000003</v>
      </c>
      <c r="L158" s="70">
        <f t="shared" ref="L158:L186" si="19">SUM(I158:J158)*1.3</f>
        <v>2471.1261120000004</v>
      </c>
      <c r="M158" s="799"/>
      <c r="S158" s="2"/>
      <c r="T158"/>
    </row>
    <row r="159" spans="1:20" ht="15.75" hidden="1">
      <c r="D159" s="257" t="s">
        <v>543</v>
      </c>
      <c r="G159" s="68">
        <v>0.8</v>
      </c>
      <c r="H159" s="69">
        <v>0.8</v>
      </c>
      <c r="I159" s="59">
        <f>(((G159*2)+(H159*4)*MATERIALES!$C$31)+((H159*2)*MATERIALES!$C$32)+((G159*1)*MATERIALES!$C$32))*MATERIALES!$F$2</f>
        <v>2122.32384</v>
      </c>
      <c r="J159" s="75"/>
      <c r="K159" s="59">
        <f t="shared" si="18"/>
        <v>2122.32384</v>
      </c>
      <c r="L159" s="70">
        <f t="shared" si="19"/>
        <v>2759.0209920000002</v>
      </c>
      <c r="M159" s="799"/>
      <c r="S159" s="2"/>
      <c r="T159"/>
    </row>
    <row r="160" spans="1:20" ht="15.75" hidden="1">
      <c r="D160" s="279" t="s">
        <v>544</v>
      </c>
      <c r="G160" s="68">
        <v>1</v>
      </c>
      <c r="H160" s="69">
        <v>0.4</v>
      </c>
      <c r="I160" s="59">
        <f>(((G160*2)+(H160*4)*MATERIALES!$C$31)+((H160*2)*MATERIALES!$C$32)+((G160*1)*MATERIALES!$C$32))*MATERIALES!$F$2</f>
        <v>1988.5319999999999</v>
      </c>
      <c r="J160" s="75"/>
      <c r="K160" s="59">
        <f t="shared" si="18"/>
        <v>1988.5319999999999</v>
      </c>
      <c r="L160" s="70">
        <f t="shared" si="19"/>
        <v>2585.0916000000002</v>
      </c>
      <c r="M160" s="799"/>
      <c r="S160" s="2"/>
      <c r="T160"/>
    </row>
    <row r="161" spans="4:20" ht="15.75" hidden="1">
      <c r="D161" s="257" t="s">
        <v>545</v>
      </c>
      <c r="G161" s="68">
        <v>1</v>
      </c>
      <c r="H161" s="69">
        <v>0.6</v>
      </c>
      <c r="I161" s="59">
        <f>(((G161*2)+(H161*4)*MATERIALES!$C$31)+((H161*2)*MATERIALES!$C$32)+((G161*1)*MATERIALES!$C$32))*MATERIALES!$F$2</f>
        <v>2209.9895999999999</v>
      </c>
      <c r="J161" s="75"/>
      <c r="K161" s="59">
        <f t="shared" si="18"/>
        <v>2209.9895999999999</v>
      </c>
      <c r="L161" s="70">
        <f t="shared" si="19"/>
        <v>2872.98648</v>
      </c>
      <c r="M161" s="799"/>
      <c r="S161" s="2"/>
      <c r="T161"/>
    </row>
    <row r="162" spans="4:20" ht="15.75" hidden="1">
      <c r="D162" s="279" t="s">
        <v>546</v>
      </c>
      <c r="G162" s="68">
        <v>1</v>
      </c>
      <c r="H162" s="69">
        <v>0.8</v>
      </c>
      <c r="I162" s="59">
        <f>(((G162*2)+(H162*4)*MATERIALES!$C$31)+((H162*2)*MATERIALES!$C$32)+((G162*1)*MATERIALES!$C$32))*MATERIALES!$F$2</f>
        <v>2431.4472000000005</v>
      </c>
      <c r="J162" s="75"/>
      <c r="K162" s="59">
        <f t="shared" si="18"/>
        <v>2431.4472000000005</v>
      </c>
      <c r="L162" s="70">
        <f t="shared" si="19"/>
        <v>3160.8813600000008</v>
      </c>
      <c r="M162" s="799"/>
      <c r="S162" s="2"/>
      <c r="T162"/>
    </row>
    <row r="163" spans="4:20" ht="15.75" hidden="1">
      <c r="D163" s="257" t="s">
        <v>547</v>
      </c>
      <c r="G163" s="68">
        <v>1</v>
      </c>
      <c r="H163" s="69">
        <v>1</v>
      </c>
      <c r="I163" s="59">
        <f>(((G163*2)+(H163*4)*MATERIALES!$C$31)+((H163*2)*MATERIALES!$C$32)+((G163*1)*MATERIALES!$C$32))*MATERIALES!$F$2</f>
        <v>2652.9047999999998</v>
      </c>
      <c r="J163" s="75"/>
      <c r="K163" s="59">
        <f t="shared" si="18"/>
        <v>2652.9047999999998</v>
      </c>
      <c r="L163" s="70">
        <f t="shared" si="19"/>
        <v>3448.7762399999997</v>
      </c>
      <c r="M163" s="799"/>
      <c r="S163" s="2"/>
      <c r="T163"/>
    </row>
    <row r="164" spans="4:20" ht="15.75" hidden="1">
      <c r="D164" s="279" t="s">
        <v>548</v>
      </c>
      <c r="G164" s="68">
        <v>1</v>
      </c>
      <c r="H164" s="69">
        <v>1.1000000000000001</v>
      </c>
      <c r="I164" s="59">
        <f>(((G164*2)+(H164*4)*MATERIALES!$C$31)+((H164*2)*MATERIALES!$C$32)+((G164*1)*MATERIALES!$C$32))*MATERIALES!$F$2</f>
        <v>2763.6336000000001</v>
      </c>
      <c r="J164" s="75"/>
      <c r="K164" s="59">
        <f t="shared" si="18"/>
        <v>2763.6336000000001</v>
      </c>
      <c r="L164" s="70">
        <f t="shared" si="19"/>
        <v>3592.7236800000001</v>
      </c>
      <c r="M164" s="799"/>
      <c r="S164" s="2"/>
      <c r="T164"/>
    </row>
    <row r="165" spans="4:20" ht="15.75" hidden="1">
      <c r="D165" s="257" t="s">
        <v>549</v>
      </c>
      <c r="G165" s="68">
        <v>1</v>
      </c>
      <c r="H165" s="69">
        <v>1.2</v>
      </c>
      <c r="I165" s="59">
        <f>(((G165*2)+(H165*4)*MATERIALES!$C$31)+((H165*2)*MATERIALES!$C$32)+((G165*1)*MATERIALES!$C$32))*MATERIALES!$F$2</f>
        <v>2874.3624</v>
      </c>
      <c r="J165" s="75"/>
      <c r="K165" s="59">
        <f t="shared" si="18"/>
        <v>2874.3624</v>
      </c>
      <c r="L165" s="70">
        <f t="shared" si="19"/>
        <v>3736.67112</v>
      </c>
      <c r="M165" s="799"/>
      <c r="S165" s="2"/>
      <c r="T165"/>
    </row>
    <row r="166" spans="4:20" ht="15.75" hidden="1">
      <c r="D166" s="279" t="s">
        <v>550</v>
      </c>
      <c r="G166" s="68">
        <v>1</v>
      </c>
      <c r="H166" s="69">
        <v>1.5</v>
      </c>
      <c r="I166" s="59">
        <f>(((G166*2)+(H166*4)*MATERIALES!$C$31)+((H166*2)*MATERIALES!$C$32)+((G166*1)*MATERIALES!$C$32))*MATERIALES!$F$2</f>
        <v>3206.5488000000005</v>
      </c>
      <c r="J166" s="75"/>
      <c r="K166" s="59">
        <f t="shared" si="18"/>
        <v>3206.5488000000005</v>
      </c>
      <c r="L166" s="70">
        <f t="shared" si="19"/>
        <v>4168.5134400000006</v>
      </c>
      <c r="M166" s="799"/>
      <c r="S166" s="2"/>
      <c r="T166"/>
    </row>
    <row r="167" spans="4:20" ht="15.75" hidden="1">
      <c r="D167" s="257" t="s">
        <v>551</v>
      </c>
      <c r="G167" s="68">
        <v>1.2</v>
      </c>
      <c r="H167" s="69">
        <v>0.4</v>
      </c>
      <c r="I167" s="59">
        <f>(((G167*2)+(H167*4)*MATERIALES!$C$31)+((H167*2)*MATERIALES!$C$32)+((G167*1)*MATERIALES!$C$32))*MATERIALES!$F$2</f>
        <v>2297.6553600000002</v>
      </c>
      <c r="J167" s="75"/>
      <c r="K167" s="59">
        <f t="shared" si="18"/>
        <v>2297.6553600000002</v>
      </c>
      <c r="L167" s="70">
        <f t="shared" si="19"/>
        <v>2986.9519680000003</v>
      </c>
      <c r="M167" s="799"/>
      <c r="S167" s="2"/>
      <c r="T167"/>
    </row>
    <row r="168" spans="4:20" ht="15.75" hidden="1">
      <c r="D168" s="279" t="s">
        <v>552</v>
      </c>
      <c r="G168" s="68">
        <v>1.2</v>
      </c>
      <c r="H168" s="69">
        <v>0.6</v>
      </c>
      <c r="I168" s="59">
        <f>(((G168*2)+(H168*4)*MATERIALES!$C$31)+((H168*2)*MATERIALES!$C$32)+((G168*1)*MATERIALES!$C$32))*MATERIALES!$F$2</f>
        <v>2519.1129600000004</v>
      </c>
      <c r="J168" s="75"/>
      <c r="K168" s="59">
        <f t="shared" si="18"/>
        <v>2519.1129600000004</v>
      </c>
      <c r="L168" s="70">
        <f t="shared" si="19"/>
        <v>3274.8468480000006</v>
      </c>
      <c r="M168" s="799"/>
      <c r="S168" s="2"/>
      <c r="T168"/>
    </row>
    <row r="169" spans="4:20" ht="15.75" hidden="1">
      <c r="D169" s="257" t="s">
        <v>553</v>
      </c>
      <c r="G169" s="68">
        <v>1.2</v>
      </c>
      <c r="H169" s="69">
        <v>0.8</v>
      </c>
      <c r="I169" s="59">
        <f>(((G169*2)+(H169*4)*MATERIALES!$C$31)+((H169*2)*MATERIALES!$C$32)+((G169*1)*MATERIALES!$C$32))*MATERIALES!$F$2</f>
        <v>2740.5705599999997</v>
      </c>
      <c r="J169" s="75"/>
      <c r="K169" s="59">
        <f t="shared" si="18"/>
        <v>2740.5705599999997</v>
      </c>
      <c r="L169" s="70">
        <f t="shared" si="19"/>
        <v>3562.7417279999995</v>
      </c>
      <c r="M169" s="799"/>
      <c r="S169" s="2"/>
      <c r="T169"/>
    </row>
    <row r="170" spans="4:20" ht="15.75" hidden="1">
      <c r="D170" s="279" t="s">
        <v>554</v>
      </c>
      <c r="G170" s="68">
        <v>1.2</v>
      </c>
      <c r="H170" s="69">
        <v>1</v>
      </c>
      <c r="I170" s="59">
        <f>(((G170*2)+(H170*4)*MATERIALES!$C$31)+((H170*2)*MATERIALES!$C$32)+((G170*1)*MATERIALES!$C$32))*MATERIALES!$F$2</f>
        <v>2962.0281599999998</v>
      </c>
      <c r="J170" s="75"/>
      <c r="K170" s="59">
        <f t="shared" si="18"/>
        <v>2962.0281599999998</v>
      </c>
      <c r="L170" s="70">
        <f t="shared" si="19"/>
        <v>3850.6366079999998</v>
      </c>
      <c r="M170" s="799"/>
      <c r="S170" s="2"/>
      <c r="T170"/>
    </row>
    <row r="171" spans="4:20" ht="15.75" hidden="1">
      <c r="D171" s="257" t="s">
        <v>555</v>
      </c>
      <c r="G171" s="68">
        <v>1.2</v>
      </c>
      <c r="H171" s="69">
        <v>1.1000000000000001</v>
      </c>
      <c r="I171" s="59">
        <f>(((G171*2)+(H171*4)*MATERIALES!$C$31)+((H171*2)*MATERIALES!$C$32)+((G171*1)*MATERIALES!$C$32))*MATERIALES!$F$2</f>
        <v>3072.7569600000002</v>
      </c>
      <c r="J171" s="75"/>
      <c r="K171" s="59">
        <f t="shared" si="18"/>
        <v>3072.7569600000002</v>
      </c>
      <c r="L171" s="70">
        <f t="shared" si="19"/>
        <v>3994.5840480000002</v>
      </c>
      <c r="M171" s="799"/>
      <c r="S171" s="2"/>
      <c r="T171"/>
    </row>
    <row r="172" spans="4:20" ht="15.75" hidden="1">
      <c r="D172" s="279" t="s">
        <v>556</v>
      </c>
      <c r="G172" s="68">
        <v>1.2</v>
      </c>
      <c r="H172" s="69">
        <v>1.2</v>
      </c>
      <c r="I172" s="59">
        <f>(((G172*2)+(H172*4)*MATERIALES!$C$31)+((H172*2)*MATERIALES!$C$32)+((G172*1)*MATERIALES!$C$32))*MATERIALES!$F$2</f>
        <v>3183.48576</v>
      </c>
      <c r="J172" s="75"/>
      <c r="K172" s="59">
        <f t="shared" si="18"/>
        <v>3183.48576</v>
      </c>
      <c r="L172" s="70">
        <f t="shared" si="19"/>
        <v>4138.5314880000005</v>
      </c>
      <c r="M172" s="799"/>
      <c r="S172" s="2"/>
      <c r="T172"/>
    </row>
    <row r="173" spans="4:20" ht="15.75" hidden="1">
      <c r="D173" s="257" t="s">
        <v>557</v>
      </c>
      <c r="G173" s="68">
        <v>1.2</v>
      </c>
      <c r="H173" s="69">
        <v>1.5</v>
      </c>
      <c r="I173" s="59">
        <f>(((G173*2)+(H173*4)*MATERIALES!$C$31)+((H173*2)*MATERIALES!$C$32)+((G173*1)*MATERIALES!$C$32))*MATERIALES!$F$2</f>
        <v>3515.6721599999996</v>
      </c>
      <c r="J173" s="75"/>
      <c r="K173" s="59">
        <f t="shared" si="18"/>
        <v>3515.6721599999996</v>
      </c>
      <c r="L173" s="70">
        <f t="shared" si="19"/>
        <v>4570.3738079999994</v>
      </c>
      <c r="M173" s="799"/>
      <c r="S173" s="2"/>
      <c r="T173"/>
    </row>
    <row r="174" spans="4:20" ht="15.75" hidden="1">
      <c r="D174" s="279" t="s">
        <v>558</v>
      </c>
      <c r="G174" s="68">
        <v>1.2</v>
      </c>
      <c r="H174" s="69">
        <v>1.8</v>
      </c>
      <c r="I174" s="59">
        <f>(((G174*2)+(H174*4)*MATERIALES!$C$31)+((H174*2)*MATERIALES!$C$32)+((G174*1)*MATERIALES!$C$32))*MATERIALES!$F$2</f>
        <v>3847.8585599999997</v>
      </c>
      <c r="J174" s="75"/>
      <c r="K174" s="59">
        <f t="shared" si="18"/>
        <v>3847.8585599999997</v>
      </c>
      <c r="L174" s="70">
        <f t="shared" si="19"/>
        <v>5002.216128</v>
      </c>
      <c r="M174" s="799"/>
      <c r="S174" s="2"/>
      <c r="T174"/>
    </row>
    <row r="175" spans="4:20" ht="15.75" hidden="1">
      <c r="D175" s="257" t="s">
        <v>559</v>
      </c>
      <c r="G175" s="68">
        <v>1.5</v>
      </c>
      <c r="H175" s="69">
        <v>0.4</v>
      </c>
      <c r="I175" s="59">
        <f>(((G175*2)+(H175*4)*MATERIALES!$C$31)+((H175*2)*MATERIALES!$C$32)+((G175*1)*MATERIALES!$C$32))*MATERIALES!$F$2</f>
        <v>2761.3403999999996</v>
      </c>
      <c r="J175" s="75"/>
      <c r="K175" s="59">
        <f t="shared" si="18"/>
        <v>2761.3403999999996</v>
      </c>
      <c r="L175" s="70">
        <f t="shared" si="19"/>
        <v>3589.7425199999998</v>
      </c>
      <c r="M175" s="799"/>
      <c r="S175" s="2"/>
      <c r="T175"/>
    </row>
    <row r="176" spans="4:20" ht="15.75" hidden="1">
      <c r="D176" s="279" t="s">
        <v>560</v>
      </c>
      <c r="G176" s="68">
        <v>1.5</v>
      </c>
      <c r="H176" s="69">
        <v>0.6</v>
      </c>
      <c r="I176" s="59">
        <f>(((G176*2)+(H176*4)*MATERIALES!$C$31)+((H176*2)*MATERIALES!$C$32)+((G176*1)*MATERIALES!$C$32))*MATERIALES!$F$2</f>
        <v>2982.7979999999998</v>
      </c>
      <c r="J176" s="75"/>
      <c r="K176" s="59">
        <f t="shared" si="18"/>
        <v>2982.7979999999998</v>
      </c>
      <c r="L176" s="70">
        <f t="shared" si="19"/>
        <v>3877.6373999999996</v>
      </c>
      <c r="M176" s="799"/>
      <c r="S176" s="2"/>
      <c r="T176"/>
    </row>
    <row r="177" spans="4:20" ht="15.75" hidden="1">
      <c r="D177" s="257" t="s">
        <v>561</v>
      </c>
      <c r="G177" s="68">
        <v>1.5</v>
      </c>
      <c r="H177" s="69">
        <v>0.8</v>
      </c>
      <c r="I177" s="59">
        <f>(((G177*2)+(H177*4)*MATERIALES!$C$31)+((H177*2)*MATERIALES!$C$32)+((G177*1)*MATERIALES!$C$32))*MATERIALES!$F$2</f>
        <v>3204.2556000000004</v>
      </c>
      <c r="J177" s="75"/>
      <c r="K177" s="59">
        <f t="shared" si="18"/>
        <v>3204.2556000000004</v>
      </c>
      <c r="L177" s="70">
        <f t="shared" si="19"/>
        <v>4165.5322800000004</v>
      </c>
      <c r="M177" s="799"/>
      <c r="S177" s="2"/>
      <c r="T177"/>
    </row>
    <row r="178" spans="4:20" ht="15.75" hidden="1">
      <c r="D178" s="279" t="s">
        <v>562</v>
      </c>
      <c r="G178" s="68">
        <v>1.5</v>
      </c>
      <c r="H178" s="69">
        <v>1</v>
      </c>
      <c r="I178" s="59">
        <f>(((G178*2)+(H178*4)*MATERIALES!$C$31)+((H178*2)*MATERIALES!$C$32)+((G178*1)*MATERIALES!$C$32))*MATERIALES!$F$2</f>
        <v>3425.7131999999997</v>
      </c>
      <c r="J178" s="75"/>
      <c r="K178" s="59">
        <f t="shared" si="18"/>
        <v>3425.7131999999997</v>
      </c>
      <c r="L178" s="70">
        <f t="shared" si="19"/>
        <v>4453.4271600000002</v>
      </c>
      <c r="M178" s="799"/>
      <c r="S178" s="2"/>
      <c r="T178"/>
    </row>
    <row r="179" spans="4:20" ht="15.75" hidden="1">
      <c r="D179" s="257" t="s">
        <v>563</v>
      </c>
      <c r="G179" s="68">
        <v>1.5</v>
      </c>
      <c r="H179" s="69">
        <v>1.1000000000000001</v>
      </c>
      <c r="I179" s="59">
        <f>(((G179*2)+(H179*4)*MATERIALES!$C$31)+((H179*2)*MATERIALES!$C$32)+((G179*1)*MATERIALES!$C$32))*MATERIALES!$F$2</f>
        <v>3536.442</v>
      </c>
      <c r="J179" s="75"/>
      <c r="K179" s="59">
        <f t="shared" si="18"/>
        <v>3536.442</v>
      </c>
      <c r="L179" s="70">
        <f t="shared" si="19"/>
        <v>4597.3746000000001</v>
      </c>
      <c r="M179" s="799"/>
      <c r="S179" s="2"/>
      <c r="T179"/>
    </row>
    <row r="180" spans="4:20" ht="15.75" hidden="1">
      <c r="D180" s="279" t="s">
        <v>564</v>
      </c>
      <c r="G180" s="68">
        <v>1.5</v>
      </c>
      <c r="H180" s="69">
        <v>1.2</v>
      </c>
      <c r="I180" s="59">
        <f>(((G180*2)+(H180*4)*MATERIALES!$C$31)+((H180*2)*MATERIALES!$C$32)+((G180*1)*MATERIALES!$C$32))*MATERIALES!$F$2</f>
        <v>3647.1707999999999</v>
      </c>
      <c r="J180" s="75"/>
      <c r="K180" s="59">
        <f t="shared" si="18"/>
        <v>3647.1707999999999</v>
      </c>
      <c r="L180" s="70">
        <f t="shared" si="19"/>
        <v>4741.32204</v>
      </c>
      <c r="M180" s="799"/>
      <c r="S180" s="2"/>
      <c r="T180"/>
    </row>
    <row r="181" spans="4:20" ht="15.75" hidden="1">
      <c r="D181" s="257" t="s">
        <v>565</v>
      </c>
      <c r="G181" s="68">
        <v>1.5</v>
      </c>
      <c r="H181" s="69">
        <v>1.5</v>
      </c>
      <c r="I181" s="59">
        <f>(((G181*2)+(H181*4)*MATERIALES!$C$31)+((H181*2)*MATERIALES!$C$32)+((G181*1)*MATERIALES!$C$32))*MATERIALES!$F$2</f>
        <v>3979.3572000000004</v>
      </c>
      <c r="J181" s="75"/>
      <c r="K181" s="59">
        <f t="shared" si="18"/>
        <v>3979.3572000000004</v>
      </c>
      <c r="L181" s="70">
        <f t="shared" si="19"/>
        <v>5173.1643600000007</v>
      </c>
      <c r="M181" s="799"/>
      <c r="S181" s="2"/>
      <c r="T181"/>
    </row>
    <row r="182" spans="4:20" ht="15.75" hidden="1">
      <c r="D182" s="279" t="s">
        <v>566</v>
      </c>
      <c r="G182" s="68">
        <v>1.5</v>
      </c>
      <c r="H182" s="69">
        <v>1.8</v>
      </c>
      <c r="I182" s="59">
        <f>(((G182*2)+(H182*4)*MATERIALES!$C$31)+((H182*2)*MATERIALES!$C$32)+((G182*1)*MATERIALES!$C$32))*MATERIALES!$F$2</f>
        <v>4311.5436</v>
      </c>
      <c r="J182" s="75"/>
      <c r="K182" s="59">
        <f t="shared" si="18"/>
        <v>4311.5436</v>
      </c>
      <c r="L182" s="70">
        <f t="shared" si="19"/>
        <v>5605.0066800000004</v>
      </c>
      <c r="M182" s="799"/>
      <c r="S182" s="2"/>
      <c r="T182"/>
    </row>
    <row r="183" spans="4:20" ht="15.75" hidden="1">
      <c r="D183" s="257" t="s">
        <v>567</v>
      </c>
      <c r="G183" s="68">
        <v>1.8</v>
      </c>
      <c r="H183" s="69">
        <v>0.8</v>
      </c>
      <c r="I183" s="59">
        <f>(((G183*2)+(H183*4)*MATERIALES!$C$31)+((H183*2)*MATERIALES!$C$32)+((G183*1)*MATERIALES!$C$32))*MATERIALES!$F$2</f>
        <v>3667.9406400000003</v>
      </c>
      <c r="J183" s="75"/>
      <c r="K183" s="59">
        <f t="shared" si="18"/>
        <v>3667.9406400000003</v>
      </c>
      <c r="L183" s="70">
        <f t="shared" si="19"/>
        <v>4768.3228320000007</v>
      </c>
      <c r="M183" s="799"/>
      <c r="S183" s="2"/>
      <c r="T183"/>
    </row>
    <row r="184" spans="4:20" ht="15.75" hidden="1">
      <c r="D184" s="279" t="s">
        <v>568</v>
      </c>
      <c r="G184" s="68">
        <v>1.8</v>
      </c>
      <c r="H184" s="69">
        <v>1</v>
      </c>
      <c r="I184" s="59">
        <f>(((G184*2)+(H184*4)*MATERIALES!$C$31)+((H184*2)*MATERIALES!$C$32)+((G184*1)*MATERIALES!$C$32))*MATERIALES!$F$2</f>
        <v>3889.3982400000004</v>
      </c>
      <c r="J184" s="75"/>
      <c r="K184" s="59">
        <f t="shared" si="18"/>
        <v>3889.3982400000004</v>
      </c>
      <c r="L184" s="70">
        <f t="shared" si="19"/>
        <v>5056.2177120000006</v>
      </c>
      <c r="M184" s="799"/>
      <c r="S184" s="2"/>
      <c r="T184"/>
    </row>
    <row r="185" spans="4:20" ht="15.75" hidden="1">
      <c r="D185" s="257" t="s">
        <v>569</v>
      </c>
      <c r="G185" s="68">
        <v>1.8</v>
      </c>
      <c r="H185" s="69">
        <v>1.1000000000000001</v>
      </c>
      <c r="I185" s="59">
        <f>(((G185*2)+(H185*4)*MATERIALES!$C$31)+((H185*2)*MATERIALES!$C$32)+((G185*1)*MATERIALES!$C$32))*MATERIALES!$F$2</f>
        <v>4000.1270400000003</v>
      </c>
      <c r="J185" s="75"/>
      <c r="K185" s="59">
        <f t="shared" si="18"/>
        <v>4000.1270400000003</v>
      </c>
      <c r="L185" s="70">
        <f t="shared" si="19"/>
        <v>5200.1651520000005</v>
      </c>
      <c r="M185" s="799"/>
      <c r="S185" s="2"/>
      <c r="T185"/>
    </row>
    <row r="186" spans="4:20" ht="15.75" hidden="1">
      <c r="D186" s="279" t="s">
        <v>570</v>
      </c>
      <c r="G186" s="68">
        <v>1.8</v>
      </c>
      <c r="H186" s="69">
        <v>1.2</v>
      </c>
      <c r="I186" s="59">
        <f>(((G186*2)+(H186*4)*MATERIALES!$C$31)+((H186*2)*MATERIALES!$C$32)+((G186*1)*MATERIALES!$C$32))*MATERIALES!$F$2</f>
        <v>4110.8558400000002</v>
      </c>
      <c r="J186" s="75"/>
      <c r="K186" s="59">
        <f t="shared" si="18"/>
        <v>4110.8558400000002</v>
      </c>
      <c r="L186" s="70">
        <f t="shared" si="19"/>
        <v>5344.1125920000004</v>
      </c>
      <c r="M186" s="799"/>
      <c r="S186" s="2"/>
      <c r="T186"/>
    </row>
    <row r="187" spans="4:20" ht="15.75" hidden="1">
      <c r="D187" s="257" t="s">
        <v>571</v>
      </c>
      <c r="G187" s="68">
        <v>1.8</v>
      </c>
      <c r="H187" s="69">
        <v>1.5</v>
      </c>
      <c r="I187" s="59">
        <f>(((G187*2)+(H187*4)*MATERIALES!$C$31)+((H187*2)*MATERIALES!$C$32)+((G187*1)*MATERIALES!$C$32))*MATERIALES!$F$2</f>
        <v>4443.0422400000007</v>
      </c>
      <c r="J187" s="75"/>
      <c r="K187" s="59">
        <f t="shared" ref="K187:K208" si="20">SUM(I187:J187)</f>
        <v>4443.0422400000007</v>
      </c>
      <c r="L187" s="70">
        <f t="shared" ref="L187:L208" si="21">SUM(I187:J187)*1.3</f>
        <v>5775.9549120000011</v>
      </c>
      <c r="M187" s="799"/>
      <c r="S187" s="2"/>
      <c r="T187"/>
    </row>
    <row r="188" spans="4:20" ht="15.75" hidden="1">
      <c r="D188" s="279" t="s">
        <v>572</v>
      </c>
      <c r="G188" s="68">
        <v>1.8</v>
      </c>
      <c r="H188" s="69">
        <v>1.8</v>
      </c>
      <c r="I188" s="59">
        <f>(((G188*2)+(H188*4)*MATERIALES!$C$31)+((H188*2)*MATERIALES!$C$32)+((G188*1)*MATERIALES!$C$32))*MATERIALES!$F$2</f>
        <v>4775.2286400000012</v>
      </c>
      <c r="J188" s="75"/>
      <c r="K188" s="59">
        <f t="shared" si="20"/>
        <v>4775.2286400000012</v>
      </c>
      <c r="L188" s="70">
        <f t="shared" si="21"/>
        <v>6207.7972320000017</v>
      </c>
      <c r="M188" s="799"/>
      <c r="S188" s="2"/>
      <c r="T188"/>
    </row>
    <row r="189" spans="4:20" ht="15.75" hidden="1">
      <c r="D189" s="257" t="s">
        <v>573</v>
      </c>
      <c r="G189" s="68">
        <v>2</v>
      </c>
      <c r="H189" s="69">
        <v>0.8</v>
      </c>
      <c r="I189" s="59">
        <f>(((G189*2)+(H189*4)*MATERIALES!$C$31)+((H189*2)*MATERIALES!$C$32)+((G189*1)*MATERIALES!$C$32))*MATERIALES!$F$2</f>
        <v>3977.0639999999999</v>
      </c>
      <c r="J189" s="75"/>
      <c r="K189" s="59">
        <f t="shared" si="20"/>
        <v>3977.0639999999999</v>
      </c>
      <c r="L189" s="70">
        <f t="shared" si="21"/>
        <v>5170.1832000000004</v>
      </c>
      <c r="M189" s="799"/>
      <c r="S189" s="2"/>
      <c r="T189"/>
    </row>
    <row r="190" spans="4:20" ht="15.75" hidden="1">
      <c r="D190" s="279" t="s">
        <v>574</v>
      </c>
      <c r="G190" s="68">
        <v>2</v>
      </c>
      <c r="H190" s="69">
        <v>1</v>
      </c>
      <c r="I190" s="59">
        <f>(((G190*2)+(H190*4)*MATERIALES!$C$31)+((H190*2)*MATERIALES!$C$32)+((G190*1)*MATERIALES!$C$32))*MATERIALES!$F$2</f>
        <v>4198.5216</v>
      </c>
      <c r="J190" s="75"/>
      <c r="K190" s="59">
        <f t="shared" si="20"/>
        <v>4198.5216</v>
      </c>
      <c r="L190" s="70">
        <f t="shared" si="21"/>
        <v>5458.0780800000002</v>
      </c>
      <c r="M190" s="799"/>
      <c r="S190" s="2"/>
      <c r="T190"/>
    </row>
    <row r="191" spans="4:20" ht="15.75" hidden="1">
      <c r="D191" s="257" t="s">
        <v>575</v>
      </c>
      <c r="G191" s="68">
        <v>2</v>
      </c>
      <c r="H191" s="69">
        <v>1.1000000000000001</v>
      </c>
      <c r="I191" s="59">
        <f>(((G191*2)+(H191*4)*MATERIALES!$C$31)+((H191*2)*MATERIALES!$C$32)+((G191*1)*MATERIALES!$C$32))*MATERIALES!$F$2</f>
        <v>4309.2503999999999</v>
      </c>
      <c r="J191" s="75"/>
      <c r="K191" s="59">
        <f t="shared" si="20"/>
        <v>4309.2503999999999</v>
      </c>
      <c r="L191" s="70">
        <f t="shared" si="21"/>
        <v>5602.0255200000001</v>
      </c>
      <c r="M191" s="799"/>
      <c r="S191" s="2"/>
      <c r="T191"/>
    </row>
    <row r="192" spans="4:20" ht="15.75" hidden="1">
      <c r="D192" s="279" t="s">
        <v>576</v>
      </c>
      <c r="G192" s="68">
        <v>2</v>
      </c>
      <c r="H192" s="69">
        <v>1.2</v>
      </c>
      <c r="I192" s="59">
        <f>(((G192*2)+(H192*4)*MATERIALES!$C$31)+((H192*2)*MATERIALES!$C$32)+((G192*1)*MATERIALES!$C$32))*MATERIALES!$F$2</f>
        <v>4419.9791999999998</v>
      </c>
      <c r="J192" s="75"/>
      <c r="K192" s="59">
        <f t="shared" si="20"/>
        <v>4419.9791999999998</v>
      </c>
      <c r="L192" s="70">
        <f t="shared" si="21"/>
        <v>5745.9729600000001</v>
      </c>
      <c r="M192" s="799"/>
      <c r="S192" s="2"/>
      <c r="T192"/>
    </row>
    <row r="193" spans="4:20" ht="15.75" hidden="1">
      <c r="D193" s="257" t="s">
        <v>577</v>
      </c>
      <c r="G193" s="68">
        <v>2</v>
      </c>
      <c r="H193" s="69">
        <v>1.5</v>
      </c>
      <c r="I193" s="59">
        <f>(((G193*2)+(H193*4)*MATERIALES!$C$31)+((H193*2)*MATERIALES!$C$32)+((G193*1)*MATERIALES!$C$32))*MATERIALES!$F$2</f>
        <v>4752.1656000000003</v>
      </c>
      <c r="J193" s="75"/>
      <c r="K193" s="59">
        <f t="shared" si="20"/>
        <v>4752.1656000000003</v>
      </c>
      <c r="L193" s="70">
        <f t="shared" si="21"/>
        <v>6177.8152800000007</v>
      </c>
      <c r="M193" s="799"/>
      <c r="S193" s="2"/>
      <c r="T193"/>
    </row>
    <row r="194" spans="4:20" ht="16.5" hidden="1" thickBot="1">
      <c r="D194" s="280" t="s">
        <v>578</v>
      </c>
      <c r="G194" s="68">
        <v>2</v>
      </c>
      <c r="H194" s="69">
        <v>1.8</v>
      </c>
      <c r="I194" s="59">
        <f>(((G194*2)+(H194*4)*MATERIALES!$C$31)+((H194*2)*MATERIALES!$C$32)+((G194*1)*MATERIALES!$C$32))*MATERIALES!$F$2</f>
        <v>5084.3519999999999</v>
      </c>
      <c r="J194" s="75"/>
      <c r="K194" s="59">
        <f t="shared" si="20"/>
        <v>5084.3519999999999</v>
      </c>
      <c r="L194" s="70">
        <f t="shared" si="21"/>
        <v>6609.6576000000005</v>
      </c>
      <c r="M194" s="799"/>
      <c r="S194" s="2"/>
      <c r="T194"/>
    </row>
    <row r="195" spans="4:20" hidden="1">
      <c r="G195" s="68"/>
      <c r="H195" s="69"/>
      <c r="I195" s="59">
        <f>(((G195*2)+(H195*4)*MATERIALES!$C$31)+((H195*2)*MATERIALES!$C$32)+((G195*1)*MATERIALES!$C$32))*MATERIALES!$F$2</f>
        <v>0</v>
      </c>
      <c r="J195" s="75"/>
      <c r="K195" s="59">
        <f t="shared" si="20"/>
        <v>0</v>
      </c>
      <c r="L195" s="70">
        <f t="shared" si="21"/>
        <v>0</v>
      </c>
      <c r="M195" s="799"/>
      <c r="S195" s="2"/>
      <c r="T195"/>
    </row>
    <row r="196" spans="4:20" hidden="1">
      <c r="G196" s="68"/>
      <c r="H196" s="69"/>
      <c r="I196" s="59">
        <f>(((G196*2)+(H196*4)*MATERIALES!$C$31)+((H196*2)*MATERIALES!$C$32)+((G196*1)*MATERIALES!$C$32))*MATERIALES!$F$2</f>
        <v>0</v>
      </c>
      <c r="J196" s="75"/>
      <c r="K196" s="59">
        <f t="shared" si="20"/>
        <v>0</v>
      </c>
      <c r="L196" s="70">
        <f t="shared" si="21"/>
        <v>0</v>
      </c>
      <c r="M196" s="799"/>
      <c r="S196" s="2"/>
      <c r="T196"/>
    </row>
    <row r="197" spans="4:20" hidden="1">
      <c r="G197" s="68"/>
      <c r="H197" s="69"/>
      <c r="I197" s="59">
        <f>(((G197*2)+(H197*4)*MATERIALES!$C$31)+((H197*2)*MATERIALES!$C$32)+((G197*1)*MATERIALES!$C$32))*MATERIALES!$F$2</f>
        <v>0</v>
      </c>
      <c r="J197" s="75"/>
      <c r="K197" s="59">
        <f t="shared" si="20"/>
        <v>0</v>
      </c>
      <c r="L197" s="70">
        <f t="shared" si="21"/>
        <v>0</v>
      </c>
      <c r="M197" s="799"/>
      <c r="S197" s="2"/>
      <c r="T197"/>
    </row>
    <row r="198" spans="4:20" hidden="1">
      <c r="G198" s="68">
        <v>2.2000000000000002</v>
      </c>
      <c r="H198" s="69">
        <v>1</v>
      </c>
      <c r="I198" s="59">
        <f>(((G198*2)+(H198*4)*MATERIALES!$C$31)+((H198*2)*MATERIALES!$C$32)+((G198*1)*MATERIALES!$C$32))*MATERIALES!$F$2</f>
        <v>4507.6449599999996</v>
      </c>
      <c r="J198" s="75"/>
      <c r="K198" s="59">
        <f t="shared" si="20"/>
        <v>4507.6449599999996</v>
      </c>
      <c r="L198" s="70">
        <f t="shared" si="21"/>
        <v>5859.9384479999999</v>
      </c>
      <c r="M198" s="799"/>
      <c r="S198" s="2"/>
      <c r="T198"/>
    </row>
    <row r="199" spans="4:20" hidden="1">
      <c r="G199" s="68">
        <v>2.2000000000000002</v>
      </c>
      <c r="H199" s="69">
        <v>1.2</v>
      </c>
      <c r="I199" s="59">
        <f>(((G199*2)+(H199*4)*MATERIALES!$C$31)+((H199*2)*MATERIALES!$C$32)+((G199*1)*MATERIALES!$C$32))*MATERIALES!$F$2</f>
        <v>4729.1025600000003</v>
      </c>
      <c r="J199" s="75"/>
      <c r="K199" s="59">
        <f t="shared" si="20"/>
        <v>4729.1025600000003</v>
      </c>
      <c r="L199" s="70">
        <f t="shared" si="21"/>
        <v>6147.8333280000006</v>
      </c>
      <c r="M199" s="799"/>
      <c r="S199" s="2"/>
      <c r="T199"/>
    </row>
    <row r="200" spans="4:20" hidden="1">
      <c r="G200" s="68">
        <v>2.2000000000000002</v>
      </c>
      <c r="H200" s="69">
        <v>1.5</v>
      </c>
      <c r="I200" s="59">
        <f>(((G200*2)+(H200*4)*MATERIALES!$C$31)+((H200*2)*MATERIALES!$C$32)+((G200*1)*MATERIALES!$C$32))*MATERIALES!$F$2</f>
        <v>5061.2889600000008</v>
      </c>
      <c r="J200" s="75"/>
      <c r="K200" s="59">
        <f t="shared" si="20"/>
        <v>5061.2889600000008</v>
      </c>
      <c r="L200" s="70">
        <f t="shared" si="21"/>
        <v>6579.6756480000013</v>
      </c>
      <c r="M200" s="799"/>
      <c r="S200" s="2"/>
      <c r="T200"/>
    </row>
    <row r="201" spans="4:20" hidden="1">
      <c r="G201" s="68">
        <v>2.2000000000000002</v>
      </c>
      <c r="H201" s="69">
        <v>1.8</v>
      </c>
      <c r="I201" s="59">
        <f>(((G201*2)+(H201*4)*MATERIALES!$C$31)+((H201*2)*MATERIALES!$C$32)+((G201*1)*MATERIALES!$C$32))*MATERIALES!$F$2</f>
        <v>5393.4753600000004</v>
      </c>
      <c r="J201" s="75"/>
      <c r="K201" s="59">
        <f t="shared" si="20"/>
        <v>5393.4753600000004</v>
      </c>
      <c r="L201" s="70">
        <f t="shared" si="21"/>
        <v>7011.517968000001</v>
      </c>
      <c r="M201" s="799"/>
      <c r="S201" s="2"/>
      <c r="T201"/>
    </row>
    <row r="202" spans="4:20" hidden="1">
      <c r="G202" s="68">
        <v>2.4</v>
      </c>
      <c r="H202" s="69">
        <v>0.4</v>
      </c>
      <c r="I202" s="59">
        <f>(((G202*2)+(H202*4)*MATERIALES!$C$31)+((H202*2)*MATERIALES!$C$32)+((G202*1)*MATERIALES!$C$32))*MATERIALES!$F$2</f>
        <v>4152.39552</v>
      </c>
      <c r="J202" s="75"/>
      <c r="K202" s="59">
        <f t="shared" si="20"/>
        <v>4152.39552</v>
      </c>
      <c r="L202" s="70">
        <f t="shared" si="21"/>
        <v>5398.114176</v>
      </c>
      <c r="M202" s="799"/>
      <c r="S202" s="2"/>
      <c r="T202"/>
    </row>
    <row r="203" spans="4:20" hidden="1">
      <c r="G203" s="68">
        <v>2.4</v>
      </c>
      <c r="H203" s="69">
        <v>0.6</v>
      </c>
      <c r="I203" s="59">
        <f>(((G203*2)+(H203*4)*MATERIALES!$C$31)+((H203*2)*MATERIALES!$C$32)+((G203*1)*MATERIALES!$C$32))*MATERIALES!$F$2</f>
        <v>4373.8531199999998</v>
      </c>
      <c r="J203" s="75"/>
      <c r="K203" s="59">
        <f t="shared" si="20"/>
        <v>4373.8531199999998</v>
      </c>
      <c r="L203" s="70">
        <f t="shared" si="21"/>
        <v>5686.0090559999999</v>
      </c>
      <c r="M203" s="799"/>
      <c r="S203" s="2"/>
      <c r="T203"/>
    </row>
    <row r="204" spans="4:20" hidden="1">
      <c r="G204" s="68">
        <v>2.4</v>
      </c>
      <c r="H204" s="69">
        <v>0.8</v>
      </c>
      <c r="I204" s="59">
        <f>(((G204*2)+(H204*4)*MATERIALES!$C$31)+((H204*2)*MATERIALES!$C$32)+((G204*1)*MATERIALES!$C$32))*MATERIALES!$F$2</f>
        <v>4595.3107200000004</v>
      </c>
      <c r="J204" s="75"/>
      <c r="K204" s="59">
        <f t="shared" si="20"/>
        <v>4595.3107200000004</v>
      </c>
      <c r="L204" s="70">
        <f t="shared" si="21"/>
        <v>5973.9039360000006</v>
      </c>
      <c r="M204" s="799"/>
      <c r="S204" s="2"/>
      <c r="T204"/>
    </row>
    <row r="205" spans="4:20" hidden="1">
      <c r="G205" s="68">
        <v>2.4</v>
      </c>
      <c r="H205" s="69">
        <v>1</v>
      </c>
      <c r="I205" s="59">
        <f>(((G205*2)+(H205*4)*MATERIALES!$C$31)+((H205*2)*MATERIALES!$C$32)+((G205*1)*MATERIALES!$C$32))*MATERIALES!$F$2</f>
        <v>4816.7683200000001</v>
      </c>
      <c r="J205" s="75"/>
      <c r="K205" s="59">
        <f t="shared" si="20"/>
        <v>4816.7683200000001</v>
      </c>
      <c r="L205" s="70">
        <f t="shared" si="21"/>
        <v>6261.7988160000004</v>
      </c>
      <c r="M205" s="799"/>
      <c r="S205" s="2"/>
      <c r="T205"/>
    </row>
    <row r="206" spans="4:20" hidden="1">
      <c r="G206" s="68">
        <v>2.4</v>
      </c>
      <c r="H206" s="69">
        <v>1.2</v>
      </c>
      <c r="I206" s="59">
        <f>(((G206*2)+(H206*4)*MATERIALES!$C$31)+((H206*2)*MATERIALES!$C$32)+((G206*1)*MATERIALES!$C$32))*MATERIALES!$F$2</f>
        <v>5038.2259200000008</v>
      </c>
      <c r="J206" s="75"/>
      <c r="K206" s="59">
        <f t="shared" si="20"/>
        <v>5038.2259200000008</v>
      </c>
      <c r="L206" s="70">
        <f t="shared" si="21"/>
        <v>6549.6936960000012</v>
      </c>
      <c r="M206" s="799"/>
      <c r="S206" s="2"/>
      <c r="T206"/>
    </row>
    <row r="207" spans="4:20" hidden="1">
      <c r="G207" s="68">
        <v>2.4</v>
      </c>
      <c r="H207" s="69">
        <v>1.5</v>
      </c>
      <c r="I207" s="59">
        <f>(((G207*2)+(H207*4)*MATERIALES!$C$31)+((H207*2)*MATERIALES!$C$32)+((G207*1)*MATERIALES!$C$32))*MATERIALES!$F$2</f>
        <v>5370.4123200000004</v>
      </c>
      <c r="J207" s="75"/>
      <c r="K207" s="59">
        <f t="shared" si="20"/>
        <v>5370.4123200000004</v>
      </c>
      <c r="L207" s="70">
        <f t="shared" si="21"/>
        <v>6981.5360160000009</v>
      </c>
      <c r="M207" s="799"/>
      <c r="S207" s="2"/>
      <c r="T207"/>
    </row>
    <row r="208" spans="4:20" ht="15.75" hidden="1" thickBot="1">
      <c r="G208" s="71">
        <v>2.4</v>
      </c>
      <c r="H208" s="72">
        <v>1.8</v>
      </c>
      <c r="I208" s="60">
        <f>(((G208*2)+(H208*4)*MATERIALES!$C$31)+((H208*2)*MATERIALES!$C$32)+((G208*1)*MATERIALES!$C$32))*MATERIALES!$F$2</f>
        <v>5702.59872</v>
      </c>
      <c r="J208" s="76"/>
      <c r="K208" s="60">
        <f t="shared" si="20"/>
        <v>5702.59872</v>
      </c>
      <c r="L208" s="73">
        <f t="shared" si="21"/>
        <v>7413.3783359999998</v>
      </c>
      <c r="M208" s="800"/>
      <c r="S208" s="2"/>
      <c r="T208"/>
    </row>
    <row r="209" spans="7:34" hidden="1">
      <c r="L209" s="32"/>
      <c r="S209" s="2"/>
      <c r="T209"/>
    </row>
    <row r="210" spans="7:34" ht="15.75" hidden="1" thickBot="1"/>
    <row r="211" spans="7:34" ht="15.75" hidden="1" thickBot="1">
      <c r="H211" s="32"/>
      <c r="I211" s="233">
        <v>0.3</v>
      </c>
      <c r="J211" s="234"/>
      <c r="K211" s="235"/>
      <c r="L211" s="46" t="s">
        <v>163</v>
      </c>
    </row>
    <row r="212" spans="7:34" ht="15.75" hidden="1" thickBot="1">
      <c r="G212" s="792" t="s">
        <v>253</v>
      </c>
      <c r="H212" s="793"/>
      <c r="I212" s="793"/>
      <c r="J212" s="793"/>
      <c r="K212" s="793"/>
      <c r="L212" s="794"/>
      <c r="M212" s="94"/>
    </row>
    <row r="213" spans="7:34" ht="15.75" hidden="1" thickBot="1">
      <c r="G213" s="36" t="s">
        <v>116</v>
      </c>
      <c r="H213" s="36" t="s">
        <v>117</v>
      </c>
      <c r="I213" s="36" t="s">
        <v>162</v>
      </c>
      <c r="J213" s="36" t="s">
        <v>120</v>
      </c>
      <c r="K213" s="36" t="s">
        <v>121</v>
      </c>
      <c r="L213" s="36" t="s">
        <v>122</v>
      </c>
      <c r="S213" s="2"/>
      <c r="T213"/>
    </row>
    <row r="214" spans="7:34" ht="15.75" hidden="1" thickBot="1">
      <c r="G214" s="91"/>
      <c r="H214" s="92"/>
      <c r="I214" s="92"/>
      <c r="J214" s="92"/>
      <c r="K214" s="92"/>
      <c r="L214" s="93"/>
      <c r="S214" s="2"/>
      <c r="T214"/>
    </row>
    <row r="215" spans="7:34" hidden="1">
      <c r="G215" s="65">
        <v>1.2</v>
      </c>
      <c r="H215" s="66">
        <v>2</v>
      </c>
      <c r="I215" s="58">
        <f>(((G215*2)+(H215*4)*MATERIALES!$C$31)+((H215*2)*MATERIALES!$C$32)+((G215*2)*MATERIALES!$C$32))*MATERIALES!$F$2</f>
        <v>4351.5763200000001</v>
      </c>
      <c r="J215" s="74"/>
      <c r="K215" s="47">
        <f t="shared" ref="K215:K220" si="22">SUM(I215:J215)</f>
        <v>4351.5763200000001</v>
      </c>
      <c r="L215" s="49">
        <f>SUM(I215:J215)*1.3</f>
        <v>5657.0492160000003</v>
      </c>
      <c r="M215" s="786" t="s">
        <v>254</v>
      </c>
      <c r="S215" s="2"/>
      <c r="T215"/>
    </row>
    <row r="216" spans="7:34" hidden="1">
      <c r="G216" s="68">
        <v>1.5</v>
      </c>
      <c r="H216" s="69">
        <v>2</v>
      </c>
      <c r="I216" s="59">
        <f>(((G216*2)+(H216*4)*MATERIALES!$C$31)+((H216*2)*MATERIALES!$C$32)+((G216*2)*MATERIALES!$C$32))*MATERIALES!$F$2</f>
        <v>4885.8263999999999</v>
      </c>
      <c r="J216" s="75"/>
      <c r="K216" s="38">
        <f t="shared" si="22"/>
        <v>4885.8263999999999</v>
      </c>
      <c r="L216" s="43">
        <f t="shared" ref="L216:L220" si="23">SUM(I216:J216)*1.3</f>
        <v>6351.5743199999997</v>
      </c>
      <c r="M216" s="787"/>
      <c r="S216" s="2"/>
      <c r="T216"/>
    </row>
    <row r="217" spans="7:34" hidden="1">
      <c r="G217" s="68">
        <v>1.8</v>
      </c>
      <c r="H217" s="69">
        <v>2</v>
      </c>
      <c r="I217" s="59">
        <f>(((G217*2)+(H217*4)*MATERIALES!$C$31)+((H217*2)*MATERIALES!$C$32)+((G217*2)*MATERIALES!$C$32))*MATERIALES!$F$2</f>
        <v>5420.0764800000015</v>
      </c>
      <c r="J217" s="75"/>
      <c r="K217" s="38">
        <f t="shared" si="22"/>
        <v>5420.0764800000015</v>
      </c>
      <c r="L217" s="43">
        <f t="shared" si="23"/>
        <v>7046.0994240000018</v>
      </c>
      <c r="M217" s="787"/>
      <c r="S217" s="2"/>
      <c r="T217"/>
    </row>
    <row r="218" spans="7:34" hidden="1">
      <c r="G218" s="68">
        <v>2</v>
      </c>
      <c r="H218" s="69">
        <v>2</v>
      </c>
      <c r="I218" s="59">
        <f>(((G218*2)+(H218*4)*MATERIALES!$C$31)+((H218*2)*MATERIALES!$C$32)+((G218*2)*MATERIALES!$C$32))*MATERIALES!$F$2</f>
        <v>5776.2431999999999</v>
      </c>
      <c r="J218" s="75"/>
      <c r="K218" s="38">
        <f t="shared" si="22"/>
        <v>5776.2431999999999</v>
      </c>
      <c r="L218" s="43">
        <f t="shared" si="23"/>
        <v>7509.1161600000005</v>
      </c>
      <c r="M218" s="787"/>
      <c r="S218" s="2"/>
      <c r="T218"/>
    </row>
    <row r="219" spans="7:34" hidden="1">
      <c r="G219" s="68">
        <v>2.4</v>
      </c>
      <c r="H219" s="69">
        <v>2</v>
      </c>
      <c r="I219" s="59">
        <f>(((G219*2)+(H219*4)*MATERIALES!$C$31)+((H219*2)*MATERIALES!$C$32)+((G219*2)*MATERIALES!$C$32))*MATERIALES!$F$2</f>
        <v>6488.5766400000002</v>
      </c>
      <c r="J219" s="75"/>
      <c r="K219" s="38">
        <f t="shared" si="22"/>
        <v>6488.5766400000002</v>
      </c>
      <c r="L219" s="43">
        <f t="shared" si="23"/>
        <v>8435.1496320000006</v>
      </c>
      <c r="M219" s="787"/>
      <c r="S219" s="2"/>
      <c r="T219"/>
    </row>
    <row r="220" spans="7:34" ht="15.75" hidden="1" thickBot="1">
      <c r="G220" s="71">
        <v>2.4</v>
      </c>
      <c r="H220" s="72">
        <v>2</v>
      </c>
      <c r="I220" s="60">
        <f>(((G220*2)+(H220*4)*MATERIALES!$C$31)+((H220*2)*MATERIALES!$C$32)+((G220*2)*MATERIALES!$C$32))*MATERIALES!$F$2</f>
        <v>6488.5766400000002</v>
      </c>
      <c r="J220" s="76"/>
      <c r="K220" s="50">
        <f t="shared" si="22"/>
        <v>6488.5766400000002</v>
      </c>
      <c r="L220" s="52">
        <f t="shared" si="23"/>
        <v>8435.1496320000006</v>
      </c>
      <c r="M220" s="788"/>
      <c r="S220" s="2"/>
      <c r="T220"/>
    </row>
    <row r="221" spans="7:34" hidden="1"/>
    <row r="222" spans="7:34" ht="23.25" customHeight="1" thickBot="1">
      <c r="AB222" s="32"/>
      <c r="AC222" s="32"/>
      <c r="AD222" s="32"/>
      <c r="AE222" s="32"/>
      <c r="AF222" s="32"/>
      <c r="AG222" s="32"/>
    </row>
    <row r="223" spans="7:34" ht="15" customHeight="1">
      <c r="AA223" s="841" t="s">
        <v>533</v>
      </c>
      <c r="AB223" s="842"/>
      <c r="AC223" s="842"/>
      <c r="AD223" s="842"/>
      <c r="AE223" s="842"/>
      <c r="AF223" s="843"/>
      <c r="AH223" s="847" t="s">
        <v>532</v>
      </c>
    </row>
    <row r="224" spans="7:34" ht="15.75" customHeight="1" thickBot="1">
      <c r="AA224" s="844"/>
      <c r="AB224" s="845"/>
      <c r="AC224" s="845"/>
      <c r="AD224" s="845"/>
      <c r="AE224" s="845"/>
      <c r="AF224" s="846"/>
      <c r="AH224" s="848"/>
    </row>
    <row r="225" spans="27:34" ht="38.25" thickBot="1">
      <c r="AA225" s="239" t="s">
        <v>534</v>
      </c>
      <c r="AB225" s="240" t="s">
        <v>535</v>
      </c>
      <c r="AC225" s="240" t="s">
        <v>536</v>
      </c>
      <c r="AD225" s="240" t="s">
        <v>537</v>
      </c>
      <c r="AE225" s="241" t="s">
        <v>857</v>
      </c>
      <c r="AF225" s="241" t="s">
        <v>538</v>
      </c>
      <c r="AH225" s="848"/>
    </row>
    <row r="226" spans="27:34" ht="50.25" customHeight="1" thickBot="1">
      <c r="AA226" s="243"/>
      <c r="AB226" s="244"/>
      <c r="AC226" s="244"/>
      <c r="AD226" s="244"/>
      <c r="AE226" s="244"/>
      <c r="AF226" s="244"/>
      <c r="AH226" s="848"/>
    </row>
    <row r="227" spans="27:34" ht="15.75">
      <c r="AA227" s="245" t="s">
        <v>539</v>
      </c>
      <c r="AB227" s="246">
        <f>+H6</f>
        <v>3072.1599839999999</v>
      </c>
      <c r="AC227" s="246">
        <f>+T6</f>
        <v>3512.9985120000006</v>
      </c>
      <c r="AD227" s="246">
        <f>+H93</f>
        <v>758.768192</v>
      </c>
      <c r="AE227" s="247">
        <f t="shared" ref="AE227:AE266" si="24">+L155</f>
        <v>1781.3708639999998</v>
      </c>
      <c r="AF227" s="247">
        <f>+Rejas!F6</f>
        <v>22100</v>
      </c>
      <c r="AH227" s="848"/>
    </row>
    <row r="228" spans="27:34" ht="15.75">
      <c r="AA228" s="245" t="s">
        <v>540</v>
      </c>
      <c r="AB228" s="246">
        <f>+H7</f>
        <v>3693.8188319999999</v>
      </c>
      <c r="AC228" s="246">
        <f t="shared" ref="AC228:AC266" si="25">+T7</f>
        <v>4313.8676640000003</v>
      </c>
      <c r="AD228" s="246">
        <f t="shared" ref="AD228:AD266" si="26">+H94</f>
        <v>976.07910399999992</v>
      </c>
      <c r="AE228" s="247">
        <f t="shared" si="24"/>
        <v>2069.2657440000003</v>
      </c>
      <c r="AF228" s="247">
        <f>+Rejas!F7</f>
        <v>22100</v>
      </c>
      <c r="AH228" s="848"/>
    </row>
    <row r="229" spans="27:34" ht="15.75">
      <c r="AA229" s="245" t="s">
        <v>541</v>
      </c>
      <c r="AB229" s="246">
        <f t="shared" ref="AB229:AB266" si="27">+H8</f>
        <v>3500.2436000000007</v>
      </c>
      <c r="AC229" s="246">
        <f t="shared" si="25"/>
        <v>3941.0821280000009</v>
      </c>
      <c r="AD229" s="246">
        <f t="shared" si="26"/>
        <v>883.80364800000007</v>
      </c>
      <c r="AE229" s="247">
        <f t="shared" si="24"/>
        <v>2183.2312320000001</v>
      </c>
      <c r="AF229" s="247">
        <f>+Rejas!F8</f>
        <v>22100</v>
      </c>
      <c r="AH229" s="848"/>
    </row>
    <row r="230" spans="27:34" ht="15.75">
      <c r="AA230" s="245" t="s">
        <v>542</v>
      </c>
      <c r="AB230" s="246">
        <f t="shared" si="27"/>
        <v>4164.3024479999995</v>
      </c>
      <c r="AC230" s="246">
        <f t="shared" si="25"/>
        <v>4784.3512799999999</v>
      </c>
      <c r="AD230" s="246">
        <f t="shared" si="26"/>
        <v>1133.87456</v>
      </c>
      <c r="AE230" s="247">
        <f t="shared" si="24"/>
        <v>2471.1261120000004</v>
      </c>
      <c r="AF230" s="247">
        <f>+Rejas!F9</f>
        <v>22100</v>
      </c>
      <c r="AH230" s="848"/>
    </row>
    <row r="231" spans="27:34" ht="15.75">
      <c r="AA231" s="245" t="s">
        <v>543</v>
      </c>
      <c r="AB231" s="246">
        <f t="shared" si="27"/>
        <v>4828.3612960000009</v>
      </c>
      <c r="AC231" s="246">
        <f t="shared" si="25"/>
        <v>5581.2846880000016</v>
      </c>
      <c r="AD231" s="246">
        <f t="shared" si="26"/>
        <v>1383.9454720000003</v>
      </c>
      <c r="AE231" s="247">
        <f t="shared" si="24"/>
        <v>2759.0209920000002</v>
      </c>
      <c r="AF231" s="247">
        <f>+Rejas!F10</f>
        <v>28288.000000000007</v>
      </c>
      <c r="AH231" s="848"/>
    </row>
    <row r="232" spans="27:34" ht="15.75">
      <c r="AA232" s="245" t="s">
        <v>544</v>
      </c>
      <c r="AB232" s="246">
        <f t="shared" si="27"/>
        <v>3928.3272160000001</v>
      </c>
      <c r="AC232" s="246">
        <f t="shared" si="25"/>
        <v>4397.8822240000009</v>
      </c>
      <c r="AD232" s="246">
        <f t="shared" si="26"/>
        <v>1008.839104</v>
      </c>
      <c r="AE232" s="247">
        <f t="shared" si="24"/>
        <v>2585.0916000000002</v>
      </c>
      <c r="AF232" s="247">
        <f>+Rejas!F11</f>
        <v>22100</v>
      </c>
      <c r="AH232" s="848"/>
    </row>
    <row r="233" spans="27:34" ht="16.5" thickBot="1">
      <c r="AA233" s="245" t="s">
        <v>545</v>
      </c>
      <c r="AB233" s="246">
        <f t="shared" si="27"/>
        <v>4634.7860639999999</v>
      </c>
      <c r="AC233" s="246">
        <f t="shared" si="25"/>
        <v>5283.5513760000003</v>
      </c>
      <c r="AD233" s="246">
        <f t="shared" si="26"/>
        <v>1291.670016</v>
      </c>
      <c r="AE233" s="247">
        <f t="shared" si="24"/>
        <v>2872.98648</v>
      </c>
      <c r="AF233" s="247">
        <f>+Rejas!F12</f>
        <v>26520</v>
      </c>
      <c r="AH233" s="849"/>
    </row>
    <row r="234" spans="27:34" ht="15.75">
      <c r="AA234" s="249" t="s">
        <v>546</v>
      </c>
      <c r="AB234" s="246">
        <f t="shared" si="27"/>
        <v>5341.2449120000001</v>
      </c>
      <c r="AC234" s="246">
        <f t="shared" si="25"/>
        <v>6169.2205280000017</v>
      </c>
      <c r="AD234" s="246">
        <f t="shared" si="26"/>
        <v>1574.5009279999999</v>
      </c>
      <c r="AE234" s="247">
        <f t="shared" si="24"/>
        <v>3160.8813600000008</v>
      </c>
      <c r="AF234" s="247">
        <f>+Rejas!F13</f>
        <v>35360</v>
      </c>
      <c r="AG234" s="252"/>
      <c r="AH234" s="252"/>
    </row>
    <row r="235" spans="27:34" ht="15.75">
      <c r="AA235" s="249" t="s">
        <v>547</v>
      </c>
      <c r="AB235" s="246">
        <f>+H14</f>
        <v>6047.7037600000003</v>
      </c>
      <c r="AC235" s="246">
        <f t="shared" si="25"/>
        <v>7040.5314399999988</v>
      </c>
      <c r="AD235" s="246">
        <f t="shared" si="26"/>
        <v>1857.3318400000001</v>
      </c>
      <c r="AE235" s="247">
        <f t="shared" si="24"/>
        <v>3448.7762399999997</v>
      </c>
      <c r="AF235" s="247">
        <f>+Rejas!F14</f>
        <v>44200</v>
      </c>
      <c r="AG235" s="252"/>
      <c r="AH235" s="252"/>
    </row>
    <row r="236" spans="27:34" ht="15.75">
      <c r="AA236" s="249" t="s">
        <v>548</v>
      </c>
      <c r="AB236" s="246">
        <f t="shared" si="27"/>
        <v>6400.9331840000004</v>
      </c>
      <c r="AC236" s="246">
        <f t="shared" si="25"/>
        <v>7483.3660159999999</v>
      </c>
      <c r="AD236" s="246">
        <f t="shared" si="26"/>
        <v>1998.7472960000002</v>
      </c>
      <c r="AE236" s="247">
        <f t="shared" si="24"/>
        <v>3592.7236800000001</v>
      </c>
      <c r="AF236" s="247">
        <f>+Rejas!F15</f>
        <v>48620</v>
      </c>
      <c r="AG236" s="252"/>
      <c r="AH236" s="252"/>
    </row>
    <row r="237" spans="27:34" ht="15.75">
      <c r="AA237" s="249" t="s">
        <v>549</v>
      </c>
      <c r="AB237" s="246">
        <f t="shared" si="27"/>
        <v>6754.1626080000005</v>
      </c>
      <c r="AC237" s="246">
        <f t="shared" si="25"/>
        <v>7954.9170720000011</v>
      </c>
      <c r="AD237" s="246">
        <f t="shared" si="26"/>
        <v>2140.1627520000002</v>
      </c>
      <c r="AE237" s="247">
        <f t="shared" si="24"/>
        <v>3736.67112</v>
      </c>
      <c r="AF237" s="247">
        <f>+Rejas!F16</f>
        <v>53040</v>
      </c>
      <c r="AG237" s="252"/>
      <c r="AH237" s="252"/>
    </row>
    <row r="238" spans="27:34" ht="15.75">
      <c r="AA238" s="249" t="s">
        <v>550</v>
      </c>
      <c r="AB238" s="246">
        <f t="shared" si="27"/>
        <v>7813.8508800000009</v>
      </c>
      <c r="AC238" s="246">
        <f t="shared" si="25"/>
        <v>9093.5026560000006</v>
      </c>
      <c r="AD238" s="246">
        <f t="shared" si="26"/>
        <v>2564.4091200000003</v>
      </c>
      <c r="AE238" s="247">
        <f t="shared" si="24"/>
        <v>4168.5134400000006</v>
      </c>
      <c r="AF238" s="247">
        <f>+Rejas!F17</f>
        <v>22100</v>
      </c>
      <c r="AG238" s="252"/>
      <c r="AH238" s="252"/>
    </row>
    <row r="239" spans="27:34" ht="15.75">
      <c r="AA239" s="249" t="s">
        <v>551</v>
      </c>
      <c r="AB239" s="246">
        <f t="shared" si="27"/>
        <v>4356.4108320000005</v>
      </c>
      <c r="AC239" s="246">
        <f t="shared" si="25"/>
        <v>4825.9658400000008</v>
      </c>
      <c r="AD239" s="246">
        <f t="shared" si="26"/>
        <v>1133.87456</v>
      </c>
      <c r="AE239" s="247">
        <f t="shared" si="24"/>
        <v>2986.9519680000003</v>
      </c>
      <c r="AF239" s="247">
        <f>+Rejas!F18</f>
        <v>22100</v>
      </c>
      <c r="AG239" s="252"/>
      <c r="AH239" s="252"/>
    </row>
    <row r="240" spans="27:34" ht="15.75">
      <c r="AA240" s="249" t="s">
        <v>552</v>
      </c>
      <c r="AB240" s="246">
        <f t="shared" si="27"/>
        <v>5105.2696800000003</v>
      </c>
      <c r="AC240" s="246">
        <f t="shared" si="25"/>
        <v>5754.0349919999999</v>
      </c>
      <c r="AD240" s="246">
        <f t="shared" si="26"/>
        <v>1449.4654719999999</v>
      </c>
      <c r="AE240" s="247">
        <f t="shared" si="24"/>
        <v>3274.8468480000006</v>
      </c>
      <c r="AF240" s="247">
        <f>+Rejas!F19</f>
        <v>31824</v>
      </c>
      <c r="AG240" s="252"/>
      <c r="AH240" s="252"/>
    </row>
    <row r="241" spans="27:34" ht="15.75">
      <c r="AA241" s="249" t="s">
        <v>553</v>
      </c>
      <c r="AB241" s="246">
        <f t="shared" si="27"/>
        <v>5854.1285279999993</v>
      </c>
      <c r="AC241" s="246">
        <f t="shared" si="25"/>
        <v>6682.1041440000008</v>
      </c>
      <c r="AD241" s="246">
        <f t="shared" si="26"/>
        <v>1765.056384</v>
      </c>
      <c r="AE241" s="247">
        <f t="shared" si="24"/>
        <v>3562.7417279999995</v>
      </c>
      <c r="AF241" s="247">
        <f>+Rejas!F20</f>
        <v>42432</v>
      </c>
      <c r="AG241" s="252"/>
      <c r="AH241" s="252"/>
    </row>
    <row r="242" spans="27:34" ht="15.75">
      <c r="AA242" s="249" t="s">
        <v>554</v>
      </c>
      <c r="AB242" s="246">
        <f t="shared" si="27"/>
        <v>6602.9873760000009</v>
      </c>
      <c r="AC242" s="246">
        <f t="shared" si="25"/>
        <v>7595.8150560000013</v>
      </c>
      <c r="AD242" s="246">
        <f t="shared" si="26"/>
        <v>2080.6472960000001</v>
      </c>
      <c r="AE242" s="247">
        <f t="shared" si="24"/>
        <v>3850.6366079999998</v>
      </c>
      <c r="AF242" s="247">
        <f>+Rejas!F21</f>
        <v>53040</v>
      </c>
      <c r="AG242" s="252"/>
      <c r="AH242" s="252"/>
    </row>
    <row r="243" spans="27:34" ht="15.75">
      <c r="AA243" s="249" t="s">
        <v>555</v>
      </c>
      <c r="AB243" s="246">
        <f t="shared" si="27"/>
        <v>6977.4168</v>
      </c>
      <c r="AC243" s="246">
        <f t="shared" si="25"/>
        <v>8059.8496319999995</v>
      </c>
      <c r="AD243" s="246">
        <f t="shared" si="26"/>
        <v>2238.4427519999999</v>
      </c>
      <c r="AE243" s="247">
        <f t="shared" si="24"/>
        <v>3994.5840480000002</v>
      </c>
      <c r="AF243" s="247">
        <f>+Rejas!F22</f>
        <v>58344</v>
      </c>
      <c r="AG243" s="252"/>
      <c r="AH243" s="252"/>
    </row>
    <row r="244" spans="27:34" ht="15.75">
      <c r="AA244" s="249" t="s">
        <v>556</v>
      </c>
      <c r="AB244" s="246">
        <f t="shared" si="27"/>
        <v>7351.8462239999999</v>
      </c>
      <c r="AC244" s="246">
        <f t="shared" si="25"/>
        <v>8552.6006880000004</v>
      </c>
      <c r="AD244" s="246">
        <f t="shared" si="26"/>
        <v>2396.2382079999998</v>
      </c>
      <c r="AE244" s="247">
        <f t="shared" si="24"/>
        <v>4138.5314880000005</v>
      </c>
      <c r="AF244" s="247">
        <f>+Rejas!F23</f>
        <v>63648</v>
      </c>
      <c r="AG244" s="252"/>
      <c r="AH244" s="252"/>
    </row>
    <row r="245" spans="27:34" ht="15.75">
      <c r="AA245" s="249" t="s">
        <v>557</v>
      </c>
      <c r="AB245" s="246">
        <f t="shared" si="27"/>
        <v>8475.1344960000006</v>
      </c>
      <c r="AC245" s="246">
        <f t="shared" si="25"/>
        <v>9944.7044160000005</v>
      </c>
      <c r="AD245" s="246">
        <f t="shared" si="26"/>
        <v>2869.6245760000002</v>
      </c>
      <c r="AE245" s="247">
        <f t="shared" si="24"/>
        <v>4570.3738079999994</v>
      </c>
      <c r="AF245" s="247">
        <f>+Rejas!F24</f>
        <v>79560</v>
      </c>
      <c r="AG245" s="252"/>
      <c r="AH245" s="252"/>
    </row>
    <row r="246" spans="27:34" ht="15.75">
      <c r="AA246" s="249" t="s">
        <v>558</v>
      </c>
      <c r="AB246" s="246">
        <f t="shared" si="27"/>
        <v>9598.4227680000004</v>
      </c>
      <c r="AC246" s="246">
        <f t="shared" si="25"/>
        <v>11109.363888000002</v>
      </c>
      <c r="AD246" s="246">
        <f t="shared" si="26"/>
        <v>3343.0109440000001</v>
      </c>
      <c r="AE246" s="247">
        <f t="shared" si="24"/>
        <v>5002.216128</v>
      </c>
      <c r="AF246" s="247">
        <f>+Rejas!F25</f>
        <v>95472</v>
      </c>
      <c r="AG246" s="252"/>
      <c r="AH246" s="252"/>
    </row>
    <row r="247" spans="27:34" ht="15.75">
      <c r="AA247" s="254" t="s">
        <v>559</v>
      </c>
      <c r="AB247" s="246">
        <f t="shared" si="27"/>
        <v>4998.5362560000003</v>
      </c>
      <c r="AC247" s="246">
        <f t="shared" si="25"/>
        <v>5468.0912639999997</v>
      </c>
      <c r="AD247" s="246">
        <f t="shared" si="26"/>
        <v>1321.4277440000001</v>
      </c>
      <c r="AE247" s="247">
        <f t="shared" si="24"/>
        <v>3589.7425199999998</v>
      </c>
      <c r="AF247" s="247">
        <f>+Rejas!F26</f>
        <v>26520.000000000007</v>
      </c>
    </row>
    <row r="248" spans="27:34" ht="15.75">
      <c r="AA248" s="254" t="s">
        <v>560</v>
      </c>
      <c r="AB248" s="246">
        <f t="shared" si="27"/>
        <v>5810.9951040000005</v>
      </c>
      <c r="AC248" s="246">
        <f t="shared" si="25"/>
        <v>6459.760416000001</v>
      </c>
      <c r="AD248" s="246">
        <f t="shared" si="26"/>
        <v>1686.1586559999998</v>
      </c>
      <c r="AE248" s="247">
        <f t="shared" si="24"/>
        <v>3877.6373999999996</v>
      </c>
      <c r="AF248" s="247">
        <f>+Rejas!F27</f>
        <v>39780</v>
      </c>
    </row>
    <row r="249" spans="27:34" ht="15.75">
      <c r="AA249" s="254" t="s">
        <v>561</v>
      </c>
      <c r="AB249" s="246">
        <f t="shared" si="27"/>
        <v>6623.4539520000008</v>
      </c>
      <c r="AC249" s="246">
        <f t="shared" si="25"/>
        <v>7451.4295680000014</v>
      </c>
      <c r="AD249" s="246">
        <f t="shared" si="26"/>
        <v>2050.8895680000005</v>
      </c>
      <c r="AE249" s="247">
        <f t="shared" si="24"/>
        <v>4165.5322800000004</v>
      </c>
      <c r="AF249" s="247">
        <f>+Rejas!F28</f>
        <v>53040.000000000015</v>
      </c>
    </row>
    <row r="250" spans="27:34" ht="15.75">
      <c r="AA250" s="254" t="s">
        <v>562</v>
      </c>
      <c r="AB250" s="246">
        <f t="shared" si="27"/>
        <v>7435.912800000001</v>
      </c>
      <c r="AC250" s="246">
        <f t="shared" si="25"/>
        <v>8428.7404800000004</v>
      </c>
      <c r="AD250" s="246">
        <f t="shared" si="26"/>
        <v>2415.62048</v>
      </c>
      <c r="AE250" s="247">
        <f t="shared" si="24"/>
        <v>4453.4271600000002</v>
      </c>
      <c r="AF250" s="247">
        <f>+Rejas!F29</f>
        <v>66300</v>
      </c>
    </row>
    <row r="251" spans="27:34" ht="15.75">
      <c r="AA251" s="254" t="s">
        <v>563</v>
      </c>
      <c r="AB251" s="246">
        <f t="shared" si="27"/>
        <v>7842.1422240000002</v>
      </c>
      <c r="AC251" s="246">
        <f t="shared" si="25"/>
        <v>8924.5750560000015</v>
      </c>
      <c r="AD251" s="246">
        <f t="shared" si="26"/>
        <v>2597.985936</v>
      </c>
      <c r="AE251" s="247">
        <f t="shared" si="24"/>
        <v>4597.3746000000001</v>
      </c>
      <c r="AF251" s="247">
        <f>+Rejas!F30</f>
        <v>72930.000000000015</v>
      </c>
    </row>
    <row r="252" spans="27:34" ht="15.75">
      <c r="AA252" s="254" t="s">
        <v>564</v>
      </c>
      <c r="AB252" s="246">
        <f t="shared" si="27"/>
        <v>8248.3716480000003</v>
      </c>
      <c r="AC252" s="246">
        <f t="shared" si="25"/>
        <v>9449.1261119999999</v>
      </c>
      <c r="AD252" s="246">
        <f t="shared" si="26"/>
        <v>2780.3513919999996</v>
      </c>
      <c r="AE252" s="247">
        <f t="shared" si="24"/>
        <v>4741.32204</v>
      </c>
      <c r="AF252" s="247">
        <f>+Rejas!F31</f>
        <v>79560</v>
      </c>
    </row>
    <row r="253" spans="27:34" ht="15.75">
      <c r="AA253" s="254" t="s">
        <v>565</v>
      </c>
      <c r="AB253" s="246">
        <f t="shared" si="27"/>
        <v>9467.0599199999997</v>
      </c>
      <c r="AC253" s="246">
        <f t="shared" si="25"/>
        <v>10936.629840000001</v>
      </c>
      <c r="AD253" s="246">
        <f t="shared" si="26"/>
        <v>3327.44776</v>
      </c>
      <c r="AE253" s="247">
        <f t="shared" si="24"/>
        <v>5173.1643600000007</v>
      </c>
      <c r="AF253" s="247">
        <f>+Rejas!F32</f>
        <v>99450</v>
      </c>
    </row>
    <row r="254" spans="27:34" ht="15.75">
      <c r="AA254" s="254" t="s">
        <v>566</v>
      </c>
      <c r="AB254" s="246">
        <f t="shared" si="27"/>
        <v>10685.748192000001</v>
      </c>
      <c r="AC254" s="246">
        <f t="shared" si="25"/>
        <v>12254.122272000001</v>
      </c>
      <c r="AD254" s="246">
        <f t="shared" si="26"/>
        <v>3874.544128</v>
      </c>
      <c r="AE254" s="247">
        <f t="shared" si="24"/>
        <v>5605.0066800000004</v>
      </c>
      <c r="AF254" s="247">
        <f>+Rejas!F33</f>
        <v>119340</v>
      </c>
    </row>
    <row r="255" spans="27:34" ht="15.75">
      <c r="AA255" s="254" t="s">
        <v>567</v>
      </c>
      <c r="AB255" s="246">
        <f t="shared" si="27"/>
        <v>7392.7793760000004</v>
      </c>
      <c r="AC255" s="246">
        <f t="shared" si="25"/>
        <v>8220.7549920000019</v>
      </c>
      <c r="AD255" s="246">
        <f t="shared" si="26"/>
        <v>2336.7227520000001</v>
      </c>
      <c r="AE255" s="247">
        <f t="shared" si="24"/>
        <v>4768.3228320000007</v>
      </c>
      <c r="AF255" s="247">
        <f>+Rejas!F34</f>
        <v>63648.000000000015</v>
      </c>
    </row>
    <row r="256" spans="27:34" ht="15.75">
      <c r="AA256" s="254" t="s">
        <v>568</v>
      </c>
      <c r="AB256" s="246">
        <f t="shared" si="27"/>
        <v>8268.8382239999992</v>
      </c>
      <c r="AC256" s="246">
        <f t="shared" si="25"/>
        <v>9261.6659040000013</v>
      </c>
      <c r="AD256" s="246">
        <f t="shared" si="26"/>
        <v>2750.593664</v>
      </c>
      <c r="AE256" s="247">
        <f t="shared" si="24"/>
        <v>5056.2177120000006</v>
      </c>
      <c r="AF256" s="247">
        <f>+Rejas!F35</f>
        <v>79560</v>
      </c>
    </row>
    <row r="257" spans="27:32" ht="15.75">
      <c r="AA257" s="254" t="s">
        <v>569</v>
      </c>
      <c r="AB257" s="246">
        <f t="shared" si="27"/>
        <v>8706.8676479999995</v>
      </c>
      <c r="AC257" s="246">
        <f t="shared" si="25"/>
        <v>9789.3004800000017</v>
      </c>
      <c r="AD257" s="246">
        <f t="shared" si="26"/>
        <v>2957.5291200000001</v>
      </c>
      <c r="AE257" s="247">
        <f t="shared" si="24"/>
        <v>5200.1651520000005</v>
      </c>
      <c r="AF257" s="247">
        <f>+Rejas!F36</f>
        <v>87516</v>
      </c>
    </row>
    <row r="258" spans="27:32" ht="15.75">
      <c r="AA258" s="254" t="s">
        <v>570</v>
      </c>
      <c r="AB258" s="246">
        <f t="shared" si="27"/>
        <v>9144.8970719999998</v>
      </c>
      <c r="AC258" s="246">
        <f t="shared" si="25"/>
        <v>10345.651536000001</v>
      </c>
      <c r="AD258" s="246">
        <f t="shared" si="26"/>
        <v>3164.4645760000003</v>
      </c>
      <c r="AE258" s="247">
        <f t="shared" si="24"/>
        <v>5344.1125920000004</v>
      </c>
      <c r="AF258" s="247">
        <f>+Rejas!F37</f>
        <v>95472</v>
      </c>
    </row>
    <row r="259" spans="27:32" ht="15.75">
      <c r="AA259" s="254" t="s">
        <v>571</v>
      </c>
      <c r="AB259" s="246">
        <f t="shared" si="27"/>
        <v>10458.985344000001</v>
      </c>
      <c r="AC259" s="246">
        <f t="shared" si="25"/>
        <v>11928.555264000001</v>
      </c>
      <c r="AD259" s="246">
        <f t="shared" si="26"/>
        <v>3785.2709439999999</v>
      </c>
      <c r="AE259" s="247">
        <f t="shared" si="24"/>
        <v>5775.9549120000011</v>
      </c>
      <c r="AF259" s="247">
        <f>+Rejas!F38</f>
        <v>119340</v>
      </c>
    </row>
    <row r="260" spans="27:32" ht="15.75">
      <c r="AA260" s="254" t="s">
        <v>572</v>
      </c>
      <c r="AB260" s="246">
        <f t="shared" si="27"/>
        <v>11773.073616000001</v>
      </c>
      <c r="AC260" s="246">
        <f t="shared" si="25"/>
        <v>13335.899088</v>
      </c>
      <c r="AD260" s="246">
        <f t="shared" si="26"/>
        <v>4406.0773120000003</v>
      </c>
      <c r="AE260" s="247">
        <f t="shared" si="24"/>
        <v>6207.7972320000017</v>
      </c>
      <c r="AF260" s="247">
        <f>+Rejas!F39</f>
        <v>143208</v>
      </c>
    </row>
    <row r="261" spans="27:32" ht="15.75">
      <c r="AA261" s="254" t="s">
        <v>573</v>
      </c>
      <c r="AB261" s="246">
        <f t="shared" si="27"/>
        <v>7905.6629920000005</v>
      </c>
      <c r="AC261" s="246">
        <f t="shared" si="25"/>
        <v>8733.6386080000011</v>
      </c>
      <c r="AD261" s="246">
        <f t="shared" si="26"/>
        <v>2527.2782079999997</v>
      </c>
      <c r="AE261" s="247">
        <f t="shared" si="24"/>
        <v>5170.1832000000004</v>
      </c>
      <c r="AF261" s="247">
        <f>+Rejas!F40</f>
        <v>70720</v>
      </c>
    </row>
    <row r="262" spans="27:32" ht="15.75">
      <c r="AA262" s="254" t="s">
        <v>574</v>
      </c>
      <c r="AB262" s="246">
        <f t="shared" si="27"/>
        <v>8824.1218399999998</v>
      </c>
      <c r="AC262" s="246">
        <f t="shared" si="25"/>
        <v>9816.9495200000019</v>
      </c>
      <c r="AD262" s="246">
        <f t="shared" si="26"/>
        <v>2973.9091200000003</v>
      </c>
      <c r="AE262" s="247">
        <f t="shared" si="24"/>
        <v>5458.0780800000002</v>
      </c>
      <c r="AF262" s="247">
        <f>+Rejas!F41</f>
        <v>88400</v>
      </c>
    </row>
    <row r="263" spans="27:32" ht="15.75">
      <c r="AA263" s="254" t="s">
        <v>575</v>
      </c>
      <c r="AB263" s="246">
        <f t="shared" si="27"/>
        <v>9283.3512640000008</v>
      </c>
      <c r="AC263" s="246">
        <f t="shared" si="25"/>
        <v>10365.784096000001</v>
      </c>
      <c r="AD263" s="246">
        <f t="shared" si="26"/>
        <v>3197.2245760000005</v>
      </c>
      <c r="AE263" s="247">
        <f t="shared" si="24"/>
        <v>5602.0255200000001</v>
      </c>
      <c r="AF263" s="247">
        <f>+Rejas!F42</f>
        <v>97240</v>
      </c>
    </row>
    <row r="264" spans="27:32" ht="15.75">
      <c r="AA264" s="254" t="s">
        <v>576</v>
      </c>
      <c r="AB264" s="246">
        <f t="shared" si="27"/>
        <v>9742.5806880000018</v>
      </c>
      <c r="AC264" s="246">
        <f t="shared" si="25"/>
        <v>10943.335152</v>
      </c>
      <c r="AD264" s="246">
        <f t="shared" si="26"/>
        <v>3420.5400319999999</v>
      </c>
      <c r="AE264" s="247">
        <f t="shared" si="24"/>
        <v>5745.9729600000001</v>
      </c>
      <c r="AF264" s="247">
        <f>+Rejas!F43</f>
        <v>106080</v>
      </c>
    </row>
    <row r="265" spans="27:32" ht="15.75">
      <c r="AA265" s="254" t="s">
        <v>577</v>
      </c>
      <c r="AB265" s="246">
        <f t="shared" si="27"/>
        <v>11120.268960000001</v>
      </c>
      <c r="AC265" s="246">
        <f t="shared" si="25"/>
        <v>12589.838880000001</v>
      </c>
      <c r="AD265" s="246">
        <f t="shared" si="26"/>
        <v>4090.4863999999998</v>
      </c>
      <c r="AE265" s="247">
        <f t="shared" si="24"/>
        <v>6177.8152800000007</v>
      </c>
      <c r="AF265" s="247">
        <f>+Rejas!F44</f>
        <v>132600</v>
      </c>
    </row>
    <row r="266" spans="27:32" ht="16.5" thickBot="1">
      <c r="AA266" s="254" t="s">
        <v>578</v>
      </c>
      <c r="AB266" s="246">
        <f t="shared" si="27"/>
        <v>12497.957232000001</v>
      </c>
      <c r="AC266" s="246">
        <f t="shared" si="25"/>
        <v>14193.267888000002</v>
      </c>
      <c r="AD266" s="246">
        <f t="shared" si="26"/>
        <v>4760.4327679999997</v>
      </c>
      <c r="AE266" s="247">
        <f t="shared" si="24"/>
        <v>6609.6576000000005</v>
      </c>
      <c r="AF266" s="247">
        <f>+Rejas!F45</f>
        <v>159120</v>
      </c>
    </row>
    <row r="267" spans="27:32" ht="15" customHeight="1">
      <c r="AA267" s="841" t="s">
        <v>579</v>
      </c>
      <c r="AB267" s="842"/>
      <c r="AC267" s="842"/>
      <c r="AD267" s="842"/>
      <c r="AE267" s="842"/>
      <c r="AF267" s="843"/>
    </row>
    <row r="268" spans="27:32" ht="15.75" customHeight="1" thickBot="1">
      <c r="AA268" s="844"/>
      <c r="AB268" s="845"/>
      <c r="AC268" s="845"/>
      <c r="AD268" s="845"/>
      <c r="AE268" s="845"/>
      <c r="AF268" s="846"/>
    </row>
    <row r="269" spans="27:32" ht="38.25" thickBot="1">
      <c r="AA269" s="239" t="s">
        <v>534</v>
      </c>
      <c r="AB269" s="240" t="s">
        <v>535</v>
      </c>
      <c r="AC269" s="240" t="s">
        <v>536</v>
      </c>
      <c r="AD269" s="240" t="s">
        <v>537</v>
      </c>
      <c r="AE269" s="241" t="s">
        <v>856</v>
      </c>
      <c r="AF269" s="241" t="s">
        <v>580</v>
      </c>
    </row>
    <row r="270" spans="27:32" ht="15.75">
      <c r="AA270" s="249" t="s">
        <v>581</v>
      </c>
      <c r="AB270" s="250">
        <f>+H67</f>
        <v>11349.340752</v>
      </c>
      <c r="AC270" s="250">
        <f>T67</f>
        <v>13223.861712</v>
      </c>
      <c r="AD270" s="250">
        <f>+T93</f>
        <v>4294.011904</v>
      </c>
      <c r="AE270" s="251">
        <f t="shared" ref="AE270:AE274" si="28">+L215</f>
        <v>5657.0492160000003</v>
      </c>
      <c r="AF270" s="251">
        <f>+Rejas!N6</f>
        <v>156000</v>
      </c>
    </row>
    <row r="271" spans="27:32" ht="15.75">
      <c r="AA271" s="249" t="s">
        <v>582</v>
      </c>
      <c r="AB271" s="250">
        <f t="shared" ref="AB271:AB274" si="29">+H68</f>
        <v>12723.889680000002</v>
      </c>
      <c r="AC271" s="250">
        <f t="shared" ref="AC271:AC274" si="30">T68</f>
        <v>14598.41064</v>
      </c>
      <c r="AD271" s="250">
        <f t="shared" ref="AD271:AD274" si="31">+T94</f>
        <v>5027.8009600000005</v>
      </c>
      <c r="AE271" s="251">
        <f t="shared" si="28"/>
        <v>6351.5743199999997</v>
      </c>
      <c r="AF271" s="251">
        <f>+Rejas!N7</f>
        <v>156000</v>
      </c>
    </row>
    <row r="272" spans="27:32" ht="15.75">
      <c r="AA272" s="249" t="s">
        <v>583</v>
      </c>
      <c r="AB272" s="250">
        <f t="shared" si="29"/>
        <v>14098.438608</v>
      </c>
      <c r="AC272" s="250">
        <f t="shared" si="30"/>
        <v>15972.959568</v>
      </c>
      <c r="AD272" s="250">
        <f t="shared" si="31"/>
        <v>5761.5900160000001</v>
      </c>
      <c r="AE272" s="251">
        <f t="shared" si="28"/>
        <v>7046.0994240000018</v>
      </c>
      <c r="AF272" s="251">
        <f>+Rejas!N8</f>
        <v>208000</v>
      </c>
    </row>
    <row r="273" spans="27:32" ht="15.75">
      <c r="AA273" s="249" t="s">
        <v>584</v>
      </c>
      <c r="AB273" s="250">
        <f t="shared" si="29"/>
        <v>15014.804560000002</v>
      </c>
      <c r="AC273" s="250">
        <f t="shared" si="30"/>
        <v>16889.325520000002</v>
      </c>
      <c r="AD273" s="250">
        <f t="shared" si="31"/>
        <v>6250.7827200000002</v>
      </c>
      <c r="AE273" s="251">
        <f t="shared" si="28"/>
        <v>7509.1161600000005</v>
      </c>
      <c r="AF273" s="251">
        <f>+Rejas!N9</f>
        <v>208000</v>
      </c>
    </row>
    <row r="274" spans="27:32" ht="15.75">
      <c r="AA274" s="249" t="s">
        <v>585</v>
      </c>
      <c r="AB274" s="250">
        <f t="shared" si="29"/>
        <v>16847.536464000004</v>
      </c>
      <c r="AC274" s="250">
        <f t="shared" si="30"/>
        <v>18722.057424000002</v>
      </c>
      <c r="AD274" s="250">
        <f t="shared" si="31"/>
        <v>7229.1681280000003</v>
      </c>
      <c r="AE274" s="251">
        <f t="shared" si="28"/>
        <v>8435.1496320000006</v>
      </c>
      <c r="AF274" s="251">
        <f>+Rejas!N10</f>
        <v>0</v>
      </c>
    </row>
  </sheetData>
  <mergeCells count="34">
    <mergeCell ref="G152:L152"/>
    <mergeCell ref="G212:L212"/>
    <mergeCell ref="C89:F89"/>
    <mergeCell ref="O89:R89"/>
    <mergeCell ref="A90:H90"/>
    <mergeCell ref="M90:T90"/>
    <mergeCell ref="A92:H92"/>
    <mergeCell ref="M92:T92"/>
    <mergeCell ref="O101:R101"/>
    <mergeCell ref="M102:T102"/>
    <mergeCell ref="M104:T104"/>
    <mergeCell ref="O2:Q2"/>
    <mergeCell ref="M3:T3"/>
    <mergeCell ref="M5:T5"/>
    <mergeCell ref="O63:Q63"/>
    <mergeCell ref="C2:E2"/>
    <mergeCell ref="A3:H3"/>
    <mergeCell ref="A5:H5"/>
    <mergeCell ref="AA223:AF224"/>
    <mergeCell ref="AA267:AF268"/>
    <mergeCell ref="AH223:AH233"/>
    <mergeCell ref="C63:E63"/>
    <mergeCell ref="C76:E76"/>
    <mergeCell ref="A77:H77"/>
    <mergeCell ref="M64:T64"/>
    <mergeCell ref="M66:T66"/>
    <mergeCell ref="O76:Q76"/>
    <mergeCell ref="M77:T77"/>
    <mergeCell ref="M215:M220"/>
    <mergeCell ref="M155:M208"/>
    <mergeCell ref="A79:H79"/>
    <mergeCell ref="A64:H64"/>
    <mergeCell ref="A66:H66"/>
    <mergeCell ref="M79:T79"/>
  </mergeCells>
  <pageMargins left="0.59055118110236227" right="0.59055118110236227" top="0" bottom="0" header="0.43307086614173229" footer="0.31496062992125984"/>
  <pageSetup scale="74" orientation="portrait" r:id="rId1"/>
  <drawing r:id="rId2"/>
  <tableParts count="2"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205"/>
  <sheetViews>
    <sheetView topLeftCell="S153" zoomScale="90" zoomScaleNormal="90" workbookViewId="0">
      <selection activeCell="AA157" sqref="AA157"/>
    </sheetView>
  </sheetViews>
  <sheetFormatPr baseColWidth="10" defaultRowHeight="15"/>
  <cols>
    <col min="1" max="1" width="7" style="32" hidden="1" customWidth="1"/>
    <col min="2" max="2" width="4.7109375" style="32" hidden="1" customWidth="1"/>
    <col min="3" max="3" width="12.140625" style="32" hidden="1" customWidth="1"/>
    <col min="4" max="4" width="11.140625" style="32" hidden="1" customWidth="1"/>
    <col min="5" max="5" width="8.140625" style="32" hidden="1" customWidth="1"/>
    <col min="6" max="6" width="14.5703125" style="32" hidden="1" customWidth="1"/>
    <col min="7" max="7" width="12.140625" style="32" hidden="1" customWidth="1"/>
    <col min="8" max="8" width="12.140625" style="2" hidden="1" customWidth="1"/>
    <col min="9" max="9" width="10" hidden="1" customWidth="1"/>
    <col min="10" max="11" width="13.28515625" hidden="1" customWidth="1"/>
    <col min="12" max="12" width="10" hidden="1" customWidth="1"/>
    <col min="13" max="13" width="7" hidden="1" customWidth="1"/>
    <col min="14" max="14" width="4.7109375" hidden="1" customWidth="1"/>
    <col min="15" max="15" width="14.140625" hidden="1" customWidth="1"/>
    <col min="16" max="16" width="11.140625" hidden="1" customWidth="1"/>
    <col min="17" max="17" width="8.140625" hidden="1" customWidth="1"/>
    <col min="18" max="18" width="14.5703125" hidden="1" customWidth="1"/>
    <col min="19" max="20" width="12.140625" bestFit="1" customWidth="1"/>
    <col min="21" max="23" width="0" hidden="1" customWidth="1"/>
    <col min="25" max="25" width="16.140625" bestFit="1" customWidth="1"/>
    <col min="26" max="27" width="14.7109375" bestFit="1" customWidth="1"/>
    <col min="28" max="29" width="16.140625" bestFit="1" customWidth="1"/>
    <col min="30" max="30" width="7.28515625" customWidth="1"/>
    <col min="31" max="31" width="22.42578125" customWidth="1"/>
    <col min="32" max="32" width="10.85546875" customWidth="1"/>
  </cols>
  <sheetData>
    <row r="1" spans="1:20" ht="15.75" hidden="1" thickBot="1"/>
    <row r="2" spans="1:20" ht="15.75" hidden="1" thickBot="1">
      <c r="C2" s="807">
        <v>1.3</v>
      </c>
      <c r="D2" s="808"/>
      <c r="E2" s="808"/>
      <c r="F2" s="809"/>
      <c r="H2" s="46" t="s">
        <v>163</v>
      </c>
      <c r="M2" s="32"/>
      <c r="N2" s="32"/>
      <c r="O2" s="807">
        <v>1.3</v>
      </c>
      <c r="P2" s="808"/>
      <c r="Q2" s="808"/>
      <c r="R2" s="809"/>
      <c r="S2" s="32"/>
      <c r="T2" s="46" t="s">
        <v>163</v>
      </c>
    </row>
    <row r="3" spans="1:20" ht="15.75" hidden="1" thickBot="1">
      <c r="A3" s="792" t="s">
        <v>173</v>
      </c>
      <c r="B3" s="793"/>
      <c r="C3" s="793"/>
      <c r="D3" s="793"/>
      <c r="E3" s="793"/>
      <c r="F3" s="793"/>
      <c r="G3" s="793"/>
      <c r="H3" s="794"/>
      <c r="M3" s="792" t="s">
        <v>176</v>
      </c>
      <c r="N3" s="793"/>
      <c r="O3" s="793"/>
      <c r="P3" s="793"/>
      <c r="Q3" s="793"/>
      <c r="R3" s="793"/>
      <c r="S3" s="793"/>
      <c r="T3" s="794"/>
    </row>
    <row r="4" spans="1:20" ht="15.75" hidden="1" thickBot="1">
      <c r="A4" s="36" t="s">
        <v>116</v>
      </c>
      <c r="B4" s="36" t="s">
        <v>117</v>
      </c>
      <c r="C4" s="36" t="s">
        <v>162</v>
      </c>
      <c r="D4" s="36" t="s">
        <v>119</v>
      </c>
      <c r="E4" s="36" t="s">
        <v>120</v>
      </c>
      <c r="F4" s="36" t="s">
        <v>169</v>
      </c>
      <c r="G4" s="36" t="s">
        <v>121</v>
      </c>
      <c r="H4" s="36" t="s">
        <v>122</v>
      </c>
      <c r="M4" s="36" t="s">
        <v>116</v>
      </c>
      <c r="N4" s="36" t="s">
        <v>117</v>
      </c>
      <c r="O4" s="36" t="s">
        <v>162</v>
      </c>
      <c r="P4" s="36" t="s">
        <v>119</v>
      </c>
      <c r="Q4" s="36" t="s">
        <v>120</v>
      </c>
      <c r="R4" s="36" t="s">
        <v>169</v>
      </c>
      <c r="S4" s="36" t="s">
        <v>121</v>
      </c>
      <c r="T4" s="36" t="s">
        <v>122</v>
      </c>
    </row>
    <row r="5" spans="1:20" ht="15.75" hidden="1" thickBot="1">
      <c r="A5" s="795"/>
      <c r="B5" s="796"/>
      <c r="C5" s="796"/>
      <c r="D5" s="796"/>
      <c r="E5" s="796"/>
      <c r="F5" s="796"/>
      <c r="G5" s="796"/>
      <c r="H5" s="797"/>
      <c r="M5" s="795"/>
      <c r="N5" s="796"/>
      <c r="O5" s="796"/>
      <c r="P5" s="796"/>
      <c r="Q5" s="796"/>
      <c r="R5" s="796"/>
      <c r="S5" s="796"/>
      <c r="T5" s="797"/>
    </row>
    <row r="6" spans="1:20" ht="15.75" hidden="1" thickBot="1">
      <c r="A6" s="550">
        <v>0.6</v>
      </c>
      <c r="B6" s="551">
        <v>0.4</v>
      </c>
      <c r="C6" s="552">
        <f>((((A6*2)+(B6*2))*MATERIALES!$C$13)+((A6*2)*MATERIALES!$C$6)+((B6*4)*MATERIALES!$C$15)+(B6*MATERIALES!$C$25))*MATERIALES!$F$2</f>
        <v>1426.50144</v>
      </c>
      <c r="D6" s="553">
        <f>(8*MATERIALES!$C$137)+(8*MATERIALES!$C$174)+((8*4)*MATERIALES!$C$145)+(((B6*2)+(A6*2))*MATERIALES!$C$149)+(4*MATERIALES!$C$148)+(((A6*5)*2)*MATERIALES!$C$147)+(4*MATERIALES!$C$146)+(1*MATERIALES!$C$151)+(2*MATERIALES!$C$150)+(4*MATERIALES!$C$161)</f>
        <v>1356.5968000000003</v>
      </c>
      <c r="E6" s="554"/>
      <c r="F6" s="555">
        <f>((A6*MATERIALES!$C$22)*(B6/0.06))*MATERIALES!$F$2</f>
        <v>699.75360000000012</v>
      </c>
      <c r="G6" s="552">
        <f>SUM(C6:F6)</f>
        <v>3482.8518400000003</v>
      </c>
      <c r="H6" s="556">
        <f>(G6*$C$2)</f>
        <v>4527.7073920000003</v>
      </c>
      <c r="M6" s="65">
        <v>0.6</v>
      </c>
      <c r="N6" s="66">
        <v>0.4</v>
      </c>
      <c r="O6" s="58">
        <f>((((M6*2)+(N6*2))*MATERIALES!$C$13)+((M6*2)*MATERIALES!$C$6)+((N6*6)*MATERIALES!$C$15)+((N6*2)*MATERIALES!$C$25))*MATERIALES!$F$2</f>
        <v>1700.3750400000001</v>
      </c>
      <c r="P6" s="58">
        <f>(12*MATERIALES!$C$137)+(12*MATERIALES!$C$174)+((8*4)*MATERIALES!$C$145)+(((N6*2)+(M6*2))*MATERIALES!$C$149)+(4*MATERIALES!$C$148)+(((M6*5)*2)*MATERIALES!$C$147)+(4*MATERIALES!$C$146)+(1*MATERIALES!$C$151)+(4*MATERIALES!$C$150)+(6*MATERIALES!$C$161)</f>
        <v>1923.9792</v>
      </c>
      <c r="Q6" s="74"/>
      <c r="R6" s="54">
        <f>((M6*MATERIALES!$C$22)*(N6/0.06))*MATERIALES!$F$2</f>
        <v>699.75360000000012</v>
      </c>
      <c r="S6" s="58">
        <f>SUM(O6:R6)</f>
        <v>4324.1078400000006</v>
      </c>
      <c r="T6" s="67">
        <f>(S6*$O$2)</f>
        <v>5621.3401920000006</v>
      </c>
    </row>
    <row r="7" spans="1:20" ht="15.75" hidden="1" thickBot="1">
      <c r="A7" s="557">
        <v>0.6</v>
      </c>
      <c r="B7" s="267">
        <v>0.6</v>
      </c>
      <c r="C7" s="549">
        <f>((((A7*2)+(B7*2))*MATERIALES!$C$13)+((A7*2)*MATERIALES!$C$6)+((B7*4)*MATERIALES!$C$15)+(B7*MATERIALES!$C$25))*MATERIALES!$F$2</f>
        <v>1794.5928000000001</v>
      </c>
      <c r="D7" s="376">
        <f>(8*MATERIALES!$C$137)+(8*MATERIALES!$C$174)+((8*4)*MATERIALES!$C$145)+(((B7*2)+(A7*2))*MATERIALES!$C$149)+(4*MATERIALES!$C$148)+(((A7*5)*2)*MATERIALES!$C$147)+(4*MATERIALES!$C$146)+(1*MATERIALES!$C$151)+(2*MATERIALES!$C$150)+(4*MATERIALES!$C$161)</f>
        <v>1361.6179200000001</v>
      </c>
      <c r="E7" s="377"/>
      <c r="F7" s="378">
        <f>((A7*MATERIALES!$C$22)*(B7/0.06))*MATERIALES!$F$2</f>
        <v>1049.6304000000002</v>
      </c>
      <c r="G7" s="549">
        <f t="shared" ref="G7:G59" si="0">SUM(C7:F7)</f>
        <v>4205.84112</v>
      </c>
      <c r="H7" s="558">
        <f t="shared" ref="H7:H59" si="1">(G7*$C$2)</f>
        <v>5467.5934560000005</v>
      </c>
      <c r="M7" s="68">
        <v>0.6</v>
      </c>
      <c r="N7" s="69">
        <v>0.6</v>
      </c>
      <c r="O7" s="59">
        <f>((((M7*2)+(N7*2))*MATERIALES!$C$13)+((M7*2)*MATERIALES!$C$6)+((N7*6)*MATERIALES!$C$15)+((N7*2)*MATERIALES!$C$25))*MATERIALES!$F$2</f>
        <v>2205.4032000000002</v>
      </c>
      <c r="P7" s="59">
        <f>(12*MATERIALES!$C$137)+(12*MATERIALES!$C$174)+((8*4)*MATERIALES!$C$145)+(((N7*2)+(M7*2))*MATERIALES!$C$149)+(4*MATERIALES!$C$148)+(((M7*5)*2)*MATERIALES!$C$147)+(4*MATERIALES!$C$146)+(1*MATERIALES!$C$151)+(4*MATERIALES!$C$150)+(6*MATERIALES!$C$161)</f>
        <v>1929.0003199999999</v>
      </c>
      <c r="Q7" s="75"/>
      <c r="R7" s="55">
        <f>((M7*MATERIALES!$C$22)*(N7/0.06))*MATERIALES!$F$2</f>
        <v>1049.6304000000002</v>
      </c>
      <c r="S7" s="59">
        <f t="shared" ref="S7:S59" si="2">SUM(O7:R7)</f>
        <v>5184.0339199999999</v>
      </c>
      <c r="T7" s="70">
        <f>(S7*$O$2)</f>
        <v>6739.2440960000004</v>
      </c>
    </row>
    <row r="8" spans="1:20" ht="15.75" hidden="1" thickBot="1">
      <c r="A8" s="557">
        <v>0.8</v>
      </c>
      <c r="B8" s="267">
        <v>0.4</v>
      </c>
      <c r="C8" s="549">
        <f>((((A8*2)+(B8*2))*MATERIALES!$C$13)+((A8*2)*MATERIALES!$C$6)+((B8*4)*MATERIALES!$C$15)+(B8*MATERIALES!$C$25))*MATERIALES!$F$2</f>
        <v>1656.6076800000003</v>
      </c>
      <c r="D8" s="376">
        <f>(8*MATERIALES!$C$137)+(8*MATERIALES!$C$174)+((8*4)*MATERIALES!$C$145)+(((B8*2)+(A8*2))*MATERIALES!$C$149)+(4*MATERIALES!$C$148)+(((A8*5)*2)*MATERIALES!$C$147)+(4*MATERIALES!$C$146)+(1*MATERIALES!$C$151)+(2*MATERIALES!$C$150)+(4*MATERIALES!$C$161)</f>
        <v>1361.6179200000001</v>
      </c>
      <c r="E8" s="377"/>
      <c r="F8" s="378">
        <f>((A8*MATERIALES!$C$22)*(B8/0.06))*MATERIALES!$F$2</f>
        <v>933.00480000000016</v>
      </c>
      <c r="G8" s="549">
        <f t="shared" si="0"/>
        <v>3951.2304000000008</v>
      </c>
      <c r="H8" s="558">
        <f t="shared" si="1"/>
        <v>5136.5995200000016</v>
      </c>
      <c r="M8" s="68">
        <v>0.8</v>
      </c>
      <c r="N8" s="69">
        <v>0.4</v>
      </c>
      <c r="O8" s="59">
        <f>((((M8*2)+(N8*2))*MATERIALES!$C$13)+((M8*2)*MATERIALES!$C$6)+((N8*6)*MATERIALES!$C$15)+((N8*2)*MATERIALES!$C$25))*MATERIALES!$F$2</f>
        <v>1930.4812800000004</v>
      </c>
      <c r="P8" s="59">
        <f>(12*MATERIALES!$C$137)+(12*MATERIALES!$C$174)+((8*4)*MATERIALES!$C$145)+(((N8*2)+(M8*2))*MATERIALES!$C$149)+(4*MATERIALES!$C$148)+(((M8*5)*2)*MATERIALES!$C$147)+(4*MATERIALES!$C$146)+(1*MATERIALES!$C$151)+(4*MATERIALES!$C$150)+(6*MATERIALES!$C$161)</f>
        <v>1929.0003199999999</v>
      </c>
      <c r="Q8" s="75"/>
      <c r="R8" s="55">
        <f>((M8*MATERIALES!$C$22)*(N8/0.06))*MATERIALES!$F$2</f>
        <v>933.00480000000016</v>
      </c>
      <c r="S8" s="59">
        <f t="shared" si="2"/>
        <v>4792.4863999999998</v>
      </c>
      <c r="T8" s="70">
        <f t="shared" ref="T8:T59" si="3">(S8*$O$2)</f>
        <v>6230.2323200000001</v>
      </c>
    </row>
    <row r="9" spans="1:20" ht="15.75" hidden="1" thickBot="1">
      <c r="A9" s="557">
        <v>0.8</v>
      </c>
      <c r="B9" s="267">
        <v>0.6</v>
      </c>
      <c r="C9" s="549">
        <f>((((A9*2)+(B9*2))*MATERIALES!$C$13)+((A9*2)*MATERIALES!$C$6)+((B9*4)*MATERIALES!$C$15)+(B9*MATERIALES!$C$25))*MATERIALES!$F$2</f>
        <v>2024.69904</v>
      </c>
      <c r="D9" s="376">
        <f>(8*MATERIALES!$C$137)+(8*MATERIALES!$C$174)+((8*4)*MATERIALES!$C$145)+(((B9*2)+(A9*2))*MATERIALES!$C$149)+(4*MATERIALES!$C$148)+(((A9*5)*2)*MATERIALES!$C$147)+(4*MATERIALES!$C$146)+(1*MATERIALES!$C$151)+(2*MATERIALES!$C$150)+(4*MATERIALES!$C$161)</f>
        <v>1366.63904</v>
      </c>
      <c r="E9" s="377"/>
      <c r="F9" s="378">
        <f>((A9*MATERIALES!$C$22)*(B9/0.06))*MATERIALES!$F$2</f>
        <v>1399.5072000000002</v>
      </c>
      <c r="G9" s="549">
        <f t="shared" si="0"/>
        <v>4790.8452800000005</v>
      </c>
      <c r="H9" s="558">
        <f t="shared" si="1"/>
        <v>6228.0988640000005</v>
      </c>
      <c r="M9" s="68">
        <v>0.8</v>
      </c>
      <c r="N9" s="69">
        <v>0.6</v>
      </c>
      <c r="O9" s="59">
        <f>((((M9*2)+(N9*2))*MATERIALES!$C$13)+((M9*2)*MATERIALES!$C$6)+((N9*6)*MATERIALES!$C$15)+((N9*2)*MATERIALES!$C$25))*MATERIALES!$F$2</f>
        <v>2435.5094400000003</v>
      </c>
      <c r="P9" s="59">
        <f>(12*MATERIALES!$C$137)+(12*MATERIALES!$C$174)+((8*4)*MATERIALES!$C$145)+(((N9*2)+(M9*2))*MATERIALES!$C$149)+(4*MATERIALES!$C$148)+(((M9*5)*2)*MATERIALES!$C$147)+(4*MATERIALES!$C$146)+(1*MATERIALES!$C$151)+(4*MATERIALES!$C$150)+(6*MATERIALES!$C$161)</f>
        <v>1934.02144</v>
      </c>
      <c r="Q9" s="75"/>
      <c r="R9" s="55">
        <f>((M9*MATERIALES!$C$22)*(N9/0.06))*MATERIALES!$F$2</f>
        <v>1399.5072000000002</v>
      </c>
      <c r="S9" s="59">
        <f t="shared" si="2"/>
        <v>5769.0380800000003</v>
      </c>
      <c r="T9" s="70">
        <f t="shared" si="3"/>
        <v>7499.7495040000003</v>
      </c>
    </row>
    <row r="10" spans="1:20" ht="15.75" hidden="1" thickBot="1">
      <c r="A10" s="557">
        <v>0.8</v>
      </c>
      <c r="B10" s="267">
        <v>0.8</v>
      </c>
      <c r="C10" s="549">
        <f>((((A10*2)+(B10*2))*MATERIALES!$C$13)+((A10*2)*MATERIALES!$C$6)+((B10*4)*MATERIALES!$C$15)+(B10*MATERIALES!$C$25))*MATERIALES!$F$2</f>
        <v>2392.7904000000003</v>
      </c>
      <c r="D10" s="376">
        <f>(8*MATERIALES!$C$137)+(8*MATERIALES!$C$174)+((8*4)*MATERIALES!$C$145)+(((B10*2)+(A10*2))*MATERIALES!$C$149)+(4*MATERIALES!$C$148)+(((A10*5)*2)*MATERIALES!$C$147)+(4*MATERIALES!$C$146)+(1*MATERIALES!$C$151)+(2*MATERIALES!$C$150)+(4*MATERIALES!$C$161)</f>
        <v>1371.6601599999999</v>
      </c>
      <c r="E10" s="377"/>
      <c r="F10" s="378">
        <f>((A10*MATERIALES!$C$22)*(B10/0.06))*MATERIALES!$F$2</f>
        <v>1866.0096000000003</v>
      </c>
      <c r="G10" s="549">
        <f t="shared" si="0"/>
        <v>5630.4601600000005</v>
      </c>
      <c r="H10" s="558">
        <f t="shared" si="1"/>
        <v>7319.5982080000013</v>
      </c>
      <c r="M10" s="68">
        <v>0.8</v>
      </c>
      <c r="N10" s="69">
        <v>0.8</v>
      </c>
      <c r="O10" s="59">
        <f>((((M10*2)+(N10*2))*MATERIALES!$C$13)+((M10*2)*MATERIALES!$C$6)+((N10*6)*MATERIALES!$C$15)+((N10*2)*MATERIALES!$C$25))*MATERIALES!$F$2</f>
        <v>2940.5376000000006</v>
      </c>
      <c r="P10" s="59">
        <f>(12*MATERIALES!$C$137)+(12*MATERIALES!$C$174)+((8*4)*MATERIALES!$C$145)+(((N10*2)+(M10*2))*MATERIALES!$C$149)+(4*MATERIALES!$C$148)+(((M10*5)*2)*MATERIALES!$C$147)+(4*MATERIALES!$C$146)+(1*MATERIALES!$C$151)+(4*MATERIALES!$C$150)+(6*MATERIALES!$C$161)</f>
        <v>1939.0425600000001</v>
      </c>
      <c r="Q10" s="75"/>
      <c r="R10" s="55">
        <f>((M10*MATERIALES!$C$22)*(N10/0.06))*MATERIALES!$F$2</f>
        <v>1866.0096000000003</v>
      </c>
      <c r="S10" s="59">
        <f t="shared" si="2"/>
        <v>6745.5897600000008</v>
      </c>
      <c r="T10" s="70">
        <f t="shared" si="3"/>
        <v>8769.2666880000015</v>
      </c>
    </row>
    <row r="11" spans="1:20" ht="15.75" hidden="1" thickBot="1">
      <c r="A11" s="557">
        <v>1</v>
      </c>
      <c r="B11" s="267">
        <v>0.4</v>
      </c>
      <c r="C11" s="549">
        <f>((((A11*2)+(B11*2))*MATERIALES!$C$13)+((A11*2)*MATERIALES!$C$6)+((B11*4)*MATERIALES!$C$15)+(B11*MATERIALES!$C$25))*MATERIALES!$F$2</f>
        <v>1886.7139200000004</v>
      </c>
      <c r="D11" s="376">
        <f>(8*MATERIALES!$C$137)+(8*MATERIALES!$C$174)+((8*4)*MATERIALES!$C$145)+(((B11*2)+(A11*2))*MATERIALES!$C$149)+(4*MATERIALES!$C$148)+(((A11*5)*2)*MATERIALES!$C$147)+(4*MATERIALES!$C$146)+(1*MATERIALES!$C$151)+(2*MATERIALES!$C$150)+(4*MATERIALES!$C$161)</f>
        <v>1366.63904</v>
      </c>
      <c r="E11" s="377"/>
      <c r="F11" s="378">
        <f>((A11*MATERIALES!$C$22)*(B11/0.06))*MATERIALES!$F$2</f>
        <v>1166.2560000000003</v>
      </c>
      <c r="G11" s="549">
        <f t="shared" si="0"/>
        <v>4419.6089600000005</v>
      </c>
      <c r="H11" s="558">
        <f t="shared" si="1"/>
        <v>5745.4916480000011</v>
      </c>
      <c r="M11" s="68">
        <v>1</v>
      </c>
      <c r="N11" s="69">
        <v>0.4</v>
      </c>
      <c r="O11" s="59">
        <f>((((M11*2)+(N11*2))*MATERIALES!$C$13)+((M11*2)*MATERIALES!$C$6)+((N11*6)*MATERIALES!$C$15)+((N11*2)*MATERIALES!$C$25))*MATERIALES!$F$2</f>
        <v>2160.5875200000005</v>
      </c>
      <c r="P11" s="59">
        <f>(12*MATERIALES!$C$137)+(12*MATERIALES!$C$174)+((8*4)*MATERIALES!$C$145)+(((N11*2)+(M11*2))*MATERIALES!$C$149)+(4*MATERIALES!$C$148)+(((M11*5)*2)*MATERIALES!$C$147)+(4*MATERIALES!$C$146)+(1*MATERIALES!$C$151)+(4*MATERIALES!$C$150)+(6*MATERIALES!$C$161)</f>
        <v>1934.02144</v>
      </c>
      <c r="Q11" s="75"/>
      <c r="R11" s="55">
        <f>((M11*MATERIALES!$C$22)*(N11/0.06))*MATERIALES!$F$2</f>
        <v>1166.2560000000003</v>
      </c>
      <c r="S11" s="59">
        <f t="shared" si="2"/>
        <v>5260.8649600000008</v>
      </c>
      <c r="T11" s="70">
        <f t="shared" si="3"/>
        <v>6839.1244480000014</v>
      </c>
    </row>
    <row r="12" spans="1:20" ht="15.75" hidden="1" thickBot="1">
      <c r="A12" s="557">
        <v>1</v>
      </c>
      <c r="B12" s="267">
        <v>0.6</v>
      </c>
      <c r="C12" s="549">
        <f>((((A12*2)+(B12*2))*MATERIALES!$C$13)+((A12*2)*MATERIALES!$C$6)+((B12*4)*MATERIALES!$C$15)+(B12*MATERIALES!$C$25))*MATERIALES!$F$2</f>
        <v>2254.80528</v>
      </c>
      <c r="D12" s="376">
        <f>(8*MATERIALES!$C$137)+(8*MATERIALES!$C$174)+((8*4)*MATERIALES!$C$145)+(((B12*2)+(A12*2))*MATERIALES!$C$149)+(4*MATERIALES!$C$148)+(((A12*5)*2)*MATERIALES!$C$147)+(4*MATERIALES!$C$146)+(1*MATERIALES!$C$151)+(2*MATERIALES!$C$150)+(4*MATERIALES!$C$161)</f>
        <v>1371.6601599999999</v>
      </c>
      <c r="E12" s="377"/>
      <c r="F12" s="378">
        <f>((A12*MATERIALES!$C$22)*(B12/0.06))*MATERIALES!$F$2</f>
        <v>1749.384</v>
      </c>
      <c r="G12" s="549">
        <f t="shared" si="0"/>
        <v>5375.84944</v>
      </c>
      <c r="H12" s="558">
        <f t="shared" si="1"/>
        <v>6988.6042720000005</v>
      </c>
      <c r="M12" s="68">
        <v>1</v>
      </c>
      <c r="N12" s="69">
        <v>0.6</v>
      </c>
      <c r="O12" s="59">
        <f>((((M12*2)+(N12*2))*MATERIALES!$C$13)+((M12*2)*MATERIALES!$C$6)+((N12*6)*MATERIALES!$C$15)+((N12*2)*MATERIALES!$C$25))*MATERIALES!$F$2</f>
        <v>2665.6156799999999</v>
      </c>
      <c r="P12" s="59">
        <f>(12*MATERIALES!$C$137)+(12*MATERIALES!$C$174)+((8*4)*MATERIALES!$C$145)+(((N12*2)+(M12*2))*MATERIALES!$C$149)+(4*MATERIALES!$C$148)+(((M12*5)*2)*MATERIALES!$C$147)+(4*MATERIALES!$C$146)+(1*MATERIALES!$C$151)+(4*MATERIALES!$C$150)+(6*MATERIALES!$C$161)</f>
        <v>1939.0425600000001</v>
      </c>
      <c r="Q12" s="75"/>
      <c r="R12" s="55">
        <f>((M12*MATERIALES!$C$22)*(N12/0.06))*MATERIALES!$F$2</f>
        <v>1749.384</v>
      </c>
      <c r="S12" s="59">
        <f t="shared" si="2"/>
        <v>6354.0422399999998</v>
      </c>
      <c r="T12" s="70">
        <f t="shared" si="3"/>
        <v>8260.2549120000003</v>
      </c>
    </row>
    <row r="13" spans="1:20" ht="15.75" hidden="1" thickBot="1">
      <c r="A13" s="557">
        <v>1</v>
      </c>
      <c r="B13" s="267">
        <v>0.8</v>
      </c>
      <c r="C13" s="549">
        <f>((((A13*2)+(B13*2))*MATERIALES!$C$13)+((A13*2)*MATERIALES!$C$6)+((B13*4)*MATERIALES!$C$15)+(B13*MATERIALES!$C$25))*MATERIALES!$F$2</f>
        <v>2622.8966400000004</v>
      </c>
      <c r="D13" s="376">
        <f>(8*MATERIALES!$C$137)+(8*MATERIALES!$C$174)+((8*4)*MATERIALES!$C$145)+(((B13*2)+(A13*2))*MATERIALES!$C$149)+(4*MATERIALES!$C$148)+(((A13*5)*2)*MATERIALES!$C$147)+(4*MATERIALES!$C$146)+(1*MATERIALES!$C$151)+(2*MATERIALES!$C$150)+(4*MATERIALES!$C$161)</f>
        <v>1376.6812800000002</v>
      </c>
      <c r="E13" s="377"/>
      <c r="F13" s="378">
        <f>((A13*MATERIALES!$C$22)*(B13/0.06))*MATERIALES!$F$2</f>
        <v>2332.5120000000006</v>
      </c>
      <c r="G13" s="549">
        <f t="shared" si="0"/>
        <v>6332.0899200000013</v>
      </c>
      <c r="H13" s="558">
        <f t="shared" si="1"/>
        <v>8231.7168960000017</v>
      </c>
      <c r="M13" s="68">
        <v>1</v>
      </c>
      <c r="N13" s="69">
        <v>0.8</v>
      </c>
      <c r="O13" s="59">
        <f>((((M13*2)+(N13*2))*MATERIALES!$C$13)+((M13*2)*MATERIALES!$C$6)+((N13*6)*MATERIALES!$C$15)+((N13*2)*MATERIALES!$C$25))*MATERIALES!$F$2</f>
        <v>3170.6438400000006</v>
      </c>
      <c r="P13" s="59">
        <f>(12*MATERIALES!$C$137)+(12*MATERIALES!$C$174)+((8*4)*MATERIALES!$C$145)+(((N13*2)+(M13*2))*MATERIALES!$C$149)+(4*MATERIALES!$C$148)+(((M13*5)*2)*MATERIALES!$C$147)+(4*MATERIALES!$C$146)+(1*MATERIALES!$C$151)+(4*MATERIALES!$C$150)+(6*MATERIALES!$C$161)</f>
        <v>1944.06368</v>
      </c>
      <c r="Q13" s="75"/>
      <c r="R13" s="55">
        <f>((M13*MATERIALES!$C$22)*(N13/0.06))*MATERIALES!$F$2</f>
        <v>2332.5120000000006</v>
      </c>
      <c r="S13" s="59">
        <f t="shared" si="2"/>
        <v>7447.2195200000015</v>
      </c>
      <c r="T13" s="70">
        <f t="shared" si="3"/>
        <v>9681.385376000002</v>
      </c>
    </row>
    <row r="14" spans="1:20" ht="15.75" hidden="1" thickBot="1">
      <c r="A14" s="557">
        <v>1</v>
      </c>
      <c r="B14" s="267">
        <v>1</v>
      </c>
      <c r="C14" s="549">
        <f>((((A14*2)+(B14*2))*MATERIALES!$C$13)+((A14*2)*MATERIALES!$C$6)+((B14*4)*MATERIALES!$C$15)+(B14*MATERIALES!$C$25))*MATERIALES!$F$2</f>
        <v>2990.9880000000003</v>
      </c>
      <c r="D14" s="376">
        <f>(8*MATERIALES!$C$137)+(8*MATERIALES!$C$174)+((8*4)*MATERIALES!$C$145)+(((B14*2)+(A14*2))*MATERIALES!$C$149)+(4*MATERIALES!$C$148)+(((A14*5)*2)*MATERIALES!$C$147)+(4*MATERIALES!$C$146)+(1*MATERIALES!$C$151)+(2*MATERIALES!$C$150)+(4*MATERIALES!$C$161)</f>
        <v>1381.7024000000001</v>
      </c>
      <c r="E14" s="377"/>
      <c r="F14" s="378">
        <f>((A14*MATERIALES!$C$22)*(B14/0.06))*MATERIALES!$F$2</f>
        <v>2915.6400000000003</v>
      </c>
      <c r="G14" s="549">
        <f t="shared" si="0"/>
        <v>7288.3304000000007</v>
      </c>
      <c r="H14" s="558">
        <f t="shared" si="1"/>
        <v>9474.8295200000011</v>
      </c>
      <c r="M14" s="68">
        <v>1</v>
      </c>
      <c r="N14" s="69">
        <v>1</v>
      </c>
      <c r="O14" s="59">
        <f>((((M14*2)+(N14*2))*MATERIALES!$C$13)+((M14*2)*MATERIALES!$C$6)+((N14*6)*MATERIALES!$C$15)+((N14*2)*MATERIALES!$C$25))*MATERIALES!$F$2</f>
        <v>3675.672</v>
      </c>
      <c r="P14" s="59">
        <f>(12*MATERIALES!$C$137)+(12*MATERIALES!$C$174)+((8*4)*MATERIALES!$C$145)+(((N14*2)+(M14*2))*MATERIALES!$C$149)+(4*MATERIALES!$C$148)+(((M14*5)*2)*MATERIALES!$C$147)+(4*MATERIALES!$C$146)+(1*MATERIALES!$C$151)+(4*MATERIALES!$C$150)+(6*MATERIALES!$C$161)</f>
        <v>1949.0847999999999</v>
      </c>
      <c r="Q14" s="75"/>
      <c r="R14" s="55">
        <f>((M14*MATERIALES!$C$22)*(N14/0.06))*MATERIALES!$F$2</f>
        <v>2915.6400000000003</v>
      </c>
      <c r="S14" s="59">
        <f t="shared" si="2"/>
        <v>8540.3968000000004</v>
      </c>
      <c r="T14" s="70">
        <f t="shared" si="3"/>
        <v>11102.515840000002</v>
      </c>
    </row>
    <row r="15" spans="1:20" ht="15.75" hidden="1" thickBot="1">
      <c r="A15" s="557">
        <v>1</v>
      </c>
      <c r="B15" s="267">
        <v>1.1000000000000001</v>
      </c>
      <c r="C15" s="549">
        <f>((((A15*2)+(B15*2))*MATERIALES!$C$13)+((A15*2)*MATERIALES!$C$6)+((B15*4)*MATERIALES!$C$15)+(B15*MATERIALES!$C$25))*MATERIALES!$F$2</f>
        <v>3175.0336800000005</v>
      </c>
      <c r="D15" s="376">
        <f>(8*MATERIALES!$C$137)+(8*MATERIALES!$C$174)+((8*4)*MATERIALES!$C$145)+(((B15*2)+(A15*2))*MATERIALES!$C$149)+(4*MATERIALES!$C$148)+(((A15*5)*2)*MATERIALES!$C$147)+(4*MATERIALES!$C$146)+(1*MATERIALES!$C$151)+(2*MATERIALES!$C$150)+(4*MATERIALES!$C$161)</f>
        <v>1384.2129599999998</v>
      </c>
      <c r="E15" s="377"/>
      <c r="F15" s="378">
        <f>((A15*MATERIALES!$C$22)*(B15/0.06))*MATERIALES!$F$2</f>
        <v>3207.2040000000011</v>
      </c>
      <c r="G15" s="549">
        <f t="shared" si="0"/>
        <v>7766.4506400000009</v>
      </c>
      <c r="H15" s="558">
        <f t="shared" si="1"/>
        <v>10096.385832000002</v>
      </c>
      <c r="M15" s="68">
        <v>1</v>
      </c>
      <c r="N15" s="69">
        <v>1.1000000000000001</v>
      </c>
      <c r="O15" s="59">
        <f>((((M15*2)+(N15*2))*MATERIALES!$C$13)+((M15*2)*MATERIALES!$C$6)+((N15*6)*MATERIALES!$C$15)+((N15*2)*MATERIALES!$C$25))*MATERIALES!$F$2</f>
        <v>3928.1860800000004</v>
      </c>
      <c r="P15" s="59">
        <f>(12*MATERIALES!$C$137)+(12*MATERIALES!$C$174)+((8*4)*MATERIALES!$C$145)+(((N15*2)+(M15*2))*MATERIALES!$C$149)+(4*MATERIALES!$C$148)+(((M15*5)*2)*MATERIALES!$C$147)+(4*MATERIALES!$C$146)+(1*MATERIALES!$C$151)+(4*MATERIALES!$C$150)+(6*MATERIALES!$C$161)</f>
        <v>1951.59536</v>
      </c>
      <c r="Q15" s="75"/>
      <c r="R15" s="55">
        <f>((M15*MATERIALES!$C$22)*(N15/0.06))*MATERIALES!$F$2</f>
        <v>3207.2040000000011</v>
      </c>
      <c r="S15" s="59">
        <f t="shared" si="2"/>
        <v>9086.9854400000022</v>
      </c>
      <c r="T15" s="70">
        <f t="shared" si="3"/>
        <v>11813.081072000003</v>
      </c>
    </row>
    <row r="16" spans="1:20" ht="15.75" hidden="1" thickBot="1">
      <c r="A16" s="557">
        <v>1</v>
      </c>
      <c r="B16" s="267">
        <v>1.2</v>
      </c>
      <c r="C16" s="549">
        <f>((((A16*2)+(B16*2))*MATERIALES!$C$13)+((A16*2)*MATERIALES!$C$6)+((B16*4)*MATERIALES!$C$15)+(B16*MATERIALES!$C$25))*MATERIALES!$F$2</f>
        <v>3359.0793599999997</v>
      </c>
      <c r="D16" s="376">
        <f>(8*MATERIALES!$C$137)+(8*MATERIALES!$C$174)+((8*4)*MATERIALES!$C$145)+(((B16*2)+(A16*2))*MATERIALES!$C$149)+(4*MATERIALES!$C$148)+(((A16*5)*2)*MATERIALES!$C$147)+(4*MATERIALES!$C$146)+(1*MATERIALES!$C$151)+(2*MATERIALES!$C$150)+(4*MATERIALES!$C$161)</f>
        <v>1386.72352</v>
      </c>
      <c r="E16" s="377"/>
      <c r="F16" s="378">
        <f>((A16*MATERIALES!$C$22)*(B16/0.06))*MATERIALES!$F$2</f>
        <v>3498.768</v>
      </c>
      <c r="G16" s="549">
        <f t="shared" si="0"/>
        <v>8244.5708799999993</v>
      </c>
      <c r="H16" s="558">
        <f t="shared" si="1"/>
        <v>10717.942143999999</v>
      </c>
      <c r="M16" s="68">
        <v>1</v>
      </c>
      <c r="N16" s="69">
        <v>1.2</v>
      </c>
      <c r="O16" s="59">
        <f>((((M16*2)+(N16*2))*MATERIALES!$C$13)+((M16*2)*MATERIALES!$C$6)+((N16*6)*MATERIALES!$C$15)+((N16*2)*MATERIALES!$C$25))*MATERIALES!$F$2</f>
        <v>4180.7001600000003</v>
      </c>
      <c r="P16" s="59">
        <f>(12*MATERIALES!$C$137)+(12*MATERIALES!$C$174)+((8*4)*MATERIALES!$C$145)+(((N16*2)+(M16*2))*MATERIALES!$C$149)+(4*MATERIALES!$C$148)+(((M16*5)*2)*MATERIALES!$C$147)+(4*MATERIALES!$C$146)+(1*MATERIALES!$C$151)+(4*MATERIALES!$C$150)+(6*MATERIALES!$C$161)</f>
        <v>1954.10592</v>
      </c>
      <c r="Q16" s="75"/>
      <c r="R16" s="55">
        <f>((M16*MATERIALES!$C$22)*(N16/0.06))*MATERIALES!$F$2</f>
        <v>3498.768</v>
      </c>
      <c r="S16" s="59">
        <f t="shared" si="2"/>
        <v>9633.5740800000003</v>
      </c>
      <c r="T16" s="70">
        <f t="shared" si="3"/>
        <v>12523.646304000002</v>
      </c>
    </row>
    <row r="17" spans="1:20" ht="15.75" hidden="1" thickBot="1">
      <c r="A17" s="557">
        <v>1</v>
      </c>
      <c r="B17" s="267">
        <v>1.5</v>
      </c>
      <c r="C17" s="549">
        <f>((((A17*2)+(B17*2))*MATERIALES!$C$13)+((A17*2)*MATERIALES!$C$6)+((B17*4)*MATERIALES!$C$15)+(B17*MATERIALES!$C$25))*MATERIALES!$F$2</f>
        <v>3911.2164000000007</v>
      </c>
      <c r="D17" s="376">
        <f>(8*MATERIALES!$C$137)+(8*MATERIALES!$C$174)+((8*4)*MATERIALES!$C$145)+(((B17*2)+(A17*2))*MATERIALES!$C$149)+(4*MATERIALES!$C$148)+(((A17*5)*2)*MATERIALES!$C$147)+(4*MATERIALES!$C$146)+(1*MATERIALES!$C$151)+(2*MATERIALES!$C$150)+(4*MATERIALES!$C$161)</f>
        <v>1394.2552000000001</v>
      </c>
      <c r="E17" s="377"/>
      <c r="F17" s="378">
        <f>((A17*MATERIALES!$C$22)*(B17/0.06))*MATERIALES!$F$2</f>
        <v>4373.4600000000009</v>
      </c>
      <c r="G17" s="549">
        <f t="shared" si="0"/>
        <v>9678.9316000000017</v>
      </c>
      <c r="H17" s="558">
        <f t="shared" si="1"/>
        <v>12582.611080000002</v>
      </c>
      <c r="M17" s="68">
        <v>1</v>
      </c>
      <c r="N17" s="69">
        <v>1.5</v>
      </c>
      <c r="O17" s="59">
        <f>((((M17*2)+(N17*2))*MATERIALES!$C$13)+((M17*2)*MATERIALES!$C$6)+((N17*6)*MATERIALES!$C$15)+((N17*2)*MATERIALES!$C$25))*MATERIALES!$F$2</f>
        <v>4938.2424000000001</v>
      </c>
      <c r="P17" s="59">
        <f>(12*MATERIALES!$C$137)+(12*MATERIALES!$C$174)+((8*4)*MATERIALES!$C$145)+(((N17*2)+(M17*2))*MATERIALES!$C$149)+(4*MATERIALES!$C$148)+(((M17*5)*2)*MATERIALES!$C$147)+(4*MATERIALES!$C$146)+(1*MATERIALES!$C$151)+(4*MATERIALES!$C$150)+(6*MATERIALES!$C$161)</f>
        <v>1961.6376</v>
      </c>
      <c r="Q17" s="75"/>
      <c r="R17" s="55">
        <f>((M17*MATERIALES!$C$22)*(N17/0.06))*MATERIALES!$F$2</f>
        <v>4373.4600000000009</v>
      </c>
      <c r="S17" s="59">
        <f t="shared" si="2"/>
        <v>11273.34</v>
      </c>
      <c r="T17" s="70">
        <f t="shared" si="3"/>
        <v>14655.342000000001</v>
      </c>
    </row>
    <row r="18" spans="1:20" ht="15.75" hidden="1" thickBot="1">
      <c r="A18" s="557">
        <v>1.2</v>
      </c>
      <c r="B18" s="267">
        <v>0.4</v>
      </c>
      <c r="C18" s="549">
        <f>((((A18*2)+(B18*2))*MATERIALES!$C$13)+((A18*2)*MATERIALES!$C$6)+((B18*4)*MATERIALES!$C$15)+(B18*MATERIALES!$C$25))*MATERIALES!$F$2</f>
        <v>2116.8201600000002</v>
      </c>
      <c r="D18" s="376">
        <f>(8*MATERIALES!$C$137)+(8*MATERIALES!$C$174)+((8*4)*MATERIALES!$C$145)+(((B18*2)+(A18*2))*MATERIALES!$C$149)+(4*MATERIALES!$C$148)+(((A18*5)*2)*MATERIALES!$C$147)+(4*MATERIALES!$C$146)+(1*MATERIALES!$C$151)+(2*MATERIALES!$C$150)+(4*MATERIALES!$C$161)</f>
        <v>1371.6601599999999</v>
      </c>
      <c r="E18" s="377"/>
      <c r="F18" s="378">
        <f>((A18*MATERIALES!$C$22)*(B18/0.06))*MATERIALES!$F$2</f>
        <v>1399.5072000000002</v>
      </c>
      <c r="G18" s="549">
        <f t="shared" si="0"/>
        <v>4887.9875200000006</v>
      </c>
      <c r="H18" s="558">
        <f t="shared" si="1"/>
        <v>6354.3837760000006</v>
      </c>
      <c r="M18" s="68">
        <v>1.2</v>
      </c>
      <c r="N18" s="69">
        <v>0.4</v>
      </c>
      <c r="O18" s="59">
        <f>((((M18*2)+(N18*2))*MATERIALES!$C$13)+((M18*2)*MATERIALES!$C$6)+((N18*6)*MATERIALES!$C$15)+((N18*2)*MATERIALES!$C$25))*MATERIALES!$F$2</f>
        <v>2390.6937600000006</v>
      </c>
      <c r="P18" s="59">
        <f>(12*MATERIALES!$C$137)+(12*MATERIALES!$C$174)+((8*4)*MATERIALES!$C$145)+(((N18*2)+(M18*2))*MATERIALES!$C$149)+(4*MATERIALES!$C$148)+(((M18*5)*2)*MATERIALES!$C$147)+(4*MATERIALES!$C$146)+(1*MATERIALES!$C$151)+(4*MATERIALES!$C$150)+(6*MATERIALES!$C$161)</f>
        <v>1939.0425600000001</v>
      </c>
      <c r="Q18" s="75"/>
      <c r="R18" s="55">
        <f>((M18*MATERIALES!$C$22)*(N18/0.06))*MATERIALES!$F$2</f>
        <v>1399.5072000000002</v>
      </c>
      <c r="S18" s="59">
        <f t="shared" si="2"/>
        <v>5729.2435200000009</v>
      </c>
      <c r="T18" s="70">
        <f t="shared" si="3"/>
        <v>7448.0165760000018</v>
      </c>
    </row>
    <row r="19" spans="1:20" ht="15.75" hidden="1" thickBot="1">
      <c r="A19" s="557">
        <v>1.2</v>
      </c>
      <c r="B19" s="267">
        <v>0.6</v>
      </c>
      <c r="C19" s="549">
        <f>((((A19*2)+(B19*2))*MATERIALES!$C$13)+((A19*2)*MATERIALES!$C$6)+((B19*4)*MATERIALES!$C$15)+(B19*MATERIALES!$C$25))*MATERIALES!$F$2</f>
        <v>2484.9115200000001</v>
      </c>
      <c r="D19" s="376">
        <f>(8*MATERIALES!$C$137)+(8*MATERIALES!$C$174)+((8*4)*MATERIALES!$C$145)+(((B19*2)+(A19*2))*MATERIALES!$C$149)+(4*MATERIALES!$C$148)+(((A19*5)*2)*MATERIALES!$C$147)+(4*MATERIALES!$C$146)+(1*MATERIALES!$C$151)+(2*MATERIALES!$C$150)+(4*MATERIALES!$C$161)</f>
        <v>1376.6812800000002</v>
      </c>
      <c r="E19" s="377"/>
      <c r="F19" s="378">
        <f>((A19*MATERIALES!$C$22)*(B19/0.06))*MATERIALES!$F$2</f>
        <v>2099.2608000000005</v>
      </c>
      <c r="G19" s="549">
        <f t="shared" si="0"/>
        <v>5960.8536000000004</v>
      </c>
      <c r="H19" s="558">
        <f t="shared" si="1"/>
        <v>7749.1096800000005</v>
      </c>
      <c r="M19" s="68">
        <v>1.2</v>
      </c>
      <c r="N19" s="69">
        <v>0.6</v>
      </c>
      <c r="O19" s="59">
        <f>((((M19*2)+(N19*2))*MATERIALES!$C$13)+((M19*2)*MATERIALES!$C$6)+((N19*6)*MATERIALES!$C$15)+((N19*2)*MATERIALES!$C$25))*MATERIALES!$F$2</f>
        <v>2895.7219200000004</v>
      </c>
      <c r="P19" s="59">
        <f>(12*MATERIALES!$C$137)+(12*MATERIALES!$C$174)+((8*4)*MATERIALES!$C$145)+(((N19*2)+(M19*2))*MATERIALES!$C$149)+(4*MATERIALES!$C$148)+(((M19*5)*2)*MATERIALES!$C$147)+(4*MATERIALES!$C$146)+(1*MATERIALES!$C$151)+(4*MATERIALES!$C$150)+(6*MATERIALES!$C$161)</f>
        <v>1944.06368</v>
      </c>
      <c r="Q19" s="75"/>
      <c r="R19" s="55">
        <f>((M19*MATERIALES!$C$22)*(N19/0.06))*MATERIALES!$F$2</f>
        <v>2099.2608000000005</v>
      </c>
      <c r="S19" s="59">
        <f t="shared" si="2"/>
        <v>6939.0464000000011</v>
      </c>
      <c r="T19" s="70">
        <f t="shared" si="3"/>
        <v>9020.7603200000012</v>
      </c>
    </row>
    <row r="20" spans="1:20" ht="15.75" hidden="1" thickBot="1">
      <c r="A20" s="557">
        <v>1.2</v>
      </c>
      <c r="B20" s="267">
        <v>0.8</v>
      </c>
      <c r="C20" s="549">
        <f>((((A20*2)+(B20*2))*MATERIALES!$C$13)+((A20*2)*MATERIALES!$C$6)+((B20*4)*MATERIALES!$C$15)+(B20*MATERIALES!$C$25))*MATERIALES!$F$2</f>
        <v>2853.00288</v>
      </c>
      <c r="D20" s="376">
        <f>(8*MATERIALES!$C$137)+(8*MATERIALES!$C$174)+((8*4)*MATERIALES!$C$145)+(((B20*2)+(A20*2))*MATERIALES!$C$149)+(4*MATERIALES!$C$148)+(((A20*5)*2)*MATERIALES!$C$147)+(4*MATERIALES!$C$146)+(1*MATERIALES!$C$151)+(2*MATERIALES!$C$150)+(4*MATERIALES!$C$161)</f>
        <v>1381.7024000000001</v>
      </c>
      <c r="E20" s="377"/>
      <c r="F20" s="378">
        <f>((A20*MATERIALES!$C$22)*(B20/0.06))*MATERIALES!$F$2</f>
        <v>2799.0144000000005</v>
      </c>
      <c r="G20" s="549">
        <f t="shared" si="0"/>
        <v>7033.7196800000002</v>
      </c>
      <c r="H20" s="558">
        <f t="shared" si="1"/>
        <v>9143.8355840000004</v>
      </c>
      <c r="M20" s="68">
        <v>1.2</v>
      </c>
      <c r="N20" s="69">
        <v>0.8</v>
      </c>
      <c r="O20" s="59">
        <f>((((M20*2)+(N20*2))*MATERIALES!$C$13)+((M20*2)*MATERIALES!$C$6)+((N20*6)*MATERIALES!$C$15)+((N20*2)*MATERIALES!$C$25))*MATERIALES!$F$2</f>
        <v>3400.7500800000003</v>
      </c>
      <c r="P20" s="59">
        <f>(12*MATERIALES!$C$137)+(12*MATERIALES!$C$174)+((8*4)*MATERIALES!$C$145)+(((N20*2)+(M20*2))*MATERIALES!$C$149)+(4*MATERIALES!$C$148)+(((M20*5)*2)*MATERIALES!$C$147)+(4*MATERIALES!$C$146)+(1*MATERIALES!$C$151)+(4*MATERIALES!$C$150)+(6*MATERIALES!$C$161)</f>
        <v>1949.0847999999999</v>
      </c>
      <c r="Q20" s="75"/>
      <c r="R20" s="55">
        <f>((M20*MATERIALES!$C$22)*(N20/0.06))*MATERIALES!$F$2</f>
        <v>2799.0144000000005</v>
      </c>
      <c r="S20" s="59">
        <f t="shared" si="2"/>
        <v>8148.8492800000004</v>
      </c>
      <c r="T20" s="70">
        <f t="shared" si="3"/>
        <v>10593.504064000001</v>
      </c>
    </row>
    <row r="21" spans="1:20" ht="15.75" hidden="1" thickBot="1">
      <c r="A21" s="557">
        <v>1.2</v>
      </c>
      <c r="B21" s="267">
        <v>1</v>
      </c>
      <c r="C21" s="549">
        <f>((((A21*2)+(B21*2))*MATERIALES!$C$13)+((A21*2)*MATERIALES!$C$6)+((B21*4)*MATERIALES!$C$15)+(B21*MATERIALES!$C$25))*MATERIALES!$F$2</f>
        <v>3221.0942400000004</v>
      </c>
      <c r="D21" s="376">
        <f>(8*MATERIALES!$C$137)+(8*MATERIALES!$C$174)+((8*4)*MATERIALES!$C$145)+(((B21*2)+(A21*2))*MATERIALES!$C$149)+(4*MATERIALES!$C$148)+(((A21*5)*2)*MATERIALES!$C$147)+(4*MATERIALES!$C$146)+(1*MATERIALES!$C$151)+(2*MATERIALES!$C$150)+(4*MATERIALES!$C$161)</f>
        <v>1386.72352</v>
      </c>
      <c r="E21" s="377"/>
      <c r="F21" s="378">
        <f>((A21*MATERIALES!$C$22)*(B21/0.06))*MATERIALES!$F$2</f>
        <v>3498.7680000000009</v>
      </c>
      <c r="G21" s="549">
        <f t="shared" si="0"/>
        <v>8106.5857600000008</v>
      </c>
      <c r="H21" s="558">
        <f t="shared" si="1"/>
        <v>10538.561488000001</v>
      </c>
      <c r="M21" s="68">
        <v>1.2</v>
      </c>
      <c r="N21" s="69">
        <v>1</v>
      </c>
      <c r="O21" s="59">
        <f>((((M21*2)+(N21*2))*MATERIALES!$C$13)+((M21*2)*MATERIALES!$C$6)+((N21*6)*MATERIALES!$C$15)+((N21*2)*MATERIALES!$C$25))*MATERIALES!$F$2</f>
        <v>3905.7782400000001</v>
      </c>
      <c r="P21" s="59">
        <f>(12*MATERIALES!$C$137)+(12*MATERIALES!$C$174)+((8*4)*MATERIALES!$C$145)+(((N21*2)+(M21*2))*MATERIALES!$C$149)+(4*MATERIALES!$C$148)+(((M21*5)*2)*MATERIALES!$C$147)+(4*MATERIALES!$C$146)+(1*MATERIALES!$C$151)+(4*MATERIALES!$C$150)+(6*MATERIALES!$C$161)</f>
        <v>1954.10592</v>
      </c>
      <c r="Q21" s="75"/>
      <c r="R21" s="55">
        <f>((M21*MATERIALES!$C$22)*(N21/0.06))*MATERIALES!$F$2</f>
        <v>3498.7680000000009</v>
      </c>
      <c r="S21" s="59">
        <f t="shared" si="2"/>
        <v>9358.6521600000015</v>
      </c>
      <c r="T21" s="70">
        <f t="shared" si="3"/>
        <v>12166.247808000002</v>
      </c>
    </row>
    <row r="22" spans="1:20" ht="15.75" hidden="1" thickBot="1">
      <c r="A22" s="557">
        <v>1.2</v>
      </c>
      <c r="B22" s="267">
        <v>1.1000000000000001</v>
      </c>
      <c r="C22" s="549">
        <f>((((A22*2)+(B22*2))*MATERIALES!$C$13)+((A22*2)*MATERIALES!$C$6)+((B22*4)*MATERIALES!$C$15)+(B22*MATERIALES!$C$25))*MATERIALES!$F$2</f>
        <v>3405.1399200000001</v>
      </c>
      <c r="D22" s="376">
        <f>(8*MATERIALES!$C$137)+(8*MATERIALES!$C$174)+((8*4)*MATERIALES!$C$145)+(((B22*2)+(A22*2))*MATERIALES!$C$149)+(4*MATERIALES!$C$148)+(((A22*5)*2)*MATERIALES!$C$147)+(4*MATERIALES!$C$146)+(1*MATERIALES!$C$151)+(2*MATERIALES!$C$150)+(4*MATERIALES!$C$161)</f>
        <v>1389.2340800000002</v>
      </c>
      <c r="E22" s="377"/>
      <c r="F22" s="378">
        <f>((A22*MATERIALES!$C$22)*(B22/0.06))*MATERIALES!$F$2</f>
        <v>3848.6448000000014</v>
      </c>
      <c r="G22" s="549">
        <f t="shared" si="0"/>
        <v>8643.0188000000016</v>
      </c>
      <c r="H22" s="558">
        <f t="shared" si="1"/>
        <v>11235.924440000003</v>
      </c>
      <c r="M22" s="68">
        <v>1.2</v>
      </c>
      <c r="N22" s="69">
        <v>1.1000000000000001</v>
      </c>
      <c r="O22" s="59">
        <f>((((M22*2)+(N22*2))*MATERIALES!$C$13)+((M22*2)*MATERIALES!$C$6)+((N22*6)*MATERIALES!$C$15)+((N22*2)*MATERIALES!$C$25))*MATERIALES!$F$2</f>
        <v>4158.2923200000005</v>
      </c>
      <c r="P22" s="59">
        <f>(12*MATERIALES!$C$137)+(12*MATERIALES!$C$174)+((8*4)*MATERIALES!$C$145)+(((N22*2)+(M22*2))*MATERIALES!$C$149)+(4*MATERIALES!$C$148)+(((M22*5)*2)*MATERIALES!$C$147)+(4*MATERIALES!$C$146)+(1*MATERIALES!$C$151)+(4*MATERIALES!$C$150)+(6*MATERIALES!$C$161)</f>
        <v>1956.6164799999999</v>
      </c>
      <c r="Q22" s="75"/>
      <c r="R22" s="55">
        <f>((M22*MATERIALES!$C$22)*(N22/0.06))*MATERIALES!$F$2</f>
        <v>3848.6448000000014</v>
      </c>
      <c r="S22" s="59">
        <f t="shared" si="2"/>
        <v>9963.5536000000011</v>
      </c>
      <c r="T22" s="70">
        <f t="shared" si="3"/>
        <v>12952.619680000002</v>
      </c>
    </row>
    <row r="23" spans="1:20" ht="15.75" hidden="1" thickBot="1">
      <c r="A23" s="557">
        <v>1.2</v>
      </c>
      <c r="B23" s="267">
        <v>1.2</v>
      </c>
      <c r="C23" s="549">
        <f>((((A23*2)+(B23*2))*MATERIALES!$C$13)+((A23*2)*MATERIALES!$C$6)+((B23*4)*MATERIALES!$C$15)+(B23*MATERIALES!$C$25))*MATERIALES!$F$2</f>
        <v>3589.1856000000002</v>
      </c>
      <c r="D23" s="376">
        <f>(8*MATERIALES!$C$137)+(8*MATERIALES!$C$174)+((8*4)*MATERIALES!$C$145)+(((B23*2)+(A23*2))*MATERIALES!$C$149)+(4*MATERIALES!$C$148)+(((A23*5)*2)*MATERIALES!$C$147)+(4*MATERIALES!$C$146)+(1*MATERIALES!$C$151)+(2*MATERIALES!$C$150)+(4*MATERIALES!$C$161)</f>
        <v>1391.7446399999999</v>
      </c>
      <c r="E23" s="377"/>
      <c r="F23" s="378">
        <f>((A23*MATERIALES!$C$22)*(B23/0.06))*MATERIALES!$F$2</f>
        <v>4198.5216000000009</v>
      </c>
      <c r="G23" s="549">
        <f t="shared" si="0"/>
        <v>9179.4518400000015</v>
      </c>
      <c r="H23" s="558">
        <f t="shared" si="1"/>
        <v>11933.287392000002</v>
      </c>
      <c r="M23" s="68">
        <v>1.2</v>
      </c>
      <c r="N23" s="69">
        <v>1.2</v>
      </c>
      <c r="O23" s="59">
        <f>((((M23*2)+(N23*2))*MATERIALES!$C$13)+((M23*2)*MATERIALES!$C$6)+((N23*6)*MATERIALES!$C$15)+((N23*2)*MATERIALES!$C$25))*MATERIALES!$F$2</f>
        <v>4410.8064000000004</v>
      </c>
      <c r="P23" s="59">
        <f>(12*MATERIALES!$C$137)+(12*MATERIALES!$C$174)+((8*4)*MATERIALES!$C$145)+(((N23*2)+(M23*2))*MATERIALES!$C$149)+(4*MATERIALES!$C$148)+(((M23*5)*2)*MATERIALES!$C$147)+(4*MATERIALES!$C$146)+(1*MATERIALES!$C$151)+(4*MATERIALES!$C$150)+(6*MATERIALES!$C$161)</f>
        <v>1959.1270400000001</v>
      </c>
      <c r="Q23" s="75"/>
      <c r="R23" s="55">
        <f>((M23*MATERIALES!$C$22)*(N23/0.06))*MATERIALES!$F$2</f>
        <v>4198.5216000000009</v>
      </c>
      <c r="S23" s="59">
        <f t="shared" si="2"/>
        <v>10568.455040000001</v>
      </c>
      <c r="T23" s="70">
        <f t="shared" si="3"/>
        <v>13738.991552000001</v>
      </c>
    </row>
    <row r="24" spans="1:20" ht="15.75" hidden="1" thickBot="1">
      <c r="A24" s="557">
        <v>1.2</v>
      </c>
      <c r="B24" s="267">
        <v>1.5</v>
      </c>
      <c r="C24" s="549">
        <f>((((A24*2)+(B24*2))*MATERIALES!$C$13)+((A24*2)*MATERIALES!$C$6)+((B24*4)*MATERIALES!$C$15)+(B24*MATERIALES!$C$25))*MATERIALES!$F$2</f>
        <v>4141.3226400000003</v>
      </c>
      <c r="D24" s="376">
        <f>(8*MATERIALES!$C$137)+(8*MATERIALES!$C$174)+((8*4)*MATERIALES!$C$145)+(((B24*2)+(A24*2))*MATERIALES!$C$149)+(4*MATERIALES!$C$148)+(((A24*5)*2)*MATERIALES!$C$147)+(4*MATERIALES!$C$146)+(1*MATERIALES!$C$151)+(2*MATERIALES!$C$150)+(4*MATERIALES!$C$161)</f>
        <v>1399.2763199999999</v>
      </c>
      <c r="E24" s="377"/>
      <c r="F24" s="378">
        <f>((A24*MATERIALES!$C$22)*(B24/0.06))*MATERIALES!$F$2</f>
        <v>5248.152</v>
      </c>
      <c r="G24" s="549">
        <f t="shared" si="0"/>
        <v>10788.750960000001</v>
      </c>
      <c r="H24" s="558">
        <f t="shared" si="1"/>
        <v>14025.376248000002</v>
      </c>
      <c r="M24" s="68">
        <v>1.2</v>
      </c>
      <c r="N24" s="69">
        <v>1.5</v>
      </c>
      <c r="O24" s="59">
        <f>((((M24*2)+(N24*2))*MATERIALES!$C$13)+((M24*2)*MATERIALES!$C$6)+((N24*6)*MATERIALES!$C$15)+((N24*2)*MATERIALES!$C$25))*MATERIALES!$F$2</f>
        <v>5168.3486400000002</v>
      </c>
      <c r="P24" s="59">
        <f>(12*MATERIALES!$C$137)+(12*MATERIALES!$C$174)+((8*4)*MATERIALES!$C$145)+(((N24*2)+(M24*2))*MATERIALES!$C$149)+(4*MATERIALES!$C$148)+(((M24*5)*2)*MATERIALES!$C$147)+(4*MATERIALES!$C$146)+(1*MATERIALES!$C$151)+(4*MATERIALES!$C$150)+(6*MATERIALES!$C$161)</f>
        <v>1966.6587200000001</v>
      </c>
      <c r="Q24" s="75"/>
      <c r="R24" s="55">
        <f>((M24*MATERIALES!$C$22)*(N24/0.06))*MATERIALES!$F$2</f>
        <v>5248.152</v>
      </c>
      <c r="S24" s="59">
        <f t="shared" si="2"/>
        <v>12383.159360000001</v>
      </c>
      <c r="T24" s="70">
        <f t="shared" si="3"/>
        <v>16098.107168000002</v>
      </c>
    </row>
    <row r="25" spans="1:20" ht="15.75" hidden="1" thickBot="1">
      <c r="A25" s="557">
        <v>1.2</v>
      </c>
      <c r="B25" s="267">
        <v>1.8</v>
      </c>
      <c r="C25" s="549">
        <f>((((A25*2)+(B25*2))*MATERIALES!$C$13)+((A25*2)*MATERIALES!$C$6)+((B25*4)*MATERIALES!$C$15)+(B25*MATERIALES!$C$25))*MATERIALES!$F$2</f>
        <v>4693.4596799999999</v>
      </c>
      <c r="D25" s="376">
        <f>(8*MATERIALES!$C$137)+(8*MATERIALES!$C$174)+((8*4)*MATERIALES!$C$145)+(((B25*2)+(A25*2))*MATERIALES!$C$149)+(4*MATERIALES!$C$148)+(((A25*5)*2)*MATERIALES!$C$147)+(4*MATERIALES!$C$146)+(1*MATERIALES!$C$151)+(2*MATERIALES!$C$150)+(4*MATERIALES!$C$161)</f>
        <v>1406.808</v>
      </c>
      <c r="E25" s="377"/>
      <c r="F25" s="378">
        <f>((A25*MATERIALES!$C$22)*(B25/0.06))*MATERIALES!$F$2</f>
        <v>6297.7824000000019</v>
      </c>
      <c r="G25" s="549">
        <f t="shared" si="0"/>
        <v>12398.050080000001</v>
      </c>
      <c r="H25" s="558">
        <f t="shared" si="1"/>
        <v>16117.465104000003</v>
      </c>
      <c r="M25" s="68">
        <v>1.2</v>
      </c>
      <c r="N25" s="69">
        <v>1.8</v>
      </c>
      <c r="O25" s="59">
        <f>((((M25*2)+(N25*2))*MATERIALES!$C$13)+((M25*2)*MATERIALES!$C$6)+((N25*6)*MATERIALES!$C$15)+((N25*2)*MATERIALES!$C$25))*MATERIALES!$F$2</f>
        <v>5925.8908799999999</v>
      </c>
      <c r="P25" s="59">
        <f>(12*MATERIALES!$C$137)+(12*MATERIALES!$C$174)+((8*4)*MATERIALES!$C$145)+(((N25*2)+(M25*2))*MATERIALES!$C$149)+(4*MATERIALES!$C$148)+(((M25*5)*2)*MATERIALES!$C$147)+(4*MATERIALES!$C$146)+(1*MATERIALES!$C$151)+(4*MATERIALES!$C$150)+(6*MATERIALES!$C$161)</f>
        <v>1974.1904</v>
      </c>
      <c r="Q25" s="75"/>
      <c r="R25" s="55">
        <f>((M25*MATERIALES!$C$22)*(N25/0.06))*MATERIALES!$F$2</f>
        <v>6297.7824000000019</v>
      </c>
      <c r="S25" s="59">
        <f t="shared" si="2"/>
        <v>14197.863680000002</v>
      </c>
      <c r="T25" s="70">
        <f t="shared" si="3"/>
        <v>18457.222784000005</v>
      </c>
    </row>
    <row r="26" spans="1:20" ht="15.75" hidden="1" thickBot="1">
      <c r="A26" s="557">
        <v>1.5</v>
      </c>
      <c r="B26" s="267">
        <v>0.4</v>
      </c>
      <c r="C26" s="549">
        <f>((((A26*2)+(B26*2))*MATERIALES!$C$13)+((A26*2)*MATERIALES!$C$6)+((B26*4)*MATERIALES!$C$15)+(B26*MATERIALES!$C$25))*MATERIALES!$F$2</f>
        <v>2461.9795200000003</v>
      </c>
      <c r="D26" s="376">
        <f>(8*MATERIALES!$C$137)+(8*MATERIALES!$C$174)+((8*4)*MATERIALES!$C$145)+(((B26*2)+(A26*2))*MATERIALES!$C$149)+(4*MATERIALES!$C$148)+(((A26*5)*2)*MATERIALES!$C$147)+(4*MATERIALES!$C$146)+(1*MATERIALES!$C$151)+(2*MATERIALES!$C$150)+(4*MATERIALES!$C$161)</f>
        <v>1379.19184</v>
      </c>
      <c r="E26" s="377"/>
      <c r="F26" s="378">
        <f>((A26*MATERIALES!$C$22)*(B26/0.06))*MATERIALES!$F$2</f>
        <v>1749.3840000000005</v>
      </c>
      <c r="G26" s="549">
        <f t="shared" si="0"/>
        <v>5590.5553600000003</v>
      </c>
      <c r="H26" s="558">
        <f t="shared" si="1"/>
        <v>7267.7219680000007</v>
      </c>
      <c r="M26" s="68">
        <v>1.5</v>
      </c>
      <c r="N26" s="69">
        <v>0.4</v>
      </c>
      <c r="O26" s="59">
        <f>((((M26*2)+(N26*2))*MATERIALES!$C$13)+((M26*2)*MATERIALES!$C$6)+((N26*6)*MATERIALES!$C$15)+((N26*2)*MATERIALES!$C$25))*MATERIALES!$F$2</f>
        <v>2735.8531200000002</v>
      </c>
      <c r="P26" s="59">
        <f>(12*MATERIALES!$C$137)+(12*MATERIALES!$C$174)+((8*4)*MATERIALES!$C$145)+(((N26*2)+(M26*2))*MATERIALES!$C$149)+(4*MATERIALES!$C$148)+(((M26*5)*2)*MATERIALES!$C$147)+(4*MATERIALES!$C$146)+(1*MATERIALES!$C$151)+(4*MATERIALES!$C$150)+(6*MATERIALES!$C$161)</f>
        <v>1946.5742399999999</v>
      </c>
      <c r="Q26" s="75"/>
      <c r="R26" s="55">
        <f>((M26*MATERIALES!$C$22)*(N26/0.06))*MATERIALES!$F$2</f>
        <v>1749.3840000000005</v>
      </c>
      <c r="S26" s="59">
        <f t="shared" si="2"/>
        <v>6431.8113599999997</v>
      </c>
      <c r="T26" s="70">
        <f t="shared" si="3"/>
        <v>8361.3547679999992</v>
      </c>
    </row>
    <row r="27" spans="1:20" ht="15.75" hidden="1" thickBot="1">
      <c r="A27" s="557">
        <v>1.5</v>
      </c>
      <c r="B27" s="267">
        <v>0.6</v>
      </c>
      <c r="C27" s="549">
        <f>((((A27*2)+(B27*2))*MATERIALES!$C$13)+((A27*2)*MATERIALES!$C$6)+((B27*4)*MATERIALES!$C$15)+(B27*MATERIALES!$C$25))*MATERIALES!$F$2</f>
        <v>2830.0708800000007</v>
      </c>
      <c r="D27" s="376">
        <f>(8*MATERIALES!$C$137)+(8*MATERIALES!$C$174)+((8*4)*MATERIALES!$C$145)+(((B27*2)+(A27*2))*MATERIALES!$C$149)+(4*MATERIALES!$C$148)+(((A27*5)*2)*MATERIALES!$C$147)+(4*MATERIALES!$C$146)+(1*MATERIALES!$C$151)+(2*MATERIALES!$C$150)+(4*MATERIALES!$C$161)</f>
        <v>1384.2129599999998</v>
      </c>
      <c r="E27" s="377"/>
      <c r="F27" s="378">
        <f>((A27*MATERIALES!$C$22)*(B27/0.06))*MATERIALES!$F$2</f>
        <v>2624.076</v>
      </c>
      <c r="G27" s="549">
        <f t="shared" si="0"/>
        <v>6838.3598400000001</v>
      </c>
      <c r="H27" s="558">
        <f t="shared" si="1"/>
        <v>8889.8677920000009</v>
      </c>
      <c r="M27" s="68">
        <v>1.5</v>
      </c>
      <c r="N27" s="69">
        <v>0.6</v>
      </c>
      <c r="O27" s="59">
        <f>((((M27*2)+(N27*2))*MATERIALES!$C$13)+((M27*2)*MATERIALES!$C$6)+((N27*6)*MATERIALES!$C$15)+((N27*2)*MATERIALES!$C$25))*MATERIALES!$F$2</f>
        <v>3240.8812800000001</v>
      </c>
      <c r="P27" s="59">
        <f>(12*MATERIALES!$C$137)+(12*MATERIALES!$C$174)+((8*4)*MATERIALES!$C$145)+(((N27*2)+(M27*2))*MATERIALES!$C$149)+(4*MATERIALES!$C$148)+(((M27*5)*2)*MATERIALES!$C$147)+(4*MATERIALES!$C$146)+(1*MATERIALES!$C$151)+(4*MATERIALES!$C$150)+(6*MATERIALES!$C$161)</f>
        <v>1951.59536</v>
      </c>
      <c r="Q27" s="75"/>
      <c r="R27" s="55">
        <f>((M27*MATERIALES!$C$22)*(N27/0.06))*MATERIALES!$F$2</f>
        <v>2624.076</v>
      </c>
      <c r="S27" s="59">
        <f t="shared" si="2"/>
        <v>7816.5526399999999</v>
      </c>
      <c r="T27" s="70">
        <f t="shared" si="3"/>
        <v>10161.518432000001</v>
      </c>
    </row>
    <row r="28" spans="1:20" ht="15.75" hidden="1" thickBot="1">
      <c r="A28" s="557">
        <v>1.5</v>
      </c>
      <c r="B28" s="267">
        <v>0.8</v>
      </c>
      <c r="C28" s="549">
        <f>((((A28*2)+(B28*2))*MATERIALES!$C$13)+((A28*2)*MATERIALES!$C$6)+((B28*4)*MATERIALES!$C$15)+(B28*MATERIALES!$C$25))*MATERIALES!$F$2</f>
        <v>3198.1622400000001</v>
      </c>
      <c r="D28" s="376">
        <f>(8*MATERIALES!$C$137)+(8*MATERIALES!$C$174)+((8*4)*MATERIALES!$C$145)+(((B28*2)+(A28*2))*MATERIALES!$C$149)+(4*MATERIALES!$C$148)+(((A28*5)*2)*MATERIALES!$C$147)+(4*MATERIALES!$C$146)+(1*MATERIALES!$C$151)+(2*MATERIALES!$C$150)+(4*MATERIALES!$C$161)</f>
        <v>1389.2340800000002</v>
      </c>
      <c r="E28" s="377"/>
      <c r="F28" s="378">
        <f>((A28*MATERIALES!$C$22)*(B28/0.06))*MATERIALES!$F$2</f>
        <v>3498.7680000000009</v>
      </c>
      <c r="G28" s="549">
        <f t="shared" si="0"/>
        <v>8086.1643200000008</v>
      </c>
      <c r="H28" s="558">
        <f t="shared" si="1"/>
        <v>10512.013616000002</v>
      </c>
      <c r="M28" s="68">
        <v>1.5</v>
      </c>
      <c r="N28" s="69">
        <v>0.8</v>
      </c>
      <c r="O28" s="59">
        <f>((((M28*2)+(N28*2))*MATERIALES!$C$13)+((M28*2)*MATERIALES!$C$6)+((N28*6)*MATERIALES!$C$15)+((N28*2)*MATERIALES!$C$25))*MATERIALES!$F$2</f>
        <v>3745.9094400000004</v>
      </c>
      <c r="P28" s="59">
        <f>(12*MATERIALES!$C$137)+(12*MATERIALES!$C$174)+((8*4)*MATERIALES!$C$145)+(((N28*2)+(M28*2))*MATERIALES!$C$149)+(4*MATERIALES!$C$148)+(((M28*5)*2)*MATERIALES!$C$147)+(4*MATERIALES!$C$146)+(1*MATERIALES!$C$151)+(4*MATERIALES!$C$150)+(6*MATERIALES!$C$161)</f>
        <v>1956.6164799999999</v>
      </c>
      <c r="Q28" s="75"/>
      <c r="R28" s="55">
        <f>((M28*MATERIALES!$C$22)*(N28/0.06))*MATERIALES!$F$2</f>
        <v>3498.7680000000009</v>
      </c>
      <c r="S28" s="59">
        <f t="shared" si="2"/>
        <v>9201.2939200000001</v>
      </c>
      <c r="T28" s="70">
        <f t="shared" si="3"/>
        <v>11961.682096</v>
      </c>
    </row>
    <row r="29" spans="1:20" ht="15.75" hidden="1" thickBot="1">
      <c r="A29" s="557">
        <v>1.5</v>
      </c>
      <c r="B29" s="267">
        <v>1</v>
      </c>
      <c r="C29" s="549">
        <f>((((A29*2)+(B29*2))*MATERIALES!$C$13)+((A29*2)*MATERIALES!$C$6)+((B29*4)*MATERIALES!$C$15)+(B29*MATERIALES!$C$25))*MATERIALES!$F$2</f>
        <v>3566.2536000000005</v>
      </c>
      <c r="D29" s="376">
        <f>(8*MATERIALES!$C$137)+(8*MATERIALES!$C$174)+((8*4)*MATERIALES!$C$145)+(((B29*2)+(A29*2))*MATERIALES!$C$149)+(4*MATERIALES!$C$148)+(((A29*5)*2)*MATERIALES!$C$147)+(4*MATERIALES!$C$146)+(1*MATERIALES!$C$151)+(2*MATERIALES!$C$150)+(4*MATERIALES!$C$161)</f>
        <v>1394.2552000000001</v>
      </c>
      <c r="E29" s="377"/>
      <c r="F29" s="378">
        <f>((A29*MATERIALES!$C$22)*(B29/0.06))*MATERIALES!$F$2</f>
        <v>4373.4600000000009</v>
      </c>
      <c r="G29" s="549">
        <f t="shared" si="0"/>
        <v>9333.9688000000024</v>
      </c>
      <c r="H29" s="558">
        <f t="shared" si="1"/>
        <v>12134.159440000003</v>
      </c>
      <c r="M29" s="68">
        <v>1.5</v>
      </c>
      <c r="N29" s="69">
        <v>1</v>
      </c>
      <c r="O29" s="59">
        <f>((((M29*2)+(N29*2))*MATERIALES!$C$13)+((M29*2)*MATERIALES!$C$6)+((N29*6)*MATERIALES!$C$15)+((N29*2)*MATERIALES!$C$25))*MATERIALES!$F$2</f>
        <v>4250.9376000000002</v>
      </c>
      <c r="P29" s="59">
        <f>(12*MATERIALES!$C$137)+(12*MATERIALES!$C$174)+((8*4)*MATERIALES!$C$145)+(((N29*2)+(M29*2))*MATERIALES!$C$149)+(4*MATERIALES!$C$148)+(((M29*5)*2)*MATERIALES!$C$147)+(4*MATERIALES!$C$146)+(1*MATERIALES!$C$151)+(4*MATERIALES!$C$150)+(6*MATERIALES!$C$161)</f>
        <v>1961.6376</v>
      </c>
      <c r="Q29" s="75"/>
      <c r="R29" s="55">
        <f>((M29*MATERIALES!$C$22)*(N29/0.06))*MATERIALES!$F$2</f>
        <v>4373.4600000000009</v>
      </c>
      <c r="S29" s="59">
        <f t="shared" si="2"/>
        <v>10586.035200000002</v>
      </c>
      <c r="T29" s="70">
        <f t="shared" si="3"/>
        <v>13761.845760000004</v>
      </c>
    </row>
    <row r="30" spans="1:20" ht="15.75" hidden="1" thickBot="1">
      <c r="A30" s="557">
        <v>1.5</v>
      </c>
      <c r="B30" s="267">
        <v>1.1000000000000001</v>
      </c>
      <c r="C30" s="549">
        <f>((((A30*2)+(B30*2))*MATERIALES!$C$13)+((A30*2)*MATERIALES!$C$6)+((B30*4)*MATERIALES!$C$15)+(B30*MATERIALES!$C$25))*MATERIALES!$F$2</f>
        <v>3750.2992800000002</v>
      </c>
      <c r="D30" s="376">
        <f>(8*MATERIALES!$C$137)+(8*MATERIALES!$C$174)+((8*4)*MATERIALES!$C$145)+(((B30*2)+(A30*2))*MATERIALES!$C$149)+(4*MATERIALES!$C$148)+(((A30*5)*2)*MATERIALES!$C$147)+(4*MATERIALES!$C$146)+(1*MATERIALES!$C$151)+(2*MATERIALES!$C$150)+(4*MATERIALES!$C$161)</f>
        <v>1396.7657600000002</v>
      </c>
      <c r="E30" s="377"/>
      <c r="F30" s="378">
        <f>((A30*MATERIALES!$C$22)*(B30/0.06))*MATERIALES!$F$2</f>
        <v>4810.8060000000014</v>
      </c>
      <c r="G30" s="549">
        <f t="shared" si="0"/>
        <v>9957.8710400000018</v>
      </c>
      <c r="H30" s="558">
        <f t="shared" si="1"/>
        <v>12945.232352000003</v>
      </c>
      <c r="M30" s="68">
        <v>1.5</v>
      </c>
      <c r="N30" s="69">
        <v>1.1000000000000001</v>
      </c>
      <c r="O30" s="59">
        <f>((((M30*2)+(N30*2))*MATERIALES!$C$13)+((M30*2)*MATERIALES!$C$6)+((N30*6)*MATERIALES!$C$15)+((N30*2)*MATERIALES!$C$25))*MATERIALES!$F$2</f>
        <v>4503.4516800000001</v>
      </c>
      <c r="P30" s="59">
        <f>(12*MATERIALES!$C$137)+(12*MATERIALES!$C$174)+((8*4)*MATERIALES!$C$145)+(((N30*2)+(M30*2))*MATERIALES!$C$149)+(4*MATERIALES!$C$148)+(((M30*5)*2)*MATERIALES!$C$147)+(4*MATERIALES!$C$146)+(1*MATERIALES!$C$151)+(4*MATERIALES!$C$150)+(6*MATERIALES!$C$161)</f>
        <v>1964.14816</v>
      </c>
      <c r="Q30" s="75"/>
      <c r="R30" s="55">
        <f>((M30*MATERIALES!$C$22)*(N30/0.06))*MATERIALES!$F$2</f>
        <v>4810.8060000000014</v>
      </c>
      <c r="S30" s="59">
        <f t="shared" si="2"/>
        <v>11278.405840000001</v>
      </c>
      <c r="T30" s="70">
        <f t="shared" si="3"/>
        <v>14661.927592000002</v>
      </c>
    </row>
    <row r="31" spans="1:20" ht="15.75" hidden="1" thickBot="1">
      <c r="A31" s="557">
        <v>1.5</v>
      </c>
      <c r="B31" s="267">
        <v>1.2</v>
      </c>
      <c r="C31" s="549">
        <f>((((A31*2)+(B31*2))*MATERIALES!$C$13)+((A31*2)*MATERIALES!$C$6)+((B31*4)*MATERIALES!$C$15)+(B31*MATERIALES!$C$25))*MATERIALES!$F$2</f>
        <v>3934.3449599999999</v>
      </c>
      <c r="D31" s="376">
        <f>(8*MATERIALES!$C$137)+(8*MATERIALES!$C$174)+((8*4)*MATERIALES!$C$145)+(((B31*2)+(A31*2))*MATERIALES!$C$149)+(4*MATERIALES!$C$148)+(((A31*5)*2)*MATERIALES!$C$147)+(4*MATERIALES!$C$146)+(1*MATERIALES!$C$151)+(2*MATERIALES!$C$150)+(4*MATERIALES!$C$161)</f>
        <v>1399.2763199999999</v>
      </c>
      <c r="E31" s="377"/>
      <c r="F31" s="378">
        <f>((A31*MATERIALES!$C$22)*(B31/0.06))*MATERIALES!$F$2</f>
        <v>5248.152</v>
      </c>
      <c r="G31" s="549">
        <f t="shared" si="0"/>
        <v>10581.773279999999</v>
      </c>
      <c r="H31" s="558">
        <f t="shared" si="1"/>
        <v>13756.305264000001</v>
      </c>
      <c r="M31" s="68">
        <v>1.5</v>
      </c>
      <c r="N31" s="69">
        <v>1.2</v>
      </c>
      <c r="O31" s="59">
        <f>((((M31*2)+(N31*2))*MATERIALES!$C$13)+((M31*2)*MATERIALES!$C$6)+((N31*6)*MATERIALES!$C$15)+((N31*2)*MATERIALES!$C$25))*MATERIALES!$F$2</f>
        <v>4755.96576</v>
      </c>
      <c r="P31" s="59">
        <f>(12*MATERIALES!$C$137)+(12*MATERIALES!$C$174)+((8*4)*MATERIALES!$C$145)+(((N31*2)+(M31*2))*MATERIALES!$C$149)+(4*MATERIALES!$C$148)+(((M31*5)*2)*MATERIALES!$C$147)+(4*MATERIALES!$C$146)+(1*MATERIALES!$C$151)+(4*MATERIALES!$C$150)+(6*MATERIALES!$C$161)</f>
        <v>1966.6587200000001</v>
      </c>
      <c r="Q31" s="75"/>
      <c r="R31" s="55">
        <f>((M31*MATERIALES!$C$22)*(N31/0.06))*MATERIALES!$F$2</f>
        <v>5248.152</v>
      </c>
      <c r="S31" s="59">
        <f t="shared" si="2"/>
        <v>11970.77648</v>
      </c>
      <c r="T31" s="70">
        <f t="shared" si="3"/>
        <v>15562.009424000002</v>
      </c>
    </row>
    <row r="32" spans="1:20" ht="15.75" hidden="1" thickBot="1">
      <c r="A32" s="557">
        <v>1.5</v>
      </c>
      <c r="B32" s="267">
        <v>1.5</v>
      </c>
      <c r="C32" s="549">
        <f>((((A32*2)+(B32*2))*MATERIALES!$C$13)+((A32*2)*MATERIALES!$C$6)+((B32*4)*MATERIALES!$C$15)+(B32*MATERIALES!$C$25))*MATERIALES!$F$2</f>
        <v>4486.482</v>
      </c>
      <c r="D32" s="376">
        <f>(8*MATERIALES!$C$137)+(8*MATERIALES!$C$174)+((8*4)*MATERIALES!$C$145)+(((B32*2)+(A32*2))*MATERIALES!$C$149)+(4*MATERIALES!$C$148)+(((A32*5)*2)*MATERIALES!$C$147)+(4*MATERIALES!$C$146)+(1*MATERIALES!$C$151)+(2*MATERIALES!$C$150)+(4*MATERIALES!$C$161)</f>
        <v>1406.808</v>
      </c>
      <c r="E32" s="377"/>
      <c r="F32" s="378">
        <f>((A32*MATERIALES!$C$22)*(B32/0.06))*MATERIALES!$F$2</f>
        <v>6560.1900000000014</v>
      </c>
      <c r="G32" s="549">
        <f t="shared" si="0"/>
        <v>12453.480000000001</v>
      </c>
      <c r="H32" s="558">
        <f t="shared" si="1"/>
        <v>16189.524000000003</v>
      </c>
      <c r="I32" s="57"/>
      <c r="M32" s="68">
        <v>1.5</v>
      </c>
      <c r="N32" s="69">
        <v>1.5</v>
      </c>
      <c r="O32" s="59">
        <f>((((M32*2)+(N32*2))*MATERIALES!$C$13)+((M32*2)*MATERIALES!$C$6)+((N32*6)*MATERIALES!$C$15)+((N32*2)*MATERIALES!$C$25))*MATERIALES!$F$2</f>
        <v>5513.5080000000007</v>
      </c>
      <c r="P32" s="59">
        <f>(12*MATERIALES!$C$137)+(12*MATERIALES!$C$174)+((8*4)*MATERIALES!$C$145)+(((N32*2)+(M32*2))*MATERIALES!$C$149)+(4*MATERIALES!$C$148)+(((M32*5)*2)*MATERIALES!$C$147)+(4*MATERIALES!$C$146)+(1*MATERIALES!$C$151)+(4*MATERIALES!$C$150)+(6*MATERIALES!$C$161)</f>
        <v>1974.1904</v>
      </c>
      <c r="Q32" s="75"/>
      <c r="R32" s="55">
        <f>((M32*MATERIALES!$C$22)*(N32/0.06))*MATERIALES!$F$2</f>
        <v>6560.1900000000014</v>
      </c>
      <c r="S32" s="59">
        <f t="shared" si="2"/>
        <v>14047.888400000003</v>
      </c>
      <c r="T32" s="70">
        <f t="shared" si="3"/>
        <v>18262.254920000007</v>
      </c>
    </row>
    <row r="33" spans="1:20" ht="15.75" hidden="1" thickBot="1">
      <c r="A33" s="557">
        <v>1.5</v>
      </c>
      <c r="B33" s="267">
        <v>1.8</v>
      </c>
      <c r="C33" s="549">
        <f>((((A33*2)+(B33*2))*MATERIALES!$C$13)+((A33*2)*MATERIALES!$C$6)+((B33*4)*MATERIALES!$C$15)+(B33*MATERIALES!$C$25))*MATERIALES!$F$2</f>
        <v>5038.6190400000005</v>
      </c>
      <c r="D33" s="376">
        <f>(8*MATERIALES!$C$137)+(8*MATERIALES!$C$174)+((8*4)*MATERIALES!$C$145)+(((B33*2)+(A33*2))*MATERIALES!$C$149)+(4*MATERIALES!$C$148)+(((A33*5)*2)*MATERIALES!$C$147)+(4*MATERIALES!$C$146)+(1*MATERIALES!$C$151)+(2*MATERIALES!$C$150)+(4*MATERIALES!$C$161)</f>
        <v>1414.33968</v>
      </c>
      <c r="E33" s="377"/>
      <c r="F33" s="378">
        <f>((A33*MATERIALES!$C$22)*(B33/0.06))*MATERIALES!$F$2</f>
        <v>7872.2280000000019</v>
      </c>
      <c r="G33" s="549">
        <f t="shared" si="0"/>
        <v>14325.186720000002</v>
      </c>
      <c r="H33" s="558">
        <f t="shared" si="1"/>
        <v>18622.742736000004</v>
      </c>
      <c r="I33" s="57"/>
      <c r="M33" s="68">
        <v>1.5</v>
      </c>
      <c r="N33" s="69">
        <v>1.8</v>
      </c>
      <c r="O33" s="59">
        <f>((((M33*2)+(N33*2))*MATERIALES!$C$13)+((M33*2)*MATERIALES!$C$6)+((N33*6)*MATERIALES!$C$15)+((N33*2)*MATERIALES!$C$25))*MATERIALES!$F$2</f>
        <v>6271.0502400000014</v>
      </c>
      <c r="P33" s="59">
        <f>(12*MATERIALES!$C$137)+(12*MATERIALES!$C$174)+((8*4)*MATERIALES!$C$145)+(((N33*2)+(M33*2))*MATERIALES!$C$149)+(4*MATERIALES!$C$148)+(((M33*5)*2)*MATERIALES!$C$147)+(4*MATERIALES!$C$146)+(1*MATERIALES!$C$151)+(4*MATERIALES!$C$150)+(6*MATERIALES!$C$161)</f>
        <v>1981.72208</v>
      </c>
      <c r="Q33" s="75"/>
      <c r="R33" s="55">
        <f>((M33*MATERIALES!$C$22)*(N33/0.06))*MATERIALES!$F$2</f>
        <v>7872.2280000000019</v>
      </c>
      <c r="S33" s="59">
        <f t="shared" si="2"/>
        <v>16125.000320000003</v>
      </c>
      <c r="T33" s="70">
        <f t="shared" si="3"/>
        <v>20962.500416000003</v>
      </c>
    </row>
    <row r="34" spans="1:20" ht="15.75" hidden="1" thickBot="1">
      <c r="A34" s="557">
        <v>1.8</v>
      </c>
      <c r="B34" s="267">
        <v>0.8</v>
      </c>
      <c r="C34" s="549">
        <f>((((A34*2)+(B34*2))*MATERIALES!$C$13)+((A34*2)*MATERIALES!$C$6)+((B34*4)*MATERIALES!$C$15)+(B34*MATERIALES!$C$25))*MATERIALES!$F$2</f>
        <v>3543.3216000000007</v>
      </c>
      <c r="D34" s="376">
        <f>(8*MATERIALES!$C$137)+(8*MATERIALES!$C$174)+((8*4)*MATERIALES!$C$145)+(((B34*2)+(A34*2))*MATERIALES!$C$149)+(4*MATERIALES!$C$148)+(((A34*5)*2)*MATERIALES!$C$147)+(4*MATERIALES!$C$146)+(1*MATERIALES!$C$151)+(2*MATERIALES!$C$150)+(4*MATERIALES!$C$161)</f>
        <v>1396.7657600000002</v>
      </c>
      <c r="E34" s="377"/>
      <c r="F34" s="378">
        <f>((A34*MATERIALES!$C$22)*(B34/0.06))*MATERIALES!$F$2</f>
        <v>4198.5216000000009</v>
      </c>
      <c r="G34" s="549">
        <f t="shared" si="0"/>
        <v>9138.6089600000014</v>
      </c>
      <c r="H34" s="558">
        <f t="shared" si="1"/>
        <v>11880.191648000002</v>
      </c>
      <c r="I34" s="57"/>
      <c r="M34" s="68">
        <v>1.8</v>
      </c>
      <c r="N34" s="69">
        <v>0.8</v>
      </c>
      <c r="O34" s="59">
        <f>((((M34*2)+(N34*2))*MATERIALES!$C$13)+((M34*2)*MATERIALES!$C$6)+((N34*6)*MATERIALES!$C$15)+((N34*2)*MATERIALES!$C$25))*MATERIALES!$F$2</f>
        <v>4091.0688000000009</v>
      </c>
      <c r="P34" s="59">
        <f>(12*MATERIALES!$C$137)+(12*MATERIALES!$C$174)+((8*4)*MATERIALES!$C$145)+(((N34*2)+(M34*2))*MATERIALES!$C$149)+(4*MATERIALES!$C$148)+(((M34*5)*2)*MATERIALES!$C$147)+(4*MATERIALES!$C$146)+(1*MATERIALES!$C$151)+(4*MATERIALES!$C$150)+(6*MATERIALES!$C$161)</f>
        <v>1964.14816</v>
      </c>
      <c r="Q34" s="75"/>
      <c r="R34" s="55">
        <f>((M34*MATERIALES!$C$22)*(N34/0.06))*MATERIALES!$F$2</f>
        <v>4198.5216000000009</v>
      </c>
      <c r="S34" s="59">
        <f t="shared" si="2"/>
        <v>10253.738560000002</v>
      </c>
      <c r="T34" s="70">
        <f t="shared" si="3"/>
        <v>13329.860128000002</v>
      </c>
    </row>
    <row r="35" spans="1:20" ht="15.75" hidden="1" thickBot="1">
      <c r="A35" s="557">
        <v>1.8</v>
      </c>
      <c r="B35" s="267">
        <v>1</v>
      </c>
      <c r="C35" s="549">
        <f>((((A35*2)+(B35*2))*MATERIALES!$C$13)+((A35*2)*MATERIALES!$C$6)+((B35*4)*MATERIALES!$C$15)+(B35*MATERIALES!$C$25))*MATERIALES!$F$2</f>
        <v>3911.4129600000006</v>
      </c>
      <c r="D35" s="376">
        <f>(8*MATERIALES!$C$137)+(8*MATERIALES!$C$174)+((8*4)*MATERIALES!$C$145)+(((B35*2)+(A35*2))*MATERIALES!$C$149)+(4*MATERIALES!$C$148)+(((A35*5)*2)*MATERIALES!$C$147)+(4*MATERIALES!$C$146)+(1*MATERIALES!$C$151)+(2*MATERIALES!$C$150)+(4*MATERIALES!$C$161)</f>
        <v>1401.7868800000001</v>
      </c>
      <c r="E35" s="377"/>
      <c r="F35" s="378">
        <f>((A35*MATERIALES!$C$22)*(B35/0.06))*MATERIALES!$F$2</f>
        <v>5248.152000000001</v>
      </c>
      <c r="G35" s="549">
        <f t="shared" si="0"/>
        <v>10561.351840000003</v>
      </c>
      <c r="H35" s="558">
        <f t="shared" si="1"/>
        <v>13729.757392000005</v>
      </c>
      <c r="I35" s="57"/>
      <c r="M35" s="68">
        <v>1.8</v>
      </c>
      <c r="N35" s="69">
        <v>1</v>
      </c>
      <c r="O35" s="59">
        <f>((((M35*2)+(N35*2))*MATERIALES!$C$13)+((M35*2)*MATERIALES!$C$6)+((N35*6)*MATERIALES!$C$15)+((N35*2)*MATERIALES!$C$25))*MATERIALES!$F$2</f>
        <v>4596.0969600000008</v>
      </c>
      <c r="P35" s="59">
        <f>(12*MATERIALES!$C$137)+(12*MATERIALES!$C$174)+((8*4)*MATERIALES!$C$145)+(((N35*2)+(M35*2))*MATERIALES!$C$149)+(4*MATERIALES!$C$148)+(((M35*5)*2)*MATERIALES!$C$147)+(4*MATERIALES!$C$146)+(1*MATERIALES!$C$151)+(4*MATERIALES!$C$150)+(6*MATERIALES!$C$161)</f>
        <v>1969.1692799999998</v>
      </c>
      <c r="Q35" s="75"/>
      <c r="R35" s="55">
        <f>((M35*MATERIALES!$C$22)*(N35/0.06))*MATERIALES!$F$2</f>
        <v>5248.152000000001</v>
      </c>
      <c r="S35" s="59">
        <f t="shared" si="2"/>
        <v>11813.418240000003</v>
      </c>
      <c r="T35" s="70">
        <f t="shared" si="3"/>
        <v>15357.443712000004</v>
      </c>
    </row>
    <row r="36" spans="1:20" ht="15.75" hidden="1" thickBot="1">
      <c r="A36" s="557">
        <v>1.8</v>
      </c>
      <c r="B36" s="267">
        <v>1.1000000000000001</v>
      </c>
      <c r="C36" s="549">
        <f>((((A36*2)+(B36*2))*MATERIALES!$C$13)+((A36*2)*MATERIALES!$C$6)+((B36*4)*MATERIALES!$C$15)+(B36*MATERIALES!$C$25))*MATERIALES!$F$2</f>
        <v>4095.4586400000003</v>
      </c>
      <c r="D36" s="376">
        <f>(8*MATERIALES!$C$137)+(8*MATERIALES!$C$174)+((8*4)*MATERIALES!$C$145)+(((B36*2)+(A36*2))*MATERIALES!$C$149)+(4*MATERIALES!$C$148)+(((A36*5)*2)*MATERIALES!$C$147)+(4*MATERIALES!$C$146)+(1*MATERIALES!$C$151)+(2*MATERIALES!$C$150)+(4*MATERIALES!$C$161)</f>
        <v>1404.2974399999998</v>
      </c>
      <c r="E36" s="377"/>
      <c r="F36" s="378">
        <f>((A36*MATERIALES!$C$22)*(B36/0.06))*MATERIALES!$F$2</f>
        <v>5772.9672000000019</v>
      </c>
      <c r="G36" s="549">
        <f t="shared" si="0"/>
        <v>11272.723280000002</v>
      </c>
      <c r="H36" s="558">
        <f t="shared" si="1"/>
        <v>14654.540264000003</v>
      </c>
      <c r="I36" s="57"/>
      <c r="M36" s="68">
        <v>1.8</v>
      </c>
      <c r="N36" s="69">
        <v>1.1000000000000001</v>
      </c>
      <c r="O36" s="59">
        <f>((((M36*2)+(N36*2))*MATERIALES!$C$13)+((M36*2)*MATERIALES!$C$6)+((N36*6)*MATERIALES!$C$15)+((N36*2)*MATERIALES!$C$25))*MATERIALES!$F$2</f>
        <v>4848.6110400000007</v>
      </c>
      <c r="P36" s="59">
        <f>(12*MATERIALES!$C$137)+(12*MATERIALES!$C$174)+((8*4)*MATERIALES!$C$145)+(((N36*2)+(M36*2))*MATERIALES!$C$149)+(4*MATERIALES!$C$148)+(((M36*5)*2)*MATERIALES!$C$147)+(4*MATERIALES!$C$146)+(1*MATERIALES!$C$151)+(4*MATERIALES!$C$150)+(6*MATERIALES!$C$161)</f>
        <v>1971.67984</v>
      </c>
      <c r="Q36" s="75"/>
      <c r="R36" s="55">
        <f>((M36*MATERIALES!$C$22)*(N36/0.06))*MATERIALES!$F$2</f>
        <v>5772.9672000000019</v>
      </c>
      <c r="S36" s="59">
        <f t="shared" si="2"/>
        <v>12593.258080000003</v>
      </c>
      <c r="T36" s="70">
        <f t="shared" si="3"/>
        <v>16371.235504000006</v>
      </c>
    </row>
    <row r="37" spans="1:20" ht="15.75" hidden="1" thickBot="1">
      <c r="A37" s="557">
        <v>1.8</v>
      </c>
      <c r="B37" s="267">
        <v>1.2</v>
      </c>
      <c r="C37" s="549">
        <f>((((A37*2)+(B37*2))*MATERIALES!$C$13)+((A37*2)*MATERIALES!$C$6)+((B37*4)*MATERIALES!$C$15)+(B37*MATERIALES!$C$25))*MATERIALES!$F$2</f>
        <v>4279.50432</v>
      </c>
      <c r="D37" s="376">
        <f>(8*MATERIALES!$C$137)+(8*MATERIALES!$C$174)+((8*4)*MATERIALES!$C$145)+(((B37*2)+(A37*2))*MATERIALES!$C$149)+(4*MATERIALES!$C$148)+(((A37*5)*2)*MATERIALES!$C$147)+(4*MATERIALES!$C$146)+(1*MATERIALES!$C$151)+(2*MATERIALES!$C$150)+(4*MATERIALES!$C$161)</f>
        <v>1406.808</v>
      </c>
      <c r="E37" s="377"/>
      <c r="F37" s="378">
        <f>((A37*MATERIALES!$C$22)*(B37/0.06))*MATERIALES!$F$2</f>
        <v>6297.7824000000001</v>
      </c>
      <c r="G37" s="549">
        <f t="shared" si="0"/>
        <v>11984.094720000001</v>
      </c>
      <c r="H37" s="558">
        <f t="shared" si="1"/>
        <v>15579.323136000001</v>
      </c>
      <c r="I37" s="57"/>
      <c r="M37" s="68">
        <v>1.8</v>
      </c>
      <c r="N37" s="69">
        <v>1.2</v>
      </c>
      <c r="O37" s="59">
        <f>((((M37*2)+(N37*2))*MATERIALES!$C$13)+((M37*2)*MATERIALES!$C$6)+((N37*6)*MATERIALES!$C$15)+((N37*2)*MATERIALES!$C$25))*MATERIALES!$F$2</f>
        <v>5101.1251199999997</v>
      </c>
      <c r="P37" s="59">
        <f>(12*MATERIALES!$C$137)+(12*MATERIALES!$C$174)+((8*4)*MATERIALES!$C$145)+(((N37*2)+(M37*2))*MATERIALES!$C$149)+(4*MATERIALES!$C$148)+(((M37*5)*2)*MATERIALES!$C$147)+(4*MATERIALES!$C$146)+(1*MATERIALES!$C$151)+(4*MATERIALES!$C$150)+(6*MATERIALES!$C$161)</f>
        <v>1974.1904</v>
      </c>
      <c r="Q37" s="75"/>
      <c r="R37" s="55">
        <f>((M37*MATERIALES!$C$22)*(N37/0.06))*MATERIALES!$F$2</f>
        <v>6297.7824000000001</v>
      </c>
      <c r="S37" s="59">
        <f t="shared" si="2"/>
        <v>13373.09792</v>
      </c>
      <c r="T37" s="70">
        <f t="shared" si="3"/>
        <v>17385.027296</v>
      </c>
    </row>
    <row r="38" spans="1:20" ht="15.75" hidden="1" thickBot="1">
      <c r="A38" s="557">
        <v>1.8</v>
      </c>
      <c r="B38" s="267">
        <v>1.5</v>
      </c>
      <c r="C38" s="549">
        <f>((((A38*2)+(B38*2))*MATERIALES!$C$13)+((A38*2)*MATERIALES!$C$6)+((B38*4)*MATERIALES!$C$15)+(B38*MATERIALES!$C$25))*MATERIALES!$F$2</f>
        <v>4831.6413600000005</v>
      </c>
      <c r="D38" s="376">
        <f>(8*MATERIALES!$C$137)+(8*MATERIALES!$C$174)+((8*4)*MATERIALES!$C$145)+(((B38*2)+(A38*2))*MATERIALES!$C$149)+(4*MATERIALES!$C$148)+(((A38*5)*2)*MATERIALES!$C$147)+(4*MATERIALES!$C$146)+(1*MATERIALES!$C$151)+(2*MATERIALES!$C$150)+(4*MATERIALES!$C$161)</f>
        <v>1414.33968</v>
      </c>
      <c r="E38" s="377"/>
      <c r="F38" s="378">
        <f>((A38*MATERIALES!$C$22)*(B38/0.06))*MATERIALES!$F$2</f>
        <v>7872.228000000001</v>
      </c>
      <c r="G38" s="549">
        <f t="shared" si="0"/>
        <v>14118.209040000002</v>
      </c>
      <c r="H38" s="558">
        <f t="shared" si="1"/>
        <v>18353.671752000002</v>
      </c>
      <c r="I38" s="57"/>
      <c r="M38" s="68">
        <v>1.8</v>
      </c>
      <c r="N38" s="69">
        <v>1.5</v>
      </c>
      <c r="O38" s="59">
        <f>((((M38*2)+(N38*2))*MATERIALES!$C$13)+((M38*2)*MATERIALES!$C$6)+((N38*6)*MATERIALES!$C$15)+((N38*2)*MATERIALES!$C$25))*MATERIALES!$F$2</f>
        <v>5858.6673600000004</v>
      </c>
      <c r="P38" s="59">
        <f>(12*MATERIALES!$C$137)+(12*MATERIALES!$C$174)+((8*4)*MATERIALES!$C$145)+(((N38*2)+(M38*2))*MATERIALES!$C$149)+(4*MATERIALES!$C$148)+(((M38*5)*2)*MATERIALES!$C$147)+(4*MATERIALES!$C$146)+(1*MATERIALES!$C$151)+(4*MATERIALES!$C$150)+(6*MATERIALES!$C$161)</f>
        <v>1981.72208</v>
      </c>
      <c r="Q38" s="75"/>
      <c r="R38" s="55">
        <f>((M38*MATERIALES!$C$22)*(N38/0.06))*MATERIALES!$F$2</f>
        <v>7872.228000000001</v>
      </c>
      <c r="S38" s="59">
        <f t="shared" si="2"/>
        <v>15712.617440000002</v>
      </c>
      <c r="T38" s="70">
        <f t="shared" si="3"/>
        <v>20426.402672000004</v>
      </c>
    </row>
    <row r="39" spans="1:20" ht="15.75" hidden="1" thickBot="1">
      <c r="A39" s="557">
        <v>1.8</v>
      </c>
      <c r="B39" s="267">
        <v>1.8</v>
      </c>
      <c r="C39" s="549">
        <f>((((A39*2)+(B39*2))*MATERIALES!$C$13)+((A39*2)*MATERIALES!$C$6)+((B39*4)*MATERIALES!$C$15)+(B39*MATERIALES!$C$25))*MATERIALES!$F$2</f>
        <v>5383.7784000000011</v>
      </c>
      <c r="D39" s="376">
        <f>(8*MATERIALES!$C$137)+(8*MATERIALES!$C$174)+((8*4)*MATERIALES!$C$145)+(((B39*2)+(A39*2))*MATERIALES!$C$149)+(4*MATERIALES!$C$148)+(((A39*5)*2)*MATERIALES!$C$147)+(4*MATERIALES!$C$146)+(1*MATERIALES!$C$151)+(2*MATERIALES!$C$150)+(4*MATERIALES!$C$161)</f>
        <v>1421.8713600000001</v>
      </c>
      <c r="E39" s="377"/>
      <c r="F39" s="378">
        <f>((A39*MATERIALES!$C$22)*(B39/0.06))*MATERIALES!$F$2</f>
        <v>9446.6736000000019</v>
      </c>
      <c r="G39" s="549">
        <f t="shared" si="0"/>
        <v>16252.323360000002</v>
      </c>
      <c r="H39" s="558">
        <f t="shared" si="1"/>
        <v>21128.020368000005</v>
      </c>
      <c r="I39" s="57"/>
      <c r="M39" s="68">
        <v>1.8</v>
      </c>
      <c r="N39" s="69">
        <v>1.8</v>
      </c>
      <c r="O39" s="59">
        <f>((((M39*2)+(N39*2))*MATERIALES!$C$13)+((M39*2)*MATERIALES!$C$6)+((N39*6)*MATERIALES!$C$15)+((N39*2)*MATERIALES!$C$25))*MATERIALES!$F$2</f>
        <v>6616.209600000001</v>
      </c>
      <c r="P39" s="59">
        <f>(12*MATERIALES!$C$137)+(12*MATERIALES!$C$174)+((8*4)*MATERIALES!$C$145)+(((N39*2)+(M39*2))*MATERIALES!$C$149)+(4*MATERIALES!$C$148)+(((M39*5)*2)*MATERIALES!$C$147)+(4*MATERIALES!$C$146)+(1*MATERIALES!$C$151)+(4*MATERIALES!$C$150)+(6*MATERIALES!$C$161)</f>
        <v>1989.2537600000001</v>
      </c>
      <c r="Q39" s="75"/>
      <c r="R39" s="55">
        <f>((M39*MATERIALES!$C$22)*(N39/0.06))*MATERIALES!$F$2</f>
        <v>9446.6736000000019</v>
      </c>
      <c r="S39" s="59">
        <f t="shared" si="2"/>
        <v>18052.136960000003</v>
      </c>
      <c r="T39" s="70">
        <f t="shared" si="3"/>
        <v>23467.778048000004</v>
      </c>
    </row>
    <row r="40" spans="1:20" ht="15.75" hidden="1" thickBot="1">
      <c r="A40" s="557">
        <v>2</v>
      </c>
      <c r="B40" s="267">
        <v>0.8</v>
      </c>
      <c r="C40" s="549">
        <f>((((A40*2)+(B40*2))*MATERIALES!$C$13)+((A40*2)*MATERIALES!$C$6)+((B40*4)*MATERIALES!$C$15)+(B40*MATERIALES!$C$25))*MATERIALES!$F$2</f>
        <v>3773.4278400000007</v>
      </c>
      <c r="D40" s="376">
        <f>(8*MATERIALES!$C$137)+(8*MATERIALES!$C$174)+((8*4)*MATERIALES!$C$145)+(((B40*2)+(A40*2))*MATERIALES!$C$149)+(4*MATERIALES!$C$148)+(((A40*5)*2)*MATERIALES!$C$147)+(4*MATERIALES!$C$146)+(1*MATERIALES!$C$151)+(2*MATERIALES!$C$150)+(4*MATERIALES!$C$161)</f>
        <v>1401.7868800000001</v>
      </c>
      <c r="E40" s="377"/>
      <c r="F40" s="378">
        <f>((A40*MATERIALES!$C$22)*(B40/0.06))*MATERIALES!$F$2</f>
        <v>4665.0240000000013</v>
      </c>
      <c r="G40" s="549">
        <f t="shared" si="0"/>
        <v>9840.2387200000012</v>
      </c>
      <c r="H40" s="558">
        <f t="shared" si="1"/>
        <v>12792.310336000002</v>
      </c>
      <c r="I40" s="57"/>
      <c r="M40" s="68">
        <v>2</v>
      </c>
      <c r="N40" s="69">
        <v>0.8</v>
      </c>
      <c r="O40" s="59">
        <f>((((M40*2)+(N40*2))*MATERIALES!$C$13)+((M40*2)*MATERIALES!$C$6)+((N40*6)*MATERIALES!$C$15)+((N40*2)*MATERIALES!$C$25))*MATERIALES!$F$2</f>
        <v>4321.175040000001</v>
      </c>
      <c r="P40" s="59">
        <f>(12*MATERIALES!$C$137)+(12*MATERIALES!$C$174)+((8*4)*MATERIALES!$C$145)+(((N40*2)+(M40*2))*MATERIALES!$C$149)+(4*MATERIALES!$C$148)+(((M40*5)*2)*MATERIALES!$C$147)+(4*MATERIALES!$C$146)+(1*MATERIALES!$C$151)+(4*MATERIALES!$C$150)+(6*MATERIALES!$C$161)</f>
        <v>1969.1692799999998</v>
      </c>
      <c r="Q40" s="75"/>
      <c r="R40" s="55">
        <f>((M40*MATERIALES!$C$22)*(N40/0.06))*MATERIALES!$F$2</f>
        <v>4665.0240000000013</v>
      </c>
      <c r="S40" s="59">
        <f t="shared" si="2"/>
        <v>10955.368320000001</v>
      </c>
      <c r="T40" s="70">
        <f t="shared" si="3"/>
        <v>14241.978816000003</v>
      </c>
    </row>
    <row r="41" spans="1:20" ht="15.75" hidden="1" thickBot="1">
      <c r="A41" s="557">
        <v>2</v>
      </c>
      <c r="B41" s="267">
        <v>1</v>
      </c>
      <c r="C41" s="549">
        <f>((((A41*2)+(B41*2))*MATERIALES!$C$13)+((A41*2)*MATERIALES!$C$6)+((B41*4)*MATERIALES!$C$15)+(B41*MATERIALES!$C$25))*MATERIALES!$F$2</f>
        <v>4141.5191999999997</v>
      </c>
      <c r="D41" s="376">
        <f>(8*MATERIALES!$C$137)+(8*MATERIALES!$C$174)+((8*4)*MATERIALES!$C$145)+(((B41*2)+(A41*2))*MATERIALES!$C$149)+(4*MATERIALES!$C$148)+(((A41*5)*2)*MATERIALES!$C$147)+(4*MATERIALES!$C$146)+(1*MATERIALES!$C$151)+(2*MATERIALES!$C$150)+(4*MATERIALES!$C$161)</f>
        <v>1406.808</v>
      </c>
      <c r="E41" s="377"/>
      <c r="F41" s="378">
        <f>((A41*MATERIALES!$C$22)*(B41/0.06))*MATERIALES!$F$2</f>
        <v>5831.2800000000007</v>
      </c>
      <c r="G41" s="549">
        <f t="shared" si="0"/>
        <v>11379.6072</v>
      </c>
      <c r="H41" s="558">
        <f t="shared" si="1"/>
        <v>14793.489360000001</v>
      </c>
      <c r="I41" s="57"/>
      <c r="M41" s="68">
        <v>2</v>
      </c>
      <c r="N41" s="69">
        <v>1</v>
      </c>
      <c r="O41" s="59">
        <f>((((M41*2)+(N41*2))*MATERIALES!$C$13)+((M41*2)*MATERIALES!$C$6)+((N41*6)*MATERIALES!$C$15)+((N41*2)*MATERIALES!$C$25))*MATERIALES!$F$2</f>
        <v>4826.2031999999999</v>
      </c>
      <c r="P41" s="59">
        <f>(12*MATERIALES!$C$137)+(12*MATERIALES!$C$174)+((8*4)*MATERIALES!$C$145)+(((N41*2)+(M41*2))*MATERIALES!$C$149)+(4*MATERIALES!$C$148)+(((M41*5)*2)*MATERIALES!$C$147)+(4*MATERIALES!$C$146)+(1*MATERIALES!$C$151)+(4*MATERIALES!$C$150)+(6*MATERIALES!$C$161)</f>
        <v>1974.1904</v>
      </c>
      <c r="Q41" s="75"/>
      <c r="R41" s="55">
        <f>((M41*MATERIALES!$C$22)*(N41/0.06))*MATERIALES!$F$2</f>
        <v>5831.2800000000007</v>
      </c>
      <c r="S41" s="59">
        <f t="shared" si="2"/>
        <v>12631.6736</v>
      </c>
      <c r="T41" s="70">
        <f t="shared" si="3"/>
        <v>16421.17568</v>
      </c>
    </row>
    <row r="42" spans="1:20" ht="15.75" hidden="1" thickBot="1">
      <c r="A42" s="557">
        <v>2</v>
      </c>
      <c r="B42" s="267">
        <v>1.1000000000000001</v>
      </c>
      <c r="C42" s="549">
        <f>((((A42*2)+(B42*2))*MATERIALES!$C$13)+((A42*2)*MATERIALES!$C$6)+((B42*4)*MATERIALES!$C$15)+(B42*MATERIALES!$C$25))*MATERIALES!$F$2</f>
        <v>4325.5648799999999</v>
      </c>
      <c r="D42" s="376">
        <f>(8*MATERIALES!$C$137)+(8*MATERIALES!$C$174)+((8*4)*MATERIALES!$C$145)+(((B42*2)+(A42*2))*MATERIALES!$C$149)+(4*MATERIALES!$C$148)+(((A42*5)*2)*MATERIALES!$C$147)+(4*MATERIALES!$C$146)+(1*MATERIALES!$C$151)+(2*MATERIALES!$C$150)+(4*MATERIALES!$C$161)</f>
        <v>1409.3185600000002</v>
      </c>
      <c r="E42" s="377"/>
      <c r="F42" s="378">
        <f>((A42*MATERIALES!$C$22)*(B42/0.06))*MATERIALES!$F$2</f>
        <v>6414.4080000000022</v>
      </c>
      <c r="G42" s="549">
        <f t="shared" si="0"/>
        <v>12149.291440000001</v>
      </c>
      <c r="H42" s="558">
        <f t="shared" si="1"/>
        <v>15794.078872000002</v>
      </c>
      <c r="I42" s="57"/>
      <c r="M42" s="68">
        <v>2</v>
      </c>
      <c r="N42" s="69">
        <v>1.1000000000000001</v>
      </c>
      <c r="O42" s="59">
        <f>((((M42*2)+(N42*2))*MATERIALES!$C$13)+((M42*2)*MATERIALES!$C$6)+((N42*6)*MATERIALES!$C$15)+((N42*2)*MATERIALES!$C$25))*MATERIALES!$F$2</f>
        <v>5078.7172800000008</v>
      </c>
      <c r="P42" s="59">
        <f>(12*MATERIALES!$C$137)+(12*MATERIALES!$C$174)+((8*4)*MATERIALES!$C$145)+(((N42*2)+(M42*2))*MATERIALES!$C$149)+(4*MATERIALES!$C$148)+(((M42*5)*2)*MATERIALES!$C$147)+(4*MATERIALES!$C$146)+(1*MATERIALES!$C$151)+(4*MATERIALES!$C$150)+(6*MATERIALES!$C$161)</f>
        <v>1976.7009599999999</v>
      </c>
      <c r="Q42" s="75"/>
      <c r="R42" s="55">
        <f>((M42*MATERIALES!$C$22)*(N42/0.06))*MATERIALES!$F$2</f>
        <v>6414.4080000000022</v>
      </c>
      <c r="S42" s="59">
        <f t="shared" si="2"/>
        <v>13469.826240000002</v>
      </c>
      <c r="T42" s="70">
        <f t="shared" si="3"/>
        <v>17510.774112000003</v>
      </c>
    </row>
    <row r="43" spans="1:20" ht="15.75" hidden="1" thickBot="1">
      <c r="A43" s="557">
        <v>2</v>
      </c>
      <c r="B43" s="267">
        <v>1.2</v>
      </c>
      <c r="C43" s="549">
        <f>((((A43*2)+(B43*2))*MATERIALES!$C$13)+((A43*2)*MATERIALES!$C$6)+((B43*4)*MATERIALES!$C$15)+(B43*MATERIALES!$C$25))*MATERIALES!$F$2</f>
        <v>4509.6105600000001</v>
      </c>
      <c r="D43" s="376">
        <f>(8*MATERIALES!$C$137)+(8*MATERIALES!$C$174)+((8*4)*MATERIALES!$C$145)+(((B43*2)+(A43*2))*MATERIALES!$C$149)+(4*MATERIALES!$C$148)+(((A43*5)*2)*MATERIALES!$C$147)+(4*MATERIALES!$C$146)+(1*MATERIALES!$C$151)+(2*MATERIALES!$C$150)+(4*MATERIALES!$C$161)</f>
        <v>1411.8291199999999</v>
      </c>
      <c r="E43" s="377"/>
      <c r="F43" s="378">
        <f>((A43*MATERIALES!$C$22)*(B43/0.06))*MATERIALES!$F$2</f>
        <v>6997.5360000000001</v>
      </c>
      <c r="G43" s="549">
        <f t="shared" si="0"/>
        <v>12918.97568</v>
      </c>
      <c r="H43" s="558">
        <f t="shared" si="1"/>
        <v>16794.668384000001</v>
      </c>
      <c r="I43" s="57"/>
      <c r="M43" s="68">
        <v>2</v>
      </c>
      <c r="N43" s="69">
        <v>1.2</v>
      </c>
      <c r="O43" s="59">
        <f>((((M43*2)+(N43*2))*MATERIALES!$C$13)+((M43*2)*MATERIALES!$C$6)+((N43*6)*MATERIALES!$C$15)+((N43*2)*MATERIALES!$C$25))*MATERIALES!$F$2</f>
        <v>5331.2313599999998</v>
      </c>
      <c r="P43" s="59">
        <f>(12*MATERIALES!$C$137)+(12*MATERIALES!$C$174)+((8*4)*MATERIALES!$C$145)+(((N43*2)+(M43*2))*MATERIALES!$C$149)+(4*MATERIALES!$C$148)+(((M43*5)*2)*MATERIALES!$C$147)+(4*MATERIALES!$C$146)+(1*MATERIALES!$C$151)+(4*MATERIALES!$C$150)+(6*MATERIALES!$C$161)</f>
        <v>1979.2115200000001</v>
      </c>
      <c r="Q43" s="75"/>
      <c r="R43" s="55">
        <f>((M43*MATERIALES!$C$22)*(N43/0.06))*MATERIALES!$F$2</f>
        <v>6997.5360000000001</v>
      </c>
      <c r="S43" s="59">
        <f t="shared" si="2"/>
        <v>14307.978879999999</v>
      </c>
      <c r="T43" s="70">
        <f t="shared" si="3"/>
        <v>18600.372543999998</v>
      </c>
    </row>
    <row r="44" spans="1:20" ht="15.75" hidden="1" thickBot="1">
      <c r="A44" s="557">
        <v>2</v>
      </c>
      <c r="B44" s="267">
        <v>1.5</v>
      </c>
      <c r="C44" s="549">
        <f>((((A44*2)+(B44*2))*MATERIALES!$C$13)+((A44*2)*MATERIALES!$C$6)+((B44*4)*MATERIALES!$C$15)+(B44*MATERIALES!$C$25))*MATERIALES!$F$2</f>
        <v>5061.7476000000006</v>
      </c>
      <c r="D44" s="376">
        <f>(8*MATERIALES!$C$137)+(8*MATERIALES!$C$174)+((8*4)*MATERIALES!$C$145)+(((B44*2)+(A44*2))*MATERIALES!$C$149)+(4*MATERIALES!$C$148)+(((A44*5)*2)*MATERIALES!$C$147)+(4*MATERIALES!$C$146)+(1*MATERIALES!$C$151)+(2*MATERIALES!$C$150)+(4*MATERIALES!$C$161)</f>
        <v>1419.3607999999999</v>
      </c>
      <c r="E44" s="377"/>
      <c r="F44" s="378">
        <f>((A44*MATERIALES!$C$22)*(B44/0.06))*MATERIALES!$F$2</f>
        <v>8746.9200000000019</v>
      </c>
      <c r="G44" s="549">
        <f t="shared" si="0"/>
        <v>15228.028400000003</v>
      </c>
      <c r="H44" s="558">
        <f t="shared" si="1"/>
        <v>19796.436920000004</v>
      </c>
      <c r="I44" s="57"/>
      <c r="M44" s="68">
        <v>2</v>
      </c>
      <c r="N44" s="69">
        <v>1.5</v>
      </c>
      <c r="O44" s="59">
        <f>((((M44*2)+(N44*2))*MATERIALES!$C$13)+((M44*2)*MATERIALES!$C$6)+((N44*6)*MATERIALES!$C$15)+((N44*2)*MATERIALES!$C$25))*MATERIALES!$F$2</f>
        <v>6088.7736000000014</v>
      </c>
      <c r="P44" s="59">
        <f>(12*MATERIALES!$C$137)+(12*MATERIALES!$C$174)+((8*4)*MATERIALES!$C$145)+(((N44*2)+(M44*2))*MATERIALES!$C$149)+(4*MATERIALES!$C$148)+(((M44*5)*2)*MATERIALES!$C$147)+(4*MATERIALES!$C$146)+(1*MATERIALES!$C$151)+(4*MATERIALES!$C$150)+(6*MATERIALES!$C$161)</f>
        <v>1986.7432000000001</v>
      </c>
      <c r="Q44" s="75"/>
      <c r="R44" s="55">
        <f>((M44*MATERIALES!$C$22)*(N44/0.06))*MATERIALES!$F$2</f>
        <v>8746.9200000000019</v>
      </c>
      <c r="S44" s="59">
        <f t="shared" si="2"/>
        <v>16822.436800000003</v>
      </c>
      <c r="T44" s="70">
        <f t="shared" si="3"/>
        <v>21869.167840000006</v>
      </c>
    </row>
    <row r="45" spans="1:20" ht="15.75" hidden="1" thickBot="1">
      <c r="A45" s="557">
        <v>2</v>
      </c>
      <c r="B45" s="267">
        <v>1.8</v>
      </c>
      <c r="C45" s="549">
        <f>((((A45*2)+(B45*2))*MATERIALES!$C$13)+((A45*2)*MATERIALES!$C$6)+((B45*4)*MATERIALES!$C$15)+(B45*MATERIALES!$C$25))*MATERIALES!$F$2</f>
        <v>5613.8846400000011</v>
      </c>
      <c r="D45" s="376">
        <f>(8*MATERIALES!$C$137)+(8*MATERIALES!$C$174)+((8*4)*MATERIALES!$C$145)+(((B45*2)+(A45*2))*MATERIALES!$C$149)+(4*MATERIALES!$C$148)+(((A45*5)*2)*MATERIALES!$C$147)+(4*MATERIALES!$C$146)+(1*MATERIALES!$C$151)+(2*MATERIALES!$C$150)+(4*MATERIALES!$C$161)</f>
        <v>1426.89248</v>
      </c>
      <c r="E45" s="377"/>
      <c r="F45" s="378">
        <f>((A45*MATERIALES!$C$22)*(B45/0.06))*MATERIALES!$F$2</f>
        <v>10496.304000000002</v>
      </c>
      <c r="G45" s="549">
        <f t="shared" si="0"/>
        <v>17537.081120000003</v>
      </c>
      <c r="H45" s="558">
        <f t="shared" si="1"/>
        <v>22798.205456000003</v>
      </c>
      <c r="I45" s="57"/>
      <c r="M45" s="68">
        <v>2</v>
      </c>
      <c r="N45" s="69">
        <v>1.8</v>
      </c>
      <c r="O45" s="59">
        <f>((((M45*2)+(N45*2))*MATERIALES!$C$13)+((M45*2)*MATERIALES!$C$6)+((N45*6)*MATERIALES!$C$15)+((N45*2)*MATERIALES!$C$25))*MATERIALES!$F$2</f>
        <v>6846.3158400000011</v>
      </c>
      <c r="P45" s="59">
        <f>(12*MATERIALES!$C$137)+(12*MATERIALES!$C$174)+((8*4)*MATERIALES!$C$145)+(((N45*2)+(M45*2))*MATERIALES!$C$149)+(4*MATERIALES!$C$148)+(((M45*5)*2)*MATERIALES!$C$147)+(4*MATERIALES!$C$146)+(1*MATERIALES!$C$151)+(4*MATERIALES!$C$150)+(6*MATERIALES!$C$161)</f>
        <v>1994.2748799999999</v>
      </c>
      <c r="Q45" s="75"/>
      <c r="R45" s="55">
        <f>((M45*MATERIALES!$C$22)*(N45/0.06))*MATERIALES!$F$2</f>
        <v>10496.304000000002</v>
      </c>
      <c r="S45" s="59">
        <f t="shared" si="2"/>
        <v>19336.894720000004</v>
      </c>
      <c r="T45" s="70">
        <f t="shared" si="3"/>
        <v>25137.963136000006</v>
      </c>
    </row>
    <row r="46" spans="1:20" ht="15.75" hidden="1" thickBot="1">
      <c r="A46" s="557"/>
      <c r="B46" s="267"/>
      <c r="C46" s="549">
        <f>((((A46*2)+(B46*2))*MATERIALES!$C$13)+((A46*2)*MATERIALES!$C$6)+((B46*4)*MATERIALES!$C$15)+(B46*MATERIALES!$C$25))*MATERIALES!$F$2</f>
        <v>0</v>
      </c>
      <c r="D46" s="376">
        <f>(8*MATERIALES!$C$137)+(8*MATERIALES!$C$174)+((8*4)*MATERIALES!$C$145)+(((B46*2)+(A46*2))*MATERIALES!$C$149)+(4*MATERIALES!$C$148)+(((A46*5)*2)*MATERIALES!$C$147)+(4*MATERIALES!$C$146)+(1*MATERIALES!$C$151)+(2*MATERIALES!$C$150)+(4*MATERIALES!$C$161)</f>
        <v>1331.4911999999999</v>
      </c>
      <c r="E46" s="377"/>
      <c r="F46" s="378">
        <f>((A46*MATERIALES!$C$22)*(B46/0.06))*MATERIALES!$F$2</f>
        <v>0</v>
      </c>
      <c r="G46" s="549">
        <f t="shared" si="0"/>
        <v>1331.4911999999999</v>
      </c>
      <c r="H46" s="558">
        <f t="shared" si="1"/>
        <v>1730.9385600000001</v>
      </c>
      <c r="I46" s="57"/>
      <c r="M46" s="68"/>
      <c r="N46" s="69"/>
      <c r="O46" s="59">
        <f>((((M46*2)+(N46*2))*MATERIALES!$C$13)+((M46*2)*MATERIALES!$C$6)+((N46*6)*MATERIALES!$C$15)+((N46*2)*MATERIALES!$C$25))*MATERIALES!$F$2</f>
        <v>0</v>
      </c>
      <c r="P46" s="59">
        <f>(12*MATERIALES!$C$137)+(12*MATERIALES!$C$174)+((8*4)*MATERIALES!$C$145)+(((N46*2)+(M46*2))*MATERIALES!$C$149)+(4*MATERIALES!$C$148)+(((M46*5)*2)*MATERIALES!$C$147)+(4*MATERIALES!$C$146)+(1*MATERIALES!$C$151)+(4*MATERIALES!$C$150)+(6*MATERIALES!$C$161)</f>
        <v>1898.8736000000001</v>
      </c>
      <c r="Q46" s="75"/>
      <c r="R46" s="55">
        <f>((M46*MATERIALES!$C$22)*(N46/0.06))*MATERIALES!$F$2</f>
        <v>0</v>
      </c>
      <c r="S46" s="59">
        <f t="shared" si="2"/>
        <v>1898.8736000000001</v>
      </c>
      <c r="T46" s="70">
        <f t="shared" si="3"/>
        <v>2468.5356800000004</v>
      </c>
    </row>
    <row r="47" spans="1:20" ht="15.75" hidden="1" thickBot="1">
      <c r="A47" s="557"/>
      <c r="B47" s="267"/>
      <c r="C47" s="549">
        <f>((((A47*2)+(B47*2))*MATERIALES!$C$13)+((A47*2)*MATERIALES!$C$6)+((B47*4)*MATERIALES!$C$15)+(B47*MATERIALES!$C$25))*MATERIALES!$F$2</f>
        <v>0</v>
      </c>
      <c r="D47" s="376">
        <f>(8*MATERIALES!$C$137)+(8*MATERIALES!$C$174)+((8*4)*MATERIALES!$C$145)+(((B47*2)+(A47*2))*MATERIALES!$C$149)+(4*MATERIALES!$C$148)+(((A47*5)*2)*MATERIALES!$C$147)+(4*MATERIALES!$C$146)+(1*MATERIALES!$C$151)+(2*MATERIALES!$C$150)+(4*MATERIALES!$C$161)</f>
        <v>1331.4911999999999</v>
      </c>
      <c r="E47" s="377"/>
      <c r="F47" s="378">
        <f>((A47*MATERIALES!$C$22)*(B47/0.06))*MATERIALES!$F$2</f>
        <v>0</v>
      </c>
      <c r="G47" s="549">
        <f t="shared" si="0"/>
        <v>1331.4911999999999</v>
      </c>
      <c r="H47" s="558">
        <f t="shared" si="1"/>
        <v>1730.9385600000001</v>
      </c>
      <c r="I47" s="57"/>
      <c r="M47" s="68"/>
      <c r="N47" s="69"/>
      <c r="O47" s="59">
        <f>((((M47*2)+(N47*2))*MATERIALES!$C$13)+((M47*2)*MATERIALES!$C$6)+((N47*6)*MATERIALES!$C$15)+((N47*2)*MATERIALES!$C$25))*MATERIALES!$F$2</f>
        <v>0</v>
      </c>
      <c r="P47" s="59">
        <f>(12*MATERIALES!$C$137)+(12*MATERIALES!$C$174)+((8*4)*MATERIALES!$C$145)+(((N47*2)+(M47*2))*MATERIALES!$C$149)+(4*MATERIALES!$C$148)+(((M47*5)*2)*MATERIALES!$C$147)+(4*MATERIALES!$C$146)+(1*MATERIALES!$C$151)+(4*MATERIALES!$C$150)+(6*MATERIALES!$C$161)</f>
        <v>1898.8736000000001</v>
      </c>
      <c r="Q47" s="75"/>
      <c r="R47" s="55">
        <f>((M47*MATERIALES!$C$22)*(N47/0.06))*MATERIALES!$F$2</f>
        <v>0</v>
      </c>
      <c r="S47" s="59">
        <f t="shared" si="2"/>
        <v>1898.8736000000001</v>
      </c>
      <c r="T47" s="70">
        <f t="shared" si="3"/>
        <v>2468.5356800000004</v>
      </c>
    </row>
    <row r="48" spans="1:20" ht="15.75" hidden="1" thickBot="1">
      <c r="A48" s="557"/>
      <c r="B48" s="267"/>
      <c r="C48" s="549">
        <f>((((A48*2)+(B48*2))*MATERIALES!$C$13)+((A48*2)*MATERIALES!$C$6)+((B48*4)*MATERIALES!$C$15)+(B48*MATERIALES!$C$25))*MATERIALES!$F$2</f>
        <v>0</v>
      </c>
      <c r="D48" s="376">
        <f>(8*MATERIALES!$C$137)+(8*MATERIALES!$C$174)+((8*4)*MATERIALES!$C$145)+(((B48*2)+(A48*2))*MATERIALES!$C$149)+(4*MATERIALES!$C$148)+(((A48*5)*2)*MATERIALES!$C$147)+(4*MATERIALES!$C$146)+(1*MATERIALES!$C$151)+(2*MATERIALES!$C$150)+(4*MATERIALES!$C$161)</f>
        <v>1331.4911999999999</v>
      </c>
      <c r="E48" s="377"/>
      <c r="F48" s="378">
        <f>((A48*MATERIALES!$C$22)*(B48/0.06))*MATERIALES!$F$2</f>
        <v>0</v>
      </c>
      <c r="G48" s="549">
        <f t="shared" si="0"/>
        <v>1331.4911999999999</v>
      </c>
      <c r="H48" s="558">
        <f t="shared" si="1"/>
        <v>1730.9385600000001</v>
      </c>
      <c r="I48" s="57"/>
      <c r="M48" s="68"/>
      <c r="N48" s="69"/>
      <c r="O48" s="59">
        <f>((((M48*2)+(N48*2))*MATERIALES!$C$13)+((M48*2)*MATERIALES!$C$6)+((N48*6)*MATERIALES!$C$15)+((N48*2)*MATERIALES!$C$25))*MATERIALES!$F$2</f>
        <v>0</v>
      </c>
      <c r="P48" s="59">
        <f>(12*MATERIALES!$C$137)+(12*MATERIALES!$C$174)+((8*4)*MATERIALES!$C$145)+(((N48*2)+(M48*2))*MATERIALES!$C$149)+(4*MATERIALES!$C$148)+(((M48*5)*2)*MATERIALES!$C$147)+(4*MATERIALES!$C$146)+(1*MATERIALES!$C$151)+(4*MATERIALES!$C$150)+(6*MATERIALES!$C$161)</f>
        <v>1898.8736000000001</v>
      </c>
      <c r="Q48" s="75"/>
      <c r="R48" s="55">
        <f>((M48*MATERIALES!$C$22)*(N48/0.06))*MATERIALES!$F$2</f>
        <v>0</v>
      </c>
      <c r="S48" s="59">
        <f t="shared" si="2"/>
        <v>1898.8736000000001</v>
      </c>
      <c r="T48" s="70">
        <f t="shared" si="3"/>
        <v>2468.5356800000004</v>
      </c>
    </row>
    <row r="49" spans="1:20" ht="15.75" hidden="1" thickBot="1">
      <c r="A49" s="557">
        <v>2.2000000000000002</v>
      </c>
      <c r="B49" s="267">
        <v>1</v>
      </c>
      <c r="C49" s="549">
        <f>((((A49*2)+(B49*2))*MATERIALES!$C$13)+((A49*2)*MATERIALES!$C$6)+((B49*4)*MATERIALES!$C$15)+(B49*MATERIALES!$C$25))*MATERIALES!$F$2</f>
        <v>4371.6254400000007</v>
      </c>
      <c r="D49" s="376">
        <f>(8*MATERIALES!$C$137)+(8*MATERIALES!$C$174)+((8*4)*MATERIALES!$C$145)+(((B49*2)+(A49*2))*MATERIALES!$C$149)+(4*MATERIALES!$C$148)+(((A49*5)*2)*MATERIALES!$C$147)+(4*MATERIALES!$C$146)+(1*MATERIALES!$C$151)+(2*MATERIALES!$C$150)+(4*MATERIALES!$C$161)</f>
        <v>1411.8291199999999</v>
      </c>
      <c r="E49" s="377"/>
      <c r="F49" s="378">
        <f>((A49*MATERIALES!$C$22)*(B49/0.06))*MATERIALES!$F$2</f>
        <v>6414.4080000000013</v>
      </c>
      <c r="G49" s="549">
        <f t="shared" si="0"/>
        <v>12197.862560000001</v>
      </c>
      <c r="H49" s="558">
        <f t="shared" si="1"/>
        <v>15857.221328000001</v>
      </c>
      <c r="I49" s="57"/>
      <c r="M49" s="68"/>
      <c r="N49" s="69"/>
      <c r="O49" s="59">
        <f>((((M49*2)+(N49*2))*MATERIALES!$C$13)+((M49*2)*MATERIALES!$C$6)+((N49*6)*MATERIALES!$C$15)+((N49*2)*MATERIALES!$C$25))*MATERIALES!$F$2</f>
        <v>0</v>
      </c>
      <c r="P49" s="59">
        <f>(12*MATERIALES!$C$137)+(12*MATERIALES!$C$174)+((8*4)*MATERIALES!$C$145)+(((N49*2)+(M49*2))*MATERIALES!$C$149)+(4*MATERIALES!$C$148)+(((M49*5)*2)*MATERIALES!$C$147)+(4*MATERIALES!$C$146)+(1*MATERIALES!$C$151)+(4*MATERIALES!$C$150)+(6*MATERIALES!$C$161)</f>
        <v>1898.8736000000001</v>
      </c>
      <c r="Q49" s="75"/>
      <c r="R49" s="55">
        <f>((M49*MATERIALES!$C$22)*(N49/0.06))*MATERIALES!$F$2</f>
        <v>0</v>
      </c>
      <c r="S49" s="59">
        <f t="shared" si="2"/>
        <v>1898.8736000000001</v>
      </c>
      <c r="T49" s="70">
        <f t="shared" si="3"/>
        <v>2468.5356800000004</v>
      </c>
    </row>
    <row r="50" spans="1:20" ht="15.75" hidden="1" thickBot="1">
      <c r="A50" s="557">
        <v>2.2000000000000002</v>
      </c>
      <c r="B50" s="267">
        <v>1.2</v>
      </c>
      <c r="C50" s="549">
        <f>((((A50*2)+(B50*2))*MATERIALES!$C$13)+((A50*2)*MATERIALES!$C$6)+((B50*4)*MATERIALES!$C$15)+(B50*MATERIALES!$C$25))*MATERIALES!$F$2</f>
        <v>4739.7168000000001</v>
      </c>
      <c r="D50" s="376">
        <f>(8*MATERIALES!$C$137)+(8*MATERIALES!$C$174)+((8*4)*MATERIALES!$C$145)+(((B50*2)+(A50*2))*MATERIALES!$C$149)+(4*MATERIALES!$C$148)+(((A50*5)*2)*MATERIALES!$C$147)+(4*MATERIALES!$C$146)+(1*MATERIALES!$C$151)+(2*MATERIALES!$C$150)+(4*MATERIALES!$C$161)</f>
        <v>1416.8502400000002</v>
      </c>
      <c r="E50" s="377"/>
      <c r="F50" s="378">
        <f>((A50*MATERIALES!$C$22)*(B50/0.06))*MATERIALES!$F$2</f>
        <v>7697.289600000001</v>
      </c>
      <c r="G50" s="549">
        <f t="shared" si="0"/>
        <v>13853.856640000002</v>
      </c>
      <c r="H50" s="558">
        <f t="shared" si="1"/>
        <v>18010.013632000002</v>
      </c>
      <c r="I50" s="57"/>
      <c r="M50" s="68">
        <v>2.2000000000000002</v>
      </c>
      <c r="N50" s="69">
        <v>1.2</v>
      </c>
      <c r="O50" s="59">
        <f>((((M50*2)+(N50*2))*MATERIALES!$C$13)+((M50*2)*MATERIALES!$C$6)+((N50*6)*MATERIALES!$C$15)+((N50*2)*MATERIALES!$C$25))*MATERIALES!$F$2</f>
        <v>5561.3375999999998</v>
      </c>
      <c r="P50" s="59">
        <f>(12*MATERIALES!$C$137)+(12*MATERIALES!$C$174)+((8*4)*MATERIALES!$C$145)+(((N50*2)+(M50*2))*MATERIALES!$C$149)+(4*MATERIALES!$C$148)+(((M50*5)*2)*MATERIALES!$C$147)+(4*MATERIALES!$C$146)+(1*MATERIALES!$C$151)+(4*MATERIALES!$C$150)+(6*MATERIALES!$C$161)</f>
        <v>1984.2326399999999</v>
      </c>
      <c r="Q50" s="75"/>
      <c r="R50" s="55">
        <f>((M50*MATERIALES!$C$22)*(N50/0.06))*MATERIALES!$F$2</f>
        <v>7697.289600000001</v>
      </c>
      <c r="S50" s="59">
        <f t="shared" si="2"/>
        <v>15242.859840000001</v>
      </c>
      <c r="T50" s="70">
        <f t="shared" si="3"/>
        <v>19815.717792000003</v>
      </c>
    </row>
    <row r="51" spans="1:20" ht="15.75" hidden="1" thickBot="1">
      <c r="A51" s="557">
        <v>2.2000000000000002</v>
      </c>
      <c r="B51" s="267">
        <v>1.5</v>
      </c>
      <c r="C51" s="549">
        <f>((((A51*2)+(B51*2))*MATERIALES!$C$13)+((A51*2)*MATERIALES!$C$6)+((B51*4)*MATERIALES!$C$15)+(B51*MATERIALES!$C$25))*MATERIALES!$F$2</f>
        <v>5291.8538400000007</v>
      </c>
      <c r="D51" s="376">
        <f>(8*MATERIALES!$C$137)+(8*MATERIALES!$C$174)+((8*4)*MATERIALES!$C$145)+(((B51*2)+(A51*2))*MATERIALES!$C$149)+(4*MATERIALES!$C$148)+(((A51*5)*2)*MATERIALES!$C$147)+(4*MATERIALES!$C$146)+(1*MATERIALES!$C$151)+(2*MATERIALES!$C$150)+(4*MATERIALES!$C$161)</f>
        <v>1424.3819200000003</v>
      </c>
      <c r="E51" s="377"/>
      <c r="F51" s="378">
        <f>((A51*MATERIALES!$C$22)*(B51/0.06))*MATERIALES!$F$2</f>
        <v>9621.612000000001</v>
      </c>
      <c r="G51" s="549">
        <f t="shared" si="0"/>
        <v>16337.847760000002</v>
      </c>
      <c r="H51" s="558">
        <f t="shared" si="1"/>
        <v>21239.202088000005</v>
      </c>
      <c r="I51" s="57"/>
      <c r="M51" s="68">
        <v>2.2000000000000002</v>
      </c>
      <c r="N51" s="69">
        <v>1.5</v>
      </c>
      <c r="O51" s="59">
        <f>((((M51*2)+(N51*2))*MATERIALES!$C$13)+((M51*2)*MATERIALES!$C$6)+((N51*6)*MATERIALES!$C$15)+((N51*2)*MATERIALES!$C$25))*MATERIALES!$F$2</f>
        <v>6318.8798400000014</v>
      </c>
      <c r="P51" s="59">
        <f>(12*MATERIALES!$C$137)+(12*MATERIALES!$C$174)+((8*4)*MATERIALES!$C$145)+(((N51*2)+(M51*2))*MATERIALES!$C$149)+(4*MATERIALES!$C$148)+(((M51*5)*2)*MATERIALES!$C$147)+(4*MATERIALES!$C$146)+(1*MATERIALES!$C$151)+(4*MATERIALES!$C$150)+(6*MATERIALES!$C$161)</f>
        <v>1991.76432</v>
      </c>
      <c r="Q51" s="75"/>
      <c r="R51" s="55">
        <f>((M51*MATERIALES!$C$22)*(N51/0.06))*MATERIALES!$F$2</f>
        <v>9621.612000000001</v>
      </c>
      <c r="S51" s="59">
        <f t="shared" si="2"/>
        <v>17932.256160000004</v>
      </c>
      <c r="T51" s="70">
        <f t="shared" si="3"/>
        <v>23311.933008000007</v>
      </c>
    </row>
    <row r="52" spans="1:20" ht="15.75" hidden="1" thickBot="1">
      <c r="A52" s="557">
        <v>2.2000000000000002</v>
      </c>
      <c r="B52" s="267">
        <v>1.8</v>
      </c>
      <c r="C52" s="549">
        <f>((((A52*2)+(B52*2))*MATERIALES!$C$13)+((A52*2)*MATERIALES!$C$6)+((B52*4)*MATERIALES!$C$15)+(B52*MATERIALES!$C$25))*MATERIALES!$F$2</f>
        <v>5843.9908800000003</v>
      </c>
      <c r="D52" s="376">
        <f>(8*MATERIALES!$C$137)+(8*MATERIALES!$C$174)+((8*4)*MATERIALES!$C$145)+(((B52*2)+(A52*2))*MATERIALES!$C$149)+(4*MATERIALES!$C$148)+(((A52*5)*2)*MATERIALES!$C$147)+(4*MATERIALES!$C$146)+(1*MATERIALES!$C$151)+(2*MATERIALES!$C$150)+(4*MATERIALES!$C$161)</f>
        <v>1431.9135999999999</v>
      </c>
      <c r="E52" s="377"/>
      <c r="F52" s="378">
        <f>((A52*MATERIALES!$C$22)*(B52/0.06))*MATERIALES!$F$2</f>
        <v>11545.934400000004</v>
      </c>
      <c r="G52" s="549">
        <f t="shared" si="0"/>
        <v>18821.838880000003</v>
      </c>
      <c r="H52" s="558">
        <f t="shared" si="1"/>
        <v>24468.390544000005</v>
      </c>
      <c r="I52" s="57"/>
      <c r="M52" s="68">
        <v>2.2000000000000002</v>
      </c>
      <c r="N52" s="69">
        <v>1.8</v>
      </c>
      <c r="O52" s="59">
        <f>((((M52*2)+(N52*2))*MATERIALES!$C$13)+((M52*2)*MATERIALES!$C$6)+((N52*6)*MATERIALES!$C$15)+((N52*2)*MATERIALES!$C$25))*MATERIALES!$F$2</f>
        <v>7076.4220800000003</v>
      </c>
      <c r="P52" s="59">
        <f>(12*MATERIALES!$C$137)+(12*MATERIALES!$C$174)+((8*4)*MATERIALES!$C$145)+(((N52*2)+(M52*2))*MATERIALES!$C$149)+(4*MATERIALES!$C$148)+(((M52*5)*2)*MATERIALES!$C$147)+(4*MATERIALES!$C$146)+(1*MATERIALES!$C$151)+(4*MATERIALES!$C$150)+(6*MATERIALES!$C$161)</f>
        <v>1999.296</v>
      </c>
      <c r="Q52" s="75"/>
      <c r="R52" s="55">
        <f>((M52*MATERIALES!$C$22)*(N52/0.06))*MATERIALES!$F$2</f>
        <v>11545.934400000004</v>
      </c>
      <c r="S52" s="59">
        <f t="shared" si="2"/>
        <v>20621.652480000004</v>
      </c>
      <c r="T52" s="70">
        <f t="shared" si="3"/>
        <v>26808.148224000008</v>
      </c>
    </row>
    <row r="53" spans="1:20" ht="15.75" hidden="1" thickBot="1">
      <c r="A53" s="557">
        <v>2.4</v>
      </c>
      <c r="B53" s="267">
        <v>0.4</v>
      </c>
      <c r="C53" s="549">
        <f>((((A53*2)+(B53*2))*MATERIALES!$C$13)+((A53*2)*MATERIALES!$C$6)+((B53*4)*MATERIALES!$C$15)+(B53*MATERIALES!$C$25))*MATERIALES!$F$2</f>
        <v>3497.4576000000002</v>
      </c>
      <c r="D53" s="376">
        <f>(8*MATERIALES!$C$137)+(8*MATERIALES!$C$174)+((8*4)*MATERIALES!$C$145)+(((B53*2)+(A53*2))*MATERIALES!$C$149)+(4*MATERIALES!$C$148)+(((A53*5)*2)*MATERIALES!$C$147)+(4*MATERIALES!$C$146)+(1*MATERIALES!$C$151)+(2*MATERIALES!$C$150)+(4*MATERIALES!$C$161)</f>
        <v>1401.7868800000001</v>
      </c>
      <c r="E53" s="377"/>
      <c r="F53" s="378">
        <f>((A53*MATERIALES!$C$22)*(B53/0.06))*MATERIALES!$F$2</f>
        <v>2799.0144000000005</v>
      </c>
      <c r="G53" s="549">
        <f t="shared" si="0"/>
        <v>7698.2588800000012</v>
      </c>
      <c r="H53" s="558">
        <f t="shared" si="1"/>
        <v>10007.736544000001</v>
      </c>
      <c r="I53" s="57"/>
      <c r="M53" s="68">
        <v>2.4</v>
      </c>
      <c r="N53" s="69">
        <v>0.4</v>
      </c>
      <c r="O53" s="59">
        <f>((((M53*2)+(N53*2))*MATERIALES!$C$13)+((M53*2)*MATERIALES!$C$6)+((N53*6)*MATERIALES!$C$15)+((N53*2)*MATERIALES!$C$25))*MATERIALES!$F$2</f>
        <v>3771.3312000000005</v>
      </c>
      <c r="P53" s="59">
        <f>(12*MATERIALES!$C$137)+(12*MATERIALES!$C$174)+((8*4)*MATERIALES!$C$145)+(((N53*2)+(M53*2))*MATERIALES!$C$149)+(4*MATERIALES!$C$148)+(((M53*5)*2)*MATERIALES!$C$147)+(4*MATERIALES!$C$146)+(1*MATERIALES!$C$151)+(4*MATERIALES!$C$150)+(6*MATERIALES!$C$161)</f>
        <v>1969.1692799999998</v>
      </c>
      <c r="Q53" s="75"/>
      <c r="R53" s="55">
        <f>((M53*MATERIALES!$C$22)*(N53/0.06))*MATERIALES!$F$2</f>
        <v>2799.0144000000005</v>
      </c>
      <c r="S53" s="59">
        <f t="shared" si="2"/>
        <v>8539.5148800000006</v>
      </c>
      <c r="T53" s="70">
        <f t="shared" si="3"/>
        <v>11101.369344000001</v>
      </c>
    </row>
    <row r="54" spans="1:20" ht="15.75" hidden="1" thickBot="1">
      <c r="A54" s="557">
        <v>2.4</v>
      </c>
      <c r="B54" s="267">
        <v>0.6</v>
      </c>
      <c r="C54" s="549">
        <f>((((A54*2)+(B54*2))*MATERIALES!$C$13)+((A54*2)*MATERIALES!$C$6)+((B54*4)*MATERIALES!$C$15)+(B54*MATERIALES!$C$25))*MATERIALES!$F$2</f>
        <v>3865.5489600000001</v>
      </c>
      <c r="D54" s="376">
        <f>(8*MATERIALES!$C$137)+(8*MATERIALES!$C$174)+((8*4)*MATERIALES!$C$145)+(((B54*2)+(A54*2))*MATERIALES!$C$149)+(4*MATERIALES!$C$148)+(((A54*5)*2)*MATERIALES!$C$147)+(4*MATERIALES!$C$146)+(1*MATERIALES!$C$151)+(2*MATERIALES!$C$150)+(4*MATERIALES!$C$161)</f>
        <v>1406.808</v>
      </c>
      <c r="E54" s="377"/>
      <c r="F54" s="378">
        <f>((A54*MATERIALES!$C$22)*(B54/0.06))*MATERIALES!$F$2</f>
        <v>4198.5216000000009</v>
      </c>
      <c r="G54" s="549">
        <f t="shared" si="0"/>
        <v>9470.878560000001</v>
      </c>
      <c r="H54" s="558">
        <f t="shared" si="1"/>
        <v>12312.142128000001</v>
      </c>
      <c r="I54" s="57"/>
      <c r="M54" s="68">
        <v>2.4</v>
      </c>
      <c r="N54" s="69">
        <v>0.6</v>
      </c>
      <c r="O54" s="59">
        <f>((((M54*2)+(N54*2))*MATERIALES!$C$13)+((M54*2)*MATERIALES!$C$6)+((N54*6)*MATERIALES!$C$15)+((N54*2)*MATERIALES!$C$25))*MATERIALES!$F$2</f>
        <v>4276.3593600000004</v>
      </c>
      <c r="P54" s="59">
        <f>(12*MATERIALES!$C$137)+(12*MATERIALES!$C$174)+((8*4)*MATERIALES!$C$145)+(((N54*2)+(M54*2))*MATERIALES!$C$149)+(4*MATERIALES!$C$148)+(((M54*5)*2)*MATERIALES!$C$147)+(4*MATERIALES!$C$146)+(1*MATERIALES!$C$151)+(4*MATERIALES!$C$150)+(6*MATERIALES!$C$161)</f>
        <v>1974.1904</v>
      </c>
      <c r="Q54" s="75"/>
      <c r="R54" s="55">
        <f>((M54*MATERIALES!$C$22)*(N54/0.06))*MATERIALES!$F$2</f>
        <v>4198.5216000000009</v>
      </c>
      <c r="S54" s="59">
        <f t="shared" si="2"/>
        <v>10449.071360000002</v>
      </c>
      <c r="T54" s="70">
        <f t="shared" si="3"/>
        <v>13583.792768000003</v>
      </c>
    </row>
    <row r="55" spans="1:20" ht="15.75" hidden="1" thickBot="1">
      <c r="A55" s="557">
        <v>2.4</v>
      </c>
      <c r="B55" s="267">
        <v>0.8</v>
      </c>
      <c r="C55" s="549">
        <f>((((A55*2)+(B55*2))*MATERIALES!$C$13)+((A55*2)*MATERIALES!$C$6)+((B55*4)*MATERIALES!$C$15)+(B55*MATERIALES!$C$25))*MATERIALES!$F$2</f>
        <v>4233.6403200000004</v>
      </c>
      <c r="D55" s="376">
        <f>(8*MATERIALES!$C$137)+(8*MATERIALES!$C$174)+((8*4)*MATERIALES!$C$145)+(((B55*2)+(A55*2))*MATERIALES!$C$149)+(4*MATERIALES!$C$148)+(((A55*5)*2)*MATERIALES!$C$147)+(4*MATERIALES!$C$146)+(1*MATERIALES!$C$151)+(2*MATERIALES!$C$150)+(4*MATERIALES!$C$161)</f>
        <v>1411.8291199999999</v>
      </c>
      <c r="E55" s="377"/>
      <c r="F55" s="378">
        <f>((A55*MATERIALES!$C$22)*(B55/0.06))*MATERIALES!$F$2</f>
        <v>5598.028800000001</v>
      </c>
      <c r="G55" s="549">
        <f t="shared" si="0"/>
        <v>11243.498240000001</v>
      </c>
      <c r="H55" s="558">
        <f t="shared" si="1"/>
        <v>14616.547712000001</v>
      </c>
      <c r="I55" s="57"/>
      <c r="M55" s="68">
        <v>2.4</v>
      </c>
      <c r="N55" s="69">
        <v>0.8</v>
      </c>
      <c r="O55" s="59">
        <f>((((M55*2)+(N55*2))*MATERIALES!$C$13)+((M55*2)*MATERIALES!$C$6)+((N55*6)*MATERIALES!$C$15)+((N55*2)*MATERIALES!$C$25))*MATERIALES!$F$2</f>
        <v>4781.3875200000011</v>
      </c>
      <c r="P55" s="59">
        <f>(12*MATERIALES!$C$137)+(12*MATERIALES!$C$174)+((8*4)*MATERIALES!$C$145)+(((N55*2)+(M55*2))*MATERIALES!$C$149)+(4*MATERIALES!$C$148)+(((M55*5)*2)*MATERIALES!$C$147)+(4*MATERIALES!$C$146)+(1*MATERIALES!$C$151)+(4*MATERIALES!$C$150)+(6*MATERIALES!$C$161)</f>
        <v>1979.2115200000001</v>
      </c>
      <c r="Q55" s="75"/>
      <c r="R55" s="55">
        <f>((M55*MATERIALES!$C$22)*(N55/0.06))*MATERIALES!$F$2</f>
        <v>5598.028800000001</v>
      </c>
      <c r="S55" s="59">
        <f t="shared" si="2"/>
        <v>12358.627840000001</v>
      </c>
      <c r="T55" s="70">
        <f t="shared" si="3"/>
        <v>16066.216192000002</v>
      </c>
    </row>
    <row r="56" spans="1:20" ht="15.75" hidden="1" thickBot="1">
      <c r="A56" s="557">
        <v>2.4</v>
      </c>
      <c r="B56" s="267">
        <v>1</v>
      </c>
      <c r="C56" s="549">
        <f>((((A56*2)+(B56*2))*MATERIALES!$C$13)+((A56*2)*MATERIALES!$C$6)+((B56*4)*MATERIALES!$C$15)+(B56*MATERIALES!$C$25))*MATERIALES!$F$2</f>
        <v>4601.7316799999999</v>
      </c>
      <c r="D56" s="376">
        <f>(8*MATERIALES!$C$137)+(8*MATERIALES!$C$174)+((8*4)*MATERIALES!$C$145)+(((B56*2)+(A56*2))*MATERIALES!$C$149)+(4*MATERIALES!$C$148)+(((A56*5)*2)*MATERIALES!$C$147)+(4*MATERIALES!$C$146)+(1*MATERIALES!$C$151)+(2*MATERIALES!$C$150)+(4*MATERIALES!$C$161)</f>
        <v>1416.8502400000002</v>
      </c>
      <c r="E56" s="377"/>
      <c r="F56" s="378">
        <f>((A56*MATERIALES!$C$22)*(B56/0.06))*MATERIALES!$F$2</f>
        <v>6997.5360000000019</v>
      </c>
      <c r="G56" s="549">
        <f t="shared" si="0"/>
        <v>13016.117920000002</v>
      </c>
      <c r="H56" s="558">
        <f t="shared" si="1"/>
        <v>16920.953296000003</v>
      </c>
      <c r="I56" s="57"/>
      <c r="M56" s="68">
        <v>2.4</v>
      </c>
      <c r="N56" s="69">
        <v>1</v>
      </c>
      <c r="O56" s="59">
        <f>((((M56*2)+(N56*2))*MATERIALES!$C$13)+((M56*2)*MATERIALES!$C$6)+((N56*6)*MATERIALES!$C$15)+((N56*2)*MATERIALES!$C$25))*MATERIALES!$F$2</f>
        <v>5286.415680000001</v>
      </c>
      <c r="P56" s="59">
        <f>(12*MATERIALES!$C$137)+(12*MATERIALES!$C$174)+((8*4)*MATERIALES!$C$145)+(((N56*2)+(M56*2))*MATERIALES!$C$149)+(4*MATERIALES!$C$148)+(((M56*5)*2)*MATERIALES!$C$147)+(4*MATERIALES!$C$146)+(1*MATERIALES!$C$151)+(4*MATERIALES!$C$150)+(6*MATERIALES!$C$161)</f>
        <v>1984.2326399999999</v>
      </c>
      <c r="Q56" s="75"/>
      <c r="R56" s="55">
        <f>((M56*MATERIALES!$C$22)*(N56/0.06))*MATERIALES!$F$2</f>
        <v>6997.5360000000019</v>
      </c>
      <c r="S56" s="59">
        <f t="shared" si="2"/>
        <v>14268.184320000004</v>
      </c>
      <c r="T56" s="70">
        <f t="shared" si="3"/>
        <v>18548.639616000004</v>
      </c>
    </row>
    <row r="57" spans="1:20" ht="15.75" hidden="1" thickBot="1">
      <c r="A57" s="557">
        <v>2.4</v>
      </c>
      <c r="B57" s="267">
        <v>1.2</v>
      </c>
      <c r="C57" s="549">
        <f>((((A57*2)+(B57*2))*MATERIALES!$C$13)+((A57*2)*MATERIALES!$C$6)+((B57*4)*MATERIALES!$C$15)+(B57*MATERIALES!$C$25))*MATERIALES!$F$2</f>
        <v>4969.8230400000002</v>
      </c>
      <c r="D57" s="376">
        <f>(8*MATERIALES!$C$137)+(8*MATERIALES!$C$174)+((8*4)*MATERIALES!$C$145)+(((B57*2)+(A57*2))*MATERIALES!$C$149)+(4*MATERIALES!$C$148)+(((A57*5)*2)*MATERIALES!$C$147)+(4*MATERIALES!$C$146)+(1*MATERIALES!$C$151)+(2*MATERIALES!$C$150)+(4*MATERIALES!$C$161)</f>
        <v>1421.8713600000001</v>
      </c>
      <c r="E57" s="377"/>
      <c r="F57" s="378">
        <f>((A57*MATERIALES!$C$22)*(B57/0.06))*MATERIALES!$F$2</f>
        <v>8397.0432000000019</v>
      </c>
      <c r="G57" s="549">
        <f t="shared" si="0"/>
        <v>14788.737600000002</v>
      </c>
      <c r="H57" s="558">
        <f t="shared" si="1"/>
        <v>19225.358880000003</v>
      </c>
      <c r="I57" s="57"/>
      <c r="M57" s="68">
        <v>2.4</v>
      </c>
      <c r="N57" s="69">
        <v>1.2</v>
      </c>
      <c r="O57" s="59">
        <f>((((M57*2)+(N57*2))*MATERIALES!$C$13)+((M57*2)*MATERIALES!$C$6)+((N57*6)*MATERIALES!$C$15)+((N57*2)*MATERIALES!$C$25))*MATERIALES!$F$2</f>
        <v>5791.4438400000008</v>
      </c>
      <c r="P57" s="59">
        <f>(12*MATERIALES!$C$137)+(12*MATERIALES!$C$174)+((8*4)*MATERIALES!$C$145)+(((N57*2)+(M57*2))*MATERIALES!$C$149)+(4*MATERIALES!$C$148)+(((M57*5)*2)*MATERIALES!$C$147)+(4*MATERIALES!$C$146)+(1*MATERIALES!$C$151)+(4*MATERIALES!$C$150)+(6*MATERIALES!$C$161)</f>
        <v>1989.2537600000001</v>
      </c>
      <c r="Q57" s="75"/>
      <c r="R57" s="55">
        <f>((M57*MATERIALES!$C$22)*(N57/0.06))*MATERIALES!$F$2</f>
        <v>8397.0432000000019</v>
      </c>
      <c r="S57" s="59">
        <f>SUM(O57:R57)</f>
        <v>16177.740800000003</v>
      </c>
      <c r="T57" s="70">
        <f t="shared" si="3"/>
        <v>21031.063040000005</v>
      </c>
    </row>
    <row r="58" spans="1:20" ht="15.75" hidden="1" thickBot="1">
      <c r="A58" s="557">
        <v>2.4</v>
      </c>
      <c r="B58" s="267">
        <v>1.5</v>
      </c>
      <c r="C58" s="549">
        <f>((((A58*2)+(B58*2))*MATERIALES!$C$13)+((A58*2)*MATERIALES!$C$6)+((B58*4)*MATERIALES!$C$15)+(B58*MATERIALES!$C$25))*MATERIALES!$F$2</f>
        <v>5521.9600799999998</v>
      </c>
      <c r="D58" s="376">
        <f>(8*MATERIALES!$C$137)+(8*MATERIALES!$C$174)+((8*4)*MATERIALES!$C$145)+(((B58*2)+(A58*2))*MATERIALES!$C$149)+(4*MATERIALES!$C$148)+(((A58*5)*2)*MATERIALES!$C$147)+(4*MATERIALES!$C$146)+(1*MATERIALES!$C$151)+(2*MATERIALES!$C$150)+(4*MATERIALES!$C$161)</f>
        <v>1429.4030400000001</v>
      </c>
      <c r="E58" s="377"/>
      <c r="F58" s="378">
        <f>((A58*MATERIALES!$C$22)*(B58/0.06))*MATERIALES!$F$2</f>
        <v>10496.304</v>
      </c>
      <c r="G58" s="549">
        <f>SUM(C58:F58)</f>
        <v>17447.667119999998</v>
      </c>
      <c r="H58" s="558">
        <f t="shared" si="1"/>
        <v>22681.967256</v>
      </c>
      <c r="I58" s="57"/>
      <c r="M58" s="68">
        <v>2.4</v>
      </c>
      <c r="N58" s="69">
        <v>1.5</v>
      </c>
      <c r="O58" s="59">
        <f>((((M58*2)+(N58*2))*MATERIALES!$C$13)+((M58*2)*MATERIALES!$C$6)+((N58*6)*MATERIALES!$C$15)+((N58*2)*MATERIALES!$C$25))*MATERIALES!$F$2</f>
        <v>6548.9860800000006</v>
      </c>
      <c r="P58" s="59">
        <f>(12*MATERIALES!$C$137)+(12*MATERIALES!$C$174)+((8*4)*MATERIALES!$C$145)+(((N58*2)+(M58*2))*MATERIALES!$C$149)+(4*MATERIALES!$C$148)+(((M58*5)*2)*MATERIALES!$C$147)+(4*MATERIALES!$C$146)+(1*MATERIALES!$C$151)+(4*MATERIALES!$C$150)+(6*MATERIALES!$C$161)</f>
        <v>1996.7854399999999</v>
      </c>
      <c r="Q58" s="75"/>
      <c r="R58" s="55">
        <f>((M58*MATERIALES!$C$22)*(N58/0.06))*MATERIALES!$F$2</f>
        <v>10496.304</v>
      </c>
      <c r="S58" s="59">
        <f t="shared" si="2"/>
        <v>19042.075519999999</v>
      </c>
      <c r="T58" s="70">
        <f t="shared" si="3"/>
        <v>24754.698175999998</v>
      </c>
    </row>
    <row r="59" spans="1:20" ht="15.75" hidden="1" thickBot="1">
      <c r="A59" s="559">
        <v>2.4</v>
      </c>
      <c r="B59" s="560">
        <v>1.8</v>
      </c>
      <c r="C59" s="561">
        <f>((((A59*2)+(B59*2))*MATERIALES!$C$13)+((A59*2)*MATERIALES!$C$6)+((B59*4)*MATERIALES!$C$15)+(B59*MATERIALES!$C$25))*MATERIALES!$F$2</f>
        <v>6074.0971200000004</v>
      </c>
      <c r="D59" s="562">
        <f>(8*MATERIALES!$C$137)+(8*MATERIALES!$C$174)+((8*4)*MATERIALES!$C$145)+(((B59*2)+(A59*2))*MATERIALES!$C$149)+(4*MATERIALES!$C$148)+(((A59*5)*2)*MATERIALES!$C$147)+(4*MATERIALES!$C$146)+(1*MATERIALES!$C$151)+(2*MATERIALES!$C$150)+(4*MATERIALES!$C$161)</f>
        <v>1436.9347200000002</v>
      </c>
      <c r="E59" s="563"/>
      <c r="F59" s="564">
        <f>((A59*MATERIALES!$C$22)*(B59/0.06))*MATERIALES!$F$2</f>
        <v>12595.564800000004</v>
      </c>
      <c r="G59" s="561">
        <f t="shared" si="0"/>
        <v>20106.596640000003</v>
      </c>
      <c r="H59" s="565">
        <f t="shared" si="1"/>
        <v>26138.575632000004</v>
      </c>
      <c r="I59" s="57"/>
      <c r="M59" s="71">
        <v>2.4</v>
      </c>
      <c r="N59" s="72">
        <v>1.8</v>
      </c>
      <c r="O59" s="60">
        <f>((((M59*2)+(N59*2))*MATERIALES!$C$13)+((M59*2)*MATERIALES!$C$6)+((N59*6)*MATERIALES!$C$15)+((N59*2)*MATERIALES!$C$25))*MATERIALES!$F$2</f>
        <v>7306.5283200000022</v>
      </c>
      <c r="P59" s="60">
        <f>(12*MATERIALES!$C$137)+(12*MATERIALES!$C$174)+((8*4)*MATERIALES!$C$145)+(((N59*2)+(M59*2))*MATERIALES!$C$149)+(4*MATERIALES!$C$148)+(((M59*5)*2)*MATERIALES!$C$147)+(4*MATERIALES!$C$146)+(1*MATERIALES!$C$151)+(4*MATERIALES!$C$150)+(6*MATERIALES!$C$161)</f>
        <v>2004.3171199999999</v>
      </c>
      <c r="Q59" s="76"/>
      <c r="R59" s="56">
        <f>((M59*MATERIALES!$C$22)*(N59/0.06))*MATERIALES!$F$2</f>
        <v>12595.564800000004</v>
      </c>
      <c r="S59" s="60">
        <f t="shared" si="2"/>
        <v>21906.410240000005</v>
      </c>
      <c r="T59" s="73">
        <f t="shared" si="3"/>
        <v>28478.333312000006</v>
      </c>
    </row>
    <row r="60" spans="1:20" ht="15.75" hidden="1" thickBot="1"/>
    <row r="61" spans="1:20" ht="15.75" hidden="1" thickBot="1"/>
    <row r="62" spans="1:20" ht="15.75" hidden="1" thickBot="1">
      <c r="C62" s="53" t="s">
        <v>835</v>
      </c>
      <c r="O62" s="53" t="s">
        <v>836</v>
      </c>
    </row>
    <row r="63" spans="1:20" ht="15.75" hidden="1" thickBot="1">
      <c r="C63" s="807">
        <v>1.3</v>
      </c>
      <c r="D63" s="808"/>
      <c r="E63" s="808"/>
      <c r="F63" s="809"/>
      <c r="H63" s="46" t="s">
        <v>163</v>
      </c>
      <c r="M63" s="32"/>
      <c r="N63" s="32"/>
      <c r="O63" s="807">
        <v>1.3</v>
      </c>
      <c r="P63" s="808"/>
      <c r="Q63" s="808"/>
      <c r="R63" s="809"/>
      <c r="S63" s="32"/>
      <c r="T63" s="46" t="s">
        <v>163</v>
      </c>
    </row>
    <row r="64" spans="1:20" ht="15.75" hidden="1" thickBot="1">
      <c r="A64" s="792" t="s">
        <v>175</v>
      </c>
      <c r="B64" s="793"/>
      <c r="C64" s="793"/>
      <c r="D64" s="793"/>
      <c r="E64" s="793"/>
      <c r="F64" s="793"/>
      <c r="G64" s="793"/>
      <c r="H64" s="794"/>
      <c r="M64" s="792" t="s">
        <v>180</v>
      </c>
      <c r="N64" s="793"/>
      <c r="O64" s="793"/>
      <c r="P64" s="793"/>
      <c r="Q64" s="793"/>
      <c r="R64" s="793"/>
      <c r="S64" s="793"/>
      <c r="T64" s="794"/>
    </row>
    <row r="65" spans="1:20" ht="15.75" hidden="1" thickBot="1">
      <c r="A65" s="36" t="s">
        <v>116</v>
      </c>
      <c r="B65" s="36" t="s">
        <v>117</v>
      </c>
      <c r="C65" s="36" t="s">
        <v>162</v>
      </c>
      <c r="D65" s="36" t="s">
        <v>119</v>
      </c>
      <c r="E65" s="36" t="s">
        <v>120</v>
      </c>
      <c r="F65" s="36" t="s">
        <v>169</v>
      </c>
      <c r="G65" s="36" t="s">
        <v>121</v>
      </c>
      <c r="H65" s="36" t="s">
        <v>122</v>
      </c>
      <c r="M65" s="36" t="s">
        <v>116</v>
      </c>
      <c r="N65" s="36" t="s">
        <v>117</v>
      </c>
      <c r="O65" s="36" t="s">
        <v>162</v>
      </c>
      <c r="P65" s="36" t="s">
        <v>119</v>
      </c>
      <c r="Q65" s="36" t="s">
        <v>120</v>
      </c>
      <c r="R65" s="36" t="s">
        <v>169</v>
      </c>
      <c r="S65" s="36" t="s">
        <v>121</v>
      </c>
      <c r="T65" s="36" t="s">
        <v>122</v>
      </c>
    </row>
    <row r="66" spans="1:20" ht="15.75" hidden="1" thickBot="1">
      <c r="A66" s="795"/>
      <c r="B66" s="796"/>
      <c r="C66" s="796"/>
      <c r="D66" s="796"/>
      <c r="E66" s="796"/>
      <c r="F66" s="796"/>
      <c r="G66" s="796"/>
      <c r="H66" s="797"/>
      <c r="M66" s="795"/>
      <c r="N66" s="796"/>
      <c r="O66" s="796"/>
      <c r="P66" s="796"/>
      <c r="Q66" s="796"/>
      <c r="R66" s="796"/>
      <c r="S66" s="796"/>
      <c r="T66" s="797"/>
    </row>
    <row r="67" spans="1:20" ht="15.75" hidden="1" thickBot="1">
      <c r="A67" s="40">
        <v>1.2</v>
      </c>
      <c r="B67" s="41">
        <v>2</v>
      </c>
      <c r="C67" s="47">
        <f>((((A67*2)+(B67*2))*MATERIALES!$C$13)+((A67*2)*MATERIALES!$C$6)+(A67*MATERIALES!$C$9)+((B67*4)*MATERIALES!$C$15)+(B67*MATERIALES!$C$25))*MATERIALES!$F$2</f>
        <v>5698.4054400000005</v>
      </c>
      <c r="D67" s="47">
        <f>(12*MATERIALES!$C$137)+(12*MATERIALES!$C$174)+((8*4)*MATERIALES!$C$145)+(((B67*2)+(A67*2))*MATERIALES!$C$149)+(4*MATERIALES!$C$148)+(((A67*5)*2)*MATERIALES!$C$147)+(4*MATERIALES!$C$146)+(1*MATERIALES!$C$151)+(2*MATERIALES!$C$150)+(6*MATERIALES!$C$161)</f>
        <v>1717.1315200000001</v>
      </c>
      <c r="E67" s="74"/>
      <c r="F67" s="54">
        <f>((A67*MATERIALES!$C$22)*(B67/0.06))*MATERIALES!$F$2</f>
        <v>6997.5360000000019</v>
      </c>
      <c r="G67" s="47">
        <f>SUM(C67:F67)</f>
        <v>14413.072960000001</v>
      </c>
      <c r="H67" s="49">
        <f t="shared" ref="H67:H72" si="4">(SUM(C67:F67)*$C$63)</f>
        <v>18736.994848000002</v>
      </c>
      <c r="M67" s="40">
        <v>1.2</v>
      </c>
      <c r="N67" s="41">
        <v>2</v>
      </c>
      <c r="O67" s="47">
        <f>((((M67*2)+(N67*2))*MATERIALES!$C$13)+((M67*2)*MATERIALES!$C$6)+(M67*MATERIALES!$C$9)+((N67*6)*MATERIALES!$C$15)+((N67*2)*MATERIALES!$C$25))*MATERIALES!$F$2</f>
        <v>7067.7734400000008</v>
      </c>
      <c r="P67" s="47">
        <f>(18*MATERIALES!$C$137)+(18*MATERIALES!$C$174)+((8*4)*MATERIALES!$C$145)+(((N67*2)+(M67*2))*MATERIALES!$C$149)+(4*MATERIALES!$C$148)+(((M67*5)*2)*MATERIALES!$C$147)+(4*MATERIALES!$C$146)+(1*MATERIALES!$C$151)+(4*MATERIALES!$C$150)+(9*MATERIALES!$C$161)</f>
        <v>2437.1651200000001</v>
      </c>
      <c r="Q67" s="74"/>
      <c r="R67" s="54">
        <f>((M67*MATERIALES!$C$22)*(N67/0.06))*MATERIALES!$F$2</f>
        <v>6997.5360000000019</v>
      </c>
      <c r="S67" s="47">
        <f>SUM(O67:R67)</f>
        <v>16502.474560000002</v>
      </c>
      <c r="T67" s="49">
        <f>(SUM(O67:R67)*$O$63)</f>
        <v>21453.216928000005</v>
      </c>
    </row>
    <row r="68" spans="1:20" ht="15.75" hidden="1" thickBot="1">
      <c r="A68" s="42">
        <v>1.5</v>
      </c>
      <c r="B68" s="37">
        <v>2</v>
      </c>
      <c r="C68" s="38">
        <f>((((A68*2)+(B68*2))*MATERIALES!$C$13)+((A68*2)*MATERIALES!$C$6)+(A68*MATERIALES!$C$9)+((B68*4)*MATERIALES!$C$15)+(B68*MATERIALES!$C$25))*MATERIALES!$F$2</f>
        <v>6202.7784000000011</v>
      </c>
      <c r="D68" s="38">
        <f>(12*MATERIALES!$C$137)+(12*MATERIALES!$C$174)+((8*4)*MATERIALES!$C$145)+(((B68*2)+(A68*2))*MATERIALES!$C$149)+(4*MATERIALES!$C$148)+(((A68*5)*2)*MATERIALES!$C$147)+(4*MATERIALES!$C$146)+(1*MATERIALES!$C$151)+(2*MATERIALES!$C$150)+(6*MATERIALES!$C$161)</f>
        <v>1724.6632</v>
      </c>
      <c r="E68" s="75"/>
      <c r="F68" s="55">
        <f>((A68*MATERIALES!$C$22)*(B68/0.06))*MATERIALES!$F$2</f>
        <v>8746.9200000000019</v>
      </c>
      <c r="G68" s="38">
        <f>SUM(C68:F68)</f>
        <v>16674.361600000004</v>
      </c>
      <c r="H68" s="43">
        <f t="shared" si="4"/>
        <v>21676.670080000007</v>
      </c>
      <c r="M68" s="42">
        <v>1.5</v>
      </c>
      <c r="N68" s="37">
        <v>2</v>
      </c>
      <c r="O68" s="38">
        <f>((((M68*2)+(N68*2))*MATERIALES!$C$13)+((M68*2)*MATERIALES!$C$6)+(M68*MATERIALES!$C$9)+((N68*6)*MATERIALES!$C$15)+((N68*2)*MATERIALES!$C$25))*MATERIALES!$F$2</f>
        <v>7572.1463999999996</v>
      </c>
      <c r="P68" s="38">
        <f>(18*MATERIALES!$C$137)+(18*MATERIALES!$C$174)+((8*4)*MATERIALES!$C$145)+(((N68*2)+(M68*2))*MATERIALES!$C$149)+(4*MATERIALES!$C$148)+(((M68*5)*2)*MATERIALES!$C$147)+(4*MATERIALES!$C$146)+(1*MATERIALES!$C$151)+(4*MATERIALES!$C$150)+(9*MATERIALES!$C$161)</f>
        <v>2444.6968000000002</v>
      </c>
      <c r="Q68" s="75"/>
      <c r="R68" s="39">
        <f>((M68*MATERIALES!$C$22)*(N68/0.06))*MATERIALES!$F$2</f>
        <v>8746.9200000000019</v>
      </c>
      <c r="S68" s="38">
        <f>SUM(O68:R68)</f>
        <v>18763.763200000001</v>
      </c>
      <c r="T68" s="43">
        <f t="shared" ref="T68:T72" si="5">(SUM(O68:R68)*$O$63)</f>
        <v>24392.892160000003</v>
      </c>
    </row>
    <row r="69" spans="1:20" ht="15.75" hidden="1" thickBot="1">
      <c r="A69" s="42">
        <v>1.8</v>
      </c>
      <c r="B69" s="37">
        <v>2</v>
      </c>
      <c r="C69" s="38">
        <f>((((A69*2)+(B69*2))*MATERIALES!$C$13)+((A69*2)*MATERIALES!$C$6)+(A69*MATERIALES!$C$9)+((B69*4)*MATERIALES!$C$15)+(B69*MATERIALES!$C$25))*MATERIALES!$F$2</f>
        <v>6707.1513600000008</v>
      </c>
      <c r="D69" s="38">
        <f>(12*MATERIALES!$C$137)+(12*MATERIALES!$C$174)+((8*4)*MATERIALES!$C$145)+(((B69*2)+(A69*2))*MATERIALES!$C$149)+(4*MATERIALES!$C$148)+(((A69*5)*2)*MATERIALES!$C$147)+(4*MATERIALES!$C$146)+(1*MATERIALES!$C$151)+(2*MATERIALES!$C$150)+(6*MATERIALES!$C$161)</f>
        <v>1732.19488</v>
      </c>
      <c r="E69" s="75"/>
      <c r="F69" s="55">
        <f>((A69*MATERIALES!$C$22)*(B69/0.06))*MATERIALES!$F$2</f>
        <v>10496.304000000002</v>
      </c>
      <c r="G69" s="38">
        <f t="shared" ref="G69:G72" si="6">SUM(C69:F69)</f>
        <v>18935.650240000003</v>
      </c>
      <c r="H69" s="43">
        <f t="shared" si="4"/>
        <v>24616.345312000005</v>
      </c>
      <c r="M69" s="42">
        <v>1.8</v>
      </c>
      <c r="N69" s="37">
        <v>2</v>
      </c>
      <c r="O69" s="38">
        <f>((((M69*2)+(N69*2))*MATERIALES!$C$13)+((M69*2)*MATERIALES!$C$6)+(M69*MATERIALES!$C$9)+((N69*6)*MATERIALES!$C$15)+((N69*2)*MATERIALES!$C$25))*MATERIALES!$F$2</f>
        <v>8076.5193600000011</v>
      </c>
      <c r="P69" s="38">
        <f>(18*MATERIALES!$C$137)+(18*MATERIALES!$C$174)+((8*4)*MATERIALES!$C$145)+(((N69*2)+(M69*2))*MATERIALES!$C$149)+(4*MATERIALES!$C$148)+(((M69*5)*2)*MATERIALES!$C$147)+(4*MATERIALES!$C$146)+(1*MATERIALES!$C$151)+(4*MATERIALES!$C$150)+(9*MATERIALES!$C$161)</f>
        <v>2452.2284799999998</v>
      </c>
      <c r="Q69" s="75"/>
      <c r="R69" s="39">
        <f>((M69*MATERIALES!$C$22)*(N69/0.06))*MATERIALES!$F$2</f>
        <v>10496.304000000002</v>
      </c>
      <c r="S69" s="38">
        <f t="shared" ref="S69:S72" si="7">SUM(O69:R69)</f>
        <v>21025.05184</v>
      </c>
      <c r="T69" s="43">
        <f t="shared" si="5"/>
        <v>27332.567392000001</v>
      </c>
    </row>
    <row r="70" spans="1:20" ht="15.75" hidden="1" thickBot="1">
      <c r="A70" s="42">
        <v>2</v>
      </c>
      <c r="B70" s="37">
        <v>2</v>
      </c>
      <c r="C70" s="38">
        <f>((((A70*2)+(B70*2))*MATERIALES!$C$13)+((A70*2)*MATERIALES!$C$6)+(A70*MATERIALES!$C$9)+((B70*4)*MATERIALES!$C$15)+(B70*MATERIALES!$C$25))*MATERIALES!$F$2</f>
        <v>7043.4000000000005</v>
      </c>
      <c r="D70" s="38">
        <f>(12*MATERIALES!$C$137)+(12*MATERIALES!$C$174)+((8*4)*MATERIALES!$C$145)+(((B70*2)+(A70*2))*MATERIALES!$C$149)+(4*MATERIALES!$C$148)+(((A70*5)*2)*MATERIALES!$C$147)+(4*MATERIALES!$C$146)+(1*MATERIALES!$C$151)+(2*MATERIALES!$C$150)+(6*MATERIALES!$C$161)</f>
        <v>1737.2160000000001</v>
      </c>
      <c r="E70" s="75"/>
      <c r="F70" s="55">
        <f>((A70*MATERIALES!$C$22)*(B70/0.06))*MATERIALES!$F$2</f>
        <v>11662.560000000001</v>
      </c>
      <c r="G70" s="38">
        <f t="shared" si="6"/>
        <v>20443.175999999999</v>
      </c>
      <c r="H70" s="43">
        <f t="shared" si="4"/>
        <v>26576.128799999999</v>
      </c>
      <c r="M70" s="42">
        <v>2</v>
      </c>
      <c r="N70" s="37">
        <v>2</v>
      </c>
      <c r="O70" s="38">
        <f>((((M70*2)+(N70*2))*MATERIALES!$C$13)+((M70*2)*MATERIALES!$C$6)+(M70*MATERIALES!$C$9)+((N70*6)*MATERIALES!$C$15)+((N70*2)*MATERIALES!$C$25))*MATERIALES!$F$2</f>
        <v>8412.768</v>
      </c>
      <c r="P70" s="38">
        <f>(18*MATERIALES!$C$137)+(18*MATERIALES!$C$174)+((8*4)*MATERIALES!$C$145)+(((N70*2)+(M70*2))*MATERIALES!$C$149)+(4*MATERIALES!$C$148)+(((M70*5)*2)*MATERIALES!$C$147)+(4*MATERIALES!$C$146)+(1*MATERIALES!$C$151)+(4*MATERIALES!$C$150)+(9*MATERIALES!$C$161)</f>
        <v>2457.2496000000001</v>
      </c>
      <c r="Q70" s="75"/>
      <c r="R70" s="39">
        <f>((M70*MATERIALES!$C$22)*(N70/0.06))*MATERIALES!$F$2</f>
        <v>11662.560000000001</v>
      </c>
      <c r="S70" s="38">
        <f t="shared" si="7"/>
        <v>22532.577600000001</v>
      </c>
      <c r="T70" s="43">
        <f t="shared" si="5"/>
        <v>29292.350880000002</v>
      </c>
    </row>
    <row r="71" spans="1:20" ht="15.75" hidden="1" thickBot="1">
      <c r="A71" s="42">
        <v>2.4</v>
      </c>
      <c r="B71" s="37">
        <v>2</v>
      </c>
      <c r="C71" s="38">
        <f>((((A71*2)+(B71*2))*MATERIALES!$C$13)+((A71*2)*MATERIALES!$C$6)+(A71*MATERIALES!$C$9)+((B71*4)*MATERIALES!$C$15)+(B71*MATERIALES!$C$25))*MATERIALES!$F$2</f>
        <v>7715.897280000001</v>
      </c>
      <c r="D71" s="38">
        <f>(12*MATERIALES!$C$137)+(12*MATERIALES!$C$174)+((8*4)*MATERIALES!$C$145)+(((B71*2)+(A71*2))*MATERIALES!$C$149)+(4*MATERIALES!$C$148)+(((A71*5)*2)*MATERIALES!$C$147)+(4*MATERIALES!$C$146)+(1*MATERIALES!$C$151)+(2*MATERIALES!$C$150)+(6*MATERIALES!$C$161)</f>
        <v>1747.2582400000001</v>
      </c>
      <c r="E71" s="75"/>
      <c r="F71" s="55">
        <f>((A71*MATERIALES!$C$22)*(B71/0.06))*MATERIALES!$F$2</f>
        <v>13995.072000000004</v>
      </c>
      <c r="G71" s="38">
        <f t="shared" si="6"/>
        <v>23458.227520000004</v>
      </c>
      <c r="H71" s="43">
        <f t="shared" si="4"/>
        <v>30495.695776000008</v>
      </c>
      <c r="M71" s="42">
        <v>2.4</v>
      </c>
      <c r="N71" s="37">
        <v>2</v>
      </c>
      <c r="O71" s="38">
        <f>((((M71*2)+(N71*2))*MATERIALES!$C$13)+((M71*2)*MATERIALES!$C$6)+(M71*MATERIALES!$C$9)+((N71*6)*MATERIALES!$C$15)+((N71*2)*MATERIALES!$C$25))*MATERIALES!$F$2</f>
        <v>9085.2652800000014</v>
      </c>
      <c r="P71" s="38">
        <f>(18*MATERIALES!$C$137)+(18*MATERIALES!$C$174)+((8*4)*MATERIALES!$C$145)+(((N71*2)+(M71*2))*MATERIALES!$C$149)+(4*MATERIALES!$C$148)+(((M71*5)*2)*MATERIALES!$C$147)+(4*MATERIALES!$C$146)+(1*MATERIALES!$C$151)+(4*MATERIALES!$C$150)+(9*MATERIALES!$C$161)</f>
        <v>2467.2918399999999</v>
      </c>
      <c r="Q71" s="75"/>
      <c r="R71" s="39">
        <f>((M71*MATERIALES!$C$22)*(N71/0.06))*MATERIALES!$F$2</f>
        <v>13995.072000000004</v>
      </c>
      <c r="S71" s="38">
        <f t="shared" si="7"/>
        <v>25547.629120000005</v>
      </c>
      <c r="T71" s="43">
        <f t="shared" si="5"/>
        <v>33211.917856000007</v>
      </c>
    </row>
    <row r="72" spans="1:20" ht="15.75" hidden="1" thickBot="1">
      <c r="A72" s="44">
        <v>2.4</v>
      </c>
      <c r="B72" s="45">
        <v>2</v>
      </c>
      <c r="C72" s="50">
        <f>((((A72*2)+(B72*2))*MATERIALES!$C$13)+((A72*2)*MATERIALES!$C$6)+(A72*MATERIALES!$C$9)+((B72*4)*MATERIALES!$C$15)+(B72*MATERIALES!$C$25))*MATERIALES!$F$2</f>
        <v>7715.897280000001</v>
      </c>
      <c r="D72" s="50">
        <f>(12*MATERIALES!$C$137)+(12*MATERIALES!$C$174)+((8*4)*MATERIALES!$C$145)+(((B72*2)+(A72*2))*MATERIALES!$C$149)+(4*MATERIALES!$C$148)+(((A72*5)*2)*MATERIALES!$C$147)+(4*MATERIALES!$C$146)+(1*MATERIALES!$C$151)+(2*MATERIALES!$C$150)+(6*MATERIALES!$C$161)</f>
        <v>1747.2582400000001</v>
      </c>
      <c r="E72" s="76"/>
      <c r="F72" s="56">
        <f>((A72*MATERIALES!$C$22)*(B72/0.06))*MATERIALES!$F$2</f>
        <v>13995.072000000004</v>
      </c>
      <c r="G72" s="50">
        <f t="shared" si="6"/>
        <v>23458.227520000004</v>
      </c>
      <c r="H72" s="52">
        <f t="shared" si="4"/>
        <v>30495.695776000008</v>
      </c>
      <c r="M72" s="44">
        <v>2.4</v>
      </c>
      <c r="N72" s="45">
        <v>2</v>
      </c>
      <c r="O72" s="50">
        <f>((((M72*2)+(N72*2))*MATERIALES!$C$13)+((M72*2)*MATERIALES!$C$6)+(M72*MATERIALES!$C$9)+((N72*6)*MATERIALES!$C$15)+((N72*2)*MATERIALES!$C$25))*MATERIALES!$F$2</f>
        <v>9085.2652800000014</v>
      </c>
      <c r="P72" s="50">
        <f>(18*MATERIALES!$C$137)+(18*MATERIALES!$C$174)+((8*4)*MATERIALES!$C$145)+(((N72*2)+(M72*2))*MATERIALES!$C$149)+(4*MATERIALES!$C$148)+(((M72*5)*2)*MATERIALES!$C$147)+(4*MATERIALES!$C$146)+(1*MATERIALES!$C$151)+(4*MATERIALES!$C$150)+(9*MATERIALES!$C$161)</f>
        <v>2467.2918399999999</v>
      </c>
      <c r="Q72" s="76"/>
      <c r="R72" s="51">
        <f>((M72*MATERIALES!$C$22)*(N72/0.06))*MATERIALES!$F$2</f>
        <v>13995.072000000004</v>
      </c>
      <c r="S72" s="50">
        <f t="shared" si="7"/>
        <v>25547.629120000005</v>
      </c>
      <c r="T72" s="52">
        <f t="shared" si="5"/>
        <v>33211.917856000007</v>
      </c>
    </row>
    <row r="73" spans="1:20" ht="15.75" hidden="1" thickBot="1"/>
    <row r="74" spans="1:20" ht="15.75" hidden="1" thickBot="1"/>
    <row r="75" spans="1:20" s="77" customFormat="1" ht="15.75" hidden="1" thickBot="1">
      <c r="A75" s="855" t="s">
        <v>182</v>
      </c>
      <c r="B75" s="856"/>
      <c r="C75" s="856"/>
      <c r="D75" s="856"/>
      <c r="E75" s="856"/>
      <c r="F75" s="856"/>
      <c r="G75" s="856"/>
      <c r="H75" s="856"/>
      <c r="I75" s="856"/>
      <c r="J75" s="856"/>
      <c r="K75" s="856"/>
      <c r="L75" s="856"/>
      <c r="M75" s="856"/>
      <c r="N75" s="856"/>
      <c r="O75" s="856"/>
      <c r="P75" s="856"/>
      <c r="Q75" s="856"/>
      <c r="R75" s="856"/>
      <c r="S75" s="856"/>
      <c r="T75" s="857"/>
    </row>
    <row r="76" spans="1:20" s="77" customFormat="1" ht="15.75" hidden="1" thickBot="1">
      <c r="A76" s="858"/>
      <c r="B76" s="859"/>
      <c r="C76" s="859"/>
      <c r="D76" s="859"/>
      <c r="E76" s="859"/>
      <c r="F76" s="859"/>
      <c r="G76" s="859"/>
      <c r="H76" s="859"/>
      <c r="I76" s="859"/>
      <c r="J76" s="859"/>
      <c r="K76" s="859"/>
      <c r="L76" s="859"/>
      <c r="M76" s="859"/>
      <c r="N76" s="859"/>
      <c r="O76" s="859"/>
      <c r="P76" s="859"/>
      <c r="Q76" s="859"/>
      <c r="R76" s="859"/>
      <c r="S76" s="859"/>
      <c r="T76" s="860"/>
    </row>
    <row r="77" spans="1:20" ht="15.75" hidden="1" thickBot="1"/>
    <row r="78" spans="1:20" ht="15.75" hidden="1" thickBot="1"/>
    <row r="79" spans="1:20" ht="15.75" hidden="1" thickBot="1">
      <c r="C79" s="807">
        <v>1.3</v>
      </c>
      <c r="D79" s="808"/>
      <c r="E79" s="808"/>
      <c r="F79" s="809"/>
      <c r="H79" s="46" t="s">
        <v>163</v>
      </c>
      <c r="M79" s="32"/>
      <c r="N79" s="32"/>
      <c r="O79" s="807">
        <v>1.3</v>
      </c>
      <c r="P79" s="808"/>
      <c r="Q79" s="808"/>
      <c r="R79" s="809"/>
      <c r="S79" s="32"/>
      <c r="T79" s="46" t="s">
        <v>163</v>
      </c>
    </row>
    <row r="80" spans="1:20" ht="15.75" hidden="1" thickBot="1">
      <c r="A80" s="792" t="s">
        <v>173</v>
      </c>
      <c r="B80" s="793"/>
      <c r="C80" s="793"/>
      <c r="D80" s="793"/>
      <c r="E80" s="793"/>
      <c r="F80" s="793"/>
      <c r="G80" s="793"/>
      <c r="H80" s="794"/>
      <c r="M80" s="792" t="s">
        <v>176</v>
      </c>
      <c r="N80" s="793"/>
      <c r="O80" s="793"/>
      <c r="P80" s="793"/>
      <c r="Q80" s="793"/>
      <c r="R80" s="793"/>
      <c r="S80" s="793"/>
      <c r="T80" s="794"/>
    </row>
    <row r="81" spans="1:20" ht="15.75" hidden="1" thickBot="1">
      <c r="A81" s="36" t="s">
        <v>116</v>
      </c>
      <c r="B81" s="36" t="s">
        <v>117</v>
      </c>
      <c r="C81" s="36" t="s">
        <v>162</v>
      </c>
      <c r="D81" s="36" t="s">
        <v>119</v>
      </c>
      <c r="E81" s="36" t="s">
        <v>120</v>
      </c>
      <c r="F81" s="36" t="s">
        <v>181</v>
      </c>
      <c r="G81" s="36" t="s">
        <v>121</v>
      </c>
      <c r="H81" s="36" t="s">
        <v>122</v>
      </c>
      <c r="M81" s="36" t="s">
        <v>116</v>
      </c>
      <c r="N81" s="36" t="s">
        <v>117</v>
      </c>
      <c r="O81" s="36" t="s">
        <v>162</v>
      </c>
      <c r="P81" s="36" t="s">
        <v>119</v>
      </c>
      <c r="Q81" s="36" t="s">
        <v>120</v>
      </c>
      <c r="R81" s="36" t="s">
        <v>181</v>
      </c>
      <c r="S81" s="36" t="s">
        <v>121</v>
      </c>
      <c r="T81" s="36" t="s">
        <v>122</v>
      </c>
    </row>
    <row r="82" spans="1:20" ht="15.75" hidden="1" thickBot="1">
      <c r="A82" s="795"/>
      <c r="B82" s="796"/>
      <c r="C82" s="796"/>
      <c r="D82" s="796"/>
      <c r="E82" s="796"/>
      <c r="F82" s="796"/>
      <c r="G82" s="796"/>
      <c r="H82" s="797"/>
      <c r="M82" s="795"/>
      <c r="N82" s="796"/>
      <c r="O82" s="796"/>
      <c r="P82" s="796"/>
      <c r="Q82" s="796"/>
      <c r="R82" s="796"/>
      <c r="S82" s="796"/>
      <c r="T82" s="797"/>
    </row>
    <row r="83" spans="1:20" ht="15.75" hidden="1" thickBot="1">
      <c r="A83" s="40">
        <v>0.6</v>
      </c>
      <c r="B83" s="41">
        <v>0.4</v>
      </c>
      <c r="C83" s="47">
        <f>((((A83*2)+(B83*2))*MATERIALES!$C$13)+((A83*2)*MATERIALES!$C$6)+((B83*4)*MATERIALES!$C$15)+(B83*MATERIALES!$C$25))*MATERIALES!$F$2</f>
        <v>1426.50144</v>
      </c>
      <c r="D83" s="58">
        <f>(8*MATERIALES!$C$137)+(8*MATERIALES!$C$174)+((8*4)*MATERIALES!$C$145)+(((B83*2)+(A83*2))*MATERIALES!$C$149)+(4*MATERIALES!$C$148)+(((A83*5)*2)*MATERIALES!$C$147)+(4*MATERIALES!$C$146)+(1*MATERIALES!$C$151)+(2*MATERIALES!$C$150)+(4*MATERIALES!$C$161)</f>
        <v>1356.5968000000003</v>
      </c>
      <c r="E83" s="74"/>
      <c r="F83" s="54">
        <f>(((A83*MATERIALES!$C$22)*(B83/0.06))*MATERIALES!$F$2)+((A83*MATERIALES!$C$29)*(B83/0.06))</f>
        <v>772.72209087893873</v>
      </c>
      <c r="G83" s="47">
        <f>SUM(C83:F83)</f>
        <v>3555.8203308789389</v>
      </c>
      <c r="H83" s="49">
        <f>(G83*$C$79)</f>
        <v>4622.5664301426204</v>
      </c>
      <c r="M83" s="65">
        <v>0.6</v>
      </c>
      <c r="N83" s="66">
        <v>0.4</v>
      </c>
      <c r="O83" s="58">
        <f>((((M83*2)+(N83*2))*MATERIALES!$C$13)+((M83*2)*MATERIALES!$C$6)+((N83*6)*MATERIALES!$C$15)+(N83*MATERIALES!$C$25))*MATERIALES!$F$2</f>
        <v>1629.3513600000001</v>
      </c>
      <c r="P83" s="58">
        <f>(12*MATERIALES!$C$137)+(12*MATERIALES!$C$174)+((8*4)*MATERIALES!$C$145)+(((N83*2)+(M83*2))*MATERIALES!$C$149)+(4*MATERIALES!$C$148)+(((M83*5)*2)*MATERIALES!$C$147)+(4*MATERIALES!$C$146)+(1*MATERIALES!$C$151)+(4*MATERIALES!$C$150)+(6*MATERIALES!$C$161)</f>
        <v>1923.9792</v>
      </c>
      <c r="Q83" s="74"/>
      <c r="R83" s="54">
        <f>(((M83*MATERIALES!$C$22)*(N83/0.06))*MATERIALES!$F$2)+((M83*MATERIALES!$C$29)*(N83/0.06))</f>
        <v>772.72209087893873</v>
      </c>
      <c r="S83" s="58">
        <f>SUM(O83:R83)</f>
        <v>4326.0526508789389</v>
      </c>
      <c r="T83" s="67">
        <f>(S83*$O$79)</f>
        <v>5623.868446142621</v>
      </c>
    </row>
    <row r="84" spans="1:20" ht="15.75" hidden="1" thickBot="1">
      <c r="A84" s="42">
        <v>0.6</v>
      </c>
      <c r="B84" s="37">
        <v>0.6</v>
      </c>
      <c r="C84" s="38">
        <f>((((A84*2)+(B84*2))*MATERIALES!$C$13)+((A84*2)*MATERIALES!$C$6)+((B84*4)*MATERIALES!$C$15)+(B84*MATERIALES!$C$25))*MATERIALES!$F$2</f>
        <v>1794.5928000000001</v>
      </c>
      <c r="D84" s="59">
        <f>(8*MATERIALES!$C$137)+(8*MATERIALES!$C$174)+((8*4)*MATERIALES!$C$145)+(((B84*2)+(A84*2))*MATERIALES!$C$149)+(4*MATERIALES!$C$148)+(((A84*5)*2)*MATERIALES!$C$147)+(4*MATERIALES!$C$146)+(1*MATERIALES!$C$151)+(2*MATERIALES!$C$150)+(4*MATERIALES!$C$161)</f>
        <v>1361.6179200000001</v>
      </c>
      <c r="E84" s="75"/>
      <c r="F84" s="55">
        <f>(((A84*MATERIALES!$C$22)*(B84/0.06))*MATERIALES!$F$2)+((A84*MATERIALES!$C$29)*(B84/0.06))</f>
        <v>1159.0831363184082</v>
      </c>
      <c r="G84" s="38">
        <f t="shared" ref="G84:G134" si="8">SUM(C84:F84)</f>
        <v>4315.293856318408</v>
      </c>
      <c r="H84" s="43">
        <f>(G84*$C$79)</f>
        <v>5609.8820132139308</v>
      </c>
      <c r="M84" s="68">
        <v>0.6</v>
      </c>
      <c r="N84" s="69">
        <v>0.6</v>
      </c>
      <c r="O84" s="59">
        <f>((((M84*2)+(N84*2))*MATERIALES!$C$13)+((M84*2)*MATERIALES!$C$6)+((N84*6)*MATERIALES!$C$15)+(N84*MATERIALES!$C$25))*MATERIALES!$F$2</f>
        <v>2098.8676799999998</v>
      </c>
      <c r="P84" s="59">
        <f>(12*MATERIALES!$C$137)+(12*MATERIALES!$C$174)+((8*4)*MATERIALES!$C$145)+(((N84*2)+(M84*2))*MATERIALES!$C$149)+(4*MATERIALES!$C$148)+(((M84*5)*2)*MATERIALES!$C$147)+(4*MATERIALES!$C$146)+(1*MATERIALES!$C$151)+(4*MATERIALES!$C$150)+(6*MATERIALES!$C$161)</f>
        <v>1929.0003199999999</v>
      </c>
      <c r="Q84" s="75"/>
      <c r="R84" s="55">
        <f>(((M84*MATERIALES!$C$22)*(N84/0.06))*MATERIALES!$F$2)+((M84*MATERIALES!$C$29)*(N84/0.06))</f>
        <v>1159.0831363184082</v>
      </c>
      <c r="S84" s="59">
        <f t="shared" ref="S84:S133" si="9">SUM(O84:R84)</f>
        <v>5186.9511363184074</v>
      </c>
      <c r="T84" s="70">
        <f t="shared" ref="T84:T136" si="10">(S84*$O$79)</f>
        <v>6743.0364772139301</v>
      </c>
    </row>
    <row r="85" spans="1:20" ht="15.75" hidden="1" thickBot="1">
      <c r="A85" s="42">
        <v>0.8</v>
      </c>
      <c r="B85" s="37">
        <v>0.4</v>
      </c>
      <c r="C85" s="38">
        <f>((((A85*2)+(B85*2))*MATERIALES!$C$13)+((A85*2)*MATERIALES!$C$6)+((B85*4)*MATERIALES!$C$15)+(B85*MATERIALES!$C$25))*MATERIALES!$F$2</f>
        <v>1656.6076800000003</v>
      </c>
      <c r="D85" s="59">
        <f>(8*MATERIALES!$C$137)+(8*MATERIALES!$C$174)+((8*4)*MATERIALES!$C$145)+(((B85*2)+(A85*2))*MATERIALES!$C$149)+(4*MATERIALES!$C$148)+(((A85*5)*2)*MATERIALES!$C$147)+(4*MATERIALES!$C$146)+(1*MATERIALES!$C$151)+(2*MATERIALES!$C$150)+(4*MATERIALES!$C$161)</f>
        <v>1361.6179200000001</v>
      </c>
      <c r="E85" s="75"/>
      <c r="F85" s="55">
        <f>(((A85*MATERIALES!$C$22)*(B85/0.06))*MATERIALES!$F$2)+((A85*MATERIALES!$C$29)*(B85/0.06))</f>
        <v>1030.2961211719185</v>
      </c>
      <c r="G85" s="38">
        <f t="shared" si="8"/>
        <v>4048.5217211719191</v>
      </c>
      <c r="H85" s="43">
        <f t="shared" ref="H85:H136" si="11">(G85*$C$79)</f>
        <v>5263.0782375234949</v>
      </c>
      <c r="M85" s="68">
        <v>0.8</v>
      </c>
      <c r="N85" s="69">
        <v>0.4</v>
      </c>
      <c r="O85" s="59">
        <f>((((M85*2)+(N85*2))*MATERIALES!$C$13)+((M85*2)*MATERIALES!$C$6)+((N85*6)*MATERIALES!$C$15)+(N85*MATERIALES!$C$25))*MATERIALES!$F$2</f>
        <v>1859.4576000000004</v>
      </c>
      <c r="P85" s="59">
        <f>(12*MATERIALES!$C$137)+(12*MATERIALES!$C$174)+((8*4)*MATERIALES!$C$145)+(((N85*2)+(M85*2))*MATERIALES!$C$149)+(4*MATERIALES!$C$148)+(((M85*5)*2)*MATERIALES!$C$147)+(4*MATERIALES!$C$146)+(1*MATERIALES!$C$151)+(4*MATERIALES!$C$150)+(6*MATERIALES!$C$161)</f>
        <v>1929.0003199999999</v>
      </c>
      <c r="Q85" s="75"/>
      <c r="R85" s="55">
        <f>(((M85*MATERIALES!$C$22)*(N85/0.06))*MATERIALES!$F$2)+((M85*MATERIALES!$C$29)*(N85/0.06))</f>
        <v>1030.2961211719185</v>
      </c>
      <c r="S85" s="59">
        <f t="shared" si="9"/>
        <v>4818.7540411719183</v>
      </c>
      <c r="T85" s="70">
        <f t="shared" si="10"/>
        <v>6264.3802535234936</v>
      </c>
    </row>
    <row r="86" spans="1:20" ht="15.75" hidden="1" thickBot="1">
      <c r="A86" s="42">
        <v>0.8</v>
      </c>
      <c r="B86" s="37">
        <v>0.6</v>
      </c>
      <c r="C86" s="38">
        <f>((((A86*2)+(B86*2))*MATERIALES!$C$13)+((A86*2)*MATERIALES!$C$6)+((B86*4)*MATERIALES!$C$15)+(B86*MATERIALES!$C$25))*MATERIALES!$F$2</f>
        <v>2024.69904</v>
      </c>
      <c r="D86" s="59">
        <f>(8*MATERIALES!$C$137)+(8*MATERIALES!$C$174)+((8*4)*MATERIALES!$C$145)+(((B86*2)+(A86*2))*MATERIALES!$C$149)+(4*MATERIALES!$C$148)+(((A86*5)*2)*MATERIALES!$C$147)+(4*MATERIALES!$C$146)+(1*MATERIALES!$C$151)+(2*MATERIALES!$C$150)+(4*MATERIALES!$C$161)</f>
        <v>1366.63904</v>
      </c>
      <c r="E86" s="75"/>
      <c r="F86" s="55">
        <f>(((A86*MATERIALES!$C$22)*(B86/0.06))*MATERIALES!$F$2)+((A86*MATERIALES!$C$29)*(B86/0.06))</f>
        <v>1545.4441817578775</v>
      </c>
      <c r="G86" s="38">
        <f t="shared" si="8"/>
        <v>4936.7822617578777</v>
      </c>
      <c r="H86" s="43">
        <f t="shared" si="11"/>
        <v>6417.8169402852409</v>
      </c>
      <c r="M86" s="68">
        <v>0.8</v>
      </c>
      <c r="N86" s="69">
        <v>0.6</v>
      </c>
      <c r="O86" s="59">
        <f>((((M86*2)+(N86*2))*MATERIALES!$C$13)+((M86*2)*MATERIALES!$C$6)+((N86*6)*MATERIALES!$C$15)+(N86*MATERIALES!$C$25))*MATERIALES!$F$2</f>
        <v>2328.9739199999999</v>
      </c>
      <c r="P86" s="59">
        <f>(12*MATERIALES!$C$137)+(12*MATERIALES!$C$174)+((8*4)*MATERIALES!$C$145)+(((N86*2)+(M86*2))*MATERIALES!$C$149)+(4*MATERIALES!$C$148)+(((M86*5)*2)*MATERIALES!$C$147)+(4*MATERIALES!$C$146)+(1*MATERIALES!$C$151)+(4*MATERIALES!$C$150)+(6*MATERIALES!$C$161)</f>
        <v>1934.02144</v>
      </c>
      <c r="Q86" s="75"/>
      <c r="R86" s="55">
        <f>(((M86*MATERIALES!$C$22)*(N86/0.06))*MATERIALES!$F$2)+((M86*MATERIALES!$C$29)*(N86/0.06))</f>
        <v>1545.4441817578775</v>
      </c>
      <c r="S86" s="59">
        <f t="shared" si="9"/>
        <v>5808.4395417578771</v>
      </c>
      <c r="T86" s="70">
        <f t="shared" si="10"/>
        <v>7550.9714042852402</v>
      </c>
    </row>
    <row r="87" spans="1:20" ht="15.75" hidden="1" thickBot="1">
      <c r="A87" s="42">
        <v>0.8</v>
      </c>
      <c r="B87" s="37">
        <v>0.8</v>
      </c>
      <c r="C87" s="38">
        <f>((((A87*2)+(B87*2))*MATERIALES!$C$13)+((A87*2)*MATERIALES!$C$6)+((B87*4)*MATERIALES!$C$15)+(B87*MATERIALES!$C$25))*MATERIALES!$F$2</f>
        <v>2392.7904000000003</v>
      </c>
      <c r="D87" s="59">
        <f>(8*MATERIALES!$C$137)+(8*MATERIALES!$C$174)+((8*4)*MATERIALES!$C$145)+(((B87*2)+(A87*2))*MATERIALES!$C$149)+(4*MATERIALES!$C$148)+(((A87*5)*2)*MATERIALES!$C$147)+(4*MATERIALES!$C$146)+(1*MATERIALES!$C$151)+(2*MATERIALES!$C$150)+(4*MATERIALES!$C$161)</f>
        <v>1371.6601599999999</v>
      </c>
      <c r="E87" s="75"/>
      <c r="F87" s="55">
        <f>(((A87*MATERIALES!$C$22)*(B87/0.06))*MATERIALES!$F$2)+((A87*MATERIALES!$C$29)*(B87/0.06))</f>
        <v>2060.5922423438369</v>
      </c>
      <c r="G87" s="38">
        <f t="shared" si="8"/>
        <v>5825.0428023438371</v>
      </c>
      <c r="H87" s="43">
        <f t="shared" si="11"/>
        <v>7572.5556430469887</v>
      </c>
      <c r="M87" s="68">
        <v>0.8</v>
      </c>
      <c r="N87" s="69">
        <v>0.8</v>
      </c>
      <c r="O87" s="59">
        <f>((((M87*2)+(N87*2))*MATERIALES!$C$13)+((M87*2)*MATERIALES!$C$6)+((N87*6)*MATERIALES!$C$15)+(N87*MATERIALES!$C$25))*MATERIALES!$F$2</f>
        <v>2798.4902400000005</v>
      </c>
      <c r="P87" s="59">
        <f>(12*MATERIALES!$C$137)+(12*MATERIALES!$C$174)+((8*4)*MATERIALES!$C$145)+(((N87*2)+(M87*2))*MATERIALES!$C$149)+(4*MATERIALES!$C$148)+(((M87*5)*2)*MATERIALES!$C$147)+(4*MATERIALES!$C$146)+(1*MATERIALES!$C$151)+(4*MATERIALES!$C$150)+(6*MATERIALES!$C$161)</f>
        <v>1939.0425600000001</v>
      </c>
      <c r="Q87" s="75"/>
      <c r="R87" s="55">
        <f>(((M87*MATERIALES!$C$22)*(N87/0.06))*MATERIALES!$F$2)+((M87*MATERIALES!$C$29)*(N87/0.06))</f>
        <v>2060.5922423438369</v>
      </c>
      <c r="S87" s="59">
        <f t="shared" si="9"/>
        <v>6798.1250423438378</v>
      </c>
      <c r="T87" s="70">
        <f t="shared" si="10"/>
        <v>8837.5625550469886</v>
      </c>
    </row>
    <row r="88" spans="1:20" ht="15.75" hidden="1" thickBot="1">
      <c r="A88" s="42">
        <v>1</v>
      </c>
      <c r="B88" s="37">
        <v>0.4</v>
      </c>
      <c r="C88" s="38">
        <f>((((A88*2)+(B88*2))*MATERIALES!$C$13)+((A88*2)*MATERIALES!$C$6)+((B88*4)*MATERIALES!$C$15)+(B88*MATERIALES!$C$25))*MATERIALES!$F$2</f>
        <v>1886.7139200000004</v>
      </c>
      <c r="D88" s="59">
        <f>(8*MATERIALES!$C$137)+(8*MATERIALES!$C$174)+((8*4)*MATERIALES!$C$145)+(((B88*2)+(A88*2))*MATERIALES!$C$149)+(4*MATERIALES!$C$148)+(((A88*5)*2)*MATERIALES!$C$147)+(4*MATERIALES!$C$146)+(1*MATERIALES!$C$151)+(2*MATERIALES!$C$150)+(4*MATERIALES!$C$161)</f>
        <v>1366.63904</v>
      </c>
      <c r="E88" s="75"/>
      <c r="F88" s="55">
        <f>(((A88*MATERIALES!$C$22)*(B88/0.06))*MATERIALES!$F$2)+((A88*MATERIALES!$C$29)*(B88/0.06))</f>
        <v>1287.8701514648981</v>
      </c>
      <c r="G88" s="38">
        <f t="shared" si="8"/>
        <v>4541.2231114648985</v>
      </c>
      <c r="H88" s="43">
        <f t="shared" si="11"/>
        <v>5903.5900449043684</v>
      </c>
      <c r="M88" s="68">
        <v>1</v>
      </c>
      <c r="N88" s="69">
        <v>0.4</v>
      </c>
      <c r="O88" s="59">
        <f>((((M88*2)+(N88*2))*MATERIALES!$C$13)+((M88*2)*MATERIALES!$C$6)+((N88*6)*MATERIALES!$C$15)+(N88*MATERIALES!$C$25))*MATERIALES!$F$2</f>
        <v>2089.5638400000003</v>
      </c>
      <c r="P88" s="59">
        <f>(12*MATERIALES!$C$137)+(12*MATERIALES!$C$174)+((8*4)*MATERIALES!$C$145)+(((N88*2)+(M88*2))*MATERIALES!$C$149)+(4*MATERIALES!$C$148)+(((M88*5)*2)*MATERIALES!$C$147)+(4*MATERIALES!$C$146)+(1*MATERIALES!$C$151)+(4*MATERIALES!$C$150)+(6*MATERIALES!$C$161)</f>
        <v>1934.02144</v>
      </c>
      <c r="Q88" s="75"/>
      <c r="R88" s="55">
        <f>(((M88*MATERIALES!$C$22)*(N88/0.06))*MATERIALES!$F$2)+((M88*MATERIALES!$C$29)*(N88/0.06))</f>
        <v>1287.8701514648981</v>
      </c>
      <c r="S88" s="59">
        <f t="shared" si="9"/>
        <v>5311.4554314648985</v>
      </c>
      <c r="T88" s="70">
        <f t="shared" si="10"/>
        <v>6904.892060904368</v>
      </c>
    </row>
    <row r="89" spans="1:20" ht="15.75" hidden="1" thickBot="1">
      <c r="A89" s="42">
        <v>1</v>
      </c>
      <c r="B89" s="37">
        <v>0.6</v>
      </c>
      <c r="C89" s="38">
        <f>((((A89*2)+(B89*2))*MATERIALES!$C$13)+((A89*2)*MATERIALES!$C$6)+((B89*4)*MATERIALES!$C$15)+(B89*MATERIALES!$C$25))*MATERIALES!$F$2</f>
        <v>2254.80528</v>
      </c>
      <c r="D89" s="59">
        <f>(8*MATERIALES!$C$137)+(8*MATERIALES!$C$174)+((8*4)*MATERIALES!$C$145)+(((B89*2)+(A89*2))*MATERIALES!$C$149)+(4*MATERIALES!$C$148)+(((A89*5)*2)*MATERIALES!$C$147)+(4*MATERIALES!$C$146)+(1*MATERIALES!$C$151)+(2*MATERIALES!$C$150)+(4*MATERIALES!$C$161)</f>
        <v>1371.6601599999999</v>
      </c>
      <c r="E89" s="75"/>
      <c r="F89" s="55">
        <f>(((A89*MATERIALES!$C$22)*(B89/0.06))*MATERIALES!$F$2)+((A89*MATERIALES!$C$29)*(B89/0.06))</f>
        <v>1931.8052271973465</v>
      </c>
      <c r="G89" s="38">
        <f t="shared" si="8"/>
        <v>5558.2706671973465</v>
      </c>
      <c r="H89" s="43">
        <f t="shared" si="11"/>
        <v>7225.751867356551</v>
      </c>
      <c r="M89" s="68">
        <v>1</v>
      </c>
      <c r="N89" s="69">
        <v>0.6</v>
      </c>
      <c r="O89" s="59">
        <f>((((M89*2)+(N89*2))*MATERIALES!$C$13)+((M89*2)*MATERIALES!$C$6)+((N89*6)*MATERIALES!$C$15)+(N89*MATERIALES!$C$25))*MATERIALES!$F$2</f>
        <v>2559.08016</v>
      </c>
      <c r="P89" s="59">
        <f>(12*MATERIALES!$C$137)+(12*MATERIALES!$C$174)+((8*4)*MATERIALES!$C$145)+(((N89*2)+(M89*2))*MATERIALES!$C$149)+(4*MATERIALES!$C$148)+(((M89*5)*2)*MATERIALES!$C$147)+(4*MATERIALES!$C$146)+(1*MATERIALES!$C$151)+(4*MATERIALES!$C$150)+(6*MATERIALES!$C$161)</f>
        <v>1939.0425600000001</v>
      </c>
      <c r="Q89" s="75"/>
      <c r="R89" s="55">
        <f>(((M89*MATERIALES!$C$22)*(N89/0.06))*MATERIALES!$F$2)+((M89*MATERIALES!$C$29)*(N89/0.06))</f>
        <v>1931.8052271973465</v>
      </c>
      <c r="S89" s="59">
        <f t="shared" si="9"/>
        <v>6429.9279471973468</v>
      </c>
      <c r="T89" s="70">
        <f t="shared" si="10"/>
        <v>8358.9063313565512</v>
      </c>
    </row>
    <row r="90" spans="1:20" ht="15.75" hidden="1" thickBot="1">
      <c r="A90" s="42">
        <v>1</v>
      </c>
      <c r="B90" s="37">
        <v>0.8</v>
      </c>
      <c r="C90" s="38">
        <f>((((A90*2)+(B90*2))*MATERIALES!$C$13)+((A90*2)*MATERIALES!$C$6)+((B90*4)*MATERIALES!$C$15)+(B90*MATERIALES!$C$25))*MATERIALES!$F$2</f>
        <v>2622.8966400000004</v>
      </c>
      <c r="D90" s="59">
        <f>(8*MATERIALES!$C$137)+(8*MATERIALES!$C$174)+((8*4)*MATERIALES!$C$145)+(((B90*2)+(A90*2))*MATERIALES!$C$149)+(4*MATERIALES!$C$148)+(((A90*5)*2)*MATERIALES!$C$147)+(4*MATERIALES!$C$146)+(1*MATERIALES!$C$151)+(2*MATERIALES!$C$150)+(4*MATERIALES!$C$161)</f>
        <v>1376.6812800000002</v>
      </c>
      <c r="E90" s="75"/>
      <c r="F90" s="55">
        <f>(((A90*MATERIALES!$C$22)*(B90/0.06))*MATERIALES!$F$2)+((A90*MATERIALES!$C$29)*(B90/0.06))</f>
        <v>2575.7403029297961</v>
      </c>
      <c r="G90" s="38">
        <f t="shared" si="8"/>
        <v>6575.3182229297963</v>
      </c>
      <c r="H90" s="43">
        <f t="shared" si="11"/>
        <v>8547.9136898087363</v>
      </c>
      <c r="M90" s="68">
        <v>1</v>
      </c>
      <c r="N90" s="69">
        <v>0.8</v>
      </c>
      <c r="O90" s="59">
        <f>((((M90*2)+(N90*2))*MATERIALES!$C$13)+((M90*2)*MATERIALES!$C$6)+((N90*6)*MATERIALES!$C$15)+(N90*MATERIALES!$C$25))*MATERIALES!$F$2</f>
        <v>3028.5964800000006</v>
      </c>
      <c r="P90" s="59">
        <f>(12*MATERIALES!$C$137)+(12*MATERIALES!$C$174)+((8*4)*MATERIALES!$C$145)+(((N90*2)+(M90*2))*MATERIALES!$C$149)+(4*MATERIALES!$C$148)+(((M90*5)*2)*MATERIALES!$C$147)+(4*MATERIALES!$C$146)+(1*MATERIALES!$C$151)+(4*MATERIALES!$C$150)+(6*MATERIALES!$C$161)</f>
        <v>1944.06368</v>
      </c>
      <c r="Q90" s="75"/>
      <c r="R90" s="55">
        <f>(((M90*MATERIALES!$C$22)*(N90/0.06))*MATERIALES!$F$2)+((M90*MATERIALES!$C$29)*(N90/0.06))</f>
        <v>2575.7403029297961</v>
      </c>
      <c r="S90" s="59">
        <f t="shared" si="9"/>
        <v>7548.400462929796</v>
      </c>
      <c r="T90" s="70">
        <f t="shared" si="10"/>
        <v>9812.9206018087352</v>
      </c>
    </row>
    <row r="91" spans="1:20" ht="15.75" hidden="1" thickBot="1">
      <c r="A91" s="42">
        <v>1</v>
      </c>
      <c r="B91" s="37">
        <v>1</v>
      </c>
      <c r="C91" s="38">
        <f>((((A91*2)+(B91*2))*MATERIALES!$C$13)+((A91*2)*MATERIALES!$C$6)+((B91*4)*MATERIALES!$C$15)+(B91*MATERIALES!$C$25))*MATERIALES!$F$2</f>
        <v>2990.9880000000003</v>
      </c>
      <c r="D91" s="59">
        <f>(8*MATERIALES!$C$137)+(8*MATERIALES!$C$174)+((8*4)*MATERIALES!$C$145)+(((B91*2)+(A91*2))*MATERIALES!$C$149)+(4*MATERIALES!$C$148)+(((A91*5)*2)*MATERIALES!$C$147)+(4*MATERIALES!$C$146)+(1*MATERIALES!$C$151)+(2*MATERIALES!$C$150)+(4*MATERIALES!$C$161)</f>
        <v>1381.7024000000001</v>
      </c>
      <c r="E91" s="75"/>
      <c r="F91" s="55">
        <f>(((A91*MATERIALES!$C$22)*(B91/0.06))*MATERIALES!$F$2)+((A91*MATERIALES!$C$29)*(B91/0.06))</f>
        <v>3219.6753786622448</v>
      </c>
      <c r="G91" s="38">
        <f t="shared" si="8"/>
        <v>7592.3657786622452</v>
      </c>
      <c r="H91" s="43">
        <f t="shared" si="11"/>
        <v>9870.0755122609189</v>
      </c>
      <c r="M91" s="68">
        <v>1</v>
      </c>
      <c r="N91" s="69">
        <v>1</v>
      </c>
      <c r="O91" s="59">
        <f>((((M91*2)+(N91*2))*MATERIALES!$C$13)+((M91*2)*MATERIALES!$C$6)+((N91*6)*MATERIALES!$C$15)+(N91*MATERIALES!$C$25))*MATERIALES!$F$2</f>
        <v>3498.1127999999999</v>
      </c>
      <c r="P91" s="59">
        <f>(12*MATERIALES!$C$137)+(12*MATERIALES!$C$174)+((8*4)*MATERIALES!$C$145)+(((N91*2)+(M91*2))*MATERIALES!$C$149)+(4*MATERIALES!$C$148)+(((M91*5)*2)*MATERIALES!$C$147)+(4*MATERIALES!$C$146)+(1*MATERIALES!$C$151)+(4*MATERIALES!$C$150)+(6*MATERIALES!$C$161)</f>
        <v>1949.0847999999999</v>
      </c>
      <c r="Q91" s="75"/>
      <c r="R91" s="55">
        <f>(((M91*MATERIALES!$C$22)*(N91/0.06))*MATERIALES!$F$2)+((M91*MATERIALES!$C$29)*(N91/0.06))</f>
        <v>3219.6753786622448</v>
      </c>
      <c r="S91" s="59">
        <f t="shared" si="9"/>
        <v>8666.8729786622443</v>
      </c>
      <c r="T91" s="70">
        <f t="shared" si="10"/>
        <v>11266.934872260917</v>
      </c>
    </row>
    <row r="92" spans="1:20" ht="15.75" hidden="1" thickBot="1">
      <c r="A92" s="42">
        <v>1</v>
      </c>
      <c r="B92" s="37">
        <v>1.1000000000000001</v>
      </c>
      <c r="C92" s="38">
        <f>((((A92*2)+(B92*2))*MATERIALES!$C$13)+((A92*2)*MATERIALES!$C$6)+((B92*4)*MATERIALES!$C$15)+(B92*MATERIALES!$C$25))*MATERIALES!$F$2</f>
        <v>3175.0336800000005</v>
      </c>
      <c r="D92" s="59">
        <f>(8*MATERIALES!$C$137)+(8*MATERIALES!$C$174)+((8*4)*MATERIALES!$C$145)+(((B92*2)+(A92*2))*MATERIALES!$C$149)+(4*MATERIALES!$C$148)+(((A92*5)*2)*MATERIALES!$C$147)+(4*MATERIALES!$C$146)+(1*MATERIALES!$C$151)+(2*MATERIALES!$C$150)+(4*MATERIALES!$C$161)</f>
        <v>1384.2129599999998</v>
      </c>
      <c r="E92" s="75"/>
      <c r="F92" s="55">
        <f>(((A92*MATERIALES!$C$22)*(B92/0.06))*MATERIALES!$F$2)+((A92*MATERIALES!$C$29)*(B92/0.06))</f>
        <v>3541.6429165284699</v>
      </c>
      <c r="G92" s="38">
        <f t="shared" si="8"/>
        <v>8100.8895565284702</v>
      </c>
      <c r="H92" s="43">
        <f t="shared" si="11"/>
        <v>10531.156423487011</v>
      </c>
      <c r="M92" s="68">
        <v>1</v>
      </c>
      <c r="N92" s="69">
        <v>1.1000000000000001</v>
      </c>
      <c r="O92" s="59">
        <f>((((M92*2)+(N92*2))*MATERIALES!$C$13)+((M92*2)*MATERIALES!$C$6)+((N92*6)*MATERIALES!$C$15)+(N92*MATERIALES!$C$25))*MATERIALES!$F$2</f>
        <v>3732.8709600000007</v>
      </c>
      <c r="P92" s="59">
        <f>(12*MATERIALES!$C$137)+(12*MATERIALES!$C$174)+((8*4)*MATERIALES!$C$145)+(((N92*2)+(M92*2))*MATERIALES!$C$149)+(4*MATERIALES!$C$148)+(((M92*5)*2)*MATERIALES!$C$147)+(4*MATERIALES!$C$146)+(1*MATERIALES!$C$151)+(4*MATERIALES!$C$150)+(6*MATERIALES!$C$161)</f>
        <v>1951.59536</v>
      </c>
      <c r="Q92" s="75"/>
      <c r="R92" s="55">
        <f>(((M92*MATERIALES!$C$22)*(N92/0.06))*MATERIALES!$F$2)+((M92*MATERIALES!$C$29)*(N92/0.06))</f>
        <v>3541.6429165284699</v>
      </c>
      <c r="S92" s="59">
        <f t="shared" si="9"/>
        <v>9226.1092365284712</v>
      </c>
      <c r="T92" s="70">
        <f t="shared" si="10"/>
        <v>11993.942007487012</v>
      </c>
    </row>
    <row r="93" spans="1:20" ht="15.75" hidden="1" thickBot="1">
      <c r="A93" s="42">
        <v>1</v>
      </c>
      <c r="B93" s="37">
        <v>1.2</v>
      </c>
      <c r="C93" s="38">
        <f>((((A93*2)+(B93*2))*MATERIALES!$C$13)+((A93*2)*MATERIALES!$C$6)+((B93*4)*MATERIALES!$C$15)+(B93*MATERIALES!$C$25))*MATERIALES!$F$2</f>
        <v>3359.0793599999997</v>
      </c>
      <c r="D93" s="59">
        <f>(8*MATERIALES!$C$137)+(8*MATERIALES!$C$174)+((8*4)*MATERIALES!$C$145)+(((B93*2)+(A93*2))*MATERIALES!$C$149)+(4*MATERIALES!$C$148)+(((A93*5)*2)*MATERIALES!$C$147)+(4*MATERIALES!$C$146)+(1*MATERIALES!$C$151)+(2*MATERIALES!$C$150)+(4*MATERIALES!$C$161)</f>
        <v>1386.72352</v>
      </c>
      <c r="E93" s="75"/>
      <c r="F93" s="55">
        <f>(((A93*MATERIALES!$C$22)*(B93/0.06))*MATERIALES!$F$2)+((A93*MATERIALES!$C$29)*(B93/0.06))</f>
        <v>3863.6104543946931</v>
      </c>
      <c r="G93" s="38">
        <f t="shared" si="8"/>
        <v>8609.4133343946924</v>
      </c>
      <c r="H93" s="43">
        <f t="shared" si="11"/>
        <v>11192.2373347131</v>
      </c>
      <c r="M93" s="68">
        <v>1</v>
      </c>
      <c r="N93" s="69">
        <v>1.2</v>
      </c>
      <c r="O93" s="59">
        <f>((((M93*2)+(N93*2))*MATERIALES!$C$13)+((M93*2)*MATERIALES!$C$6)+((N93*6)*MATERIALES!$C$15)+(N93*MATERIALES!$C$25))*MATERIALES!$F$2</f>
        <v>3967.6291199999996</v>
      </c>
      <c r="P93" s="59">
        <f>(12*MATERIALES!$C$137)+(12*MATERIALES!$C$174)+((8*4)*MATERIALES!$C$145)+(((N93*2)+(M93*2))*MATERIALES!$C$149)+(4*MATERIALES!$C$148)+(((M93*5)*2)*MATERIALES!$C$147)+(4*MATERIALES!$C$146)+(1*MATERIALES!$C$151)+(4*MATERIALES!$C$150)+(6*MATERIALES!$C$161)</f>
        <v>1954.10592</v>
      </c>
      <c r="Q93" s="75"/>
      <c r="R93" s="55">
        <f>(((M93*MATERIALES!$C$22)*(N93/0.06))*MATERIALES!$F$2)+((M93*MATERIALES!$C$29)*(N93/0.06))</f>
        <v>3863.6104543946931</v>
      </c>
      <c r="S93" s="59">
        <f t="shared" si="9"/>
        <v>9785.3454943946927</v>
      </c>
      <c r="T93" s="70">
        <f t="shared" si="10"/>
        <v>12720.949142713102</v>
      </c>
    </row>
    <row r="94" spans="1:20" ht="15.75" hidden="1" thickBot="1">
      <c r="A94" s="42">
        <v>1</v>
      </c>
      <c r="B94" s="37">
        <v>1.5</v>
      </c>
      <c r="C94" s="38">
        <f>((((A94*2)+(B94*2))*MATERIALES!$C$13)+((A94*2)*MATERIALES!$C$6)+((B94*4)*MATERIALES!$C$15)+(B94*MATERIALES!$C$25))*MATERIALES!$F$2</f>
        <v>3911.2164000000007</v>
      </c>
      <c r="D94" s="59">
        <f>(8*MATERIALES!$C$137)+(8*MATERIALES!$C$174)+((8*4)*MATERIALES!$C$145)+(((B94*2)+(A94*2))*MATERIALES!$C$149)+(4*MATERIALES!$C$148)+(((A94*5)*2)*MATERIALES!$C$147)+(4*MATERIALES!$C$146)+(1*MATERIALES!$C$151)+(2*MATERIALES!$C$150)+(4*MATERIALES!$C$161)</f>
        <v>1394.2552000000001</v>
      </c>
      <c r="E94" s="75"/>
      <c r="F94" s="55">
        <f>(((A94*MATERIALES!$C$22)*(B94/0.06))*MATERIALES!$F$2)+((A94*MATERIALES!$C$29)*(B94/0.06))</f>
        <v>4829.5130679933673</v>
      </c>
      <c r="G94" s="38">
        <f t="shared" si="8"/>
        <v>10134.984667993369</v>
      </c>
      <c r="H94" s="43">
        <f t="shared" si="11"/>
        <v>13175.48006839138</v>
      </c>
      <c r="M94" s="68">
        <v>1</v>
      </c>
      <c r="N94" s="69">
        <v>1.5</v>
      </c>
      <c r="O94" s="59">
        <f>((((M94*2)+(N94*2))*MATERIALES!$C$13)+((M94*2)*MATERIALES!$C$6)+((N94*6)*MATERIALES!$C$15)+(N94*MATERIALES!$C$25))*MATERIALES!$F$2</f>
        <v>4671.9036000000006</v>
      </c>
      <c r="P94" s="59">
        <f>(12*MATERIALES!$C$137)+(12*MATERIALES!$C$174)+((8*4)*MATERIALES!$C$145)+(((N94*2)+(M94*2))*MATERIALES!$C$149)+(4*MATERIALES!$C$148)+(((M94*5)*2)*MATERIALES!$C$147)+(4*MATERIALES!$C$146)+(1*MATERIALES!$C$151)+(4*MATERIALES!$C$150)+(6*MATERIALES!$C$161)</f>
        <v>1961.6376</v>
      </c>
      <c r="Q94" s="75"/>
      <c r="R94" s="55">
        <f>(((M94*MATERIALES!$C$22)*(N94/0.06))*MATERIALES!$F$2)+((M94*MATERIALES!$C$29)*(N94/0.06))</f>
        <v>4829.5130679933673</v>
      </c>
      <c r="S94" s="59">
        <f t="shared" si="9"/>
        <v>11463.054267993368</v>
      </c>
      <c r="T94" s="70">
        <f t="shared" si="10"/>
        <v>14901.970548391379</v>
      </c>
    </row>
    <row r="95" spans="1:20" ht="15.75" hidden="1" thickBot="1">
      <c r="A95" s="42">
        <v>1.2</v>
      </c>
      <c r="B95" s="37">
        <v>0.4</v>
      </c>
      <c r="C95" s="38">
        <f>((((A95*2)+(B95*2))*MATERIALES!$C$13)+((A95*2)*MATERIALES!$C$6)+((B95*4)*MATERIALES!$C$15)+(B95*MATERIALES!$C$25))*MATERIALES!$F$2</f>
        <v>2116.8201600000002</v>
      </c>
      <c r="D95" s="59">
        <f>(8*MATERIALES!$C$137)+(8*MATERIALES!$C$174)+((8*4)*MATERIALES!$C$145)+(((B95*2)+(A95*2))*MATERIALES!$C$149)+(4*MATERIALES!$C$148)+(((A95*5)*2)*MATERIALES!$C$147)+(4*MATERIALES!$C$146)+(1*MATERIALES!$C$151)+(2*MATERIALES!$C$150)+(4*MATERIALES!$C$161)</f>
        <v>1371.6601599999999</v>
      </c>
      <c r="E95" s="75"/>
      <c r="F95" s="55">
        <f>(((A95*MATERIALES!$C$22)*(B95/0.06))*MATERIALES!$F$2)+((A95*MATERIALES!$C$29)*(B95/0.06))</f>
        <v>1545.4441817578775</v>
      </c>
      <c r="G95" s="38">
        <f t="shared" si="8"/>
        <v>5033.9245017578778</v>
      </c>
      <c r="H95" s="43">
        <f t="shared" si="11"/>
        <v>6544.101852285241</v>
      </c>
      <c r="M95" s="68">
        <v>1.2</v>
      </c>
      <c r="N95" s="69">
        <v>0.4</v>
      </c>
      <c r="O95" s="59">
        <f>((((M95*2)+(N95*2))*MATERIALES!$C$13)+((M95*2)*MATERIALES!$C$6)+((N95*6)*MATERIALES!$C$15)+(N95*MATERIALES!$C$25))*MATERIALES!$F$2</f>
        <v>2319.6700800000003</v>
      </c>
      <c r="P95" s="59">
        <f>(12*MATERIALES!$C$137)+(12*MATERIALES!$C$174)+((8*4)*MATERIALES!$C$145)+(((N95*2)+(M95*2))*MATERIALES!$C$149)+(4*MATERIALES!$C$148)+(((M95*5)*2)*MATERIALES!$C$147)+(4*MATERIALES!$C$146)+(1*MATERIALES!$C$151)+(4*MATERIALES!$C$150)+(6*MATERIALES!$C$161)</f>
        <v>1939.0425600000001</v>
      </c>
      <c r="Q95" s="75"/>
      <c r="R95" s="55">
        <f>(((M95*MATERIALES!$C$22)*(N95/0.06))*MATERIALES!$F$2)+((M95*MATERIALES!$C$29)*(N95/0.06))</f>
        <v>1545.4441817578775</v>
      </c>
      <c r="S95" s="59">
        <f t="shared" si="9"/>
        <v>5804.1568217578779</v>
      </c>
      <c r="T95" s="70">
        <f t="shared" si="10"/>
        <v>7545.4038682852415</v>
      </c>
    </row>
    <row r="96" spans="1:20" ht="15.75" hidden="1" thickBot="1">
      <c r="A96" s="42">
        <v>1.2</v>
      </c>
      <c r="B96" s="37">
        <v>0.6</v>
      </c>
      <c r="C96" s="38">
        <f>((((A96*2)+(B96*2))*MATERIALES!$C$13)+((A96*2)*MATERIALES!$C$6)+((B96*4)*MATERIALES!$C$15)+(B96*MATERIALES!$C$25))*MATERIALES!$F$2</f>
        <v>2484.9115200000001</v>
      </c>
      <c r="D96" s="59">
        <f>(8*MATERIALES!$C$137)+(8*MATERIALES!$C$174)+((8*4)*MATERIALES!$C$145)+(((B96*2)+(A96*2))*MATERIALES!$C$149)+(4*MATERIALES!$C$148)+(((A96*5)*2)*MATERIALES!$C$147)+(4*MATERIALES!$C$146)+(1*MATERIALES!$C$151)+(2*MATERIALES!$C$150)+(4*MATERIALES!$C$161)</f>
        <v>1376.6812800000002</v>
      </c>
      <c r="E96" s="75"/>
      <c r="F96" s="55">
        <f>(((A96*MATERIALES!$C$22)*(B96/0.06))*MATERIALES!$F$2)+((A96*MATERIALES!$C$29)*(B96/0.06))</f>
        <v>2318.1662726368163</v>
      </c>
      <c r="G96" s="38">
        <f t="shared" si="8"/>
        <v>6179.7590726368162</v>
      </c>
      <c r="H96" s="43">
        <f t="shared" si="11"/>
        <v>8033.6867944278611</v>
      </c>
      <c r="M96" s="68">
        <v>1.2</v>
      </c>
      <c r="N96" s="69">
        <v>0.6</v>
      </c>
      <c r="O96" s="59">
        <f>((((M96*2)+(N96*2))*MATERIALES!$C$13)+((M96*2)*MATERIALES!$C$6)+((N96*6)*MATERIALES!$C$15)+(N96*MATERIALES!$C$25))*MATERIALES!$F$2</f>
        <v>2789.1864000000005</v>
      </c>
      <c r="P96" s="59">
        <f>(12*MATERIALES!$C$137)+(12*MATERIALES!$C$174)+((8*4)*MATERIALES!$C$145)+(((N96*2)+(M96*2))*MATERIALES!$C$149)+(4*MATERIALES!$C$148)+(((M96*5)*2)*MATERIALES!$C$147)+(4*MATERIALES!$C$146)+(1*MATERIALES!$C$151)+(4*MATERIALES!$C$150)+(6*MATERIALES!$C$161)</f>
        <v>1944.06368</v>
      </c>
      <c r="Q96" s="75"/>
      <c r="R96" s="55">
        <f>(((M96*MATERIALES!$C$22)*(N96/0.06))*MATERIALES!$F$2)+((M96*MATERIALES!$C$29)*(N96/0.06))</f>
        <v>2318.1662726368163</v>
      </c>
      <c r="S96" s="59">
        <f t="shared" si="9"/>
        <v>7051.4163526368175</v>
      </c>
      <c r="T96" s="70">
        <f t="shared" si="10"/>
        <v>9166.8412584278631</v>
      </c>
    </row>
    <row r="97" spans="1:20" ht="15.75" hidden="1" thickBot="1">
      <c r="A97" s="42">
        <v>1.2</v>
      </c>
      <c r="B97" s="37">
        <v>0.8</v>
      </c>
      <c r="C97" s="38">
        <f>((((A97*2)+(B97*2))*MATERIALES!$C$13)+((A97*2)*MATERIALES!$C$6)+((B97*4)*MATERIALES!$C$15)+(B97*MATERIALES!$C$25))*MATERIALES!$F$2</f>
        <v>2853.00288</v>
      </c>
      <c r="D97" s="59">
        <f>(8*MATERIALES!$C$137)+(8*MATERIALES!$C$174)+((8*4)*MATERIALES!$C$145)+(((B97*2)+(A97*2))*MATERIALES!$C$149)+(4*MATERIALES!$C$148)+(((A97*5)*2)*MATERIALES!$C$147)+(4*MATERIALES!$C$146)+(1*MATERIALES!$C$151)+(2*MATERIALES!$C$150)+(4*MATERIALES!$C$161)</f>
        <v>1381.7024000000001</v>
      </c>
      <c r="E97" s="75"/>
      <c r="F97" s="55">
        <f>(((A97*MATERIALES!$C$22)*(B97/0.06))*MATERIALES!$F$2)+((A97*MATERIALES!$C$29)*(B97/0.06))</f>
        <v>3090.8883635157549</v>
      </c>
      <c r="G97" s="38">
        <f t="shared" si="8"/>
        <v>7325.5936435157546</v>
      </c>
      <c r="H97" s="43">
        <f t="shared" si="11"/>
        <v>9523.2717365704812</v>
      </c>
      <c r="M97" s="68">
        <v>1.2</v>
      </c>
      <c r="N97" s="69">
        <v>0.8</v>
      </c>
      <c r="O97" s="59">
        <f>((((M97*2)+(N97*2))*MATERIALES!$C$13)+((M97*2)*MATERIALES!$C$6)+((N97*6)*MATERIALES!$C$15)+(N97*MATERIALES!$C$25))*MATERIALES!$F$2</f>
        <v>3258.7027200000002</v>
      </c>
      <c r="P97" s="59">
        <f>(12*MATERIALES!$C$137)+(12*MATERIALES!$C$174)+((8*4)*MATERIALES!$C$145)+(((N97*2)+(M97*2))*MATERIALES!$C$149)+(4*MATERIALES!$C$148)+(((M97*5)*2)*MATERIALES!$C$147)+(4*MATERIALES!$C$146)+(1*MATERIALES!$C$151)+(4*MATERIALES!$C$150)+(6*MATERIALES!$C$161)</f>
        <v>1949.0847999999999</v>
      </c>
      <c r="Q97" s="75"/>
      <c r="R97" s="55">
        <f>(((M97*MATERIALES!$C$22)*(N97/0.06))*MATERIALES!$F$2)+((M97*MATERIALES!$C$29)*(N97/0.06))</f>
        <v>3090.8883635157549</v>
      </c>
      <c r="S97" s="59">
        <f t="shared" si="9"/>
        <v>8298.6758835157543</v>
      </c>
      <c r="T97" s="70">
        <f t="shared" si="10"/>
        <v>10788.278648570482</v>
      </c>
    </row>
    <row r="98" spans="1:20" ht="15.75" hidden="1" thickBot="1">
      <c r="A98" s="42">
        <v>1.2</v>
      </c>
      <c r="B98" s="37">
        <v>1</v>
      </c>
      <c r="C98" s="38">
        <f>((((A98*2)+(B98*2))*MATERIALES!$C$13)+((A98*2)*MATERIALES!$C$6)+((B98*4)*MATERIALES!$C$15)+(B98*MATERIALES!$C$25))*MATERIALES!$F$2</f>
        <v>3221.0942400000004</v>
      </c>
      <c r="D98" s="59">
        <f>(8*MATERIALES!$C$137)+(8*MATERIALES!$C$174)+((8*4)*MATERIALES!$C$145)+(((B98*2)+(A98*2))*MATERIALES!$C$149)+(4*MATERIALES!$C$148)+(((A98*5)*2)*MATERIALES!$C$147)+(4*MATERIALES!$C$146)+(1*MATERIALES!$C$151)+(2*MATERIALES!$C$150)+(4*MATERIALES!$C$161)</f>
        <v>1386.72352</v>
      </c>
      <c r="E98" s="75"/>
      <c r="F98" s="55">
        <f>(((A98*MATERIALES!$C$22)*(B98/0.06))*MATERIALES!$F$2)+((A98*MATERIALES!$C$29)*(B98/0.06))</f>
        <v>3863.610454394694</v>
      </c>
      <c r="G98" s="38">
        <f t="shared" si="8"/>
        <v>8471.4282143946948</v>
      </c>
      <c r="H98" s="43">
        <f t="shared" si="11"/>
        <v>11012.856678713104</v>
      </c>
      <c r="M98" s="68">
        <v>1.2</v>
      </c>
      <c r="N98" s="69">
        <v>1</v>
      </c>
      <c r="O98" s="59">
        <f>((((M98*2)+(N98*2))*MATERIALES!$C$13)+((M98*2)*MATERIALES!$C$6)+((N98*6)*MATERIALES!$C$15)+(N98*MATERIALES!$C$25))*MATERIALES!$F$2</f>
        <v>3728.2190400000004</v>
      </c>
      <c r="P98" s="59">
        <f>(12*MATERIALES!$C$137)+(12*MATERIALES!$C$174)+((8*4)*MATERIALES!$C$145)+(((N98*2)+(M98*2))*MATERIALES!$C$149)+(4*MATERIALES!$C$148)+(((M98*5)*2)*MATERIALES!$C$147)+(4*MATERIALES!$C$146)+(1*MATERIALES!$C$151)+(4*MATERIALES!$C$150)+(6*MATERIALES!$C$161)</f>
        <v>1954.10592</v>
      </c>
      <c r="Q98" s="75"/>
      <c r="R98" s="55">
        <f>(((M98*MATERIALES!$C$22)*(N98/0.06))*MATERIALES!$F$2)+((M98*MATERIALES!$C$29)*(N98/0.06))</f>
        <v>3863.610454394694</v>
      </c>
      <c r="S98" s="59">
        <f t="shared" si="9"/>
        <v>9545.9354143946948</v>
      </c>
      <c r="T98" s="70">
        <f t="shared" si="10"/>
        <v>12409.716038713104</v>
      </c>
    </row>
    <row r="99" spans="1:20" ht="15.75" hidden="1" thickBot="1">
      <c r="A99" s="42">
        <v>1.2</v>
      </c>
      <c r="B99" s="37">
        <v>1.1000000000000001</v>
      </c>
      <c r="C99" s="38">
        <f>((((A99*2)+(B99*2))*MATERIALES!$C$13)+((A99*2)*MATERIALES!$C$6)+((B99*4)*MATERIALES!$C$15)+(B99*MATERIALES!$C$25))*MATERIALES!$F$2</f>
        <v>3405.1399200000001</v>
      </c>
      <c r="D99" s="59">
        <f>(8*MATERIALES!$C$137)+(8*MATERIALES!$C$174)+((8*4)*MATERIALES!$C$145)+(((B99*2)+(A99*2))*MATERIALES!$C$149)+(4*MATERIALES!$C$148)+(((A99*5)*2)*MATERIALES!$C$147)+(4*MATERIALES!$C$146)+(1*MATERIALES!$C$151)+(2*MATERIALES!$C$150)+(4*MATERIALES!$C$161)</f>
        <v>1389.2340800000002</v>
      </c>
      <c r="E99" s="75"/>
      <c r="F99" s="55">
        <f>(((A99*MATERIALES!$C$22)*(B99/0.06))*MATERIALES!$F$2)+((A99*MATERIALES!$C$29)*(B99/0.06))</f>
        <v>4249.9714998341642</v>
      </c>
      <c r="G99" s="38">
        <f t="shared" si="8"/>
        <v>9044.345499834164</v>
      </c>
      <c r="H99" s="43">
        <f t="shared" si="11"/>
        <v>11757.649149784414</v>
      </c>
      <c r="M99" s="68">
        <v>1.2</v>
      </c>
      <c r="N99" s="69">
        <v>1.1000000000000001</v>
      </c>
      <c r="O99" s="59">
        <f>((((M99*2)+(N99*2))*MATERIALES!$C$13)+((M99*2)*MATERIALES!$C$6)+((N99*6)*MATERIALES!$C$15)+(N99*MATERIALES!$C$25))*MATERIALES!$F$2</f>
        <v>3962.9772000000003</v>
      </c>
      <c r="P99" s="59">
        <f>(12*MATERIALES!$C$137)+(12*MATERIALES!$C$174)+((8*4)*MATERIALES!$C$145)+(((N99*2)+(M99*2))*MATERIALES!$C$149)+(4*MATERIALES!$C$148)+(((M99*5)*2)*MATERIALES!$C$147)+(4*MATERIALES!$C$146)+(1*MATERIALES!$C$151)+(4*MATERIALES!$C$150)+(6*MATERIALES!$C$161)</f>
        <v>1956.6164799999999</v>
      </c>
      <c r="Q99" s="75"/>
      <c r="R99" s="55">
        <f>(((M99*MATERIALES!$C$22)*(N99/0.06))*MATERIALES!$F$2)+((M99*MATERIALES!$C$29)*(N99/0.06))</f>
        <v>4249.9714998341642</v>
      </c>
      <c r="S99" s="59">
        <f t="shared" si="9"/>
        <v>10169.565179834164</v>
      </c>
      <c r="T99" s="70">
        <f t="shared" si="10"/>
        <v>13220.434733784414</v>
      </c>
    </row>
    <row r="100" spans="1:20" ht="15.75" hidden="1" thickBot="1">
      <c r="A100" s="42">
        <v>1.2</v>
      </c>
      <c r="B100" s="37">
        <v>1.2</v>
      </c>
      <c r="C100" s="38">
        <f>((((A100*2)+(B100*2))*MATERIALES!$C$13)+((A100*2)*MATERIALES!$C$6)+((B100*4)*MATERIALES!$C$15)+(B100*MATERIALES!$C$25))*MATERIALES!$F$2</f>
        <v>3589.1856000000002</v>
      </c>
      <c r="D100" s="59">
        <f>(8*MATERIALES!$C$137)+(8*MATERIALES!$C$174)+((8*4)*MATERIALES!$C$145)+(((B100*2)+(A100*2))*MATERIALES!$C$149)+(4*MATERIALES!$C$148)+(((A100*5)*2)*MATERIALES!$C$147)+(4*MATERIALES!$C$146)+(1*MATERIALES!$C$151)+(2*MATERIALES!$C$150)+(4*MATERIALES!$C$161)</f>
        <v>1391.7446399999999</v>
      </c>
      <c r="E100" s="75"/>
      <c r="F100" s="55">
        <f>(((A100*MATERIALES!$C$22)*(B100/0.06))*MATERIALES!$F$2)+((A100*MATERIALES!$C$29)*(B100/0.06))</f>
        <v>4636.3325452736326</v>
      </c>
      <c r="G100" s="38">
        <f t="shared" si="8"/>
        <v>9617.2627852736332</v>
      </c>
      <c r="H100" s="43">
        <f t="shared" si="11"/>
        <v>12502.441620855723</v>
      </c>
      <c r="M100" s="68">
        <v>1.2</v>
      </c>
      <c r="N100" s="69">
        <v>1.2</v>
      </c>
      <c r="O100" s="59">
        <f>((((M100*2)+(N100*2))*MATERIALES!$C$13)+((M100*2)*MATERIALES!$C$6)+((N100*6)*MATERIALES!$C$15)+(N100*MATERIALES!$C$25))*MATERIALES!$F$2</f>
        <v>4197.7353599999997</v>
      </c>
      <c r="P100" s="59">
        <f>(12*MATERIALES!$C$137)+(12*MATERIALES!$C$174)+((8*4)*MATERIALES!$C$145)+(((N100*2)+(M100*2))*MATERIALES!$C$149)+(4*MATERIALES!$C$148)+(((M100*5)*2)*MATERIALES!$C$147)+(4*MATERIALES!$C$146)+(1*MATERIALES!$C$151)+(4*MATERIALES!$C$150)+(6*MATERIALES!$C$161)</f>
        <v>1959.1270400000001</v>
      </c>
      <c r="Q100" s="75"/>
      <c r="R100" s="55">
        <f>(((M100*MATERIALES!$C$22)*(N100/0.06))*MATERIALES!$F$2)+((M100*MATERIALES!$C$29)*(N100/0.06))</f>
        <v>4636.3325452736326</v>
      </c>
      <c r="S100" s="59">
        <f t="shared" si="9"/>
        <v>10793.194945273633</v>
      </c>
      <c r="T100" s="70">
        <f t="shared" si="10"/>
        <v>14031.153428855723</v>
      </c>
    </row>
    <row r="101" spans="1:20" ht="15.75" hidden="1" thickBot="1">
      <c r="A101" s="42">
        <v>1.2</v>
      </c>
      <c r="B101" s="37">
        <v>1.5</v>
      </c>
      <c r="C101" s="38">
        <f>((((A101*2)+(B101*2))*MATERIALES!$C$13)+((A101*2)*MATERIALES!$C$6)+((B101*4)*MATERIALES!$C$15)+(B101*MATERIALES!$C$25))*MATERIALES!$F$2</f>
        <v>4141.3226400000003</v>
      </c>
      <c r="D101" s="59">
        <f>(8*MATERIALES!$C$137)+(8*MATERIALES!$C$174)+((8*4)*MATERIALES!$C$145)+(((B101*2)+(A101*2))*MATERIALES!$C$149)+(4*MATERIALES!$C$148)+(((A101*5)*2)*MATERIALES!$C$147)+(4*MATERIALES!$C$146)+(1*MATERIALES!$C$151)+(2*MATERIALES!$C$150)+(4*MATERIALES!$C$161)</f>
        <v>1399.2763199999999</v>
      </c>
      <c r="E101" s="75"/>
      <c r="F101" s="55">
        <f>(((A101*MATERIALES!$C$22)*(B101/0.06))*MATERIALES!$F$2)+((A101*MATERIALES!$C$29)*(B101/0.06))</f>
        <v>5795.4156815920396</v>
      </c>
      <c r="G101" s="38">
        <f t="shared" si="8"/>
        <v>11336.014641592039</v>
      </c>
      <c r="H101" s="43">
        <f t="shared" si="11"/>
        <v>14736.819034069651</v>
      </c>
      <c r="M101" s="68">
        <v>1.2</v>
      </c>
      <c r="N101" s="69">
        <v>1.5</v>
      </c>
      <c r="O101" s="59">
        <f>((((M101*2)+(N101*2))*MATERIALES!$C$13)+((M101*2)*MATERIALES!$C$6)+((N101*6)*MATERIALES!$C$15)+(N101*MATERIALES!$C$25))*MATERIALES!$F$2</f>
        <v>4902.0098400000006</v>
      </c>
      <c r="P101" s="59">
        <f>(12*MATERIALES!$C$137)+(12*MATERIALES!$C$174)+((8*4)*MATERIALES!$C$145)+(((N101*2)+(M101*2))*MATERIALES!$C$149)+(4*MATERIALES!$C$148)+(((M101*5)*2)*MATERIALES!$C$147)+(4*MATERIALES!$C$146)+(1*MATERIALES!$C$151)+(4*MATERIALES!$C$150)+(6*MATERIALES!$C$161)</f>
        <v>1966.6587200000001</v>
      </c>
      <c r="Q101" s="75"/>
      <c r="R101" s="55">
        <f>(((M101*MATERIALES!$C$22)*(N101/0.06))*MATERIALES!$F$2)+((M101*MATERIALES!$C$29)*(N101/0.06))</f>
        <v>5795.4156815920396</v>
      </c>
      <c r="S101" s="59">
        <f t="shared" si="9"/>
        <v>12664.084241592042</v>
      </c>
      <c r="T101" s="70">
        <f t="shared" si="10"/>
        <v>16463.309514069653</v>
      </c>
    </row>
    <row r="102" spans="1:20" ht="15.75" hidden="1" thickBot="1">
      <c r="A102" s="42">
        <v>1.2</v>
      </c>
      <c r="B102" s="37">
        <v>1.8</v>
      </c>
      <c r="C102" s="38">
        <f>((((A102*2)+(B102*2))*MATERIALES!$C$13)+((A102*2)*MATERIALES!$C$6)+((B102*4)*MATERIALES!$C$15)+(B102*MATERIALES!$C$25))*MATERIALES!$F$2</f>
        <v>4693.4596799999999</v>
      </c>
      <c r="D102" s="59">
        <f>(8*MATERIALES!$C$137)+(8*MATERIALES!$C$174)+((8*4)*MATERIALES!$C$145)+(((B102*2)+(A102*2))*MATERIALES!$C$149)+(4*MATERIALES!$C$148)+(((A102*5)*2)*MATERIALES!$C$147)+(4*MATERIALES!$C$146)+(1*MATERIALES!$C$151)+(2*MATERIALES!$C$150)+(4*MATERIALES!$C$161)</f>
        <v>1406.808</v>
      </c>
      <c r="E102" s="75"/>
      <c r="F102" s="55">
        <f>(((A102*MATERIALES!$C$22)*(B102/0.06))*MATERIALES!$F$2)+((A102*MATERIALES!$C$29)*(B102/0.06))</f>
        <v>6954.4988179104494</v>
      </c>
      <c r="G102" s="38">
        <f t="shared" si="8"/>
        <v>13054.766497910448</v>
      </c>
      <c r="H102" s="43">
        <f t="shared" si="11"/>
        <v>16971.196447283583</v>
      </c>
      <c r="M102" s="68">
        <v>1.5</v>
      </c>
      <c r="N102" s="69">
        <v>0.4</v>
      </c>
      <c r="O102" s="59">
        <f>((((M102*2)+(N102*2))*MATERIALES!$C$13)+((M102*2)*MATERIALES!$C$6)+((N102*6)*MATERIALES!$C$15)+(N102*MATERIALES!$C$25))*MATERIALES!$F$2</f>
        <v>2664.8294400000004</v>
      </c>
      <c r="P102" s="59">
        <f>(12*MATERIALES!$C$137)+(12*MATERIALES!$C$174)+((8*4)*MATERIALES!$C$145)+(((N102*2)+(M102*2))*MATERIALES!$C$149)+(4*MATERIALES!$C$148)+(((M102*5)*2)*MATERIALES!$C$147)+(4*MATERIALES!$C$146)+(1*MATERIALES!$C$151)+(4*MATERIALES!$C$150)+(6*MATERIALES!$C$161)</f>
        <v>1946.5742399999999</v>
      </c>
      <c r="Q102" s="75"/>
      <c r="R102" s="55">
        <f>(((M102*MATERIALES!$C$22)*(N102/0.06))*MATERIALES!$F$2)+((M102*MATERIALES!$C$29)*(N102/0.06))</f>
        <v>1931.805227197347</v>
      </c>
      <c r="S102" s="59">
        <f t="shared" si="9"/>
        <v>6543.2089071973478</v>
      </c>
      <c r="T102" s="70">
        <f t="shared" si="10"/>
        <v>8506.1715793565527</v>
      </c>
    </row>
    <row r="103" spans="1:20" ht="15.75" hidden="1" thickBot="1">
      <c r="A103" s="42">
        <v>1.5</v>
      </c>
      <c r="B103" s="37">
        <v>0.4</v>
      </c>
      <c r="C103" s="38">
        <f>((((A103*2)+(B103*2))*MATERIALES!$C$13)+((A103*2)*MATERIALES!$C$6)+((B103*4)*MATERIALES!$C$15)+(B103*MATERIALES!$C$25))*MATERIALES!$F$2</f>
        <v>2461.9795200000003</v>
      </c>
      <c r="D103" s="59">
        <f>(8*MATERIALES!$C$137)+(8*MATERIALES!$C$174)+((8*4)*MATERIALES!$C$145)+(((B103*2)+(A103*2))*MATERIALES!$C$149)+(4*MATERIALES!$C$148)+(((A103*5)*2)*MATERIALES!$C$147)+(4*MATERIALES!$C$146)+(1*MATERIALES!$C$151)+(2*MATERIALES!$C$150)+(4*MATERIALES!$C$161)</f>
        <v>1379.19184</v>
      </c>
      <c r="E103" s="75"/>
      <c r="F103" s="55">
        <f>(((A103*MATERIALES!$C$22)*(B103/0.06))*MATERIALES!$F$2)+((A103*MATERIALES!$C$29)*(B103/0.06))</f>
        <v>1931.805227197347</v>
      </c>
      <c r="G103" s="38">
        <f t="shared" si="8"/>
        <v>5772.9765871973468</v>
      </c>
      <c r="H103" s="43">
        <f t="shared" si="11"/>
        <v>7504.8695633565512</v>
      </c>
      <c r="M103" s="68">
        <v>1.5</v>
      </c>
      <c r="N103" s="69">
        <v>0.6</v>
      </c>
      <c r="O103" s="59">
        <f>((((M103*2)+(N103*2))*MATERIALES!$C$13)+((M103*2)*MATERIALES!$C$6)+((N103*6)*MATERIALES!$C$15)+(N103*MATERIALES!$C$25))*MATERIALES!$F$2</f>
        <v>3134.3457600000006</v>
      </c>
      <c r="P103" s="59">
        <f>(12*MATERIALES!$C$137)+(12*MATERIALES!$C$174)+((8*4)*MATERIALES!$C$145)+(((N103*2)+(M103*2))*MATERIALES!$C$149)+(4*MATERIALES!$C$148)+(((M103*5)*2)*MATERIALES!$C$147)+(4*MATERIALES!$C$146)+(1*MATERIALES!$C$151)+(4*MATERIALES!$C$150)+(6*MATERIALES!$C$161)</f>
        <v>1951.59536</v>
      </c>
      <c r="Q103" s="75"/>
      <c r="R103" s="55">
        <f>(((M103*MATERIALES!$C$22)*(N103/0.06))*MATERIALES!$F$2)+((M103*MATERIALES!$C$29)*(N103/0.06))</f>
        <v>2897.7078407960198</v>
      </c>
      <c r="S103" s="59">
        <f t="shared" si="9"/>
        <v>7983.6489607960202</v>
      </c>
      <c r="T103" s="70">
        <f t="shared" si="10"/>
        <v>10378.743649034826</v>
      </c>
    </row>
    <row r="104" spans="1:20" ht="15.75" hidden="1" thickBot="1">
      <c r="A104" s="42">
        <v>1.5</v>
      </c>
      <c r="B104" s="37">
        <v>0.6</v>
      </c>
      <c r="C104" s="38">
        <f>((((A104*2)+(B104*2))*MATERIALES!$C$13)+((A104*2)*MATERIALES!$C$6)+((B104*4)*MATERIALES!$C$15)+(B104*MATERIALES!$C$25))*MATERIALES!$F$2</f>
        <v>2830.0708800000007</v>
      </c>
      <c r="D104" s="59">
        <f>(8*MATERIALES!$C$137)+(8*MATERIALES!$C$174)+((8*4)*MATERIALES!$C$145)+(((B104*2)+(A104*2))*MATERIALES!$C$149)+(4*MATERIALES!$C$148)+(((A104*5)*2)*MATERIALES!$C$147)+(4*MATERIALES!$C$146)+(1*MATERIALES!$C$151)+(2*MATERIALES!$C$150)+(4*MATERIALES!$C$161)</f>
        <v>1384.2129599999998</v>
      </c>
      <c r="E104" s="75"/>
      <c r="F104" s="55">
        <f>(((A104*MATERIALES!$C$22)*(B104/0.06))*MATERIALES!$F$2)+((A104*MATERIALES!$C$29)*(B104/0.06))</f>
        <v>2897.7078407960198</v>
      </c>
      <c r="G104" s="38">
        <f t="shared" si="8"/>
        <v>7111.9916807960199</v>
      </c>
      <c r="H104" s="43">
        <f t="shared" si="11"/>
        <v>9245.5891850348253</v>
      </c>
      <c r="M104" s="68">
        <v>1.5</v>
      </c>
      <c r="N104" s="69">
        <v>0.8</v>
      </c>
      <c r="O104" s="59">
        <f>((((M104*2)+(N104*2))*MATERIALES!$C$13)+((M104*2)*MATERIALES!$C$6)+((N104*6)*MATERIALES!$C$15)+(N104*MATERIALES!$C$25))*MATERIALES!$F$2</f>
        <v>3603.8620800000003</v>
      </c>
      <c r="P104" s="59">
        <f>(12*MATERIALES!$C$137)+(12*MATERIALES!$C$174)+((8*4)*MATERIALES!$C$145)+(((N104*2)+(M104*2))*MATERIALES!$C$149)+(4*MATERIALES!$C$148)+(((M104*5)*2)*MATERIALES!$C$147)+(4*MATERIALES!$C$146)+(1*MATERIALES!$C$151)+(4*MATERIALES!$C$150)+(6*MATERIALES!$C$161)</f>
        <v>1956.6164799999999</v>
      </c>
      <c r="Q104" s="75"/>
      <c r="R104" s="55">
        <f>(((M104*MATERIALES!$C$22)*(N104/0.06))*MATERIALES!$F$2)+((M104*MATERIALES!$C$29)*(N104/0.06))</f>
        <v>3863.610454394694</v>
      </c>
      <c r="S104" s="59">
        <f t="shared" si="9"/>
        <v>9424.0890143946945</v>
      </c>
      <c r="T104" s="70">
        <f t="shared" si="10"/>
        <v>12251.315718713104</v>
      </c>
    </row>
    <row r="105" spans="1:20" ht="15.75" hidden="1" thickBot="1">
      <c r="A105" s="42">
        <v>1.5</v>
      </c>
      <c r="B105" s="37">
        <v>0.8</v>
      </c>
      <c r="C105" s="38">
        <f>((((A105*2)+(B105*2))*MATERIALES!$C$13)+((A105*2)*MATERIALES!$C$6)+((B105*4)*MATERIALES!$C$15)+(B105*MATERIALES!$C$25))*MATERIALES!$F$2</f>
        <v>3198.1622400000001</v>
      </c>
      <c r="D105" s="59">
        <f>(8*MATERIALES!$C$137)+(8*MATERIALES!$C$174)+((8*4)*MATERIALES!$C$145)+(((B105*2)+(A105*2))*MATERIALES!$C$149)+(4*MATERIALES!$C$148)+(((A105*5)*2)*MATERIALES!$C$147)+(4*MATERIALES!$C$146)+(1*MATERIALES!$C$151)+(2*MATERIALES!$C$150)+(4*MATERIALES!$C$161)</f>
        <v>1389.2340800000002</v>
      </c>
      <c r="E105" s="75"/>
      <c r="F105" s="55">
        <f>(((A105*MATERIALES!$C$22)*(B105/0.06))*MATERIALES!$F$2)+((A105*MATERIALES!$C$29)*(B105/0.06))</f>
        <v>3863.610454394694</v>
      </c>
      <c r="G105" s="38">
        <f t="shared" si="8"/>
        <v>8451.0067743946929</v>
      </c>
      <c r="H105" s="43">
        <f t="shared" si="11"/>
        <v>10986.308806713101</v>
      </c>
      <c r="M105" s="68">
        <v>1.5</v>
      </c>
      <c r="N105" s="69">
        <v>1</v>
      </c>
      <c r="O105" s="59">
        <f>((((M105*2)+(N105*2))*MATERIALES!$C$13)+((M105*2)*MATERIALES!$C$6)+((N105*6)*MATERIALES!$C$15)+(N105*MATERIALES!$C$25))*MATERIALES!$F$2</f>
        <v>4073.3784000000001</v>
      </c>
      <c r="P105" s="59">
        <f>(12*MATERIALES!$C$137)+(12*MATERIALES!$C$174)+((8*4)*MATERIALES!$C$145)+(((N105*2)+(M105*2))*MATERIALES!$C$149)+(4*MATERIALES!$C$148)+(((M105*5)*2)*MATERIALES!$C$147)+(4*MATERIALES!$C$146)+(1*MATERIALES!$C$151)+(4*MATERIALES!$C$150)+(6*MATERIALES!$C$161)</f>
        <v>1961.6376</v>
      </c>
      <c r="Q105" s="75"/>
      <c r="R105" s="55">
        <f>(((M105*MATERIALES!$C$22)*(N105/0.06))*MATERIALES!$F$2)+((M105*MATERIALES!$C$29)*(N105/0.06))</f>
        <v>4829.5130679933673</v>
      </c>
      <c r="S105" s="59">
        <f t="shared" si="9"/>
        <v>10864.529067993368</v>
      </c>
      <c r="T105" s="70">
        <f t="shared" si="10"/>
        <v>14123.887788391379</v>
      </c>
    </row>
    <row r="106" spans="1:20" ht="15.75" hidden="1" thickBot="1">
      <c r="A106" s="42">
        <v>1.5</v>
      </c>
      <c r="B106" s="37">
        <v>1</v>
      </c>
      <c r="C106" s="38">
        <f>((((A106*2)+(B106*2))*MATERIALES!$C$13)+((A106*2)*MATERIALES!$C$6)+((B106*4)*MATERIALES!$C$15)+(B106*MATERIALES!$C$25))*MATERIALES!$F$2</f>
        <v>3566.2536000000005</v>
      </c>
      <c r="D106" s="59">
        <f>(8*MATERIALES!$C$137)+(8*MATERIALES!$C$174)+((8*4)*MATERIALES!$C$145)+(((B106*2)+(A106*2))*MATERIALES!$C$149)+(4*MATERIALES!$C$148)+(((A106*5)*2)*MATERIALES!$C$147)+(4*MATERIALES!$C$146)+(1*MATERIALES!$C$151)+(2*MATERIALES!$C$150)+(4*MATERIALES!$C$161)</f>
        <v>1394.2552000000001</v>
      </c>
      <c r="E106" s="75"/>
      <c r="F106" s="55">
        <f>(((A106*MATERIALES!$C$22)*(B106/0.06))*MATERIALES!$F$2)+((A106*MATERIALES!$C$29)*(B106/0.06))</f>
        <v>4829.5130679933673</v>
      </c>
      <c r="G106" s="38">
        <f t="shared" si="8"/>
        <v>9790.0218679933678</v>
      </c>
      <c r="H106" s="43">
        <f t="shared" si="11"/>
        <v>12727.028428391379</v>
      </c>
      <c r="M106" s="68">
        <v>1.5</v>
      </c>
      <c r="N106" s="69">
        <v>1.1000000000000001</v>
      </c>
      <c r="O106" s="59">
        <f>((((M106*2)+(N106*2))*MATERIALES!$C$13)+((M106*2)*MATERIALES!$C$6)+((N106*6)*MATERIALES!$C$15)+(N106*MATERIALES!$C$25))*MATERIALES!$F$2</f>
        <v>4308.1365600000008</v>
      </c>
      <c r="P106" s="59">
        <f>(12*MATERIALES!$C$137)+(12*MATERIALES!$C$174)+((8*4)*MATERIALES!$C$145)+(((N106*2)+(M106*2))*MATERIALES!$C$149)+(4*MATERIALES!$C$148)+(((M106*5)*2)*MATERIALES!$C$147)+(4*MATERIALES!$C$146)+(1*MATERIALES!$C$151)+(4*MATERIALES!$C$150)+(6*MATERIALES!$C$161)</f>
        <v>1964.14816</v>
      </c>
      <c r="Q106" s="75"/>
      <c r="R106" s="55">
        <f>(((M106*MATERIALES!$C$22)*(N106/0.06))*MATERIALES!$F$2)+((M106*MATERIALES!$C$29)*(N106/0.06))</f>
        <v>5312.4643747927048</v>
      </c>
      <c r="S106" s="59">
        <f t="shared" si="9"/>
        <v>11584.749094792705</v>
      </c>
      <c r="T106" s="70">
        <f t="shared" si="10"/>
        <v>15060.173823230518</v>
      </c>
    </row>
    <row r="107" spans="1:20" ht="15.75" hidden="1" thickBot="1">
      <c r="A107" s="42">
        <v>1.5</v>
      </c>
      <c r="B107" s="37">
        <v>1.1000000000000001</v>
      </c>
      <c r="C107" s="38">
        <f>((((A107*2)+(B107*2))*MATERIALES!$C$13)+((A107*2)*MATERIALES!$C$6)+((B107*4)*MATERIALES!$C$15)+(B107*MATERIALES!$C$25))*MATERIALES!$F$2</f>
        <v>3750.2992800000002</v>
      </c>
      <c r="D107" s="59">
        <f>(8*MATERIALES!$C$137)+(8*MATERIALES!$C$174)+((8*4)*MATERIALES!$C$145)+(((B107*2)+(A107*2))*MATERIALES!$C$149)+(4*MATERIALES!$C$148)+(((A107*5)*2)*MATERIALES!$C$147)+(4*MATERIALES!$C$146)+(1*MATERIALES!$C$151)+(2*MATERIALES!$C$150)+(4*MATERIALES!$C$161)</f>
        <v>1396.7657600000002</v>
      </c>
      <c r="E107" s="75"/>
      <c r="F107" s="55">
        <f>(((A107*MATERIALES!$C$22)*(B107/0.06))*MATERIALES!$F$2)+((A107*MATERIALES!$C$29)*(B107/0.06))</f>
        <v>5312.4643747927048</v>
      </c>
      <c r="G107" s="38">
        <f t="shared" si="8"/>
        <v>10459.529414792705</v>
      </c>
      <c r="H107" s="43">
        <f t="shared" si="11"/>
        <v>13597.388239230517</v>
      </c>
      <c r="M107" s="68">
        <v>1.5</v>
      </c>
      <c r="N107" s="69">
        <v>1.2</v>
      </c>
      <c r="O107" s="59">
        <f>((((M107*2)+(N107*2))*MATERIALES!$C$13)+((M107*2)*MATERIALES!$C$6)+((N107*6)*MATERIALES!$C$15)+(N107*MATERIALES!$C$25))*MATERIALES!$F$2</f>
        <v>4542.8947200000002</v>
      </c>
      <c r="P107" s="59">
        <f>(12*MATERIALES!$C$137)+(12*MATERIALES!$C$174)+((8*4)*MATERIALES!$C$145)+(((N107*2)+(M107*2))*MATERIALES!$C$149)+(4*MATERIALES!$C$148)+(((M107*5)*2)*MATERIALES!$C$147)+(4*MATERIALES!$C$146)+(1*MATERIALES!$C$151)+(4*MATERIALES!$C$150)+(6*MATERIALES!$C$161)</f>
        <v>1966.6587200000001</v>
      </c>
      <c r="Q107" s="75"/>
      <c r="R107" s="55">
        <f>(((M107*MATERIALES!$C$22)*(N107/0.06))*MATERIALES!$F$2)+((M107*MATERIALES!$C$29)*(N107/0.06))</f>
        <v>5795.4156815920396</v>
      </c>
      <c r="S107" s="59">
        <f t="shared" si="9"/>
        <v>12304.969121592039</v>
      </c>
      <c r="T107" s="70">
        <f t="shared" si="10"/>
        <v>15996.459858069651</v>
      </c>
    </row>
    <row r="108" spans="1:20" ht="15.75" hidden="1" thickBot="1">
      <c r="A108" s="42">
        <v>1.5</v>
      </c>
      <c r="B108" s="37">
        <v>1.2</v>
      </c>
      <c r="C108" s="38">
        <f>((((A108*2)+(B108*2))*MATERIALES!$C$13)+((A108*2)*MATERIALES!$C$6)+((B108*4)*MATERIALES!$C$15)+(B108*MATERIALES!$C$25))*MATERIALES!$F$2</f>
        <v>3934.3449599999999</v>
      </c>
      <c r="D108" s="59">
        <f>(8*MATERIALES!$C$137)+(8*MATERIALES!$C$174)+((8*4)*MATERIALES!$C$145)+(((B108*2)+(A108*2))*MATERIALES!$C$149)+(4*MATERIALES!$C$148)+(((A108*5)*2)*MATERIALES!$C$147)+(4*MATERIALES!$C$146)+(1*MATERIALES!$C$151)+(2*MATERIALES!$C$150)+(4*MATERIALES!$C$161)</f>
        <v>1399.2763199999999</v>
      </c>
      <c r="E108" s="75"/>
      <c r="F108" s="55">
        <f>(((A108*MATERIALES!$C$22)*(B108/0.06))*MATERIALES!$F$2)+((A108*MATERIALES!$C$29)*(B108/0.06))</f>
        <v>5795.4156815920396</v>
      </c>
      <c r="G108" s="38">
        <f t="shared" si="8"/>
        <v>11129.036961592039</v>
      </c>
      <c r="H108" s="43">
        <f t="shared" si="11"/>
        <v>14467.748050069651</v>
      </c>
      <c r="M108" s="68">
        <v>1.5</v>
      </c>
      <c r="N108" s="69">
        <v>1.5</v>
      </c>
      <c r="O108" s="59">
        <f>((((M108*2)+(N108*2))*MATERIALES!$C$13)+((M108*2)*MATERIALES!$C$6)+((N108*6)*MATERIALES!$C$15)+(N108*MATERIALES!$C$25))*MATERIALES!$F$2</f>
        <v>5247.1692000000003</v>
      </c>
      <c r="P108" s="59">
        <f>(12*MATERIALES!$C$137)+(12*MATERIALES!$C$174)+((8*4)*MATERIALES!$C$145)+(((N108*2)+(M108*2))*MATERIALES!$C$149)+(4*MATERIALES!$C$148)+(((M108*5)*2)*MATERIALES!$C$147)+(4*MATERIALES!$C$146)+(1*MATERIALES!$C$151)+(4*MATERIALES!$C$150)+(6*MATERIALES!$C$161)</f>
        <v>1974.1904</v>
      </c>
      <c r="Q108" s="75"/>
      <c r="R108" s="55">
        <f>(((M108*MATERIALES!$C$22)*(N108/0.06))*MATERIALES!$F$2)+((M108*MATERIALES!$C$29)*(N108/0.06))</f>
        <v>7244.2696019900513</v>
      </c>
      <c r="S108" s="59">
        <f t="shared" si="9"/>
        <v>14465.62920199005</v>
      </c>
      <c r="T108" s="70">
        <f t="shared" si="10"/>
        <v>18805.317962587065</v>
      </c>
    </row>
    <row r="109" spans="1:20" ht="15.75" hidden="1" thickBot="1">
      <c r="A109" s="42">
        <v>1.5</v>
      </c>
      <c r="B109" s="37">
        <v>1.5</v>
      </c>
      <c r="C109" s="38">
        <f>((((A109*2)+(B109*2))*MATERIALES!$C$13)+((A109*2)*MATERIALES!$C$6)+((B109*4)*MATERIALES!$C$15)+(B109*MATERIALES!$C$25))*MATERIALES!$F$2</f>
        <v>4486.482</v>
      </c>
      <c r="D109" s="59">
        <f>(8*MATERIALES!$C$137)+(8*MATERIALES!$C$174)+((8*4)*MATERIALES!$C$145)+(((B109*2)+(A109*2))*MATERIALES!$C$149)+(4*MATERIALES!$C$148)+(((A109*5)*2)*MATERIALES!$C$147)+(4*MATERIALES!$C$146)+(1*MATERIALES!$C$151)+(2*MATERIALES!$C$150)+(4*MATERIALES!$C$161)</f>
        <v>1406.808</v>
      </c>
      <c r="E109" s="75"/>
      <c r="F109" s="55">
        <f>(((A109*MATERIALES!$C$22)*(B109/0.06))*MATERIALES!$F$2)+((A109*MATERIALES!$C$29)*(B109/0.06))</f>
        <v>7244.2696019900513</v>
      </c>
      <c r="G109" s="38">
        <f t="shared" si="8"/>
        <v>13137.559601990051</v>
      </c>
      <c r="H109" s="43">
        <f t="shared" si="11"/>
        <v>17078.827482587069</v>
      </c>
      <c r="I109" s="57"/>
      <c r="M109" s="68">
        <v>1.5</v>
      </c>
      <c r="N109" s="69">
        <v>1.8</v>
      </c>
      <c r="O109" s="59">
        <f>((((M109*2)+(N109*2))*MATERIALES!$C$13)+((M109*2)*MATERIALES!$C$6)+((N109*6)*MATERIALES!$C$15)+(N109*MATERIALES!$C$25))*MATERIALES!$F$2</f>
        <v>5951.4436800000012</v>
      </c>
      <c r="P109" s="59">
        <f>(12*MATERIALES!$C$137)+(12*MATERIALES!$C$174)+((8*4)*MATERIALES!$C$145)+(((N109*2)+(M109*2))*MATERIALES!$C$149)+(4*MATERIALES!$C$148)+(((M109*5)*2)*MATERIALES!$C$147)+(4*MATERIALES!$C$146)+(1*MATERIALES!$C$151)+(4*MATERIALES!$C$150)+(6*MATERIALES!$C$161)</f>
        <v>1981.72208</v>
      </c>
      <c r="Q109" s="75"/>
      <c r="R109" s="55">
        <f>(((M109*MATERIALES!$C$22)*(N109/0.06))*MATERIALES!$F$2)+((M109*MATERIALES!$C$29)*(N109/0.06))</f>
        <v>8693.1235223880612</v>
      </c>
      <c r="S109" s="59">
        <f t="shared" si="9"/>
        <v>16626.289282388061</v>
      </c>
      <c r="T109" s="70">
        <f t="shared" si="10"/>
        <v>21614.176067104479</v>
      </c>
    </row>
    <row r="110" spans="1:20" ht="15.75" hidden="1" thickBot="1">
      <c r="A110" s="42">
        <v>1.5</v>
      </c>
      <c r="B110" s="37">
        <v>1.8</v>
      </c>
      <c r="C110" s="38">
        <f>((((A110*2)+(B110*2))*MATERIALES!$C$13)+((A110*2)*MATERIALES!$C$6)+((B110*4)*MATERIALES!$C$15)+(B110*MATERIALES!$C$25))*MATERIALES!$F$2</f>
        <v>5038.6190400000005</v>
      </c>
      <c r="D110" s="59">
        <f>(8*MATERIALES!$C$137)+(8*MATERIALES!$C$174)+((8*4)*MATERIALES!$C$145)+(((B110*2)+(A110*2))*MATERIALES!$C$149)+(4*MATERIALES!$C$148)+(((A110*5)*2)*MATERIALES!$C$147)+(4*MATERIALES!$C$146)+(1*MATERIALES!$C$151)+(2*MATERIALES!$C$150)+(4*MATERIALES!$C$161)</f>
        <v>1414.33968</v>
      </c>
      <c r="E110" s="75"/>
      <c r="F110" s="55">
        <f>(((A110*MATERIALES!$C$22)*(B110/0.06))*MATERIALES!$F$2)+((A110*MATERIALES!$C$29)*(B110/0.06))</f>
        <v>8693.1235223880612</v>
      </c>
      <c r="G110" s="38">
        <f t="shared" si="8"/>
        <v>15146.082242388062</v>
      </c>
      <c r="H110" s="43">
        <f t="shared" si="11"/>
        <v>19689.906915104482</v>
      </c>
      <c r="I110" s="57"/>
      <c r="M110" s="68">
        <v>1.8</v>
      </c>
      <c r="N110" s="69">
        <v>0.8</v>
      </c>
      <c r="O110" s="59">
        <f>((((M110*2)+(N110*2))*MATERIALES!$C$13)+((M110*2)*MATERIALES!$C$6)+((N110*6)*MATERIALES!$C$15)+(N110*MATERIALES!$C$25))*MATERIALES!$F$2</f>
        <v>3949.0214400000004</v>
      </c>
      <c r="P110" s="59">
        <f>(12*MATERIALES!$C$137)+(12*MATERIALES!$C$174)+((8*4)*MATERIALES!$C$145)+(((N110*2)+(M110*2))*MATERIALES!$C$149)+(4*MATERIALES!$C$148)+(((M110*5)*2)*MATERIALES!$C$147)+(4*MATERIALES!$C$146)+(1*MATERIALES!$C$151)+(4*MATERIALES!$C$150)+(6*MATERIALES!$C$161)</f>
        <v>1964.14816</v>
      </c>
      <c r="Q110" s="75"/>
      <c r="R110" s="55">
        <f>(((M110*MATERIALES!$C$22)*(N110/0.06))*MATERIALES!$F$2)+((M110*MATERIALES!$C$29)*(N110/0.06))</f>
        <v>4636.3325452736326</v>
      </c>
      <c r="S110" s="59">
        <f t="shared" si="9"/>
        <v>10549.502145273633</v>
      </c>
      <c r="T110" s="70">
        <f t="shared" si="10"/>
        <v>13714.352788855724</v>
      </c>
    </row>
    <row r="111" spans="1:20" ht="15.75" hidden="1" thickBot="1">
      <c r="A111" s="42">
        <v>1.8</v>
      </c>
      <c r="B111" s="37">
        <v>0.8</v>
      </c>
      <c r="C111" s="38">
        <f>((((A111*2)+(B111*2))*MATERIALES!$C$13)+((A111*2)*MATERIALES!$C$6)+((B111*4)*MATERIALES!$C$15)+(B111*MATERIALES!$C$25))*MATERIALES!$F$2</f>
        <v>3543.3216000000007</v>
      </c>
      <c r="D111" s="59">
        <f>(8*MATERIALES!$C$137)+(8*MATERIALES!$C$174)+((8*4)*MATERIALES!$C$145)+(((B111*2)+(A111*2))*MATERIALES!$C$149)+(4*MATERIALES!$C$148)+(((A111*5)*2)*MATERIALES!$C$147)+(4*MATERIALES!$C$146)+(1*MATERIALES!$C$151)+(2*MATERIALES!$C$150)+(4*MATERIALES!$C$161)</f>
        <v>1396.7657600000002</v>
      </c>
      <c r="E111" s="75"/>
      <c r="F111" s="55">
        <f>(((A111*MATERIALES!$C$22)*(B111/0.06))*MATERIALES!$F$2)+((A111*MATERIALES!$C$29)*(B111/0.06))</f>
        <v>4636.3325452736326</v>
      </c>
      <c r="G111" s="38">
        <f t="shared" si="8"/>
        <v>9576.419905273633</v>
      </c>
      <c r="H111" s="43">
        <f t="shared" si="11"/>
        <v>12449.345876855723</v>
      </c>
      <c r="I111" s="57"/>
      <c r="M111" s="68">
        <v>1.8</v>
      </c>
      <c r="N111" s="69">
        <v>1</v>
      </c>
      <c r="O111" s="59">
        <f>((((M111*2)+(N111*2))*MATERIALES!$C$13)+((M111*2)*MATERIALES!$C$6)+((N111*6)*MATERIALES!$C$15)+(N111*MATERIALES!$C$25))*MATERIALES!$F$2</f>
        <v>4418.5377600000002</v>
      </c>
      <c r="P111" s="59">
        <f>(12*MATERIALES!$C$137)+(12*MATERIALES!$C$174)+((8*4)*MATERIALES!$C$145)+(((N111*2)+(M111*2))*MATERIALES!$C$149)+(4*MATERIALES!$C$148)+(((M111*5)*2)*MATERIALES!$C$147)+(4*MATERIALES!$C$146)+(1*MATERIALES!$C$151)+(4*MATERIALES!$C$150)+(6*MATERIALES!$C$161)</f>
        <v>1969.1692799999998</v>
      </c>
      <c r="Q111" s="75"/>
      <c r="R111" s="55">
        <f>(((M111*MATERIALES!$C$22)*(N111/0.06))*MATERIALES!$F$2)+((M111*MATERIALES!$C$29)*(N111/0.06))</f>
        <v>5795.4156815920405</v>
      </c>
      <c r="S111" s="59">
        <f t="shared" si="9"/>
        <v>12183.122721592041</v>
      </c>
      <c r="T111" s="70">
        <f t="shared" si="10"/>
        <v>15838.059538069654</v>
      </c>
    </row>
    <row r="112" spans="1:20" ht="15.75" hidden="1" thickBot="1">
      <c r="A112" s="42">
        <v>1.8</v>
      </c>
      <c r="B112" s="37">
        <v>1</v>
      </c>
      <c r="C112" s="38">
        <f>((((A112*2)+(B112*2))*MATERIALES!$C$13)+((A112*2)*MATERIALES!$C$6)+((B112*4)*MATERIALES!$C$15)+(B112*MATERIALES!$C$25))*MATERIALES!$F$2</f>
        <v>3911.4129600000006</v>
      </c>
      <c r="D112" s="59">
        <f>(8*MATERIALES!$C$137)+(8*MATERIALES!$C$174)+((8*4)*MATERIALES!$C$145)+(((B112*2)+(A112*2))*MATERIALES!$C$149)+(4*MATERIALES!$C$148)+(((A112*5)*2)*MATERIALES!$C$147)+(4*MATERIALES!$C$146)+(1*MATERIALES!$C$151)+(2*MATERIALES!$C$150)+(4*MATERIALES!$C$161)</f>
        <v>1401.7868800000001</v>
      </c>
      <c r="E112" s="75"/>
      <c r="F112" s="55">
        <f>(((A112*MATERIALES!$C$22)*(B112/0.06))*MATERIALES!$F$2)+((A112*MATERIALES!$C$29)*(B112/0.06))</f>
        <v>5795.4156815920405</v>
      </c>
      <c r="G112" s="38">
        <f t="shared" si="8"/>
        <v>11108.615521592041</v>
      </c>
      <c r="H112" s="43">
        <f t="shared" si="11"/>
        <v>14441.200178069654</v>
      </c>
      <c r="I112" s="57"/>
      <c r="M112" s="68">
        <v>1.8</v>
      </c>
      <c r="N112" s="69">
        <v>1.1000000000000001</v>
      </c>
      <c r="O112" s="59">
        <f>((((M112*2)+(N112*2))*MATERIALES!$C$13)+((M112*2)*MATERIALES!$C$6)+((N112*6)*MATERIALES!$C$15)+(N112*MATERIALES!$C$25))*MATERIALES!$F$2</f>
        <v>4653.2959200000005</v>
      </c>
      <c r="P112" s="59">
        <f>(12*MATERIALES!$C$137)+(12*MATERIALES!$C$174)+((8*4)*MATERIALES!$C$145)+(((N112*2)+(M112*2))*MATERIALES!$C$149)+(4*MATERIALES!$C$148)+(((M112*5)*2)*MATERIALES!$C$147)+(4*MATERIALES!$C$146)+(1*MATERIALES!$C$151)+(4*MATERIALES!$C$150)+(6*MATERIALES!$C$161)</f>
        <v>1971.67984</v>
      </c>
      <c r="Q112" s="75"/>
      <c r="R112" s="55">
        <f>(((M112*MATERIALES!$C$22)*(N112/0.06))*MATERIALES!$F$2)+((M112*MATERIALES!$C$29)*(N112/0.06))</f>
        <v>6374.9572497512454</v>
      </c>
      <c r="S112" s="59">
        <f t="shared" si="9"/>
        <v>12999.933009751247</v>
      </c>
      <c r="T112" s="70">
        <f t="shared" si="10"/>
        <v>16899.91291267662</v>
      </c>
    </row>
    <row r="113" spans="1:20" ht="15.75" hidden="1" thickBot="1">
      <c r="A113" s="42">
        <v>1.8</v>
      </c>
      <c r="B113" s="37">
        <v>1.1000000000000001</v>
      </c>
      <c r="C113" s="38">
        <f>((((A113*2)+(B113*2))*MATERIALES!$C$13)+((A113*2)*MATERIALES!$C$6)+((B113*4)*MATERIALES!$C$15)+(B113*MATERIALES!$C$25))*MATERIALES!$F$2</f>
        <v>4095.4586400000003</v>
      </c>
      <c r="D113" s="59">
        <f>(8*MATERIALES!$C$137)+(8*MATERIALES!$C$174)+((8*4)*MATERIALES!$C$145)+(((B113*2)+(A113*2))*MATERIALES!$C$149)+(4*MATERIALES!$C$148)+(((A113*5)*2)*MATERIALES!$C$147)+(4*MATERIALES!$C$146)+(1*MATERIALES!$C$151)+(2*MATERIALES!$C$150)+(4*MATERIALES!$C$161)</f>
        <v>1404.2974399999998</v>
      </c>
      <c r="E113" s="75"/>
      <c r="F113" s="55">
        <f>(((A113*MATERIALES!$C$22)*(B113/0.06))*MATERIALES!$F$2)+((A113*MATERIALES!$C$29)*(B113/0.06))</f>
        <v>6374.9572497512454</v>
      </c>
      <c r="G113" s="38">
        <f t="shared" si="8"/>
        <v>11874.713329751245</v>
      </c>
      <c r="H113" s="43">
        <f t="shared" si="11"/>
        <v>15437.127328676619</v>
      </c>
      <c r="I113" s="57"/>
      <c r="M113" s="68">
        <v>1.8</v>
      </c>
      <c r="N113" s="69">
        <v>1.2</v>
      </c>
      <c r="O113" s="59">
        <f>((((M113*2)+(N113*2))*MATERIALES!$C$13)+((M113*2)*MATERIALES!$C$6)+((N113*6)*MATERIALES!$C$15)+(N113*MATERIALES!$C$25))*MATERIALES!$F$2</f>
        <v>4888.0540799999999</v>
      </c>
      <c r="P113" s="59">
        <f>(12*MATERIALES!$C$137)+(12*MATERIALES!$C$174)+((8*4)*MATERIALES!$C$145)+(((N113*2)+(M113*2))*MATERIALES!$C$149)+(4*MATERIALES!$C$148)+(((M113*5)*2)*MATERIALES!$C$147)+(4*MATERIALES!$C$146)+(1*MATERIALES!$C$151)+(4*MATERIALES!$C$150)+(6*MATERIALES!$C$161)</f>
        <v>1974.1904</v>
      </c>
      <c r="Q113" s="75"/>
      <c r="R113" s="55">
        <f>(((M113*MATERIALES!$C$22)*(N113/0.06))*MATERIALES!$F$2)+((M113*MATERIALES!$C$29)*(N113/0.06))</f>
        <v>6954.4988179104475</v>
      </c>
      <c r="S113" s="59">
        <f t="shared" si="9"/>
        <v>13816.743297910447</v>
      </c>
      <c r="T113" s="70">
        <f t="shared" si="10"/>
        <v>17961.766287283583</v>
      </c>
    </row>
    <row r="114" spans="1:20" ht="15.75" hidden="1" thickBot="1">
      <c r="A114" s="42">
        <v>1.8</v>
      </c>
      <c r="B114" s="37">
        <v>1.2</v>
      </c>
      <c r="C114" s="38">
        <f>((((A114*2)+(B114*2))*MATERIALES!$C$13)+((A114*2)*MATERIALES!$C$6)+((B114*4)*MATERIALES!$C$15)+(B114*MATERIALES!$C$25))*MATERIALES!$F$2</f>
        <v>4279.50432</v>
      </c>
      <c r="D114" s="59">
        <f>(8*MATERIALES!$C$137)+(8*MATERIALES!$C$174)+((8*4)*MATERIALES!$C$145)+(((B114*2)+(A114*2))*MATERIALES!$C$149)+(4*MATERIALES!$C$148)+(((A114*5)*2)*MATERIALES!$C$147)+(4*MATERIALES!$C$146)+(1*MATERIALES!$C$151)+(2*MATERIALES!$C$150)+(4*MATERIALES!$C$161)</f>
        <v>1406.808</v>
      </c>
      <c r="E114" s="75"/>
      <c r="F114" s="55">
        <f>(((A114*MATERIALES!$C$22)*(B114/0.06))*MATERIALES!$F$2)+((A114*MATERIALES!$C$29)*(B114/0.06))</f>
        <v>6954.4988179104475</v>
      </c>
      <c r="G114" s="38">
        <f t="shared" si="8"/>
        <v>12640.811137910448</v>
      </c>
      <c r="H114" s="43">
        <f t="shared" si="11"/>
        <v>16433.054479283583</v>
      </c>
      <c r="I114" s="57"/>
      <c r="M114" s="68">
        <v>1.8</v>
      </c>
      <c r="N114" s="69">
        <v>1.5</v>
      </c>
      <c r="O114" s="59">
        <f>((((M114*2)+(N114*2))*MATERIALES!$C$13)+((M114*2)*MATERIALES!$C$6)+((N114*6)*MATERIALES!$C$15)+(N114*MATERIALES!$C$25))*MATERIALES!$F$2</f>
        <v>5592.3285599999999</v>
      </c>
      <c r="P114" s="59">
        <f>(12*MATERIALES!$C$137)+(12*MATERIALES!$C$174)+((8*4)*MATERIALES!$C$145)+(((N114*2)+(M114*2))*MATERIALES!$C$149)+(4*MATERIALES!$C$148)+(((M114*5)*2)*MATERIALES!$C$147)+(4*MATERIALES!$C$146)+(1*MATERIALES!$C$151)+(4*MATERIALES!$C$150)+(6*MATERIALES!$C$161)</f>
        <v>1981.72208</v>
      </c>
      <c r="Q114" s="75"/>
      <c r="R114" s="55">
        <f>(((M114*MATERIALES!$C$22)*(N114/0.06))*MATERIALES!$F$2)+((M114*MATERIALES!$C$29)*(N114/0.06))</f>
        <v>8693.1235223880612</v>
      </c>
      <c r="S114" s="59">
        <f t="shared" si="9"/>
        <v>16267.174162388061</v>
      </c>
      <c r="T114" s="70">
        <f t="shared" si="10"/>
        <v>21147.326411104481</v>
      </c>
    </row>
    <row r="115" spans="1:20" ht="15.75" hidden="1" thickBot="1">
      <c r="A115" s="42">
        <v>1.8</v>
      </c>
      <c r="B115" s="37">
        <v>1.5</v>
      </c>
      <c r="C115" s="38">
        <f>((((A115*2)+(B115*2))*MATERIALES!$C$13)+((A115*2)*MATERIALES!$C$6)+((B115*4)*MATERIALES!$C$15)+(B115*MATERIALES!$C$25))*MATERIALES!$F$2</f>
        <v>4831.6413600000005</v>
      </c>
      <c r="D115" s="59">
        <f>(8*MATERIALES!$C$137)+(8*MATERIALES!$C$174)+((8*4)*MATERIALES!$C$145)+(((B115*2)+(A115*2))*MATERIALES!$C$149)+(4*MATERIALES!$C$148)+(((A115*5)*2)*MATERIALES!$C$147)+(4*MATERIALES!$C$146)+(1*MATERIALES!$C$151)+(2*MATERIALES!$C$150)+(4*MATERIALES!$C$161)</f>
        <v>1414.33968</v>
      </c>
      <c r="E115" s="75"/>
      <c r="F115" s="55">
        <f>(((A115*MATERIALES!$C$22)*(B115/0.06))*MATERIALES!$F$2)+((A115*MATERIALES!$C$29)*(B115/0.06))</f>
        <v>8693.1235223880612</v>
      </c>
      <c r="G115" s="38">
        <f t="shared" si="8"/>
        <v>14939.104562388062</v>
      </c>
      <c r="H115" s="43">
        <f t="shared" si="11"/>
        <v>19420.835931104481</v>
      </c>
      <c r="I115" s="57"/>
      <c r="M115" s="68">
        <v>1.8</v>
      </c>
      <c r="N115" s="69">
        <v>1.8</v>
      </c>
      <c r="O115" s="59">
        <f>((((M115*2)+(N115*2))*MATERIALES!$C$13)+((M115*2)*MATERIALES!$C$6)+((N115*6)*MATERIALES!$C$15)+(N115*MATERIALES!$C$25))*MATERIALES!$F$2</f>
        <v>6296.6030400000009</v>
      </c>
      <c r="P115" s="59">
        <f>(12*MATERIALES!$C$137)+(12*MATERIALES!$C$174)+((8*4)*MATERIALES!$C$145)+(((N115*2)+(M115*2))*MATERIALES!$C$149)+(4*MATERIALES!$C$148)+(((M115*5)*2)*MATERIALES!$C$147)+(4*MATERIALES!$C$146)+(1*MATERIALES!$C$151)+(4*MATERIALES!$C$150)+(6*MATERIALES!$C$161)</f>
        <v>1989.2537600000001</v>
      </c>
      <c r="Q115" s="75"/>
      <c r="R115" s="55">
        <f>(((M115*MATERIALES!$C$22)*(N115/0.06))*MATERIALES!$F$2)+((M115*MATERIALES!$C$29)*(N115/0.06))</f>
        <v>10431.748226865673</v>
      </c>
      <c r="S115" s="59">
        <f t="shared" si="9"/>
        <v>18717.605026865676</v>
      </c>
      <c r="T115" s="70">
        <f t="shared" si="10"/>
        <v>24332.886534925379</v>
      </c>
    </row>
    <row r="116" spans="1:20" ht="15.75" hidden="1" thickBot="1">
      <c r="A116" s="42">
        <v>1.8</v>
      </c>
      <c r="B116" s="37">
        <v>1.8</v>
      </c>
      <c r="C116" s="38">
        <f>((((A116*2)+(B116*2))*MATERIALES!$C$13)+((A116*2)*MATERIALES!$C$6)+((B116*4)*MATERIALES!$C$15)+(B116*MATERIALES!$C$25))*MATERIALES!$F$2</f>
        <v>5383.7784000000011</v>
      </c>
      <c r="D116" s="59">
        <f>(8*MATERIALES!$C$137)+(8*MATERIALES!$C$174)+((8*4)*MATERIALES!$C$145)+(((B116*2)+(A116*2))*MATERIALES!$C$149)+(4*MATERIALES!$C$148)+(((A116*5)*2)*MATERIALES!$C$147)+(4*MATERIALES!$C$146)+(1*MATERIALES!$C$151)+(2*MATERIALES!$C$150)+(4*MATERIALES!$C$161)</f>
        <v>1421.8713600000001</v>
      </c>
      <c r="E116" s="75"/>
      <c r="F116" s="55">
        <f>(((A116*MATERIALES!$C$22)*(B116/0.06))*MATERIALES!$F$2)+((A116*MATERIALES!$C$29)*(B116/0.06))</f>
        <v>10431.748226865673</v>
      </c>
      <c r="G116" s="38">
        <f t="shared" si="8"/>
        <v>17237.397986865675</v>
      </c>
      <c r="H116" s="43">
        <f t="shared" si="11"/>
        <v>22408.617382925378</v>
      </c>
      <c r="I116" s="57"/>
      <c r="M116" s="68">
        <v>2</v>
      </c>
      <c r="N116" s="69">
        <v>0.8</v>
      </c>
      <c r="O116" s="59">
        <f>((((M116*2)+(N116*2))*MATERIALES!$C$13)+((M116*2)*MATERIALES!$C$6)+((N116*6)*MATERIALES!$C$15)+(N116*MATERIALES!$C$25))*MATERIALES!$F$2</f>
        <v>4179.1276800000005</v>
      </c>
      <c r="P116" s="59">
        <f>(12*MATERIALES!$C$137)+(12*MATERIALES!$C$174)+((8*4)*MATERIALES!$C$145)+(((N116*2)+(M116*2))*MATERIALES!$C$149)+(4*MATERIALES!$C$148)+(((M116*5)*2)*MATERIALES!$C$147)+(4*MATERIALES!$C$146)+(1*MATERIALES!$C$151)+(4*MATERIALES!$C$150)+(6*MATERIALES!$C$161)</f>
        <v>1969.1692799999998</v>
      </c>
      <c r="Q116" s="75"/>
      <c r="R116" s="55">
        <f>(((M116*MATERIALES!$C$22)*(N116/0.06))*MATERIALES!$F$2)+((M116*MATERIALES!$C$29)*(N116/0.06))</f>
        <v>5151.4806058595923</v>
      </c>
      <c r="S116" s="59">
        <f t="shared" si="9"/>
        <v>11299.777565859593</v>
      </c>
      <c r="T116" s="70">
        <f t="shared" si="10"/>
        <v>14689.71083561747</v>
      </c>
    </row>
    <row r="117" spans="1:20" ht="15.75" hidden="1" thickBot="1">
      <c r="A117" s="42">
        <v>2</v>
      </c>
      <c r="B117" s="37">
        <v>0.8</v>
      </c>
      <c r="C117" s="38">
        <f>((((A117*2)+(B117*2))*MATERIALES!$C$13)+((A117*2)*MATERIALES!$C$6)+((B117*4)*MATERIALES!$C$15)+(B117*MATERIALES!$C$25))*MATERIALES!$F$2</f>
        <v>3773.4278400000007</v>
      </c>
      <c r="D117" s="59">
        <f>(8*MATERIALES!$C$137)+(8*MATERIALES!$C$174)+((8*4)*MATERIALES!$C$145)+(((B117*2)+(A117*2))*MATERIALES!$C$149)+(4*MATERIALES!$C$148)+(((A117*5)*2)*MATERIALES!$C$147)+(4*MATERIALES!$C$146)+(1*MATERIALES!$C$151)+(2*MATERIALES!$C$150)+(4*MATERIALES!$C$161)</f>
        <v>1401.7868800000001</v>
      </c>
      <c r="E117" s="75"/>
      <c r="F117" s="55">
        <f>(((A117*MATERIALES!$C$22)*(B117/0.06))*MATERIALES!$F$2)+((A117*MATERIALES!$C$29)*(B117/0.06))</f>
        <v>5151.4806058595923</v>
      </c>
      <c r="G117" s="38">
        <f t="shared" si="8"/>
        <v>10326.695325859593</v>
      </c>
      <c r="H117" s="43">
        <f t="shared" si="11"/>
        <v>13424.703923617471</v>
      </c>
      <c r="I117" s="57"/>
      <c r="M117" s="68">
        <v>2</v>
      </c>
      <c r="N117" s="69">
        <v>1</v>
      </c>
      <c r="O117" s="59">
        <f>((((M117*2)+(N117*2))*MATERIALES!$C$13)+((M117*2)*MATERIALES!$C$6)+((N117*6)*MATERIALES!$C$15)+(N117*MATERIALES!$C$25))*MATERIALES!$F$2</f>
        <v>4648.6440000000002</v>
      </c>
      <c r="P117" s="59">
        <f>(12*MATERIALES!$C$137)+(12*MATERIALES!$C$174)+((8*4)*MATERIALES!$C$145)+(((N117*2)+(M117*2))*MATERIALES!$C$149)+(4*MATERIALES!$C$148)+(((M117*5)*2)*MATERIALES!$C$147)+(4*MATERIALES!$C$146)+(1*MATERIALES!$C$151)+(4*MATERIALES!$C$150)+(6*MATERIALES!$C$161)</f>
        <v>1974.1904</v>
      </c>
      <c r="Q117" s="75"/>
      <c r="R117" s="55">
        <f>(((M117*MATERIALES!$C$22)*(N117/0.06))*MATERIALES!$F$2)+((M117*MATERIALES!$C$29)*(N117/0.06))</f>
        <v>6439.3507573244897</v>
      </c>
      <c r="S117" s="59">
        <f t="shared" si="9"/>
        <v>13062.185157324489</v>
      </c>
      <c r="T117" s="70">
        <f t="shared" si="10"/>
        <v>16980.840704521837</v>
      </c>
    </row>
    <row r="118" spans="1:20" ht="15.75" hidden="1" thickBot="1">
      <c r="A118" s="42">
        <v>2</v>
      </c>
      <c r="B118" s="37">
        <v>1</v>
      </c>
      <c r="C118" s="38">
        <f>((((A118*2)+(B118*2))*MATERIALES!$C$13)+((A118*2)*MATERIALES!$C$6)+((B118*4)*MATERIALES!$C$15)+(B118*MATERIALES!$C$25))*MATERIALES!$F$2</f>
        <v>4141.5191999999997</v>
      </c>
      <c r="D118" s="59">
        <f>(8*MATERIALES!$C$137)+(8*MATERIALES!$C$174)+((8*4)*MATERIALES!$C$145)+(((B118*2)+(A118*2))*MATERIALES!$C$149)+(4*MATERIALES!$C$148)+(((A118*5)*2)*MATERIALES!$C$147)+(4*MATERIALES!$C$146)+(1*MATERIALES!$C$151)+(2*MATERIALES!$C$150)+(4*MATERIALES!$C$161)</f>
        <v>1406.808</v>
      </c>
      <c r="E118" s="75"/>
      <c r="F118" s="55">
        <f>(((A118*MATERIALES!$C$22)*(B118/0.06))*MATERIALES!$F$2)+((A118*MATERIALES!$C$29)*(B118/0.06))</f>
        <v>6439.3507573244897</v>
      </c>
      <c r="G118" s="38">
        <f t="shared" si="8"/>
        <v>11987.677957324489</v>
      </c>
      <c r="H118" s="43">
        <f t="shared" si="11"/>
        <v>15583.981344521837</v>
      </c>
      <c r="I118" s="57"/>
      <c r="M118" s="68">
        <v>2</v>
      </c>
      <c r="N118" s="69">
        <v>1.1000000000000001</v>
      </c>
      <c r="O118" s="59">
        <f>((((M118*2)+(N118*2))*MATERIALES!$C$13)+((M118*2)*MATERIALES!$C$6)+((N118*6)*MATERIALES!$C$15)+(N118*MATERIALES!$C$25))*MATERIALES!$F$2</f>
        <v>4883.4021600000005</v>
      </c>
      <c r="P118" s="59">
        <f>(12*MATERIALES!$C$137)+(12*MATERIALES!$C$174)+((8*4)*MATERIALES!$C$145)+(((N118*2)+(M118*2))*MATERIALES!$C$149)+(4*MATERIALES!$C$148)+(((M118*5)*2)*MATERIALES!$C$147)+(4*MATERIALES!$C$146)+(1*MATERIALES!$C$151)+(4*MATERIALES!$C$150)+(6*MATERIALES!$C$161)</f>
        <v>1976.7009599999999</v>
      </c>
      <c r="Q118" s="75"/>
      <c r="R118" s="55">
        <f>(((M118*MATERIALES!$C$22)*(N118/0.06))*MATERIALES!$F$2)+((M118*MATERIALES!$C$29)*(N118/0.06))</f>
        <v>7083.2858330569397</v>
      </c>
      <c r="S118" s="59">
        <f t="shared" si="9"/>
        <v>13943.388953056939</v>
      </c>
      <c r="T118" s="70">
        <f t="shared" si="10"/>
        <v>18126.405638974022</v>
      </c>
    </row>
    <row r="119" spans="1:20" ht="15.75" hidden="1" thickBot="1">
      <c r="A119" s="42">
        <v>2</v>
      </c>
      <c r="B119" s="37">
        <v>1.1000000000000001</v>
      </c>
      <c r="C119" s="38">
        <f>((((A119*2)+(B119*2))*MATERIALES!$C$13)+((A119*2)*MATERIALES!$C$6)+((B119*4)*MATERIALES!$C$15)+(B119*MATERIALES!$C$25))*MATERIALES!$F$2</f>
        <v>4325.5648799999999</v>
      </c>
      <c r="D119" s="59">
        <f>(8*MATERIALES!$C$137)+(8*MATERIALES!$C$174)+((8*4)*MATERIALES!$C$145)+(((B119*2)+(A119*2))*MATERIALES!$C$149)+(4*MATERIALES!$C$148)+(((A119*5)*2)*MATERIALES!$C$147)+(4*MATERIALES!$C$146)+(1*MATERIALES!$C$151)+(2*MATERIALES!$C$150)+(4*MATERIALES!$C$161)</f>
        <v>1409.3185600000002</v>
      </c>
      <c r="E119" s="75"/>
      <c r="F119" s="55">
        <f>(((A119*MATERIALES!$C$22)*(B119/0.06))*MATERIALES!$F$2)+((A119*MATERIALES!$C$29)*(B119/0.06))</f>
        <v>7083.2858330569397</v>
      </c>
      <c r="G119" s="38">
        <f t="shared" si="8"/>
        <v>12818.169273056939</v>
      </c>
      <c r="H119" s="43">
        <f t="shared" si="11"/>
        <v>16663.620054974021</v>
      </c>
      <c r="I119" s="57"/>
      <c r="M119" s="68">
        <v>2</v>
      </c>
      <c r="N119" s="69">
        <v>1.2</v>
      </c>
      <c r="O119" s="59">
        <f>((((M119*2)+(N119*2))*MATERIALES!$C$13)+((M119*2)*MATERIALES!$C$6)+((N119*6)*MATERIALES!$C$15)+(N119*MATERIALES!$C$25))*MATERIALES!$F$2</f>
        <v>5118.16032</v>
      </c>
      <c r="P119" s="59">
        <f>(12*MATERIALES!$C$137)+(12*MATERIALES!$C$174)+((8*4)*MATERIALES!$C$145)+(((N119*2)+(M119*2))*MATERIALES!$C$149)+(4*MATERIALES!$C$148)+(((M119*5)*2)*MATERIALES!$C$147)+(4*MATERIALES!$C$146)+(1*MATERIALES!$C$151)+(4*MATERIALES!$C$150)+(6*MATERIALES!$C$161)</f>
        <v>1979.2115200000001</v>
      </c>
      <c r="Q119" s="75"/>
      <c r="R119" s="55">
        <f>(((M119*MATERIALES!$C$22)*(N119/0.06))*MATERIALES!$F$2)+((M119*MATERIALES!$C$29)*(N119/0.06))</f>
        <v>7727.2209087893862</v>
      </c>
      <c r="S119" s="59">
        <f t="shared" si="9"/>
        <v>14824.592748789386</v>
      </c>
      <c r="T119" s="70">
        <f t="shared" si="10"/>
        <v>19271.970573426202</v>
      </c>
    </row>
    <row r="120" spans="1:20" ht="15.75" hidden="1" thickBot="1">
      <c r="A120" s="42">
        <v>2</v>
      </c>
      <c r="B120" s="37">
        <v>1.2</v>
      </c>
      <c r="C120" s="38">
        <f>((((A120*2)+(B120*2))*MATERIALES!$C$13)+((A120*2)*MATERIALES!$C$6)+((B120*4)*MATERIALES!$C$15)+(B120*MATERIALES!$C$25))*MATERIALES!$F$2</f>
        <v>4509.6105600000001</v>
      </c>
      <c r="D120" s="59">
        <f>(8*MATERIALES!$C$137)+(8*MATERIALES!$C$174)+((8*4)*MATERIALES!$C$145)+(((B120*2)+(A120*2))*MATERIALES!$C$149)+(4*MATERIALES!$C$148)+(((A120*5)*2)*MATERIALES!$C$147)+(4*MATERIALES!$C$146)+(1*MATERIALES!$C$151)+(2*MATERIALES!$C$150)+(4*MATERIALES!$C$161)</f>
        <v>1411.8291199999999</v>
      </c>
      <c r="E120" s="75"/>
      <c r="F120" s="55">
        <f>(((A120*MATERIALES!$C$22)*(B120/0.06))*MATERIALES!$F$2)+((A120*MATERIALES!$C$29)*(B120/0.06))</f>
        <v>7727.2209087893862</v>
      </c>
      <c r="G120" s="38">
        <f t="shared" si="8"/>
        <v>13648.660588789386</v>
      </c>
      <c r="H120" s="43">
        <f t="shared" si="11"/>
        <v>17743.258765426202</v>
      </c>
      <c r="I120" s="57"/>
      <c r="M120" s="68">
        <v>2</v>
      </c>
      <c r="N120" s="69">
        <v>1.5</v>
      </c>
      <c r="O120" s="59">
        <f>((((M120*2)+(N120*2))*MATERIALES!$C$13)+((M120*2)*MATERIALES!$C$6)+((N120*6)*MATERIALES!$C$15)+(N120*MATERIALES!$C$25))*MATERIALES!$F$2</f>
        <v>5822.4348</v>
      </c>
      <c r="P120" s="59">
        <f>(12*MATERIALES!$C$137)+(12*MATERIALES!$C$174)+((8*4)*MATERIALES!$C$145)+(((N120*2)+(M120*2))*MATERIALES!$C$149)+(4*MATERIALES!$C$148)+(((M120*5)*2)*MATERIALES!$C$147)+(4*MATERIALES!$C$146)+(1*MATERIALES!$C$151)+(4*MATERIALES!$C$150)+(6*MATERIALES!$C$161)</f>
        <v>1986.7432000000001</v>
      </c>
      <c r="Q120" s="75"/>
      <c r="R120" s="55">
        <f>(((M120*MATERIALES!$C$22)*(N120/0.06))*MATERIALES!$F$2)+((M120*MATERIALES!$C$29)*(N120/0.06))</f>
        <v>9659.0261359867345</v>
      </c>
      <c r="S120" s="59">
        <f t="shared" si="9"/>
        <v>17468.204135986736</v>
      </c>
      <c r="T120" s="70">
        <f t="shared" si="10"/>
        <v>22708.665376782759</v>
      </c>
    </row>
    <row r="121" spans="1:20" ht="15.75" hidden="1" thickBot="1">
      <c r="A121" s="42">
        <v>2</v>
      </c>
      <c r="B121" s="37">
        <v>1.5</v>
      </c>
      <c r="C121" s="38">
        <f>((((A121*2)+(B121*2))*MATERIALES!$C$13)+((A121*2)*MATERIALES!$C$6)+((B121*4)*MATERIALES!$C$15)+(B121*MATERIALES!$C$25))*MATERIALES!$F$2</f>
        <v>5061.7476000000006</v>
      </c>
      <c r="D121" s="59">
        <f>(8*MATERIALES!$C$137)+(8*MATERIALES!$C$174)+((8*4)*MATERIALES!$C$145)+(((B121*2)+(A121*2))*MATERIALES!$C$149)+(4*MATERIALES!$C$148)+(((A121*5)*2)*MATERIALES!$C$147)+(4*MATERIALES!$C$146)+(1*MATERIALES!$C$151)+(2*MATERIALES!$C$150)+(4*MATERIALES!$C$161)</f>
        <v>1419.3607999999999</v>
      </c>
      <c r="E121" s="75"/>
      <c r="F121" s="55">
        <f>(((A121*MATERIALES!$C$22)*(B121/0.06))*MATERIALES!$F$2)+((A121*MATERIALES!$C$29)*(B121/0.06))</f>
        <v>9659.0261359867345</v>
      </c>
      <c r="G121" s="38">
        <f t="shared" si="8"/>
        <v>16140.134535986736</v>
      </c>
      <c r="H121" s="43">
        <f t="shared" si="11"/>
        <v>20982.174896782755</v>
      </c>
      <c r="I121" s="57"/>
      <c r="M121" s="68">
        <v>2</v>
      </c>
      <c r="N121" s="69">
        <v>1.8</v>
      </c>
      <c r="O121" s="59">
        <f>((((M121*2)+(N121*2))*MATERIALES!$C$13)+((M121*2)*MATERIALES!$C$6)+((N121*6)*MATERIALES!$C$15)+(N121*MATERIALES!$C$25))*MATERIALES!$F$2</f>
        <v>6526.7092800000009</v>
      </c>
      <c r="P121" s="59">
        <f>(12*MATERIALES!$C$137)+(12*MATERIALES!$C$174)+((8*4)*MATERIALES!$C$145)+(((N121*2)+(M121*2))*MATERIALES!$C$149)+(4*MATERIALES!$C$148)+(((M121*5)*2)*MATERIALES!$C$147)+(4*MATERIALES!$C$146)+(1*MATERIALES!$C$151)+(4*MATERIALES!$C$150)+(6*MATERIALES!$C$161)</f>
        <v>1994.2748799999999</v>
      </c>
      <c r="Q121" s="75"/>
      <c r="R121" s="55">
        <f>(((M121*MATERIALES!$C$22)*(N121/0.06))*MATERIALES!$F$2)+((M121*MATERIALES!$C$29)*(N121/0.06))</f>
        <v>11590.831363184081</v>
      </c>
      <c r="S121" s="59">
        <f t="shared" si="9"/>
        <v>20111.815523184079</v>
      </c>
      <c r="T121" s="70">
        <f t="shared" si="10"/>
        <v>26145.360180139305</v>
      </c>
    </row>
    <row r="122" spans="1:20" ht="15.75" hidden="1" thickBot="1">
      <c r="A122" s="42">
        <v>2</v>
      </c>
      <c r="B122" s="37">
        <v>1.8</v>
      </c>
      <c r="C122" s="38">
        <f>((((A122*2)+(B122*2))*MATERIALES!$C$13)+((A122*2)*MATERIALES!$C$6)+((B122*4)*MATERIALES!$C$15)+(B122*MATERIALES!$C$25))*MATERIALES!$F$2</f>
        <v>5613.8846400000011</v>
      </c>
      <c r="D122" s="59">
        <f>(8*MATERIALES!$C$137)+(8*MATERIALES!$C$174)+((8*4)*MATERIALES!$C$145)+(((B122*2)+(A122*2))*MATERIALES!$C$149)+(4*MATERIALES!$C$148)+(((A122*5)*2)*MATERIALES!$C$147)+(4*MATERIALES!$C$146)+(1*MATERIALES!$C$151)+(2*MATERIALES!$C$150)+(4*MATERIALES!$C$161)</f>
        <v>1426.89248</v>
      </c>
      <c r="E122" s="75"/>
      <c r="F122" s="55">
        <f>(((A122*MATERIALES!$C$22)*(B122/0.06))*MATERIALES!$F$2)+((A122*MATERIALES!$C$29)*(B122/0.06))</f>
        <v>11590.831363184081</v>
      </c>
      <c r="G122" s="38">
        <f t="shared" si="8"/>
        <v>18631.608483184082</v>
      </c>
      <c r="H122" s="43">
        <f t="shared" si="11"/>
        <v>24221.091028139308</v>
      </c>
      <c r="I122" s="57"/>
      <c r="M122" s="68">
        <v>2</v>
      </c>
      <c r="N122" s="69">
        <v>2</v>
      </c>
      <c r="O122" s="59">
        <f>((((M122*2)+(N122*2))*MATERIALES!$C$13)+((M122*2)*MATERIALES!$C$6)+((N122*6)*MATERIALES!$C$15)+(N122*MATERIALES!$C$25))*MATERIALES!$F$2</f>
        <v>6996.2255999999998</v>
      </c>
      <c r="P122" s="59">
        <f>(12*MATERIALES!$C$137)+(12*MATERIALES!$C$174)+((8*4)*MATERIALES!$C$145)+(((N122*2)+(M122*2))*MATERIALES!$C$149)+(4*MATERIALES!$C$148)+(((M122*5)*2)*MATERIALES!$C$147)+(4*MATERIALES!$C$146)+(1*MATERIALES!$C$151)+(4*MATERIALES!$C$150)+(6*MATERIALES!$C$161)</f>
        <v>1999.296</v>
      </c>
      <c r="Q122" s="75"/>
      <c r="R122" s="55">
        <f>(((M122*MATERIALES!$C$22)*(N122/0.06))*MATERIALES!$F$2)+((M122*MATERIALES!$C$29)*(N122/0.06))</f>
        <v>12878.701514648979</v>
      </c>
      <c r="S122" s="59">
        <f t="shared" si="9"/>
        <v>21874.223114648979</v>
      </c>
      <c r="T122" s="70">
        <f t="shared" si="10"/>
        <v>28436.490049043674</v>
      </c>
    </row>
    <row r="123" spans="1:20" ht="15.75" hidden="1" thickBot="1">
      <c r="A123" s="42"/>
      <c r="B123" s="37"/>
      <c r="C123" s="38">
        <f>((((A123*2)+(B123*2))*MATERIALES!$C$13)+((A123*2)*MATERIALES!$C$6)+((B123*4)*MATERIALES!$C$15)+(B123*MATERIALES!$C$25))*MATERIALES!$F$2</f>
        <v>0</v>
      </c>
      <c r="D123" s="59">
        <f>(8*MATERIALES!$C$137)+(8*MATERIALES!$C$174)+((8*4)*MATERIALES!$C$145)+(((B123*2)+(A123*2))*MATERIALES!$C$149)+(4*MATERIALES!$C$148)+(((A123*5)*2)*MATERIALES!$C$147)+(4*MATERIALES!$C$146)+(1*MATERIALES!$C$151)+(2*MATERIALES!$C$150)+(4*MATERIALES!$C$161)</f>
        <v>1331.4911999999999</v>
      </c>
      <c r="E123" s="75"/>
      <c r="F123" s="55">
        <f>(((A123*MATERIALES!$C$22)*(B123/0.06))*MATERIALES!$F$2)+((A123*MATERIALES!$C$29)*(B123/0.06))</f>
        <v>0</v>
      </c>
      <c r="G123" s="38">
        <f t="shared" si="8"/>
        <v>1331.4911999999999</v>
      </c>
      <c r="H123" s="43">
        <f t="shared" si="11"/>
        <v>1730.9385600000001</v>
      </c>
      <c r="I123" s="57"/>
      <c r="M123" s="68"/>
      <c r="N123" s="69"/>
      <c r="O123" s="59">
        <f>((((M123*2)+(N123*2))*MATERIALES!$C$13)+((M123*2)*MATERIALES!$C$6)+((N123*6)*MATERIALES!$C$15)+(N123*MATERIALES!$C$25))*MATERIALES!$F$2</f>
        <v>0</v>
      </c>
      <c r="P123" s="59">
        <f>(12*MATERIALES!$C$137)+(12*MATERIALES!$C$174)+((8*4)*MATERIALES!$C$145)+(((N123*2)+(M123*2))*MATERIALES!$C$149)+(4*MATERIALES!$C$148)+(((M123*5)*2)*MATERIALES!$C$147)+(4*MATERIALES!$C$146)+(1*MATERIALES!$C$151)+(4*MATERIALES!$C$150)+(6*MATERIALES!$C$161)</f>
        <v>1898.8736000000001</v>
      </c>
      <c r="Q123" s="75"/>
      <c r="R123" s="55">
        <f>(((M123*MATERIALES!$C$22)*(N123/0.06))*MATERIALES!$F$2)+((M123*MATERIALES!$C$29)*(N123/0.06))</f>
        <v>0</v>
      </c>
      <c r="S123" s="59">
        <f t="shared" si="9"/>
        <v>1898.8736000000001</v>
      </c>
      <c r="T123" s="70">
        <f t="shared" si="10"/>
        <v>2468.5356800000004</v>
      </c>
    </row>
    <row r="124" spans="1:20" ht="15.75" hidden="1" thickBot="1">
      <c r="A124" s="42"/>
      <c r="B124" s="37"/>
      <c r="C124" s="38">
        <f>((((A124*2)+(B124*2))*MATERIALES!$C$13)+((A124*2)*MATERIALES!$C$6)+((B124*4)*MATERIALES!$C$15)+(B124*MATERIALES!$C$25))*MATERIALES!$F$2</f>
        <v>0</v>
      </c>
      <c r="D124" s="59">
        <f>(8*MATERIALES!$C$137)+(8*MATERIALES!$C$174)+((8*4)*MATERIALES!$C$145)+(((B124*2)+(A124*2))*MATERIALES!$C$149)+(4*MATERIALES!$C$148)+(((A124*5)*2)*MATERIALES!$C$147)+(4*MATERIALES!$C$146)+(1*MATERIALES!$C$151)+(2*MATERIALES!$C$150)+(4*MATERIALES!$C$161)</f>
        <v>1331.4911999999999</v>
      </c>
      <c r="E124" s="75"/>
      <c r="F124" s="55">
        <f>(((A124*MATERIALES!$C$22)*(B124/0.06))*MATERIALES!$F$2)+((A124*MATERIALES!$C$29)*(B124/0.06))</f>
        <v>0</v>
      </c>
      <c r="G124" s="38">
        <f t="shared" si="8"/>
        <v>1331.4911999999999</v>
      </c>
      <c r="H124" s="43">
        <f t="shared" si="11"/>
        <v>1730.9385600000001</v>
      </c>
      <c r="I124" s="57"/>
      <c r="M124" s="68"/>
      <c r="N124" s="69"/>
      <c r="O124" s="59">
        <f>((((M124*2)+(N124*2))*MATERIALES!$C$13)+((M124*2)*MATERIALES!$C$6)+((N124*6)*MATERIALES!$C$15)+(N124*MATERIALES!$C$25))*MATERIALES!$F$2</f>
        <v>0</v>
      </c>
      <c r="P124" s="59">
        <f>(12*MATERIALES!$C$137)+(12*MATERIALES!$C$174)+((8*4)*MATERIALES!$C$145)+(((N124*2)+(M124*2))*MATERIALES!$C$149)+(4*MATERIALES!$C$148)+(((M124*5)*2)*MATERIALES!$C$147)+(4*MATERIALES!$C$146)+(1*MATERIALES!$C$151)+(4*MATERIALES!$C$150)+(6*MATERIALES!$C$161)</f>
        <v>1898.8736000000001</v>
      </c>
      <c r="Q124" s="75"/>
      <c r="R124" s="55">
        <f>(((M124*MATERIALES!$C$22)*(N124/0.06))*MATERIALES!$F$2)+((M124*MATERIALES!$C$29)*(N124/0.06))</f>
        <v>0</v>
      </c>
      <c r="S124" s="59">
        <f t="shared" si="9"/>
        <v>1898.8736000000001</v>
      </c>
      <c r="T124" s="70">
        <f t="shared" si="10"/>
        <v>2468.5356800000004</v>
      </c>
    </row>
    <row r="125" spans="1:20" ht="15.75" hidden="1" thickBot="1">
      <c r="A125" s="42"/>
      <c r="B125" s="37"/>
      <c r="C125" s="38">
        <f>((((A125*2)+(B125*2))*MATERIALES!$C$13)+((A125*2)*MATERIALES!$C$6)+((B125*4)*MATERIALES!$C$15)+(B125*MATERIALES!$C$25))*MATERIALES!$F$2</f>
        <v>0</v>
      </c>
      <c r="D125" s="59">
        <f>(8*MATERIALES!$C$137)+(8*MATERIALES!$C$174)+((8*4)*MATERIALES!$C$145)+(((B125*2)+(A125*2))*MATERIALES!$C$149)+(4*MATERIALES!$C$148)+(((A125*5)*2)*MATERIALES!$C$147)+(4*MATERIALES!$C$146)+(1*MATERIALES!$C$151)+(2*MATERIALES!$C$150)+(4*MATERIALES!$C$161)</f>
        <v>1331.4911999999999</v>
      </c>
      <c r="E125" s="75"/>
      <c r="F125" s="55">
        <f>(((A125*MATERIALES!$C$22)*(B125/0.06))*MATERIALES!$F$2)+((A125*MATERIALES!$C$29)*(B125/0.06))</f>
        <v>0</v>
      </c>
      <c r="G125" s="38">
        <f t="shared" si="8"/>
        <v>1331.4911999999999</v>
      </c>
      <c r="H125" s="43">
        <f t="shared" si="11"/>
        <v>1730.9385600000001</v>
      </c>
      <c r="I125" s="57"/>
      <c r="M125" s="68"/>
      <c r="N125" s="69"/>
      <c r="O125" s="59">
        <f>((((M125*2)+(N125*2))*MATERIALES!$C$13)+((M125*2)*MATERIALES!$C$6)+((N125*6)*MATERIALES!$C$15)+(N125*MATERIALES!$C$25))*MATERIALES!$F$2</f>
        <v>0</v>
      </c>
      <c r="P125" s="59">
        <f>(12*MATERIALES!$C$137)+(12*MATERIALES!$C$174)+((8*4)*MATERIALES!$C$145)+(((N125*2)+(M125*2))*MATERIALES!$C$149)+(4*MATERIALES!$C$148)+(((M125*5)*2)*MATERIALES!$C$147)+(4*MATERIALES!$C$146)+(1*MATERIALES!$C$151)+(4*MATERIALES!$C$150)+(6*MATERIALES!$C$161)</f>
        <v>1898.8736000000001</v>
      </c>
      <c r="Q125" s="75"/>
      <c r="R125" s="55">
        <f>(((M125*MATERIALES!$C$22)*(N125/0.06))*MATERIALES!$F$2)+((M125*MATERIALES!$C$29)*(N125/0.06))</f>
        <v>0</v>
      </c>
      <c r="S125" s="59">
        <f t="shared" si="9"/>
        <v>1898.8736000000001</v>
      </c>
      <c r="T125" s="70">
        <f t="shared" si="10"/>
        <v>2468.5356800000004</v>
      </c>
    </row>
    <row r="126" spans="1:20" ht="15.75" hidden="1" thickBot="1">
      <c r="A126" s="42">
        <v>2.2000000000000002</v>
      </c>
      <c r="B126" s="37">
        <v>1</v>
      </c>
      <c r="C126" s="38">
        <f>((((A126*2)+(B126*2))*MATERIALES!$C$13)+((A126*2)*MATERIALES!$C$6)+((B126*4)*MATERIALES!$C$15)+(B126*MATERIALES!$C$25))*MATERIALES!$F$2</f>
        <v>4371.6254400000007</v>
      </c>
      <c r="D126" s="59">
        <f>(8*MATERIALES!$C$137)+(8*MATERIALES!$C$174)+((8*4)*MATERIALES!$C$145)+(((B126*2)+(A126*2))*MATERIALES!$C$149)+(4*MATERIALES!$C$148)+(((A126*5)*2)*MATERIALES!$C$147)+(4*MATERIALES!$C$146)+(1*MATERIALES!$C$151)+(2*MATERIALES!$C$150)+(4*MATERIALES!$C$161)</f>
        <v>1411.8291199999999</v>
      </c>
      <c r="E126" s="75"/>
      <c r="F126" s="55">
        <f>(((A126*MATERIALES!$C$22)*(B126/0.06))*MATERIALES!$F$2)+((A126*MATERIALES!$C$29)*(B126/0.06))</f>
        <v>7083.2858330569388</v>
      </c>
      <c r="G126" s="38">
        <f t="shared" si="8"/>
        <v>12866.740393056938</v>
      </c>
      <c r="H126" s="43">
        <f t="shared" si="11"/>
        <v>16726.762510974018</v>
      </c>
      <c r="I126" s="57"/>
      <c r="M126" s="68">
        <v>2.2000000000000002</v>
      </c>
      <c r="N126" s="69">
        <v>1</v>
      </c>
      <c r="O126" s="59">
        <f>((((M126*2)+(N126*2))*MATERIALES!$C$13)+((M126*2)*MATERIALES!$C$6)+((N126*6)*MATERIALES!$C$15)+(N126*MATERIALES!$C$25))*MATERIALES!$F$2</f>
        <v>4878.7502400000003</v>
      </c>
      <c r="P126" s="59">
        <f>(12*MATERIALES!$C$137)+(12*MATERIALES!$C$174)+((8*4)*MATERIALES!$C$145)+(((N126*2)+(M126*2))*MATERIALES!$C$149)+(4*MATERIALES!$C$148)+(((M126*5)*2)*MATERIALES!$C$147)+(4*MATERIALES!$C$146)+(1*MATERIALES!$C$151)+(4*MATERIALES!$C$150)+(6*MATERIALES!$C$161)</f>
        <v>1979.2115200000001</v>
      </c>
      <c r="Q126" s="75"/>
      <c r="R126" s="55">
        <f>(((M126*MATERIALES!$C$22)*(N126/0.06))*MATERIALES!$F$2)+((M126*MATERIALES!$C$29)*(N126/0.06))</f>
        <v>7083.2858330569388</v>
      </c>
      <c r="S126" s="59">
        <f t="shared" si="9"/>
        <v>13941.247593056938</v>
      </c>
      <c r="T126" s="70">
        <f t="shared" si="10"/>
        <v>18123.621870974021</v>
      </c>
    </row>
    <row r="127" spans="1:20" ht="15.75" hidden="1" thickBot="1">
      <c r="A127" s="42">
        <v>2.2000000000000002</v>
      </c>
      <c r="B127" s="37">
        <v>1.2</v>
      </c>
      <c r="C127" s="38">
        <f>((((A127*2)+(B127*2))*MATERIALES!$C$13)+((A127*2)*MATERIALES!$C$6)+((B127*4)*MATERIALES!$C$15)+(B127*MATERIALES!$C$25))*MATERIALES!$F$2</f>
        <v>4739.7168000000001</v>
      </c>
      <c r="D127" s="59">
        <f>(8*MATERIALES!$C$137)+(8*MATERIALES!$C$174)+((8*4)*MATERIALES!$C$145)+(((B127*2)+(A127*2))*MATERIALES!$C$149)+(4*MATERIALES!$C$148)+(((A127*5)*2)*MATERIALES!$C$147)+(4*MATERIALES!$C$146)+(1*MATERIALES!$C$151)+(2*MATERIALES!$C$150)+(4*MATERIALES!$C$161)</f>
        <v>1416.8502400000002</v>
      </c>
      <c r="E127" s="75"/>
      <c r="F127" s="55">
        <f>(((A127*MATERIALES!$C$22)*(B127/0.06))*MATERIALES!$F$2)+((A127*MATERIALES!$C$29)*(B127/0.06))</f>
        <v>8499.9429996683266</v>
      </c>
      <c r="G127" s="38">
        <f t="shared" si="8"/>
        <v>14656.510039668326</v>
      </c>
      <c r="H127" s="43">
        <f t="shared" si="11"/>
        <v>19053.463051568826</v>
      </c>
      <c r="I127" s="57"/>
      <c r="M127" s="68">
        <v>2.2000000000000002</v>
      </c>
      <c r="N127" s="69">
        <v>1.2</v>
      </c>
      <c r="O127" s="59">
        <f>((((M127*2)+(N127*2))*MATERIALES!$C$13)+((M127*2)*MATERIALES!$C$6)+((N127*6)*MATERIALES!$C$15)+(N127*MATERIALES!$C$25))*MATERIALES!$F$2</f>
        <v>5348.2665600000009</v>
      </c>
      <c r="P127" s="59">
        <f>(12*MATERIALES!$C$137)+(12*MATERIALES!$C$174)+((8*4)*MATERIALES!$C$145)+(((N127*2)+(M127*2))*MATERIALES!$C$149)+(4*MATERIALES!$C$148)+(((M127*5)*2)*MATERIALES!$C$147)+(4*MATERIALES!$C$146)+(1*MATERIALES!$C$151)+(4*MATERIALES!$C$150)+(6*MATERIALES!$C$161)</f>
        <v>1984.2326399999999</v>
      </c>
      <c r="Q127" s="75"/>
      <c r="R127" s="55">
        <f>(((M127*MATERIALES!$C$22)*(N127/0.06))*MATERIALES!$F$2)+((M127*MATERIALES!$C$29)*(N127/0.06))</f>
        <v>8499.9429996683266</v>
      </c>
      <c r="S127" s="59">
        <f t="shared" si="9"/>
        <v>15832.442199668327</v>
      </c>
      <c r="T127" s="70">
        <f t="shared" si="10"/>
        <v>20582.174859568826</v>
      </c>
    </row>
    <row r="128" spans="1:20" ht="15.75" hidden="1" thickBot="1">
      <c r="A128" s="42">
        <v>2.2000000000000002</v>
      </c>
      <c r="B128" s="37">
        <v>1.5</v>
      </c>
      <c r="C128" s="38">
        <f>((((A128*2)+(B128*2))*MATERIALES!$C$13)+((A128*2)*MATERIALES!$C$6)+((B128*4)*MATERIALES!$C$15)+(B128*MATERIALES!$C$25))*MATERIALES!$F$2</f>
        <v>5291.8538400000007</v>
      </c>
      <c r="D128" s="59">
        <f>(8*MATERIALES!$C$137)+(8*MATERIALES!$C$174)+((8*4)*MATERIALES!$C$145)+(((B128*2)+(A128*2))*MATERIALES!$C$149)+(4*MATERIALES!$C$148)+(((A128*5)*2)*MATERIALES!$C$147)+(4*MATERIALES!$C$146)+(1*MATERIALES!$C$151)+(2*MATERIALES!$C$150)+(4*MATERIALES!$C$161)</f>
        <v>1424.3819200000003</v>
      </c>
      <c r="E128" s="75"/>
      <c r="F128" s="55">
        <f>(((A128*MATERIALES!$C$22)*(B128/0.06))*MATERIALES!$F$2)+((A128*MATERIALES!$C$29)*(B128/0.06))</f>
        <v>10624.928749585408</v>
      </c>
      <c r="G128" s="38">
        <f t="shared" si="8"/>
        <v>17341.164509585411</v>
      </c>
      <c r="H128" s="43">
        <f t="shared" si="11"/>
        <v>22543.513862461034</v>
      </c>
      <c r="I128" s="57"/>
      <c r="M128" s="68">
        <v>2.2000000000000002</v>
      </c>
      <c r="N128" s="69">
        <v>1.5</v>
      </c>
      <c r="O128" s="59">
        <f>((((M128*2)+(N128*2))*MATERIALES!$C$13)+((M128*2)*MATERIALES!$C$6)+((N128*6)*MATERIALES!$C$15)+(N128*MATERIALES!$C$25))*MATERIALES!$F$2</f>
        <v>6052.541040000001</v>
      </c>
      <c r="P128" s="59">
        <f>(12*MATERIALES!$C$137)+(12*MATERIALES!$C$174)+((8*4)*MATERIALES!$C$145)+(((N128*2)+(M128*2))*MATERIALES!$C$149)+(4*MATERIALES!$C$148)+(((M128*5)*2)*MATERIALES!$C$147)+(4*MATERIALES!$C$146)+(1*MATERIALES!$C$151)+(4*MATERIALES!$C$150)+(6*MATERIALES!$C$161)</f>
        <v>1991.76432</v>
      </c>
      <c r="Q128" s="75"/>
      <c r="R128" s="55">
        <f>(((M128*MATERIALES!$C$22)*(N128/0.06))*MATERIALES!$F$2)+((M128*MATERIALES!$C$29)*(N128/0.06))</f>
        <v>10624.928749585408</v>
      </c>
      <c r="S128" s="59">
        <f t="shared" si="9"/>
        <v>18669.23410958541</v>
      </c>
      <c r="T128" s="70">
        <f t="shared" si="10"/>
        <v>24270.004342461034</v>
      </c>
    </row>
    <row r="129" spans="1:20" ht="15.75" hidden="1" thickBot="1">
      <c r="A129" s="42">
        <v>2.2000000000000002</v>
      </c>
      <c r="B129" s="37">
        <v>1.8</v>
      </c>
      <c r="C129" s="38">
        <f>((((A129*2)+(B129*2))*MATERIALES!$C$13)+((A129*2)*MATERIALES!$C$6)+((B129*4)*MATERIALES!$C$15)+(B129*MATERIALES!$C$25))*MATERIALES!$F$2</f>
        <v>5843.9908800000003</v>
      </c>
      <c r="D129" s="59">
        <f>(8*MATERIALES!$C$137)+(8*MATERIALES!$C$174)+((8*4)*MATERIALES!$C$145)+(((B129*2)+(A129*2))*MATERIALES!$C$149)+(4*MATERIALES!$C$148)+(((A129*5)*2)*MATERIALES!$C$147)+(4*MATERIALES!$C$146)+(1*MATERIALES!$C$151)+(2*MATERIALES!$C$150)+(4*MATERIALES!$C$161)</f>
        <v>1431.9135999999999</v>
      </c>
      <c r="E129" s="75"/>
      <c r="F129" s="55">
        <f>(((A129*MATERIALES!$C$22)*(B129/0.06))*MATERIALES!$F$2)+((A129*MATERIALES!$C$29)*(B129/0.06))</f>
        <v>12749.914499502491</v>
      </c>
      <c r="G129" s="38">
        <f t="shared" si="8"/>
        <v>20025.818979502492</v>
      </c>
      <c r="H129" s="43">
        <f t="shared" si="11"/>
        <v>26033.564673353241</v>
      </c>
      <c r="I129" s="57"/>
      <c r="M129" s="68">
        <v>2.2000000000000002</v>
      </c>
      <c r="N129" s="69">
        <v>1.8</v>
      </c>
      <c r="O129" s="59">
        <f>((((M129*2)+(N129*2))*MATERIALES!$C$13)+((M129*2)*MATERIALES!$C$6)+((N129*6)*MATERIALES!$C$15)+(N129*MATERIALES!$C$25))*MATERIALES!$F$2</f>
        <v>6756.8155200000001</v>
      </c>
      <c r="P129" s="59">
        <f>(12*MATERIALES!$C$137)+(12*MATERIALES!$C$174)+((8*4)*MATERIALES!$C$145)+(((N129*2)+(M129*2))*MATERIALES!$C$149)+(4*MATERIALES!$C$148)+(((M129*5)*2)*MATERIALES!$C$147)+(4*MATERIALES!$C$146)+(1*MATERIALES!$C$151)+(4*MATERIALES!$C$150)+(6*MATERIALES!$C$161)</f>
        <v>1999.296</v>
      </c>
      <c r="Q129" s="75"/>
      <c r="R129" s="55">
        <f>(((M129*MATERIALES!$C$22)*(N129/0.06))*MATERIALES!$F$2)+((M129*MATERIALES!$C$29)*(N129/0.06))</f>
        <v>12749.914499502491</v>
      </c>
      <c r="S129" s="59">
        <f t="shared" si="9"/>
        <v>21506.026019502489</v>
      </c>
      <c r="T129" s="70">
        <f t="shared" si="10"/>
        <v>27957.833825353238</v>
      </c>
    </row>
    <row r="130" spans="1:20" ht="15.75" hidden="1" thickBot="1">
      <c r="A130" s="42">
        <v>2.4</v>
      </c>
      <c r="B130" s="37">
        <v>0.4</v>
      </c>
      <c r="C130" s="38">
        <f>((((A130*2)+(B130*2))*MATERIALES!$C$13)+((A130*2)*MATERIALES!$C$6)+((B130*4)*MATERIALES!$C$15)+(B130*MATERIALES!$C$25))*MATERIALES!$F$2</f>
        <v>3497.4576000000002</v>
      </c>
      <c r="D130" s="59">
        <f>(8*MATERIALES!$C$137)+(8*MATERIALES!$C$174)+((8*4)*MATERIALES!$C$145)+(((B130*2)+(A130*2))*MATERIALES!$C$149)+(4*MATERIALES!$C$148)+(((A130*5)*2)*MATERIALES!$C$147)+(4*MATERIALES!$C$146)+(1*MATERIALES!$C$151)+(2*MATERIALES!$C$150)+(4*MATERIALES!$C$161)</f>
        <v>1401.7868800000001</v>
      </c>
      <c r="E130" s="75"/>
      <c r="F130" s="55">
        <f>(((A130*MATERIALES!$C$22)*(B130/0.06))*MATERIALES!$F$2)+((A130*MATERIALES!$C$29)*(B130/0.06))</f>
        <v>3090.8883635157549</v>
      </c>
      <c r="G130" s="38">
        <f t="shared" si="8"/>
        <v>7990.1328435157557</v>
      </c>
      <c r="H130" s="43">
        <f t="shared" si="11"/>
        <v>10387.172696570482</v>
      </c>
      <c r="I130" s="57"/>
      <c r="M130" s="68">
        <v>2.4</v>
      </c>
      <c r="N130" s="69">
        <v>0.4</v>
      </c>
      <c r="O130" s="59">
        <f>((((M130*2)+(N130*2))*MATERIALES!$C$13)+((M130*2)*MATERIALES!$C$6)+((N130*6)*MATERIALES!$C$15)+(N130*MATERIALES!$C$25))*MATERIALES!$F$2</f>
        <v>3700.3075200000003</v>
      </c>
      <c r="P130" s="59">
        <f>(12*MATERIALES!$C$137)+(12*MATERIALES!$C$174)+((8*4)*MATERIALES!$C$145)+(((N130*2)+(M130*2))*MATERIALES!$C$149)+(4*MATERIALES!$C$148)+(((M130*5)*2)*MATERIALES!$C$147)+(4*MATERIALES!$C$146)+(1*MATERIALES!$C$151)+(4*MATERIALES!$C$150)+(6*MATERIALES!$C$161)</f>
        <v>1969.1692799999998</v>
      </c>
      <c r="Q130" s="75"/>
      <c r="R130" s="55">
        <f>(((M130*MATERIALES!$C$22)*(N130/0.06))*MATERIALES!$F$2)+((M130*MATERIALES!$C$29)*(N130/0.06))</f>
        <v>3090.8883635157549</v>
      </c>
      <c r="S130" s="59">
        <f t="shared" si="9"/>
        <v>8760.3651635157548</v>
      </c>
      <c r="T130" s="70">
        <f t="shared" si="10"/>
        <v>11388.474712570482</v>
      </c>
    </row>
    <row r="131" spans="1:20" ht="15.75" hidden="1" thickBot="1">
      <c r="A131" s="42">
        <v>2.4</v>
      </c>
      <c r="B131" s="37">
        <v>0.6</v>
      </c>
      <c r="C131" s="38">
        <f>((((A131*2)+(B131*2))*MATERIALES!$C$13)+((A131*2)*MATERIALES!$C$6)+((B131*4)*MATERIALES!$C$15)+(B131*MATERIALES!$C$25))*MATERIALES!$F$2</f>
        <v>3865.5489600000001</v>
      </c>
      <c r="D131" s="59">
        <f>(8*MATERIALES!$C$137)+(8*MATERIALES!$C$174)+((8*4)*MATERIALES!$C$145)+(((B131*2)+(A131*2))*MATERIALES!$C$149)+(4*MATERIALES!$C$148)+(((A131*5)*2)*MATERIALES!$C$147)+(4*MATERIALES!$C$146)+(1*MATERIALES!$C$151)+(2*MATERIALES!$C$150)+(4*MATERIALES!$C$161)</f>
        <v>1406.808</v>
      </c>
      <c r="E131" s="75"/>
      <c r="F131" s="55">
        <f>(((A131*MATERIALES!$C$22)*(B131/0.06))*MATERIALES!$F$2)+((A131*MATERIALES!$C$29)*(B131/0.06))</f>
        <v>4636.3325452736326</v>
      </c>
      <c r="G131" s="38">
        <f t="shared" si="8"/>
        <v>9908.6895052736327</v>
      </c>
      <c r="H131" s="43">
        <f t="shared" si="11"/>
        <v>12881.296356855722</v>
      </c>
      <c r="I131" s="57"/>
      <c r="M131" s="68">
        <v>2.4</v>
      </c>
      <c r="N131" s="69">
        <v>0.6</v>
      </c>
      <c r="O131" s="59">
        <f>((((M131*2)+(N131*2))*MATERIALES!$C$13)+((M131*2)*MATERIALES!$C$6)+((N131*6)*MATERIALES!$C$15)+(N131*MATERIALES!$C$25))*MATERIALES!$F$2</f>
        <v>4169.8238400000009</v>
      </c>
      <c r="P131" s="59">
        <f>(12*MATERIALES!$C$137)+(12*MATERIALES!$C$174)+((8*4)*MATERIALES!$C$145)+(((N131*2)+(M131*2))*MATERIALES!$C$149)+(4*MATERIALES!$C$148)+(((M131*5)*2)*MATERIALES!$C$147)+(4*MATERIALES!$C$146)+(1*MATERIALES!$C$151)+(4*MATERIALES!$C$150)+(6*MATERIALES!$C$161)</f>
        <v>1974.1904</v>
      </c>
      <c r="Q131" s="75"/>
      <c r="R131" s="55">
        <f>(((M131*MATERIALES!$C$22)*(N131/0.06))*MATERIALES!$F$2)+((M131*MATERIALES!$C$29)*(N131/0.06))</f>
        <v>4636.3325452736326</v>
      </c>
      <c r="S131" s="59">
        <f t="shared" si="9"/>
        <v>10780.346785273632</v>
      </c>
      <c r="T131" s="70">
        <f t="shared" si="10"/>
        <v>14014.450820855722</v>
      </c>
    </row>
    <row r="132" spans="1:20" ht="15.75" hidden="1" thickBot="1">
      <c r="A132" s="42">
        <v>2.4</v>
      </c>
      <c r="B132" s="37">
        <v>0.8</v>
      </c>
      <c r="C132" s="38">
        <f>((((A132*2)+(B132*2))*MATERIALES!$C$13)+((A132*2)*MATERIALES!$C$6)+((B132*4)*MATERIALES!$C$15)+(B132*MATERIALES!$C$25))*MATERIALES!$F$2</f>
        <v>4233.6403200000004</v>
      </c>
      <c r="D132" s="59">
        <f>(8*MATERIALES!$C$137)+(8*MATERIALES!$C$174)+((8*4)*MATERIALES!$C$145)+(((B132*2)+(A132*2))*MATERIALES!$C$149)+(4*MATERIALES!$C$148)+(((A132*5)*2)*MATERIALES!$C$147)+(4*MATERIALES!$C$146)+(1*MATERIALES!$C$151)+(2*MATERIALES!$C$150)+(4*MATERIALES!$C$161)</f>
        <v>1411.8291199999999</v>
      </c>
      <c r="E132" s="75"/>
      <c r="F132" s="55">
        <f>(((A132*MATERIALES!$C$22)*(B132/0.06))*MATERIALES!$F$2)+((A132*MATERIALES!$C$29)*(B132/0.06))</f>
        <v>6181.7767270315098</v>
      </c>
      <c r="G132" s="38">
        <f t="shared" si="8"/>
        <v>11827.24616703151</v>
      </c>
      <c r="H132" s="43">
        <f t="shared" si="11"/>
        <v>15375.420017140963</v>
      </c>
      <c r="I132" s="57"/>
      <c r="M132" s="68">
        <v>2.4</v>
      </c>
      <c r="N132" s="69">
        <v>0.8</v>
      </c>
      <c r="O132" s="59">
        <f>((((M132*2)+(N132*2))*MATERIALES!$C$13)+((M132*2)*MATERIALES!$C$6)+((N132*6)*MATERIALES!$C$15)+(N132*MATERIALES!$C$25))*MATERIALES!$F$2</f>
        <v>4639.3401600000007</v>
      </c>
      <c r="P132" s="59">
        <f>(12*MATERIALES!$C$137)+(12*MATERIALES!$C$174)+((8*4)*MATERIALES!$C$145)+(((N132*2)+(M132*2))*MATERIALES!$C$149)+(4*MATERIALES!$C$148)+(((M132*5)*2)*MATERIALES!$C$147)+(4*MATERIALES!$C$146)+(1*MATERIALES!$C$151)+(4*MATERIALES!$C$150)+(6*MATERIALES!$C$161)</f>
        <v>1979.2115200000001</v>
      </c>
      <c r="Q132" s="75"/>
      <c r="R132" s="55">
        <f>(((M132*MATERIALES!$C$22)*(N132/0.06))*MATERIALES!$F$2)+((M132*MATERIALES!$C$29)*(N132/0.06))</f>
        <v>6181.7767270315098</v>
      </c>
      <c r="S132" s="59">
        <f t="shared" si="9"/>
        <v>12800.328407031509</v>
      </c>
      <c r="T132" s="70">
        <f t="shared" si="10"/>
        <v>16640.426929140962</v>
      </c>
    </row>
    <row r="133" spans="1:20" ht="15.75" hidden="1" thickBot="1">
      <c r="A133" s="42">
        <v>2.4</v>
      </c>
      <c r="B133" s="37">
        <v>1</v>
      </c>
      <c r="C133" s="38">
        <f>((((A133*2)+(B133*2))*MATERIALES!$C$13)+((A133*2)*MATERIALES!$C$6)+((B133*4)*MATERIALES!$C$15)+(B133*MATERIALES!$C$25))*MATERIALES!$F$2</f>
        <v>4601.7316799999999</v>
      </c>
      <c r="D133" s="59">
        <f>(8*MATERIALES!$C$137)+(8*MATERIALES!$C$174)+((8*4)*MATERIALES!$C$145)+(((B133*2)+(A133*2))*MATERIALES!$C$149)+(4*MATERIALES!$C$148)+(((A133*5)*2)*MATERIALES!$C$147)+(4*MATERIALES!$C$146)+(1*MATERIALES!$C$151)+(2*MATERIALES!$C$150)+(4*MATERIALES!$C$161)</f>
        <v>1416.8502400000002</v>
      </c>
      <c r="E133" s="75"/>
      <c r="F133" s="55">
        <f>(((A133*MATERIALES!$C$22)*(B133/0.06))*MATERIALES!$F$2)+((A133*MATERIALES!$C$29)*(B133/0.06))</f>
        <v>7727.220908789388</v>
      </c>
      <c r="G133" s="38">
        <f t="shared" si="8"/>
        <v>13745.802828789389</v>
      </c>
      <c r="H133" s="43">
        <f t="shared" si="11"/>
        <v>17869.543677426205</v>
      </c>
      <c r="I133" s="57"/>
      <c r="M133" s="68">
        <v>2.4</v>
      </c>
      <c r="N133" s="69">
        <v>1</v>
      </c>
      <c r="O133" s="59">
        <f>((((M133*2)+(N133*2))*MATERIALES!$C$13)+((M133*2)*MATERIALES!$C$6)+((N133*6)*MATERIALES!$C$15)+(N133*MATERIALES!$C$25))*MATERIALES!$F$2</f>
        <v>5108.8564800000004</v>
      </c>
      <c r="P133" s="59">
        <f>(12*MATERIALES!$C$137)+(12*MATERIALES!$C$174)+((8*4)*MATERIALES!$C$145)+(((N133*2)+(M133*2))*MATERIALES!$C$149)+(4*MATERIALES!$C$148)+(((M133*5)*2)*MATERIALES!$C$147)+(4*MATERIALES!$C$146)+(1*MATERIALES!$C$151)+(4*MATERIALES!$C$150)+(6*MATERIALES!$C$161)</f>
        <v>1984.2326399999999</v>
      </c>
      <c r="Q133" s="75"/>
      <c r="R133" s="55">
        <f>(((M133*MATERIALES!$C$22)*(N133/0.06))*MATERIALES!$F$2)+((M133*MATERIALES!$C$29)*(N133/0.06))</f>
        <v>7727.220908789388</v>
      </c>
      <c r="S133" s="59">
        <f t="shared" si="9"/>
        <v>14820.310028789389</v>
      </c>
      <c r="T133" s="70">
        <f t="shared" si="10"/>
        <v>19266.403037426207</v>
      </c>
    </row>
    <row r="134" spans="1:20" ht="15.75" hidden="1" thickBot="1">
      <c r="A134" s="42">
        <v>2.4</v>
      </c>
      <c r="B134" s="37">
        <v>1.2</v>
      </c>
      <c r="C134" s="38">
        <f>((((A134*2)+(B134*2))*MATERIALES!$C$13)+((A134*2)*MATERIALES!$C$6)+((B134*4)*MATERIALES!$C$15)+(B134*MATERIALES!$C$25))*MATERIALES!$F$2</f>
        <v>4969.8230400000002</v>
      </c>
      <c r="D134" s="59">
        <f>(8*MATERIALES!$C$137)+(8*MATERIALES!$C$174)+((8*4)*MATERIALES!$C$145)+(((B134*2)+(A134*2))*MATERIALES!$C$149)+(4*MATERIALES!$C$148)+(((A134*5)*2)*MATERIALES!$C$147)+(4*MATERIALES!$C$146)+(1*MATERIALES!$C$151)+(2*MATERIALES!$C$150)+(4*MATERIALES!$C$161)</f>
        <v>1421.8713600000001</v>
      </c>
      <c r="E134" s="75"/>
      <c r="F134" s="55">
        <f>(((A134*MATERIALES!$C$22)*(B134/0.06))*MATERIALES!$F$2)+((A134*MATERIALES!$C$29)*(B134/0.06))</f>
        <v>9272.6650905472652</v>
      </c>
      <c r="G134" s="38">
        <f t="shared" si="8"/>
        <v>15664.359490547266</v>
      </c>
      <c r="H134" s="43">
        <f t="shared" si="11"/>
        <v>20363.667337711446</v>
      </c>
      <c r="I134" s="57"/>
      <c r="M134" s="68">
        <v>2.4</v>
      </c>
      <c r="N134" s="69">
        <v>1.2</v>
      </c>
      <c r="O134" s="59">
        <f>((((M134*2)+(N134*2))*MATERIALES!$C$13)+((M134*2)*MATERIALES!$C$6)+((N134*6)*MATERIALES!$C$15)+(N134*MATERIALES!$C$25))*MATERIALES!$F$2</f>
        <v>5578.372800000001</v>
      </c>
      <c r="P134" s="59">
        <f>(12*MATERIALES!$C$137)+(12*MATERIALES!$C$174)+((8*4)*MATERIALES!$C$145)+(((N134*2)+(M134*2))*MATERIALES!$C$149)+(4*MATERIALES!$C$148)+(((M134*5)*2)*MATERIALES!$C$147)+(4*MATERIALES!$C$146)+(1*MATERIALES!$C$151)+(4*MATERIALES!$C$150)+(6*MATERIALES!$C$161)</f>
        <v>1989.2537600000001</v>
      </c>
      <c r="Q134" s="75"/>
      <c r="R134" s="55">
        <f>(((M134*MATERIALES!$C$22)*(N134/0.06))*MATERIALES!$F$2)+((M134*MATERIALES!$C$29)*(N134/0.06))</f>
        <v>9272.6650905472652</v>
      </c>
      <c r="S134" s="59">
        <f>SUM(O134:R134)</f>
        <v>16840.291650547268</v>
      </c>
      <c r="T134" s="70">
        <f t="shared" si="10"/>
        <v>21892.379145711449</v>
      </c>
    </row>
    <row r="135" spans="1:20" ht="15.75" hidden="1" thickBot="1">
      <c r="A135" s="42">
        <v>2.4</v>
      </c>
      <c r="B135" s="37">
        <v>1.5</v>
      </c>
      <c r="C135" s="38">
        <f>((((A135*2)+(B135*2))*MATERIALES!$C$13)+((A135*2)*MATERIALES!$C$6)+((B135*4)*MATERIALES!$C$15)+(B135*MATERIALES!$C$25))*MATERIALES!$F$2</f>
        <v>5521.9600799999998</v>
      </c>
      <c r="D135" s="59">
        <f>(8*MATERIALES!$C$137)+(8*MATERIALES!$C$174)+((8*4)*MATERIALES!$C$145)+(((B135*2)+(A135*2))*MATERIALES!$C$149)+(4*MATERIALES!$C$148)+(((A135*5)*2)*MATERIALES!$C$147)+(4*MATERIALES!$C$146)+(1*MATERIALES!$C$151)+(2*MATERIALES!$C$150)+(4*MATERIALES!$C$161)</f>
        <v>1429.4030400000001</v>
      </c>
      <c r="E135" s="75"/>
      <c r="F135" s="55">
        <f>(((A135*MATERIALES!$C$22)*(B135/0.06))*MATERIALES!$F$2)+((A135*MATERIALES!$C$29)*(B135/0.06))</f>
        <v>11590.831363184079</v>
      </c>
      <c r="G135" s="38">
        <f>SUM(C135:F135)</f>
        <v>18542.194483184081</v>
      </c>
      <c r="H135" s="43">
        <f t="shared" si="11"/>
        <v>24104.852828139305</v>
      </c>
      <c r="I135" s="57"/>
      <c r="M135" s="68">
        <v>2.4</v>
      </c>
      <c r="N135" s="69">
        <v>1.5</v>
      </c>
      <c r="O135" s="59">
        <f>((((M135*2)+(N135*2))*MATERIALES!$C$13)+((M135*2)*MATERIALES!$C$6)+((N135*6)*MATERIALES!$C$15)+(N135*MATERIALES!$C$25))*MATERIALES!$F$2</f>
        <v>6282.6472800000001</v>
      </c>
      <c r="P135" s="59">
        <f>(12*MATERIALES!$C$137)+(12*MATERIALES!$C$174)+((8*4)*MATERIALES!$C$145)+(((N135*2)+(M135*2))*MATERIALES!$C$149)+(4*MATERIALES!$C$148)+(((M135*5)*2)*MATERIALES!$C$147)+(4*MATERIALES!$C$146)+(1*MATERIALES!$C$151)+(4*MATERIALES!$C$150)+(6*MATERIALES!$C$161)</f>
        <v>1996.7854399999999</v>
      </c>
      <c r="Q135" s="75"/>
      <c r="R135" s="55">
        <f>(((M135*MATERIALES!$C$22)*(N135/0.06))*MATERIALES!$F$2)+((M135*MATERIALES!$C$29)*(N135/0.06))</f>
        <v>11590.831363184079</v>
      </c>
      <c r="S135" s="59">
        <f t="shared" ref="S135:S136" si="12">SUM(O135:R135)</f>
        <v>19870.26408318408</v>
      </c>
      <c r="T135" s="70">
        <f t="shared" si="10"/>
        <v>25831.343308139305</v>
      </c>
    </row>
    <row r="136" spans="1:20" ht="15.75" hidden="1" thickBot="1">
      <c r="A136" s="44">
        <v>2.4</v>
      </c>
      <c r="B136" s="45">
        <v>1.8</v>
      </c>
      <c r="C136" s="50">
        <f>((((A136*2)+(B136*2))*MATERIALES!$C$13)+((A136*2)*MATERIALES!$C$6)+((B136*4)*MATERIALES!$C$15)+(B136*MATERIALES!$C$25))*MATERIALES!$F$2</f>
        <v>6074.0971200000004</v>
      </c>
      <c r="D136" s="60">
        <f>(8*MATERIALES!$C$137)+(8*MATERIALES!$C$174)+((8*4)*MATERIALES!$C$145)+(((B136*2)+(A136*2))*MATERIALES!$C$149)+(4*MATERIALES!$C$148)+(((A136*5)*2)*MATERIALES!$C$147)+(4*MATERIALES!$C$146)+(1*MATERIALES!$C$151)+(2*MATERIALES!$C$150)+(4*MATERIALES!$C$161)</f>
        <v>1436.9347200000002</v>
      </c>
      <c r="E136" s="76"/>
      <c r="F136" s="56">
        <f>(((A136*MATERIALES!$C$22)*(B136/0.06))*MATERIALES!$F$2)+((A136*MATERIALES!$C$29)*(B136/0.06))</f>
        <v>13908.997635820899</v>
      </c>
      <c r="G136" s="50">
        <f t="shared" ref="G136" si="13">SUM(C136:F136)</f>
        <v>21420.029475820898</v>
      </c>
      <c r="H136" s="52">
        <f t="shared" si="11"/>
        <v>27846.038318567167</v>
      </c>
      <c r="I136" s="57"/>
      <c r="M136" s="71">
        <v>2.4</v>
      </c>
      <c r="N136" s="72">
        <v>1.8</v>
      </c>
      <c r="O136" s="60">
        <f>((((M136*2)+(N136*2))*MATERIALES!$C$13)+((M136*2)*MATERIALES!$C$6)+((N136*6)*MATERIALES!$C$15)+(N136*MATERIALES!$C$25))*MATERIALES!$F$2</f>
        <v>6986.921760000002</v>
      </c>
      <c r="P136" s="60">
        <f>(12*MATERIALES!$C$137)+(12*MATERIALES!$C$174)+((8*4)*MATERIALES!$C$145)+(((N136*2)+(M136*2))*MATERIALES!$C$149)+(4*MATERIALES!$C$148)+(((M136*5)*2)*MATERIALES!$C$147)+(4*MATERIALES!$C$146)+(1*MATERIALES!$C$151)+(4*MATERIALES!$C$150)+(6*MATERIALES!$C$161)</f>
        <v>2004.3171199999999</v>
      </c>
      <c r="Q136" s="76"/>
      <c r="R136" s="56">
        <f>(((M136*MATERIALES!$C$22)*(N136/0.06))*MATERIALES!$F$2)+((M136*MATERIALES!$C$29)*(N136/0.06))</f>
        <v>13908.997635820899</v>
      </c>
      <c r="S136" s="60">
        <f t="shared" si="12"/>
        <v>22900.2365158209</v>
      </c>
      <c r="T136" s="73">
        <f t="shared" si="10"/>
        <v>29770.307470567172</v>
      </c>
    </row>
    <row r="137" spans="1:20" ht="15.75" hidden="1" thickBot="1"/>
    <row r="138" spans="1:20" ht="15.75" hidden="1" thickBot="1"/>
    <row r="139" spans="1:20" ht="15.75" hidden="1" thickBot="1">
      <c r="C139" s="53" t="s">
        <v>835</v>
      </c>
      <c r="O139" s="53" t="s">
        <v>836</v>
      </c>
    </row>
    <row r="140" spans="1:20" ht="15.75" hidden="1" thickBot="1">
      <c r="C140" s="801">
        <v>0.3</v>
      </c>
      <c r="D140" s="802"/>
      <c r="E140" s="802"/>
      <c r="F140" s="803"/>
      <c r="H140" s="46" t="s">
        <v>163</v>
      </c>
      <c r="M140" s="32"/>
      <c r="N140" s="32"/>
      <c r="O140" s="801">
        <v>0.3</v>
      </c>
      <c r="P140" s="802"/>
      <c r="Q140" s="802"/>
      <c r="R140" s="803"/>
      <c r="S140" s="32"/>
      <c r="T140" s="46" t="s">
        <v>163</v>
      </c>
    </row>
    <row r="141" spans="1:20" ht="15.75" hidden="1" thickBot="1">
      <c r="A141" s="792" t="s">
        <v>175</v>
      </c>
      <c r="B141" s="793"/>
      <c r="C141" s="793"/>
      <c r="D141" s="793"/>
      <c r="E141" s="793"/>
      <c r="F141" s="793"/>
      <c r="G141" s="793"/>
      <c r="H141" s="794"/>
      <c r="M141" s="792" t="s">
        <v>180</v>
      </c>
      <c r="N141" s="793"/>
      <c r="O141" s="793"/>
      <c r="P141" s="793"/>
      <c r="Q141" s="793"/>
      <c r="R141" s="793"/>
      <c r="S141" s="793"/>
      <c r="T141" s="794"/>
    </row>
    <row r="142" spans="1:20" ht="15.75" hidden="1" thickBot="1">
      <c r="A142" s="36" t="s">
        <v>116</v>
      </c>
      <c r="B142" s="36" t="s">
        <v>117</v>
      </c>
      <c r="C142" s="36" t="s">
        <v>162</v>
      </c>
      <c r="D142" s="36" t="s">
        <v>119</v>
      </c>
      <c r="E142" s="36" t="s">
        <v>120</v>
      </c>
      <c r="F142" s="36" t="s">
        <v>181</v>
      </c>
      <c r="G142" s="36" t="s">
        <v>121</v>
      </c>
      <c r="H142" s="36" t="s">
        <v>122</v>
      </c>
      <c r="M142" s="36" t="s">
        <v>116</v>
      </c>
      <c r="N142" s="36" t="s">
        <v>117</v>
      </c>
      <c r="O142" s="36" t="s">
        <v>162</v>
      </c>
      <c r="P142" s="36" t="s">
        <v>119</v>
      </c>
      <c r="Q142" s="36" t="s">
        <v>120</v>
      </c>
      <c r="R142" s="36" t="s">
        <v>181</v>
      </c>
      <c r="S142" s="36" t="s">
        <v>121</v>
      </c>
      <c r="T142" s="36" t="s">
        <v>122</v>
      </c>
    </row>
    <row r="143" spans="1:20" ht="15.75" hidden="1" thickBot="1">
      <c r="A143" s="795"/>
      <c r="B143" s="796"/>
      <c r="C143" s="796"/>
      <c r="D143" s="796"/>
      <c r="E143" s="796"/>
      <c r="F143" s="796"/>
      <c r="G143" s="796"/>
      <c r="H143" s="797"/>
      <c r="M143" s="795"/>
      <c r="N143" s="796"/>
      <c r="O143" s="796"/>
      <c r="P143" s="796"/>
      <c r="Q143" s="796"/>
      <c r="R143" s="796"/>
      <c r="S143" s="796"/>
      <c r="T143" s="797"/>
    </row>
    <row r="144" spans="1:20" ht="15.75" hidden="1" thickBot="1">
      <c r="A144" s="40">
        <v>1.2</v>
      </c>
      <c r="B144" s="41">
        <v>2</v>
      </c>
      <c r="C144" s="47">
        <f>((((A144*2)+(B144*2))*MATERIALES!$C$13)+((A144*2)*MATERIALES!$C$6)+(A144*MATERIALES!$C$9)+((B144*4)*MATERIALES!$C$15)+(B144*MATERIALES!$C$25))*MATERIALES!$F$2</f>
        <v>5698.4054400000005</v>
      </c>
      <c r="D144" s="47">
        <f>(12*MATERIALES!$C$137)+(12*MATERIALES!$C$174)+((8*4)*MATERIALES!$C$145)+(((B144*2)+(A144*2))*MATERIALES!$C$149)+(4*MATERIALES!$C$148)+(((A144*5)*2)*MATERIALES!$C$147)+(4*MATERIALES!$C$146)+(1*MATERIALES!$C$151)+(2*MATERIALES!$C$150)+(6*MATERIALES!$C$161)</f>
        <v>1717.1315200000001</v>
      </c>
      <c r="E144" s="74"/>
      <c r="F144" s="54">
        <f>(((A144*MATERIALES!$C$22)*(B144/0.06))*MATERIALES!$F$2)+((A144*MATERIALES!$C$29)*(B144/0.06))</f>
        <v>7727.220908789388</v>
      </c>
      <c r="G144" s="47">
        <f>SUM(C144:F144)</f>
        <v>15142.757868789387</v>
      </c>
      <c r="H144" s="49">
        <f>(SUM(C144:F144)*1.3)</f>
        <v>19685.585229426204</v>
      </c>
      <c r="M144" s="37">
        <v>1.2</v>
      </c>
      <c r="N144" s="37">
        <v>2</v>
      </c>
      <c r="O144" s="38">
        <f>((((M144*2)+(N144*2))*MATERIALES!$C$13)+((M144*2)*MATERIALES!$C$6)+(M144*MATERIALES!$C$9)+((N144*6)*MATERIALES!$C$15)+((N144*2)*MATERIALES!$C$25))*MATERIALES!$F$2</f>
        <v>7067.7734400000008</v>
      </c>
      <c r="P144" s="38">
        <f>(18*MATERIALES!$C$137)+(18*MATERIALES!$C$174)+((8*4)*MATERIALES!$C$145)+(((N144*2)+(M144*2))*MATERIALES!$C$149)+(4*MATERIALES!$C$148)+(((M144*5)*2)*MATERIALES!$C$147)+(4*MATERIALES!$C$146)+(1*MATERIALES!$C$151)+(4*MATERIALES!$C$150)+(9*MATERIALES!$C$161)</f>
        <v>2437.1651200000001</v>
      </c>
      <c r="Q144" s="75"/>
      <c r="R144" s="55">
        <f>(((M144*MATERIALES!$C$22)*(N144/0.06))*MATERIALES!$F$2)+((M144*MATERIALES!$C$29)*(N144/0.06))</f>
        <v>7727.220908789388</v>
      </c>
      <c r="S144" s="38">
        <f>SUM(O144:R144)</f>
        <v>17232.159468789388</v>
      </c>
      <c r="T144" s="547">
        <f>(SUM(O144:R144)*1.3)</f>
        <v>22401.807309426207</v>
      </c>
    </row>
    <row r="145" spans="1:32" ht="15.75" hidden="1" thickBot="1">
      <c r="A145" s="42">
        <v>1.5</v>
      </c>
      <c r="B145" s="37">
        <v>2</v>
      </c>
      <c r="C145" s="38">
        <f>((((A145*2)+(B145*2))*MATERIALES!$C$13)+((A145*2)*MATERIALES!$C$6)+(A145*MATERIALES!$C$9)+((B145*4)*MATERIALES!$C$15)+(B145*MATERIALES!$C$25))*MATERIALES!$F$2</f>
        <v>6202.7784000000011</v>
      </c>
      <c r="D145" s="38">
        <f>(12*MATERIALES!$C$137)+(12*MATERIALES!$C$174)+((8*4)*MATERIALES!$C$145)+(((B145*2)+(A145*2))*MATERIALES!$C$149)+(4*MATERIALES!$C$148)+(((A145*5)*2)*MATERIALES!$C$147)+(4*MATERIALES!$C$146)+(1*MATERIALES!$C$151)+(2*MATERIALES!$C$150)+(6*MATERIALES!$C$161)</f>
        <v>1724.6632</v>
      </c>
      <c r="E145" s="75"/>
      <c r="F145" s="55">
        <f>(((A145*MATERIALES!$C$22)*(B145/0.06))*MATERIALES!$F$2)+((A145*MATERIALES!$C$29)*(B145/0.06))</f>
        <v>9659.0261359867345</v>
      </c>
      <c r="G145" s="38">
        <f>SUM(C145:F145)</f>
        <v>17586.467735986735</v>
      </c>
      <c r="H145" s="43">
        <f t="shared" ref="H145:H149" si="14">(SUM(C145:F145)*1.3)</f>
        <v>22862.408056782755</v>
      </c>
      <c r="M145" s="37">
        <v>1.5</v>
      </c>
      <c r="N145" s="37">
        <v>2</v>
      </c>
      <c r="O145" s="38">
        <f>((((M145*2)+(N145*2))*MATERIALES!$C$13)+((M145*2)*MATERIALES!$C$6)+(M145*MATERIALES!$C$9)+((N145*6)*MATERIALES!$C$15)+((N145*2)*MATERIALES!$C$25))*MATERIALES!$F$2</f>
        <v>7572.1463999999996</v>
      </c>
      <c r="P145" s="38">
        <f>(18*MATERIALES!$C$137)+(18*MATERIALES!$C$174)+((8*4)*MATERIALES!$C$145)+(((N145*2)+(M145*2))*MATERIALES!$C$149)+(4*MATERIALES!$C$148)+(((M145*5)*2)*MATERIALES!$C$147)+(4*MATERIALES!$C$146)+(1*MATERIALES!$C$151)+(4*MATERIALES!$C$150)+(9*MATERIALES!$C$161)</f>
        <v>2444.6968000000002</v>
      </c>
      <c r="Q145" s="75"/>
      <c r="R145" s="55">
        <f>(((M145*MATERIALES!$C$22)*(N145/0.06))*MATERIALES!$F$2)+((M145*MATERIALES!$C$29)*(N145/0.06))</f>
        <v>9659.0261359867345</v>
      </c>
      <c r="S145" s="38">
        <f>SUM(O145:R145)</f>
        <v>19675.869335986732</v>
      </c>
      <c r="T145" s="547">
        <f t="shared" ref="T145:T149" si="15">(SUM(O145:R145)*1.3)</f>
        <v>25578.630136782751</v>
      </c>
    </row>
    <row r="146" spans="1:32" ht="15.75" hidden="1" thickBot="1">
      <c r="A146" s="42">
        <v>1.8</v>
      </c>
      <c r="B146" s="37">
        <v>2</v>
      </c>
      <c r="C146" s="38">
        <f>((((A146*2)+(B146*2))*MATERIALES!$C$13)+((A146*2)*MATERIALES!$C$6)+(A146*MATERIALES!$C$9)+((B146*4)*MATERIALES!$C$15)+(B146*MATERIALES!$C$25))*MATERIALES!$F$2</f>
        <v>6707.1513600000008</v>
      </c>
      <c r="D146" s="38">
        <f>(12*MATERIALES!$C$137)+(12*MATERIALES!$C$174)+((8*4)*MATERIALES!$C$145)+(((B146*2)+(A146*2))*MATERIALES!$C$149)+(4*MATERIALES!$C$148)+(((A146*5)*2)*MATERIALES!$C$147)+(4*MATERIALES!$C$146)+(1*MATERIALES!$C$151)+(2*MATERIALES!$C$150)+(6*MATERIALES!$C$161)</f>
        <v>1732.19488</v>
      </c>
      <c r="E146" s="75"/>
      <c r="F146" s="55">
        <f>(((A146*MATERIALES!$C$22)*(B146/0.06))*MATERIALES!$F$2)+((A146*MATERIALES!$C$29)*(B146/0.06))</f>
        <v>11590.831363184081</v>
      </c>
      <c r="G146" s="38">
        <f t="shared" ref="G146:G149" si="16">SUM(C146:F146)</f>
        <v>20030.177603184082</v>
      </c>
      <c r="H146" s="43">
        <f t="shared" si="14"/>
        <v>26039.230884139306</v>
      </c>
      <c r="M146" s="37">
        <v>1.8</v>
      </c>
      <c r="N146" s="37">
        <v>2</v>
      </c>
      <c r="O146" s="38">
        <f>((((M146*2)+(N146*2))*MATERIALES!$C$13)+((M146*2)*MATERIALES!$C$6)+(M146*MATERIALES!$C$9)+((N146*6)*MATERIALES!$C$15)+((N146*2)*MATERIALES!$C$25))*MATERIALES!$F$2</f>
        <v>8076.5193600000011</v>
      </c>
      <c r="P146" s="38">
        <f>(18*MATERIALES!$C$137)+(18*MATERIALES!$C$174)+((8*4)*MATERIALES!$C$145)+(((N146*2)+(M146*2))*MATERIALES!$C$149)+(4*MATERIALES!$C$148)+(((M146*5)*2)*MATERIALES!$C$147)+(4*MATERIALES!$C$146)+(1*MATERIALES!$C$151)+(4*MATERIALES!$C$150)+(9*MATERIALES!$C$161)</f>
        <v>2452.2284799999998</v>
      </c>
      <c r="Q146" s="75"/>
      <c r="R146" s="55">
        <f>(((M146*MATERIALES!$C$22)*(N146/0.06))*MATERIALES!$F$2)+((M146*MATERIALES!$C$29)*(N146/0.06))</f>
        <v>11590.831363184081</v>
      </c>
      <c r="S146" s="38">
        <f t="shared" ref="S146:S149" si="17">SUM(O146:R146)</f>
        <v>22119.579203184083</v>
      </c>
      <c r="T146" s="547">
        <f t="shared" si="15"/>
        <v>28755.452964139309</v>
      </c>
    </row>
    <row r="147" spans="1:32" ht="15.75" hidden="1" thickBot="1">
      <c r="A147" s="42">
        <v>2</v>
      </c>
      <c r="B147" s="37">
        <v>2</v>
      </c>
      <c r="C147" s="38">
        <f>((((A147*2)+(B147*2))*MATERIALES!$C$13)+((A147*2)*MATERIALES!$C$6)+(A147*MATERIALES!$C$9)+((B147*4)*MATERIALES!$C$15)+(B147*MATERIALES!$C$25))*MATERIALES!$F$2</f>
        <v>7043.4000000000005</v>
      </c>
      <c r="D147" s="38">
        <f>(12*MATERIALES!$C$137)+(12*MATERIALES!$C$174)+((8*4)*MATERIALES!$C$145)+(((B147*2)+(A147*2))*MATERIALES!$C$149)+(4*MATERIALES!$C$148)+(((A147*5)*2)*MATERIALES!$C$147)+(4*MATERIALES!$C$146)+(1*MATERIALES!$C$151)+(2*MATERIALES!$C$150)+(6*MATERIALES!$C$161)</f>
        <v>1737.2160000000001</v>
      </c>
      <c r="E147" s="75"/>
      <c r="F147" s="55">
        <f>(((A147*MATERIALES!$C$22)*(B147/0.06))*MATERIALES!$F$2)+((A147*MATERIALES!$C$29)*(B147/0.06))</f>
        <v>12878.701514648979</v>
      </c>
      <c r="G147" s="38">
        <f t="shared" si="16"/>
        <v>21659.317514648981</v>
      </c>
      <c r="H147" s="43">
        <f t="shared" si="14"/>
        <v>28157.112769043677</v>
      </c>
      <c r="M147" s="37">
        <v>2</v>
      </c>
      <c r="N147" s="37">
        <v>2</v>
      </c>
      <c r="O147" s="38">
        <f>((((M147*2)+(N147*2))*MATERIALES!$C$13)+((M147*2)*MATERIALES!$C$6)+(M147*MATERIALES!$C$9)+((N147*6)*MATERIALES!$C$15)+((N147*2)*MATERIALES!$C$25))*MATERIALES!$F$2</f>
        <v>8412.768</v>
      </c>
      <c r="P147" s="38">
        <f>(18*MATERIALES!$C$137)+(18*MATERIALES!$C$174)+((8*4)*MATERIALES!$C$145)+(((N147*2)+(M147*2))*MATERIALES!$C$149)+(4*MATERIALES!$C$148)+(((M147*5)*2)*MATERIALES!$C$147)+(4*MATERIALES!$C$146)+(1*MATERIALES!$C$151)+(4*MATERIALES!$C$150)+(9*MATERIALES!$C$161)</f>
        <v>2457.2496000000001</v>
      </c>
      <c r="Q147" s="75"/>
      <c r="R147" s="55">
        <f>(((M147*MATERIALES!$C$22)*(N147/0.06))*MATERIALES!$F$2)+((M147*MATERIALES!$C$29)*(N147/0.06))</f>
        <v>12878.701514648979</v>
      </c>
      <c r="S147" s="38">
        <f t="shared" si="17"/>
        <v>23748.719114648979</v>
      </c>
      <c r="T147" s="547">
        <f t="shared" si="15"/>
        <v>30873.334849043673</v>
      </c>
    </row>
    <row r="148" spans="1:32" ht="15.75" hidden="1" thickBot="1">
      <c r="A148" s="42">
        <v>2.4</v>
      </c>
      <c r="B148" s="37">
        <v>2</v>
      </c>
      <c r="C148" s="38">
        <f>((((A148*2)+(B148*2))*MATERIALES!$C$13)+((A148*2)*MATERIALES!$C$6)+(A148*MATERIALES!$C$9)+((B148*4)*MATERIALES!$C$15)+(B148*MATERIALES!$C$25))*MATERIALES!$F$2</f>
        <v>7715.897280000001</v>
      </c>
      <c r="D148" s="38">
        <f>(12*MATERIALES!$C$137)+(12*MATERIALES!$C$174)+((8*4)*MATERIALES!$C$145)+(((B148*2)+(A148*2))*MATERIALES!$C$149)+(4*MATERIALES!$C$148)+(((A148*5)*2)*MATERIALES!$C$147)+(4*MATERIALES!$C$146)+(1*MATERIALES!$C$151)+(2*MATERIALES!$C$150)+(6*MATERIALES!$C$161)</f>
        <v>1747.2582400000001</v>
      </c>
      <c r="E148" s="75"/>
      <c r="F148" s="55">
        <f>(((A148*MATERIALES!$C$22)*(B148/0.06))*MATERIALES!$F$2)+((A148*MATERIALES!$C$29)*(B148/0.06))</f>
        <v>15454.441817578776</v>
      </c>
      <c r="G148" s="38">
        <f t="shared" si="16"/>
        <v>24917.597337578776</v>
      </c>
      <c r="H148" s="43">
        <f t="shared" si="14"/>
        <v>32392.876538852412</v>
      </c>
      <c r="M148" s="37">
        <v>2.4</v>
      </c>
      <c r="N148" s="37">
        <v>2</v>
      </c>
      <c r="O148" s="38">
        <f>((((M148*2)+(N148*2))*MATERIALES!$C$13)+((M148*2)*MATERIALES!$C$6)+(M148*MATERIALES!$C$9)+((N148*6)*MATERIALES!$C$15)+((N148*2)*MATERIALES!$C$25))*MATERIALES!$F$2</f>
        <v>9085.2652800000014</v>
      </c>
      <c r="P148" s="38">
        <f>(18*MATERIALES!$C$137)+(18*MATERIALES!$C$174)+((8*4)*MATERIALES!$C$145)+(((N148*2)+(M148*2))*MATERIALES!$C$149)+(4*MATERIALES!$C$148)+(((M148*5)*2)*MATERIALES!$C$147)+(4*MATERIALES!$C$146)+(1*MATERIALES!$C$151)+(4*MATERIALES!$C$150)+(9*MATERIALES!$C$161)</f>
        <v>2467.2918399999999</v>
      </c>
      <c r="Q148" s="75"/>
      <c r="R148" s="55">
        <f>(((M148*MATERIALES!$C$22)*(N148/0.06))*MATERIALES!$F$2)+((M148*MATERIALES!$C$29)*(N148/0.06))</f>
        <v>15454.441817578776</v>
      </c>
      <c r="S148" s="38">
        <f t="shared" si="17"/>
        <v>27006.998937578777</v>
      </c>
      <c r="T148" s="547">
        <f t="shared" si="15"/>
        <v>35109.098618852411</v>
      </c>
    </row>
    <row r="149" spans="1:32" ht="15.75" hidden="1" thickBot="1">
      <c r="A149" s="44">
        <v>2.4</v>
      </c>
      <c r="B149" s="45">
        <v>2</v>
      </c>
      <c r="C149" s="50">
        <f>((((A149*2)+(B149*2))*MATERIALES!$C$13)+((A149*2)*MATERIALES!$C$6)+(A149*MATERIALES!$C$9)+((B149*4)*MATERIALES!$C$15)+(B149*MATERIALES!$C$25))*MATERIALES!$F$2</f>
        <v>7715.897280000001</v>
      </c>
      <c r="D149" s="50">
        <f>(12*MATERIALES!$C$137)+(12*MATERIALES!$C$174)+((8*4)*MATERIALES!$C$145)+(((B149*2)+(A149*2))*MATERIALES!$C$149)+(4*MATERIALES!$C$148)+(((A149*5)*2)*MATERIALES!$C$147)+(4*MATERIALES!$C$146)+(1*MATERIALES!$C$151)+(2*MATERIALES!$C$150)+(6*MATERIALES!$C$161)</f>
        <v>1747.2582400000001</v>
      </c>
      <c r="E149" s="76"/>
      <c r="F149" s="56">
        <f>(((A149*MATERIALES!$C$22)*(B149/0.06))*MATERIALES!$F$2)+((A149*MATERIALES!$C$29)*(B149/0.06))</f>
        <v>15454.441817578776</v>
      </c>
      <c r="G149" s="50">
        <f t="shared" si="16"/>
        <v>24917.597337578776</v>
      </c>
      <c r="H149" s="52">
        <f t="shared" si="14"/>
        <v>32392.876538852412</v>
      </c>
      <c r="M149" s="37">
        <v>2.4</v>
      </c>
      <c r="N149" s="37">
        <v>2</v>
      </c>
      <c r="O149" s="38">
        <f>((((M149*2)+(N149*2))*MATERIALES!$C$13)+((M149*2)*MATERIALES!$C$6)+(M149*MATERIALES!$C$9)+((N149*6)*MATERIALES!$C$15)+((N149*2)*MATERIALES!$C$25))*MATERIALES!$F$2</f>
        <v>9085.2652800000014</v>
      </c>
      <c r="P149" s="38">
        <f>(18*MATERIALES!$C$137)+(18*MATERIALES!$C$174)+((8*4)*MATERIALES!$C$145)+(((N149*2)+(M149*2))*MATERIALES!$C$149)+(4*MATERIALES!$C$148)+(((M149*5)*2)*MATERIALES!$C$147)+(4*MATERIALES!$C$146)+(1*MATERIALES!$C$151)+(4*MATERIALES!$C$150)+(9*MATERIALES!$C$161)</f>
        <v>2467.2918399999999</v>
      </c>
      <c r="Q149" s="75"/>
      <c r="R149" s="55">
        <f>(((M149*MATERIALES!$C$22)*(N149/0.06))*MATERIALES!$F$2)+((M149*MATERIALES!$C$29)*(N149/0.06))</f>
        <v>15454.441817578776</v>
      </c>
      <c r="S149" s="38">
        <f t="shared" si="17"/>
        <v>27006.998937578777</v>
      </c>
      <c r="T149" s="547">
        <f t="shared" si="15"/>
        <v>35109.098618852411</v>
      </c>
    </row>
    <row r="150" spans="1:32" ht="15.75" hidden="1" thickBot="1"/>
    <row r="151" spans="1:32" ht="15.75" hidden="1" thickBot="1"/>
    <row r="152" spans="1:32" ht="15.75" hidden="1" thickBot="1"/>
    <row r="153" spans="1:32" ht="15" customHeight="1">
      <c r="Z153" s="32"/>
      <c r="AA153" s="32"/>
      <c r="AB153" s="32"/>
      <c r="AC153" s="32"/>
      <c r="AD153" s="32"/>
      <c r="AE153" s="576" t="s">
        <v>532</v>
      </c>
      <c r="AF153" s="847" t="s">
        <v>532</v>
      </c>
    </row>
    <row r="154" spans="1:32" ht="15.75" thickBot="1">
      <c r="Z154" s="32"/>
      <c r="AA154" s="32"/>
      <c r="AB154" s="32"/>
      <c r="AC154" s="32"/>
      <c r="AD154" s="32"/>
      <c r="AE154" s="576"/>
      <c r="AF154" s="853"/>
    </row>
    <row r="155" spans="1:32" ht="29.25" customHeight="1" thickBot="1">
      <c r="Y155" s="850" t="s">
        <v>615</v>
      </c>
      <c r="Z155" s="851"/>
      <c r="AA155" s="851"/>
      <c r="AB155" s="851"/>
      <c r="AC155" s="852"/>
      <c r="AD155" s="259"/>
      <c r="AE155" s="576"/>
      <c r="AF155" s="853"/>
    </row>
    <row r="156" spans="1:32" ht="24" customHeight="1" thickBot="1">
      <c r="Y156" s="566"/>
      <c r="Z156" s="850" t="s">
        <v>839</v>
      </c>
      <c r="AA156" s="852"/>
      <c r="AB156" s="850" t="s">
        <v>840</v>
      </c>
      <c r="AC156" s="852"/>
      <c r="AD156" s="259"/>
      <c r="AE156" s="576"/>
      <c r="AF156" s="853"/>
    </row>
    <row r="157" spans="1:32" ht="19.5" thickBot="1">
      <c r="Y157" s="240" t="s">
        <v>534</v>
      </c>
      <c r="Z157" s="240" t="s">
        <v>616</v>
      </c>
      <c r="AA157" s="240" t="s">
        <v>617</v>
      </c>
      <c r="AB157" s="568" t="s">
        <v>837</v>
      </c>
      <c r="AC157" s="568" t="s">
        <v>838</v>
      </c>
      <c r="AD157" s="32"/>
      <c r="AE157" s="576"/>
      <c r="AF157" s="853"/>
    </row>
    <row r="158" spans="1:32" ht="15.75">
      <c r="Y158" s="262" t="s">
        <v>539</v>
      </c>
      <c r="Z158" s="250">
        <f t="shared" ref="Z158:Z197" si="18">+H6</f>
        <v>4527.7073920000003</v>
      </c>
      <c r="AA158" s="250"/>
      <c r="AB158" s="567">
        <f t="shared" ref="AB158:AB197" si="19">+H83</f>
        <v>4622.5664301426204</v>
      </c>
      <c r="AC158" s="567"/>
      <c r="AD158" s="32"/>
      <c r="AE158" s="576"/>
      <c r="AF158" s="853"/>
    </row>
    <row r="159" spans="1:32" ht="15.75">
      <c r="Y159" s="262" t="s">
        <v>540</v>
      </c>
      <c r="Z159" s="250">
        <f t="shared" si="18"/>
        <v>5467.5934560000005</v>
      </c>
      <c r="AA159" s="250"/>
      <c r="AB159" s="567">
        <f t="shared" si="19"/>
        <v>5609.8820132139308</v>
      </c>
      <c r="AC159" s="567"/>
      <c r="AD159" s="32"/>
      <c r="AE159" s="576"/>
      <c r="AF159" s="853"/>
    </row>
    <row r="160" spans="1:32" ht="15.75">
      <c r="Y160" s="262" t="s">
        <v>541</v>
      </c>
      <c r="Z160" s="250">
        <f t="shared" si="18"/>
        <v>5136.5995200000016</v>
      </c>
      <c r="AA160" s="250"/>
      <c r="AB160" s="567">
        <f t="shared" si="19"/>
        <v>5263.0782375234949</v>
      </c>
      <c r="AC160" s="567"/>
      <c r="AD160" s="32"/>
      <c r="AE160" s="576"/>
      <c r="AF160" s="853"/>
    </row>
    <row r="161" spans="25:32" ht="15.75">
      <c r="Y161" s="262" t="s">
        <v>542</v>
      </c>
      <c r="Z161" s="250">
        <f t="shared" si="18"/>
        <v>6228.0988640000005</v>
      </c>
      <c r="AA161" s="250"/>
      <c r="AB161" s="567">
        <f t="shared" si="19"/>
        <v>6417.8169402852409</v>
      </c>
      <c r="AC161" s="567"/>
      <c r="AD161" s="32"/>
      <c r="AE161" s="576"/>
      <c r="AF161" s="853"/>
    </row>
    <row r="162" spans="25:32" ht="15.75">
      <c r="Y162" s="262" t="s">
        <v>543</v>
      </c>
      <c r="Z162" s="250">
        <f t="shared" si="18"/>
        <v>7319.5982080000013</v>
      </c>
      <c r="AA162" s="250"/>
      <c r="AB162" s="567">
        <f t="shared" si="19"/>
        <v>7572.5556430469887</v>
      </c>
      <c r="AC162" s="567"/>
      <c r="AD162" s="32"/>
      <c r="AE162" s="576"/>
      <c r="AF162" s="853"/>
    </row>
    <row r="163" spans="25:32" ht="15.75">
      <c r="Y163" s="262" t="s">
        <v>544</v>
      </c>
      <c r="Z163" s="250">
        <f t="shared" si="18"/>
        <v>5745.4916480000011</v>
      </c>
      <c r="AA163" s="250">
        <f t="shared" ref="AA163:AA197" si="20">+T11</f>
        <v>6839.1244480000014</v>
      </c>
      <c r="AB163" s="567">
        <f t="shared" si="19"/>
        <v>5903.5900449043684</v>
      </c>
      <c r="AC163" s="567">
        <f>+T88</f>
        <v>6904.892060904368</v>
      </c>
      <c r="AD163" s="32"/>
      <c r="AF163" s="853"/>
    </row>
    <row r="164" spans="25:32" ht="15.75">
      <c r="Y164" s="262" t="s">
        <v>545</v>
      </c>
      <c r="Z164" s="250">
        <f t="shared" si="18"/>
        <v>6988.6042720000005</v>
      </c>
      <c r="AA164" s="250">
        <f t="shared" si="20"/>
        <v>8260.2549120000003</v>
      </c>
      <c r="AB164" s="567">
        <f t="shared" si="19"/>
        <v>7225.751867356551</v>
      </c>
      <c r="AC164" s="567">
        <f t="shared" ref="AC164:AC197" si="21">+T89</f>
        <v>8358.9063313565512</v>
      </c>
      <c r="AD164" s="32"/>
      <c r="AF164" s="853"/>
    </row>
    <row r="165" spans="25:32" ht="15.75">
      <c r="Y165" s="263" t="s">
        <v>546</v>
      </c>
      <c r="Z165" s="250">
        <f t="shared" si="18"/>
        <v>8231.7168960000017</v>
      </c>
      <c r="AA165" s="250">
        <f t="shared" si="20"/>
        <v>9681.385376000002</v>
      </c>
      <c r="AB165" s="567">
        <f t="shared" si="19"/>
        <v>8547.9136898087363</v>
      </c>
      <c r="AC165" s="567">
        <f t="shared" si="21"/>
        <v>9812.9206018087352</v>
      </c>
      <c r="AD165" s="264"/>
      <c r="AE165" s="264"/>
      <c r="AF165" s="853"/>
    </row>
    <row r="166" spans="25:32" ht="15.75">
      <c r="Y166" s="263" t="s">
        <v>547</v>
      </c>
      <c r="Z166" s="250">
        <f t="shared" si="18"/>
        <v>9474.8295200000011</v>
      </c>
      <c r="AA166" s="250">
        <f t="shared" si="20"/>
        <v>11102.515840000002</v>
      </c>
      <c r="AB166" s="567">
        <f t="shared" si="19"/>
        <v>9870.0755122609189</v>
      </c>
      <c r="AC166" s="567">
        <f t="shared" si="21"/>
        <v>11266.934872260917</v>
      </c>
      <c r="AD166" s="264"/>
      <c r="AE166" s="264"/>
      <c r="AF166" s="853"/>
    </row>
    <row r="167" spans="25:32" ht="16.5" thickBot="1">
      <c r="Y167" s="263" t="s">
        <v>548</v>
      </c>
      <c r="Z167" s="250">
        <f t="shared" si="18"/>
        <v>10096.385832000002</v>
      </c>
      <c r="AA167" s="250">
        <f t="shared" si="20"/>
        <v>11813.081072000003</v>
      </c>
      <c r="AB167" s="567">
        <f t="shared" si="19"/>
        <v>10531.156423487011</v>
      </c>
      <c r="AC167" s="567">
        <f t="shared" si="21"/>
        <v>11993.942007487012</v>
      </c>
      <c r="AD167" s="264"/>
      <c r="AE167" s="264"/>
      <c r="AF167" s="854"/>
    </row>
    <row r="168" spans="25:32" ht="15.75">
      <c r="Y168" s="263" t="s">
        <v>549</v>
      </c>
      <c r="Z168" s="250">
        <f t="shared" si="18"/>
        <v>10717.942143999999</v>
      </c>
      <c r="AA168" s="250">
        <f t="shared" si="20"/>
        <v>12523.646304000002</v>
      </c>
      <c r="AB168" s="567">
        <f t="shared" si="19"/>
        <v>11192.2373347131</v>
      </c>
      <c r="AC168" s="567">
        <f t="shared" si="21"/>
        <v>12720.949142713102</v>
      </c>
      <c r="AD168" s="264"/>
      <c r="AE168" s="264"/>
    </row>
    <row r="169" spans="25:32" ht="15.75">
      <c r="Y169" s="263" t="s">
        <v>550</v>
      </c>
      <c r="Z169" s="250">
        <f t="shared" si="18"/>
        <v>12582.611080000002</v>
      </c>
      <c r="AA169" s="250">
        <f t="shared" si="20"/>
        <v>14655.342000000001</v>
      </c>
      <c r="AB169" s="567">
        <f t="shared" si="19"/>
        <v>13175.48006839138</v>
      </c>
      <c r="AC169" s="567">
        <f t="shared" si="21"/>
        <v>14901.970548391379</v>
      </c>
      <c r="AD169" s="264"/>
      <c r="AE169" s="264"/>
    </row>
    <row r="170" spans="25:32" ht="15.75">
      <c r="Y170" s="263" t="s">
        <v>551</v>
      </c>
      <c r="Z170" s="250">
        <f t="shared" si="18"/>
        <v>6354.3837760000006</v>
      </c>
      <c r="AA170" s="250">
        <f t="shared" si="20"/>
        <v>7448.0165760000018</v>
      </c>
      <c r="AB170" s="567">
        <f t="shared" si="19"/>
        <v>6544.101852285241</v>
      </c>
      <c r="AC170" s="567">
        <f t="shared" si="21"/>
        <v>7545.4038682852415</v>
      </c>
      <c r="AD170" s="264"/>
      <c r="AE170" s="264"/>
    </row>
    <row r="171" spans="25:32" ht="15.75">
      <c r="Y171" s="263" t="s">
        <v>552</v>
      </c>
      <c r="Z171" s="250">
        <f t="shared" si="18"/>
        <v>7749.1096800000005</v>
      </c>
      <c r="AA171" s="250">
        <f t="shared" si="20"/>
        <v>9020.7603200000012</v>
      </c>
      <c r="AB171" s="567">
        <f t="shared" si="19"/>
        <v>8033.6867944278611</v>
      </c>
      <c r="AC171" s="567">
        <f t="shared" si="21"/>
        <v>9166.8412584278631</v>
      </c>
      <c r="AD171" s="264"/>
      <c r="AE171" s="264"/>
    </row>
    <row r="172" spans="25:32" ht="15.75">
      <c r="Y172" s="263" t="s">
        <v>553</v>
      </c>
      <c r="Z172" s="250">
        <f t="shared" si="18"/>
        <v>9143.8355840000004</v>
      </c>
      <c r="AA172" s="250">
        <f t="shared" si="20"/>
        <v>10593.504064000001</v>
      </c>
      <c r="AB172" s="567">
        <f t="shared" si="19"/>
        <v>9523.2717365704812</v>
      </c>
      <c r="AC172" s="567">
        <f t="shared" si="21"/>
        <v>10788.278648570482</v>
      </c>
      <c r="AD172" s="264"/>
      <c r="AE172" s="264"/>
    </row>
    <row r="173" spans="25:32" ht="15.75">
      <c r="Y173" s="263" t="s">
        <v>554</v>
      </c>
      <c r="Z173" s="250">
        <f t="shared" si="18"/>
        <v>10538.561488000001</v>
      </c>
      <c r="AA173" s="250">
        <f t="shared" si="20"/>
        <v>12166.247808000002</v>
      </c>
      <c r="AB173" s="567">
        <f t="shared" si="19"/>
        <v>11012.856678713104</v>
      </c>
      <c r="AC173" s="567">
        <f t="shared" si="21"/>
        <v>12409.716038713104</v>
      </c>
      <c r="AD173" s="264"/>
      <c r="AE173" s="264"/>
    </row>
    <row r="174" spans="25:32" ht="15.75">
      <c r="Y174" s="263" t="s">
        <v>555</v>
      </c>
      <c r="Z174" s="250">
        <f t="shared" si="18"/>
        <v>11235.924440000003</v>
      </c>
      <c r="AA174" s="250">
        <f t="shared" si="20"/>
        <v>12952.619680000002</v>
      </c>
      <c r="AB174" s="567">
        <f t="shared" si="19"/>
        <v>11757.649149784414</v>
      </c>
      <c r="AC174" s="567">
        <f t="shared" si="21"/>
        <v>13220.434733784414</v>
      </c>
      <c r="AD174" s="264"/>
      <c r="AE174" s="264"/>
    </row>
    <row r="175" spans="25:32" ht="15.75">
      <c r="Y175" s="263" t="s">
        <v>556</v>
      </c>
      <c r="Z175" s="250">
        <f t="shared" si="18"/>
        <v>11933.287392000002</v>
      </c>
      <c r="AA175" s="250">
        <f t="shared" si="20"/>
        <v>13738.991552000001</v>
      </c>
      <c r="AB175" s="567">
        <f t="shared" si="19"/>
        <v>12502.441620855723</v>
      </c>
      <c r="AC175" s="567">
        <f t="shared" si="21"/>
        <v>14031.153428855723</v>
      </c>
      <c r="AD175" s="264"/>
      <c r="AE175" s="264"/>
    </row>
    <row r="176" spans="25:32" ht="15.75">
      <c r="Y176" s="263" t="s">
        <v>557</v>
      </c>
      <c r="Z176" s="250">
        <f t="shared" si="18"/>
        <v>14025.376248000002</v>
      </c>
      <c r="AA176" s="250">
        <f t="shared" si="20"/>
        <v>16098.107168000002</v>
      </c>
      <c r="AB176" s="567">
        <f t="shared" si="19"/>
        <v>14736.819034069651</v>
      </c>
      <c r="AC176" s="567">
        <f t="shared" si="21"/>
        <v>16463.309514069653</v>
      </c>
      <c r="AD176" s="264"/>
      <c r="AE176" s="264"/>
    </row>
    <row r="177" spans="25:31" ht="15.75">
      <c r="Y177" s="263" t="s">
        <v>558</v>
      </c>
      <c r="Z177" s="250">
        <f t="shared" si="18"/>
        <v>16117.465104000003</v>
      </c>
      <c r="AA177" s="250">
        <f t="shared" si="20"/>
        <v>18457.222784000005</v>
      </c>
      <c r="AB177" s="567">
        <f t="shared" si="19"/>
        <v>16971.196447283583</v>
      </c>
      <c r="AC177" s="567">
        <f t="shared" si="21"/>
        <v>8506.1715793565527</v>
      </c>
      <c r="AD177" s="264"/>
      <c r="AE177" s="265"/>
    </row>
    <row r="178" spans="25:31" ht="15.75">
      <c r="Y178" s="263" t="s">
        <v>559</v>
      </c>
      <c r="Z178" s="250">
        <f t="shared" si="18"/>
        <v>7267.7219680000007</v>
      </c>
      <c r="AA178" s="250">
        <f t="shared" si="20"/>
        <v>8361.3547679999992</v>
      </c>
      <c r="AB178" s="567">
        <f t="shared" si="19"/>
        <v>7504.8695633565512</v>
      </c>
      <c r="AC178" s="567">
        <f t="shared" si="21"/>
        <v>10378.743649034826</v>
      </c>
      <c r="AD178" s="32"/>
    </row>
    <row r="179" spans="25:31" ht="15.75">
      <c r="Y179" s="263" t="s">
        <v>560</v>
      </c>
      <c r="Z179" s="250">
        <f t="shared" si="18"/>
        <v>8889.8677920000009</v>
      </c>
      <c r="AA179" s="250">
        <f t="shared" si="20"/>
        <v>10161.518432000001</v>
      </c>
      <c r="AB179" s="567">
        <f t="shared" si="19"/>
        <v>9245.5891850348253</v>
      </c>
      <c r="AC179" s="567">
        <f t="shared" si="21"/>
        <v>12251.315718713104</v>
      </c>
      <c r="AD179" s="32"/>
    </row>
    <row r="180" spans="25:31" ht="15.75">
      <c r="Y180" s="263" t="s">
        <v>561</v>
      </c>
      <c r="Z180" s="250">
        <f t="shared" si="18"/>
        <v>10512.013616000002</v>
      </c>
      <c r="AA180" s="250">
        <f t="shared" si="20"/>
        <v>11961.682096</v>
      </c>
      <c r="AB180" s="567">
        <f t="shared" si="19"/>
        <v>10986.308806713101</v>
      </c>
      <c r="AC180" s="567">
        <f t="shared" si="21"/>
        <v>14123.887788391379</v>
      </c>
      <c r="AD180" s="32"/>
    </row>
    <row r="181" spans="25:31" ht="15.75">
      <c r="Y181" s="263" t="s">
        <v>562</v>
      </c>
      <c r="Z181" s="250">
        <f t="shared" si="18"/>
        <v>12134.159440000003</v>
      </c>
      <c r="AA181" s="250">
        <f t="shared" si="20"/>
        <v>13761.845760000004</v>
      </c>
      <c r="AB181" s="567">
        <f t="shared" si="19"/>
        <v>12727.028428391379</v>
      </c>
      <c r="AC181" s="567">
        <f t="shared" si="21"/>
        <v>15060.173823230518</v>
      </c>
      <c r="AD181" s="32"/>
    </row>
    <row r="182" spans="25:31" ht="15.75">
      <c r="Y182" s="263" t="s">
        <v>563</v>
      </c>
      <c r="Z182" s="250">
        <f t="shared" si="18"/>
        <v>12945.232352000003</v>
      </c>
      <c r="AA182" s="250">
        <f t="shared" si="20"/>
        <v>14661.927592000002</v>
      </c>
      <c r="AB182" s="567">
        <f t="shared" si="19"/>
        <v>13597.388239230517</v>
      </c>
      <c r="AC182" s="567">
        <f t="shared" si="21"/>
        <v>15996.459858069651</v>
      </c>
      <c r="AD182" s="32"/>
    </row>
    <row r="183" spans="25:31" ht="15.75">
      <c r="Y183" s="263" t="s">
        <v>564</v>
      </c>
      <c r="Z183" s="250">
        <f t="shared" si="18"/>
        <v>13756.305264000001</v>
      </c>
      <c r="AA183" s="250">
        <f t="shared" si="20"/>
        <v>15562.009424000002</v>
      </c>
      <c r="AB183" s="567">
        <f t="shared" si="19"/>
        <v>14467.748050069651</v>
      </c>
      <c r="AC183" s="567">
        <f t="shared" si="21"/>
        <v>18805.317962587065</v>
      </c>
      <c r="AD183" s="32"/>
    </row>
    <row r="184" spans="25:31" ht="15.75">
      <c r="Y184" s="263" t="s">
        <v>565</v>
      </c>
      <c r="Z184" s="250">
        <f t="shared" si="18"/>
        <v>16189.524000000003</v>
      </c>
      <c r="AA184" s="250">
        <f t="shared" si="20"/>
        <v>18262.254920000007</v>
      </c>
      <c r="AB184" s="567">
        <f t="shared" si="19"/>
        <v>17078.827482587069</v>
      </c>
      <c r="AC184" s="567">
        <f t="shared" si="21"/>
        <v>21614.176067104479</v>
      </c>
      <c r="AD184" s="32"/>
    </row>
    <row r="185" spans="25:31" ht="15.75">
      <c r="Y185" s="263" t="s">
        <v>566</v>
      </c>
      <c r="Z185" s="250">
        <f t="shared" si="18"/>
        <v>18622.742736000004</v>
      </c>
      <c r="AA185" s="250">
        <f t="shared" si="20"/>
        <v>20962.500416000003</v>
      </c>
      <c r="AB185" s="567">
        <f t="shared" si="19"/>
        <v>19689.906915104482</v>
      </c>
      <c r="AC185" s="567">
        <f t="shared" si="21"/>
        <v>13714.352788855724</v>
      </c>
      <c r="AD185" s="32"/>
      <c r="AE185" s="32"/>
    </row>
    <row r="186" spans="25:31" ht="15.75">
      <c r="Y186" s="262" t="s">
        <v>567</v>
      </c>
      <c r="Z186" s="250">
        <f t="shared" si="18"/>
        <v>11880.191648000002</v>
      </c>
      <c r="AA186" s="250">
        <f t="shared" si="20"/>
        <v>13329.860128000002</v>
      </c>
      <c r="AB186" s="567">
        <f t="shared" si="19"/>
        <v>12449.345876855723</v>
      </c>
      <c r="AC186" s="567">
        <f t="shared" si="21"/>
        <v>15838.059538069654</v>
      </c>
    </row>
    <row r="187" spans="25:31" ht="15.75">
      <c r="Y187" s="262" t="s">
        <v>568</v>
      </c>
      <c r="Z187" s="250">
        <f t="shared" si="18"/>
        <v>13729.757392000005</v>
      </c>
      <c r="AA187" s="250">
        <f t="shared" si="20"/>
        <v>15357.443712000004</v>
      </c>
      <c r="AB187" s="567">
        <f t="shared" si="19"/>
        <v>14441.200178069654</v>
      </c>
      <c r="AC187" s="567">
        <f t="shared" si="21"/>
        <v>16899.91291267662</v>
      </c>
    </row>
    <row r="188" spans="25:31" ht="15.75">
      <c r="Y188" s="262" t="s">
        <v>569</v>
      </c>
      <c r="Z188" s="250">
        <f t="shared" si="18"/>
        <v>14654.540264000003</v>
      </c>
      <c r="AA188" s="250">
        <f t="shared" si="20"/>
        <v>16371.235504000006</v>
      </c>
      <c r="AB188" s="567">
        <f t="shared" si="19"/>
        <v>15437.127328676619</v>
      </c>
      <c r="AC188" s="567">
        <f t="shared" si="21"/>
        <v>17961.766287283583</v>
      </c>
    </row>
    <row r="189" spans="25:31" ht="15.75">
      <c r="Y189" s="262" t="s">
        <v>570</v>
      </c>
      <c r="Z189" s="250">
        <f t="shared" si="18"/>
        <v>15579.323136000001</v>
      </c>
      <c r="AA189" s="250">
        <f t="shared" si="20"/>
        <v>17385.027296</v>
      </c>
      <c r="AB189" s="567">
        <f t="shared" si="19"/>
        <v>16433.054479283583</v>
      </c>
      <c r="AC189" s="567">
        <f t="shared" si="21"/>
        <v>21147.326411104481</v>
      </c>
    </row>
    <row r="190" spans="25:31" ht="15.75">
      <c r="Y190" s="262" t="s">
        <v>571</v>
      </c>
      <c r="Z190" s="250">
        <f t="shared" si="18"/>
        <v>18353.671752000002</v>
      </c>
      <c r="AA190" s="250">
        <f t="shared" si="20"/>
        <v>20426.402672000004</v>
      </c>
      <c r="AB190" s="567">
        <f t="shared" si="19"/>
        <v>19420.835931104481</v>
      </c>
      <c r="AC190" s="567">
        <f t="shared" si="21"/>
        <v>24332.886534925379</v>
      </c>
    </row>
    <row r="191" spans="25:31" ht="15.75">
      <c r="Y191" s="262" t="s">
        <v>572</v>
      </c>
      <c r="Z191" s="250">
        <f t="shared" si="18"/>
        <v>21128.020368000005</v>
      </c>
      <c r="AA191" s="250">
        <f t="shared" si="20"/>
        <v>23467.778048000004</v>
      </c>
      <c r="AB191" s="567">
        <f t="shared" si="19"/>
        <v>22408.617382925378</v>
      </c>
      <c r="AC191" s="567">
        <f t="shared" si="21"/>
        <v>14689.71083561747</v>
      </c>
    </row>
    <row r="192" spans="25:31" ht="15.75">
      <c r="Y192" s="262" t="s">
        <v>573</v>
      </c>
      <c r="Z192" s="250">
        <f t="shared" si="18"/>
        <v>12792.310336000002</v>
      </c>
      <c r="AA192" s="250">
        <f t="shared" si="20"/>
        <v>14241.978816000003</v>
      </c>
      <c r="AB192" s="567">
        <f t="shared" si="19"/>
        <v>13424.703923617471</v>
      </c>
      <c r="AC192" s="567">
        <f t="shared" si="21"/>
        <v>16980.840704521837</v>
      </c>
    </row>
    <row r="193" spans="25:29" ht="15.75">
      <c r="Y193" s="263" t="s">
        <v>574</v>
      </c>
      <c r="Z193" s="250">
        <f t="shared" si="18"/>
        <v>14793.489360000001</v>
      </c>
      <c r="AA193" s="250">
        <f t="shared" si="20"/>
        <v>16421.17568</v>
      </c>
      <c r="AB193" s="567">
        <f t="shared" si="19"/>
        <v>15583.981344521837</v>
      </c>
      <c r="AC193" s="567">
        <f t="shared" si="21"/>
        <v>18126.405638974022</v>
      </c>
    </row>
    <row r="194" spans="25:29" ht="15.75">
      <c r="Y194" s="263" t="s">
        <v>575</v>
      </c>
      <c r="Z194" s="250">
        <f t="shared" si="18"/>
        <v>15794.078872000002</v>
      </c>
      <c r="AA194" s="250">
        <f t="shared" si="20"/>
        <v>17510.774112000003</v>
      </c>
      <c r="AB194" s="567">
        <f t="shared" si="19"/>
        <v>16663.620054974021</v>
      </c>
      <c r="AC194" s="567">
        <f t="shared" si="21"/>
        <v>19271.970573426202</v>
      </c>
    </row>
    <row r="195" spans="25:29" ht="15.75">
      <c r="Y195" s="263" t="s">
        <v>576</v>
      </c>
      <c r="Z195" s="250">
        <f t="shared" si="18"/>
        <v>16794.668384000001</v>
      </c>
      <c r="AA195" s="250">
        <f t="shared" si="20"/>
        <v>18600.372543999998</v>
      </c>
      <c r="AB195" s="567">
        <f t="shared" si="19"/>
        <v>17743.258765426202</v>
      </c>
      <c r="AC195" s="567">
        <f t="shared" si="21"/>
        <v>22708.665376782759</v>
      </c>
    </row>
    <row r="196" spans="25:29" ht="15.75">
      <c r="Y196" s="263" t="s">
        <v>577</v>
      </c>
      <c r="Z196" s="250">
        <f t="shared" si="18"/>
        <v>19796.436920000004</v>
      </c>
      <c r="AA196" s="250">
        <f t="shared" si="20"/>
        <v>21869.167840000006</v>
      </c>
      <c r="AB196" s="567">
        <f t="shared" si="19"/>
        <v>20982.174896782755</v>
      </c>
      <c r="AC196" s="567">
        <f t="shared" si="21"/>
        <v>26145.360180139305</v>
      </c>
    </row>
    <row r="197" spans="25:29" ht="16.5" thickBot="1">
      <c r="Y197" s="263" t="s">
        <v>578</v>
      </c>
      <c r="Z197" s="250">
        <f t="shared" si="18"/>
        <v>22798.205456000003</v>
      </c>
      <c r="AA197" s="250">
        <f t="shared" si="20"/>
        <v>25137.963136000006</v>
      </c>
      <c r="AB197" s="567">
        <f t="shared" si="19"/>
        <v>24221.091028139308</v>
      </c>
      <c r="AC197" s="567">
        <f t="shared" si="21"/>
        <v>28436.490049043674</v>
      </c>
    </row>
    <row r="198" spans="25:29" ht="29.25" customHeight="1" thickBot="1">
      <c r="Y198" s="850" t="s">
        <v>618</v>
      </c>
      <c r="Z198" s="851"/>
      <c r="AA198" s="851"/>
      <c r="AB198" s="851"/>
      <c r="AC198" s="852"/>
    </row>
    <row r="199" spans="25:29" ht="24" customHeight="1" thickBot="1">
      <c r="Y199" s="566"/>
      <c r="Z199" s="850" t="s">
        <v>839</v>
      </c>
      <c r="AA199" s="852"/>
      <c r="AB199" s="850" t="s">
        <v>840</v>
      </c>
      <c r="AC199" s="852"/>
    </row>
    <row r="200" spans="25:29" ht="19.5" thickBot="1">
      <c r="Y200" s="240" t="s">
        <v>534</v>
      </c>
      <c r="Z200" s="240" t="s">
        <v>616</v>
      </c>
      <c r="AA200" s="240" t="s">
        <v>617</v>
      </c>
      <c r="AB200" s="569" t="s">
        <v>837</v>
      </c>
      <c r="AC200" s="569" t="s">
        <v>838</v>
      </c>
    </row>
    <row r="201" spans="25:29" ht="15.75">
      <c r="Y201" s="272" t="s">
        <v>581</v>
      </c>
      <c r="Z201" s="261">
        <f>+H67</f>
        <v>18736.994848000002</v>
      </c>
      <c r="AA201" s="273">
        <f>+T67</f>
        <v>21453.216928000005</v>
      </c>
      <c r="AB201" s="261">
        <f>+H144</f>
        <v>19685.585229426204</v>
      </c>
      <c r="AC201" s="273">
        <f t="shared" ref="AC201:AC205" si="22">+T144</f>
        <v>22401.807309426207</v>
      </c>
    </row>
    <row r="202" spans="25:29" ht="15.75">
      <c r="Y202" s="274" t="s">
        <v>582</v>
      </c>
      <c r="Z202" s="250">
        <f>+H68</f>
        <v>21676.670080000007</v>
      </c>
      <c r="AA202" s="275">
        <f>+T68</f>
        <v>24392.892160000003</v>
      </c>
      <c r="AB202" s="250">
        <f>+H145</f>
        <v>22862.408056782755</v>
      </c>
      <c r="AC202" s="275">
        <f t="shared" si="22"/>
        <v>25578.630136782751</v>
      </c>
    </row>
    <row r="203" spans="25:29" ht="15.75">
      <c r="Y203" s="274" t="s">
        <v>583</v>
      </c>
      <c r="Z203" s="250">
        <f>+H69</f>
        <v>24616.345312000005</v>
      </c>
      <c r="AA203" s="275">
        <f>+T69</f>
        <v>27332.567392000001</v>
      </c>
      <c r="AB203" s="250">
        <f>+H146</f>
        <v>26039.230884139306</v>
      </c>
      <c r="AC203" s="275">
        <f t="shared" si="22"/>
        <v>28755.452964139309</v>
      </c>
    </row>
    <row r="204" spans="25:29" ht="15.75">
      <c r="Y204" s="274" t="s">
        <v>584</v>
      </c>
      <c r="Z204" s="250"/>
      <c r="AA204" s="275">
        <f>+T70</f>
        <v>29292.350880000002</v>
      </c>
      <c r="AB204" s="250"/>
      <c r="AC204" s="275">
        <f t="shared" si="22"/>
        <v>30873.334849043673</v>
      </c>
    </row>
    <row r="205" spans="25:29" ht="16.5" thickBot="1">
      <c r="Y205" s="276" t="s">
        <v>585</v>
      </c>
      <c r="Z205" s="266"/>
      <c r="AA205" s="277">
        <f>+T71</f>
        <v>33211.917856000007</v>
      </c>
      <c r="AB205" s="266"/>
      <c r="AC205" s="277">
        <f t="shared" si="22"/>
        <v>35109.098618852411</v>
      </c>
    </row>
  </sheetData>
  <mergeCells count="32">
    <mergeCell ref="AF153:AF167"/>
    <mergeCell ref="C2:F2"/>
    <mergeCell ref="O2:R2"/>
    <mergeCell ref="A3:H3"/>
    <mergeCell ref="M3:T3"/>
    <mergeCell ref="A5:H5"/>
    <mergeCell ref="M5:T5"/>
    <mergeCell ref="C63:F63"/>
    <mergeCell ref="O63:R63"/>
    <mergeCell ref="A64:H64"/>
    <mergeCell ref="M64:T64"/>
    <mergeCell ref="A66:H66"/>
    <mergeCell ref="M66:T66"/>
    <mergeCell ref="A75:T76"/>
    <mergeCell ref="C79:F79"/>
    <mergeCell ref="O79:R79"/>
    <mergeCell ref="A80:H80"/>
    <mergeCell ref="M80:T80"/>
    <mergeCell ref="Y155:AC155"/>
    <mergeCell ref="Z156:AA156"/>
    <mergeCell ref="AB156:AC156"/>
    <mergeCell ref="A82:H82"/>
    <mergeCell ref="M82:T82"/>
    <mergeCell ref="C140:F140"/>
    <mergeCell ref="O140:R140"/>
    <mergeCell ref="A141:H141"/>
    <mergeCell ref="M141:T141"/>
    <mergeCell ref="Y198:AC198"/>
    <mergeCell ref="Z199:AA199"/>
    <mergeCell ref="AB199:AC199"/>
    <mergeCell ref="A143:H143"/>
    <mergeCell ref="M143:T143"/>
  </mergeCells>
  <pageMargins left="0.39370078740157483" right="0.43307086614173229" top="0" bottom="0" header="0.31496062992125984" footer="0.31496062992125984"/>
  <pageSetup scale="82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33</vt:i4>
      </vt:variant>
      <vt:variant>
        <vt:lpstr>Rangos con nombre</vt:lpstr>
      </vt:variant>
      <vt:variant>
        <vt:i4>28</vt:i4>
      </vt:variant>
    </vt:vector>
  </HeadingPairs>
  <TitlesOfParts>
    <vt:vector size="61" baseType="lpstr">
      <vt:lpstr>Portada</vt:lpstr>
      <vt:lpstr>Datos</vt:lpstr>
      <vt:lpstr>Cuotas Simple</vt:lpstr>
      <vt:lpstr>HERR CLASICA CORREDIZA</vt:lpstr>
      <vt:lpstr>Rejas</vt:lpstr>
      <vt:lpstr>MATERIALES (2)</vt:lpstr>
      <vt:lpstr>SISTEMA COMPACTO</vt:lpstr>
      <vt:lpstr>HERR PREMIUM CORREDIZA</vt:lpstr>
      <vt:lpstr>HERR CLASICA POSTIGO</vt:lpstr>
      <vt:lpstr>HERR CLASICA RAJA-BAND-PROY</vt:lpstr>
      <vt:lpstr>HERR CLASICA PF</vt:lpstr>
      <vt:lpstr>HERR CLASICA PUERTA</vt:lpstr>
      <vt:lpstr>MODENA CLASICA CORREDIZA</vt:lpstr>
      <vt:lpstr>MODENA CLASICA ABRIR</vt:lpstr>
      <vt:lpstr>MODENA CLASICA PROY- DESPL- OSC</vt:lpstr>
      <vt:lpstr>MODENA CLASICA PF</vt:lpstr>
      <vt:lpstr>MODENA CLASICA PUERTA</vt:lpstr>
      <vt:lpstr>Varios</vt:lpstr>
      <vt:lpstr>MATERIALES</vt:lpstr>
      <vt:lpstr>Hoja1</vt:lpstr>
      <vt:lpstr>HERR CORREDIZA</vt:lpstr>
      <vt:lpstr>HERR POSTIGO</vt:lpstr>
      <vt:lpstr>HERR RAJA-BAND-PROY</vt:lpstr>
      <vt:lpstr>HERR PF</vt:lpstr>
      <vt:lpstr>HERR PATAGONICA</vt:lpstr>
      <vt:lpstr>HERR PUERTA</vt:lpstr>
      <vt:lpstr>MODENA CORREDIZA</vt:lpstr>
      <vt:lpstr>MODENA ABRIR</vt:lpstr>
      <vt:lpstr>MODENA OSCILO- PROY- DESPL</vt:lpstr>
      <vt:lpstr>MODENA PF</vt:lpstr>
      <vt:lpstr>MODENA PATAGONICA</vt:lpstr>
      <vt:lpstr>MODENA PUERTA</vt:lpstr>
      <vt:lpstr>Varios pesado</vt:lpstr>
      <vt:lpstr>Datos!Área_de_impresión</vt:lpstr>
      <vt:lpstr>'HERR CLASICA PF'!Área_de_impresión</vt:lpstr>
      <vt:lpstr>'HERR CLASICA POSTIGO'!Área_de_impresión</vt:lpstr>
      <vt:lpstr>'HERR CLASICA PUERTA'!Área_de_impresión</vt:lpstr>
      <vt:lpstr>'HERR CLASICA RAJA-BAND-PROY'!Área_de_impresión</vt:lpstr>
      <vt:lpstr>'HERR CORREDIZA'!Área_de_impresión</vt:lpstr>
      <vt:lpstr>'HERR PATAGONICA'!Área_de_impresión</vt:lpstr>
      <vt:lpstr>'HERR PF'!Área_de_impresión</vt:lpstr>
      <vt:lpstr>'HERR POSTIGO'!Área_de_impresión</vt:lpstr>
      <vt:lpstr>'HERR PREMIUM CORREDIZA'!Área_de_impresión</vt:lpstr>
      <vt:lpstr>'HERR PUERTA'!Área_de_impresión</vt:lpstr>
      <vt:lpstr>'HERR RAJA-BAND-PROY'!Área_de_impresión</vt:lpstr>
      <vt:lpstr>MATERIALES!Área_de_impresión</vt:lpstr>
      <vt:lpstr>'MATERIALES (2)'!Área_de_impresión</vt:lpstr>
      <vt:lpstr>'MODENA ABRIR'!Área_de_impresión</vt:lpstr>
      <vt:lpstr>'MODENA CLASICA ABRIR'!Área_de_impresión</vt:lpstr>
      <vt:lpstr>'MODENA CLASICA CORREDIZA'!Área_de_impresión</vt:lpstr>
      <vt:lpstr>'MODENA CLASICA PF'!Área_de_impresión</vt:lpstr>
      <vt:lpstr>'MODENA CLASICA PROY- DESPL- OSC'!Área_de_impresión</vt:lpstr>
      <vt:lpstr>'MODENA CLASICA PUERTA'!Área_de_impresión</vt:lpstr>
      <vt:lpstr>'MODENA CORREDIZA'!Área_de_impresión</vt:lpstr>
      <vt:lpstr>'MODENA OSCILO- PROY- DESPL'!Área_de_impresión</vt:lpstr>
      <vt:lpstr>'MODENA PATAGONICA'!Área_de_impresión</vt:lpstr>
      <vt:lpstr>'MODENA PF'!Área_de_impresión</vt:lpstr>
      <vt:lpstr>'MODENA PUERTA'!Área_de_impresión</vt:lpstr>
      <vt:lpstr>'SISTEMA COMPACTO'!Área_de_impresión</vt:lpstr>
      <vt:lpstr>Varios!Área_de_impresión</vt:lpstr>
      <vt:lpstr>'Varios pesado'!Área_de_impresión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2024-07-12T14:09:22Z</cp:lastPrinted>
  <dcterms:created xsi:type="dcterms:W3CDTF">2020-03-18T22:52:28Z</dcterms:created>
  <dcterms:modified xsi:type="dcterms:W3CDTF">2024-07-18T14:07:58Z</dcterms:modified>
</cp:coreProperties>
</file>