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2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breeder\Box\Director's Office\BUDGET\"/>
    </mc:Choice>
  </mc:AlternateContent>
  <xr:revisionPtr revIDLastSave="0" documentId="8_{68826DB1-CDD2-4B4D-91B4-F9F43F7376D5}" xr6:coauthVersionLast="47" xr6:coauthVersionMax="47" xr10:uidLastSave="{00000000-0000-0000-0000-000000000000}"/>
  <bookViews>
    <workbookView xWindow="-120" yWindow="-120" windowWidth="57840" windowHeight="23520" tabRatio="918" activeTab="5" xr2:uid="{6FA1F091-9505-4EC1-8648-3BBE7AF7A4FB}"/>
  </bookViews>
  <sheets>
    <sheet name="Instructions" sheetId="1" r:id="rId1"/>
    <sheet name="Budget Codes (Don't Edit!)" sheetId="2" r:id="rId2"/>
    <sheet name="Template" sheetId="4" r:id="rId3"/>
    <sheet name="Access Services Unit - Shimberg" sheetId="7" r:id="rId4"/>
    <sheet name="Access Services Unit - FBHKE" sheetId="20" r:id="rId5"/>
    <sheet name="Administrative Unit" sheetId="10" r:id="rId6"/>
    <sheet name="Collection Management Unit" sheetId="8" r:id="rId7"/>
    <sheet name="Events Team" sheetId="17" r:id="rId8"/>
    <sheet name="HCA" sheetId="19" r:id="rId9"/>
    <sheet name="Passport Team" sheetId="12" r:id="rId10"/>
    <sheet name="Research &amp; Education Unit" sheetId="11" r:id="rId11"/>
    <sheet name="Systems Unit" sheetId="9" r:id="rId12"/>
    <sheet name="Off Cycle" sheetId="21" r:id="rId13"/>
    <sheet name="Approved Total" sheetId="6" r:id="rId14"/>
    <sheet name="Pivot Tables" sheetId="16" r:id="rId15"/>
    <sheet name="Questions and Feedback" sheetId="18" r:id="rId16"/>
  </sheets>
  <definedNames>
    <definedName name="\Z">#REF!</definedName>
    <definedName name="_A">#REF!</definedName>
    <definedName name="_AB">#REF!</definedName>
    <definedName name="_Order1" hidden="1">255</definedName>
    <definedName name="_Order2" hidden="1">255</definedName>
    <definedName name="_Z">#REF!</definedName>
    <definedName name="A">#REF!</definedName>
    <definedName name="B">#REF!</definedName>
    <definedName name="DEPREC">#REF!</definedName>
    <definedName name="Education">#REF!</definedName>
    <definedName name="gjkf">#REF!</definedName>
    <definedName name="kjdfgisdf">#REF!</definedName>
    <definedName name="LIB">#REF!</definedName>
    <definedName name="Print_Area_MI">#REF!</definedName>
    <definedName name="Print_Titles_MI">#REF!</definedName>
    <definedName name="Q">#REF!</definedName>
    <definedName name="sdfsdfesrr">#REF!</definedName>
    <definedName name="Table_Systems" localSheetId="4">Table_SU[]</definedName>
    <definedName name="Table_Systems" localSheetId="7">Table_SU[]</definedName>
    <definedName name="Table_Systems" localSheetId="8">Table_SU[]</definedName>
    <definedName name="Table_Systems" localSheetId="12">Table_OFF[]</definedName>
    <definedName name="Table_Systems">Table_SU[]</definedName>
    <definedName name="Table_Total" localSheetId="4">Table_Totals[]</definedName>
    <definedName name="Table_Total" localSheetId="7">Table_Totals[]</definedName>
    <definedName name="Table_Total" localSheetId="8">Table_Totals[]</definedName>
    <definedName name="Table_Total" localSheetId="12">Table_Totals[]</definedName>
    <definedName name="Table_Total">Table_Totals[]</definedName>
  </definedNames>
  <calcPr calcId="191028"/>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6" l="1"/>
  <c r="I44" i="6"/>
  <c r="B34" i="6"/>
  <c r="A12" i="21"/>
  <c r="H44" i="6" l="1"/>
  <c r="H36" i="6"/>
  <c r="H37" i="6"/>
  <c r="H39" i="6"/>
  <c r="H41" i="6"/>
  <c r="H42" i="6"/>
  <c r="H43" i="6"/>
  <c r="G42" i="6"/>
  <c r="G36" i="6"/>
  <c r="G37" i="6"/>
  <c r="G39" i="6"/>
  <c r="G41" i="6"/>
  <c r="G43" i="6"/>
  <c r="G44" i="6"/>
  <c r="F43" i="6"/>
  <c r="F36" i="6"/>
  <c r="F37" i="6"/>
  <c r="F39" i="6"/>
  <c r="F41" i="6"/>
  <c r="F42" i="6"/>
  <c r="F44" i="6"/>
  <c r="E36" i="6"/>
  <c r="E37" i="6"/>
  <c r="E39" i="6"/>
  <c r="E40" i="6"/>
  <c r="E41" i="6"/>
  <c r="E42" i="6"/>
  <c r="E43" i="6"/>
  <c r="E44" i="6"/>
  <c r="D41" i="6"/>
  <c r="D36" i="6"/>
  <c r="D37" i="6"/>
  <c r="D39" i="6"/>
  <c r="D40" i="6"/>
  <c r="D42" i="6"/>
  <c r="D43" i="6"/>
  <c r="D44" i="6"/>
  <c r="C37" i="6"/>
  <c r="C36" i="6"/>
  <c r="C39" i="6"/>
  <c r="C41" i="6"/>
  <c r="C42" i="6"/>
  <c r="C43" i="6"/>
  <c r="C44" i="6"/>
  <c r="C23" i="6"/>
  <c r="B36" i="6"/>
  <c r="B37" i="6"/>
  <c r="B39" i="6"/>
  <c r="B40" i="6"/>
  <c r="B41" i="6"/>
  <c r="B42" i="6"/>
  <c r="B43" i="6"/>
  <c r="B44" i="6"/>
  <c r="B19" i="6"/>
  <c r="A98" i="21"/>
  <c r="A97" i="21"/>
  <c r="A96" i="21"/>
  <c r="A95" i="21"/>
  <c r="A94" i="21"/>
  <c r="A93" i="21"/>
  <c r="A92" i="21"/>
  <c r="A91" i="21"/>
  <c r="A90" i="21"/>
  <c r="A89" i="21"/>
  <c r="A88" i="21"/>
  <c r="A87" i="21"/>
  <c r="A86" i="21"/>
  <c r="A85" i="21"/>
  <c r="A84" i="21"/>
  <c r="H40" i="6" s="1"/>
  <c r="A83" i="21"/>
  <c r="H34" i="6" s="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B38" i="6" s="1"/>
  <c r="A13" i="21"/>
  <c r="D35" i="6" s="1"/>
  <c r="G5" i="6"/>
  <c r="F5" i="6"/>
  <c r="E5" i="6"/>
  <c r="D5" i="6"/>
  <c r="C5" i="6"/>
  <c r="B5" i="6"/>
  <c r="H5" i="6"/>
  <c r="H6" i="6"/>
  <c r="J21" i="6"/>
  <c r="J26" i="6"/>
  <c r="J20" i="6"/>
  <c r="J22" i="6"/>
  <c r="J23" i="6"/>
  <c r="J24" i="6"/>
  <c r="J25" i="6"/>
  <c r="J27" i="6"/>
  <c r="J28" i="6"/>
  <c r="J29" i="6"/>
  <c r="J19" i="6"/>
  <c r="I29" i="6"/>
  <c r="I27" i="6"/>
  <c r="I20" i="6"/>
  <c r="I21" i="6"/>
  <c r="I22" i="6"/>
  <c r="I23" i="6"/>
  <c r="I24" i="6"/>
  <c r="I25" i="6"/>
  <c r="I26" i="6"/>
  <c r="I28" i="6"/>
  <c r="I19" i="6"/>
  <c r="H24" i="6"/>
  <c r="H20" i="6"/>
  <c r="H21" i="6"/>
  <c r="H22" i="6"/>
  <c r="H23" i="6"/>
  <c r="H25" i="6"/>
  <c r="H26" i="6"/>
  <c r="H27" i="6"/>
  <c r="H28" i="6"/>
  <c r="H29" i="6"/>
  <c r="H19" i="6"/>
  <c r="G19" i="6"/>
  <c r="G20" i="6"/>
  <c r="G21" i="6"/>
  <c r="G22" i="6"/>
  <c r="G23" i="6"/>
  <c r="G24" i="6"/>
  <c r="G25" i="6"/>
  <c r="G26" i="6"/>
  <c r="G27" i="6"/>
  <c r="G28" i="6"/>
  <c r="G29" i="6"/>
  <c r="F20" i="6"/>
  <c r="F19" i="6"/>
  <c r="C38" i="6" l="1"/>
  <c r="D38" i="6"/>
  <c r="F38" i="6"/>
  <c r="G38" i="6"/>
  <c r="H38" i="6"/>
  <c r="E38" i="6"/>
  <c r="E35" i="6"/>
  <c r="F35" i="6"/>
  <c r="G35" i="6"/>
  <c r="B35" i="6"/>
  <c r="H35" i="6"/>
  <c r="C35" i="6"/>
  <c r="I37" i="6"/>
  <c r="I42" i="6"/>
  <c r="I43" i="6"/>
  <c r="I36" i="6"/>
  <c r="I41" i="6"/>
  <c r="I39" i="6"/>
  <c r="I38" i="6"/>
  <c r="F40" i="6"/>
  <c r="G40" i="6"/>
  <c r="C40" i="6"/>
  <c r="C34" i="6"/>
  <c r="F34" i="6"/>
  <c r="D34" i="6"/>
  <c r="D45" i="6" s="1"/>
  <c r="G34" i="6"/>
  <c r="E34" i="6"/>
  <c r="E45" i="6" s="1"/>
  <c r="B45" i="6"/>
  <c r="F28" i="6"/>
  <c r="F27" i="6"/>
  <c r="F21" i="6"/>
  <c r="F22" i="6"/>
  <c r="F23" i="6"/>
  <c r="F24" i="6"/>
  <c r="F25" i="6"/>
  <c r="F26" i="6"/>
  <c r="F29" i="6"/>
  <c r="E19" i="6"/>
  <c r="E23" i="6"/>
  <c r="E20" i="6"/>
  <c r="E21" i="6"/>
  <c r="E22" i="6"/>
  <c r="E24" i="6"/>
  <c r="E25" i="6"/>
  <c r="E26" i="6"/>
  <c r="E27" i="6"/>
  <c r="E28" i="6"/>
  <c r="E29" i="6"/>
  <c r="D19" i="6"/>
  <c r="D21" i="6"/>
  <c r="D20" i="6"/>
  <c r="D22" i="6"/>
  <c r="D23" i="6"/>
  <c r="D24" i="6"/>
  <c r="D25" i="6"/>
  <c r="D26" i="6"/>
  <c r="D27" i="6"/>
  <c r="D28" i="6"/>
  <c r="D29" i="6"/>
  <c r="C26" i="6"/>
  <c r="C20" i="6"/>
  <c r="C21" i="6"/>
  <c r="C22" i="6"/>
  <c r="C24" i="6"/>
  <c r="C25" i="6"/>
  <c r="C27" i="6"/>
  <c r="C28" i="6"/>
  <c r="C29" i="6"/>
  <c r="C19" i="6"/>
  <c r="B21" i="6"/>
  <c r="B20" i="6"/>
  <c r="B29" i="6"/>
  <c r="B23" i="6"/>
  <c r="B24" i="6"/>
  <c r="B25" i="6"/>
  <c r="B26" i="6"/>
  <c r="B27" i="6"/>
  <c r="B28" i="6"/>
  <c r="B22" i="6"/>
  <c r="C6" i="6"/>
  <c r="B4" i="6"/>
  <c r="J4" i="6"/>
  <c r="I4" i="6"/>
  <c r="H4" i="6"/>
  <c r="G4" i="6"/>
  <c r="F4" i="6"/>
  <c r="E4" i="6"/>
  <c r="D4" i="6"/>
  <c r="C4" i="6"/>
  <c r="B3" i="6"/>
  <c r="F55" i="16"/>
  <c r="I35" i="6" l="1"/>
  <c r="I34" i="6"/>
  <c r="I40" i="6"/>
  <c r="G45" i="6"/>
  <c r="F45" i="6"/>
  <c r="C45" i="6"/>
  <c r="B30" i="6"/>
  <c r="D30" i="6"/>
  <c r="E30" i="6"/>
  <c r="F30" i="6"/>
  <c r="G30" i="6"/>
  <c r="H30" i="6"/>
  <c r="I30" i="6"/>
  <c r="D64" i="16"/>
  <c r="I45" i="6" l="1"/>
  <c r="F141" i="16"/>
  <c r="G148" i="16"/>
  <c r="G144" i="16"/>
  <c r="G145" i="16"/>
  <c r="G149" i="16"/>
  <c r="G141" i="16"/>
  <c r="G142" i="16"/>
  <c r="G147" i="16"/>
  <c r="G146" i="16"/>
  <c r="G143" i="16"/>
  <c r="G140" i="16"/>
  <c r="I149" i="16" l="1"/>
  <c r="I148" i="16"/>
  <c r="I144" i="16"/>
  <c r="G150" i="16"/>
  <c r="I141" i="16"/>
  <c r="I145" i="16"/>
  <c r="I147" i="16"/>
  <c r="I146" i="16"/>
  <c r="I143" i="16"/>
  <c r="I140" i="16"/>
  <c r="I142" i="16" l="1"/>
  <c r="F150" i="16"/>
  <c r="J5" i="6"/>
  <c r="I5" i="6"/>
  <c r="H3" i="6"/>
  <c r="I150" i="16" l="1"/>
  <c r="I151" i="16" s="1"/>
  <c r="A21" i="8" l="1"/>
  <c r="A33" i="8"/>
  <c r="A32" i="8"/>
  <c r="A20" i="8"/>
  <c r="G12" i="6" l="1"/>
  <c r="G11" i="6"/>
  <c r="E13" i="6"/>
  <c r="K13" i="6" s="1"/>
  <c r="E12" i="6"/>
  <c r="E11" i="6"/>
  <c r="C11" i="6"/>
  <c r="C10" i="6"/>
  <c r="C9" i="6"/>
  <c r="C8" i="6"/>
  <c r="C7" i="6"/>
  <c r="C3" i="6"/>
  <c r="A100" i="20"/>
  <c r="A99" i="20"/>
  <c r="A98" i="20"/>
  <c r="A97" i="20"/>
  <c r="A96" i="20"/>
  <c r="A95" i="20"/>
  <c r="A94" i="20"/>
  <c r="A93" i="20"/>
  <c r="A92" i="20"/>
  <c r="A91" i="20"/>
  <c r="A90" i="20"/>
  <c r="A89" i="20"/>
  <c r="A88"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F11" i="6"/>
  <c r="G10" i="6"/>
  <c r="F10" i="6"/>
  <c r="G9" i="6"/>
  <c r="F9" i="6"/>
  <c r="G8" i="6"/>
  <c r="F8" i="6"/>
  <c r="G7" i="6"/>
  <c r="F7" i="6"/>
  <c r="G6" i="6"/>
  <c r="F6" i="6"/>
  <c r="G3" i="6"/>
  <c r="F3" i="6"/>
  <c r="A100" i="19"/>
  <c r="A99" i="19"/>
  <c r="A98" i="19"/>
  <c r="A97" i="19"/>
  <c r="A96" i="19"/>
  <c r="A95" i="19"/>
  <c r="A94" i="19"/>
  <c r="A93" i="19"/>
  <c r="A92" i="19"/>
  <c r="A91" i="19"/>
  <c r="A90" i="19"/>
  <c r="A89" i="19"/>
  <c r="A88"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4" i="7"/>
  <c r="A15" i="7"/>
  <c r="A16" i="7"/>
  <c r="A17" i="7"/>
  <c r="A18" i="7"/>
  <c r="A19" i="7"/>
  <c r="A20" i="7"/>
  <c r="A21" i="7"/>
  <c r="A22" i="7"/>
  <c r="A23" i="7"/>
  <c r="A24" i="7"/>
  <c r="J11" i="6"/>
  <c r="I11" i="6"/>
  <c r="H11" i="6"/>
  <c r="D11" i="6"/>
  <c r="B11" i="6"/>
  <c r="J10" i="6"/>
  <c r="I10" i="6"/>
  <c r="H10" i="6"/>
  <c r="E10" i="6"/>
  <c r="D10" i="6"/>
  <c r="B10" i="6"/>
  <c r="J9" i="6"/>
  <c r="I9" i="6"/>
  <c r="H9" i="6"/>
  <c r="E9" i="6"/>
  <c r="D9" i="6"/>
  <c r="B9" i="6"/>
  <c r="J8" i="6"/>
  <c r="I8" i="6"/>
  <c r="H8" i="6"/>
  <c r="E8" i="6"/>
  <c r="D8" i="6"/>
  <c r="B8" i="6"/>
  <c r="J7" i="6"/>
  <c r="I7" i="6"/>
  <c r="H7" i="6"/>
  <c r="E7" i="6"/>
  <c r="D7" i="6"/>
  <c r="B7" i="6"/>
  <c r="J6" i="6"/>
  <c r="I6" i="6"/>
  <c r="D6" i="6"/>
  <c r="E6" i="6"/>
  <c r="B6" i="6"/>
  <c r="J3" i="6"/>
  <c r="I3" i="6"/>
  <c r="E3" i="6"/>
  <c r="D3" i="6"/>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1" i="8"/>
  <c r="A30" i="8"/>
  <c r="A29" i="8"/>
  <c r="A28" i="8"/>
  <c r="A27" i="8"/>
  <c r="A26" i="8"/>
  <c r="A25" i="8"/>
  <c r="A24" i="8"/>
  <c r="A23" i="8"/>
  <c r="A22" i="8"/>
  <c r="A19" i="8"/>
  <c r="A18" i="8"/>
  <c r="A17" i="8"/>
  <c r="A16" i="8"/>
  <c r="A15" i="8"/>
  <c r="A14" i="8"/>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K22" i="6" l="1"/>
  <c r="K23" i="6"/>
  <c r="K28" i="6"/>
  <c r="K20" i="6"/>
  <c r="K12" i="6"/>
  <c r="B14" i="6"/>
  <c r="C14" i="6"/>
  <c r="J14" i="6"/>
  <c r="E14" i="6"/>
  <c r="D14" i="6"/>
  <c r="I14" i="6"/>
  <c r="H14" i="6"/>
  <c r="F14" i="6"/>
  <c r="G14" i="6"/>
  <c r="K3" i="6"/>
  <c r="K4" i="6"/>
  <c r="K9" i="6"/>
  <c r="K11" i="6"/>
  <c r="K10" i="6"/>
  <c r="K8" i="6"/>
  <c r="K7" i="6"/>
  <c r="K6" i="6"/>
  <c r="K5" i="6"/>
  <c r="K25" i="6" l="1"/>
  <c r="K24" i="6"/>
  <c r="K29" i="6"/>
  <c r="C30" i="6"/>
  <c r="K19" i="6"/>
  <c r="K27" i="6"/>
  <c r="K26" i="6"/>
  <c r="K21" i="6"/>
  <c r="J30" i="6"/>
  <c r="K14" i="6"/>
  <c r="K30" i="6" l="1"/>
</calcChain>
</file>

<file path=xl/sharedStrings.xml><?xml version="1.0" encoding="utf-8"?>
<sst xmlns="http://schemas.openxmlformats.org/spreadsheetml/2006/main" count="1041" uniqueCount="254">
  <si>
    <t>Account</t>
  </si>
  <si>
    <t>Description</t>
  </si>
  <si>
    <t>Budget Account</t>
  </si>
  <si>
    <t>Budget Account List (None Empty)</t>
  </si>
  <si>
    <t>A&amp;P AND SMS SALARY</t>
  </si>
  <si>
    <t>STAFF SALARY</t>
  </si>
  <si>
    <t>USPS SALARY</t>
  </si>
  <si>
    <t>FACULTY SALARY</t>
  </si>
  <si>
    <t>FRINGE BENEFITS</t>
  </si>
  <si>
    <t>OTHER SALARY</t>
  </si>
  <si>
    <t>OPS</t>
  </si>
  <si>
    <t>FRINGE BENEFIT POOL</t>
  </si>
  <si>
    <t>TRAVEL</t>
  </si>
  <si>
    <t>TELEPHONE/TELECOMMUNICATIONS</t>
  </si>
  <si>
    <t>AWARDS AND BONUSES</t>
  </si>
  <si>
    <t>CONTRACTUAL SERVICES</t>
  </si>
  <si>
    <t>LIBRARY RESOURCES/SERVICES</t>
  </si>
  <si>
    <t>OTHER BENEFITS</t>
  </si>
  <si>
    <t>COMPUTER RELATED SUPPLIES &amp; EQUIPMENT</t>
  </si>
  <si>
    <t>MATERIALS, SUPPLIES &amp; EQUIPMENT, OTHER</t>
  </si>
  <si>
    <t>OPS WAGES</t>
  </si>
  <si>
    <t>UTILITIES, WASTE &amp; FUEL</t>
  </si>
  <si>
    <t>OPS FRINGE BENEFIT PRTAX</t>
  </si>
  <si>
    <t>REPAIRS, MAINTENANCE, RENOVATIONS</t>
  </si>
  <si>
    <t>WAIVERS</t>
  </si>
  <si>
    <t>TRAVEL, IN-STATE</t>
  </si>
  <si>
    <t>ALL OTHER OPERATING EXPENSES</t>
  </si>
  <si>
    <t>TRAVEL, IN-STATE, MILEAGE</t>
  </si>
  <si>
    <t>ADMINISTRATIVE ASSESSMENT</t>
  </si>
  <si>
    <t>TRAVEL, OUT-OF-STATE</t>
  </si>
  <si>
    <t>OCO</t>
  </si>
  <si>
    <t>TRAVEL, OUT-OF-STATE, MILEAGE</t>
  </si>
  <si>
    <t>RESERVES UNRESTRICTED</t>
  </si>
  <si>
    <t>TRAVEL, FOREIGN</t>
  </si>
  <si>
    <t>REGISTRATION/CONFERENCE FEES</t>
  </si>
  <si>
    <t>CELL PHONE ALLOWANCE</t>
  </si>
  <si>
    <t>DATA SERVICES ALLOWANCE</t>
  </si>
  <si>
    <t>IT TELEPHONE SERVICES</t>
  </si>
  <si>
    <t>IT TELEPHONE INSTALLATION</t>
  </si>
  <si>
    <t>IT TELECOM INFRASTRUCTURE EXPENSE</t>
  </si>
  <si>
    <t>SERVICE ARCHITECT EXPENSE</t>
  </si>
  <si>
    <t>CREDIT CARD SERVICE</t>
  </si>
  <si>
    <t>SERVICE EDUCATION &amp; TRAINING</t>
  </si>
  <si>
    <t>SERVICE COMPUTER</t>
  </si>
  <si>
    <t>SERVICE, OTHER</t>
  </si>
  <si>
    <t>SERVICE PARTICIPANT COSTS</t>
  </si>
  <si>
    <t>SERVICE TEMPORARY &amp; EMPLOYMENT</t>
  </si>
  <si>
    <t>REFERENCE MANUALS</t>
  </si>
  <si>
    <t>LIBRARY RESOURCES FIXED</t>
  </si>
  <si>
    <t>LIBRARY RESOURCES NON-CAPITAL</t>
  </si>
  <si>
    <t>SOFTWARE (NON-CAPITALIZED)</t>
  </si>
  <si>
    <t>SOFTWARE MAINTENANCE</t>
  </si>
  <si>
    <t>SOFTWARE LICENSE RENEWAL</t>
  </si>
  <si>
    <t>SOFTWARE LEASE/RENTAL</t>
  </si>
  <si>
    <t>SUPPLY/EQUIPMENT, COMPUTER</t>
  </si>
  <si>
    <t>SUPPLY/EQUIPMENT, AV &amp; ELECTRONIC</t>
  </si>
  <si>
    <t>UCS SOFTWARE INTERNAL EXPENSE &lt; $5000</t>
  </si>
  <si>
    <t>UCS PERIPHERAL INTERNAL EXPENSE &lt; $5000</t>
  </si>
  <si>
    <t>UCS MISC INTERNAL EXPENSE &lt; $5000</t>
  </si>
  <si>
    <t>UCS EQUIPMENT INTERNAL EXPENSE &lt; $5000</t>
  </si>
  <si>
    <t>UCS PERIPHERAL INTERNAL EXPENSE &gt; $5000</t>
  </si>
  <si>
    <t>SUPPLY/EQUIPMENT, GENERAL OFFICE</t>
  </si>
  <si>
    <t>SUPPLY/EQUIPMENT, BUILDING/FACILITIES</t>
  </si>
  <si>
    <t>SUPPLY/EQUIPMENT, SIGNAGE</t>
  </si>
  <si>
    <t>SUPPLY, EQUIPMENT - EDUCATION/TRAINING</t>
  </si>
  <si>
    <t>SUPPLY/EQUIPMENT, CLASSROOM FURNITURE</t>
  </si>
  <si>
    <t>SUPPLY/EQUIPMENT, LAB &amp; RESEARCH</t>
  </si>
  <si>
    <t>SUPPLY/EQUIPMENT, MEDICAL</t>
  </si>
  <si>
    <t>SUPPLY/EQUIPMENT, TRANSPORTATION</t>
  </si>
  <si>
    <t>SUPPLY/EQUIPMENT, GAS OIL &amp; FUEL</t>
  </si>
  <si>
    <t>SUPPLY/EQUIPMENT, OTHER</t>
  </si>
  <si>
    <t>AUX SERVICE, PARKING PERMIT</t>
  </si>
  <si>
    <t>PP GASOLINE EXPENSE</t>
  </si>
  <si>
    <t>REPAIRS &amp; MAINTENANCE, FURNITURE/EQUIPMENT</t>
  </si>
  <si>
    <t>REPAIRS &amp; MAINTENANCE, COMPUTER</t>
  </si>
  <si>
    <t>REPAIRS &amp; MAINTENANCE, COMPUTER CONTRACT</t>
  </si>
  <si>
    <t>REPAIRS &amp; MAINTENANCE, BUILDING/FACILITIES</t>
  </si>
  <si>
    <t>REPAIRS &amp; MAINTENANCE, TRANSPORTATION</t>
  </si>
  <si>
    <t>REPAIRS &amp; MAINTENANCE, OTHER</t>
  </si>
  <si>
    <t>MINOR RENOVATIONS</t>
  </si>
  <si>
    <t>MOVING EXP CONSTRUCTION/RENOVATIONS</t>
  </si>
  <si>
    <t>MISCELLANEOUS EXPENSE</t>
  </si>
  <si>
    <t>ALARMS EXPENSE</t>
  </si>
  <si>
    <t>BUILDING MAINTENANCE EXPENSE</t>
  </si>
  <si>
    <t>PP VEHICLE REPAIRS</t>
  </si>
  <si>
    <t>PP MOVING EXPENSE</t>
  </si>
  <si>
    <t>POSTAGE</t>
  </si>
  <si>
    <t>DELIVERY SERVICES</t>
  </si>
  <si>
    <t>FREIGHT &amp; SHIPPING</t>
  </si>
  <si>
    <t>RENTAL SPACE &amp; FACILITIES</t>
  </si>
  <si>
    <t>RENTAL, OTHER</t>
  </si>
  <si>
    <t>WRITE OFF BAD DEBTS</t>
  </si>
  <si>
    <t>PRINTING/REPRODUCTION SERVICES</t>
  </si>
  <si>
    <t>ADVERTISING PROMOTIONAL</t>
  </si>
  <si>
    <t>DUES/LICENSES/MEMBERSHIP FEES</t>
  </si>
  <si>
    <t>SUBSCRIPTIONS &amp; PERIODICALS</t>
  </si>
  <si>
    <t>PROGRAM EXPENSE</t>
  </si>
  <si>
    <t>OTHER OPERATING EXPENSES</t>
  </si>
  <si>
    <t>INTERDEPARTMENTAL AUX EXPENSE</t>
  </si>
  <si>
    <t>HR FLORIDA UNEMPLOYMENT CHARGE</t>
  </si>
  <si>
    <t>HR BACKGROUND CHECKS</t>
  </si>
  <si>
    <t>PP MISC EXPENSE</t>
  </si>
  <si>
    <t>PP REGULAR MAIL EXPENDITURE</t>
  </si>
  <si>
    <t>AUXILIARY OVERHEAD EXPENSE</t>
  </si>
  <si>
    <t>HSC ADMIN ASSESSMENT EXPENSE</t>
  </si>
  <si>
    <t>GENERAL USE COMPUTER FIXED</t>
  </si>
  <si>
    <t>OTHER FIXED ASSETS CLEARING</t>
  </si>
  <si>
    <t>TUITION WAIVERS</t>
  </si>
  <si>
    <t>Budget Code KEY</t>
  </si>
  <si>
    <t>AUX LIB 03203</t>
  </si>
  <si>
    <t>Budget Account Number</t>
  </si>
  <si>
    <t>Budget Account Name</t>
  </si>
  <si>
    <t>Types of Expenses That Fall Under Budget Code</t>
  </si>
  <si>
    <t>VP ADMIN OVERHD 03209</t>
  </si>
  <si>
    <t>Approved</t>
  </si>
  <si>
    <t>TRAVEL, IN-STATE (INCLUDING MILEAGE)</t>
  </si>
  <si>
    <t>TRAVEL, OUT-OF-STATE (INCLUDING MILEAGE)</t>
  </si>
  <si>
    <t>TRAVEL, FOREIGN (INCLUDING MILEAGE)</t>
  </si>
  <si>
    <t>AUX PASSPORT 03215</t>
  </si>
  <si>
    <t>Rejected</t>
  </si>
  <si>
    <t>CELL PHONE/DATA SERVICES ALLOWANCE</t>
  </si>
  <si>
    <t>IT TELEPHONE SERVICES/INSTALLATION</t>
  </si>
  <si>
    <t>E + G 10000</t>
  </si>
  <si>
    <t>Deferred</t>
  </si>
  <si>
    <t>CREDIT CARD SERVICE FEES</t>
  </si>
  <si>
    <t>SERVICE RELATED EXPENSES</t>
  </si>
  <si>
    <t>CFWD 10009</t>
  </si>
  <si>
    <t>Needs Clarification</t>
  </si>
  <si>
    <t>E + G MEDDTN 12000</t>
  </si>
  <si>
    <t>Undecided</t>
  </si>
  <si>
    <t>SOFTWARE RELATED EXPENSES</t>
  </si>
  <si>
    <t>SUPPLY/EQUIPMENT, COMPUTER/AV &amp; ELECTRONIC</t>
  </si>
  <si>
    <t>UCS SOFTWARE/PERIPHERAL/EQUIPMENT/MISC INTERNAL EXPENSE</t>
  </si>
  <si>
    <t>RIA 18300</t>
  </si>
  <si>
    <t>SUPPLY/EQUIPMENT</t>
  </si>
  <si>
    <t>FWS 28000</t>
  </si>
  <si>
    <t>FOUNDATION</t>
  </si>
  <si>
    <t>REPAIRS &amp; MAINTENANCE</t>
  </si>
  <si>
    <t>POSTAGE/FREIGHT &amp; SHIPPING/DELIVERY SERVICES</t>
  </si>
  <si>
    <t>BUDGET REQUESTS</t>
  </si>
  <si>
    <t>BUDGET ACCOUNT NUMBER (AUTOFILLS)</t>
  </si>
  <si>
    <t>BUDGET ACCOUNT NAME (DROPDOWN THAT IS USED TO FILL BUDGET ACCOUNT COLUMN)</t>
  </si>
  <si>
    <t>ITEM REQUESTED  -  Description, Line Item Pricing &amp; Justification</t>
  </si>
  <si>
    <t>TOTAL BUDGET REQUESTED</t>
  </si>
  <si>
    <t>BUDGET APPROVED BY DIRECTOR? (ADMIN USE)</t>
  </si>
  <si>
    <t>NOTES  (ADMIN USE)</t>
  </si>
  <si>
    <t>FUND (ADMIN USE)</t>
  </si>
  <si>
    <t>LIBRARY RESOURCES</t>
  </si>
  <si>
    <t>MISC OFFICE SUPPLIES - OPEN BUDGET ACCT</t>
  </si>
  <si>
    <t>PARKING PASSES FOR LIB EVENTS / DOG THERAPY</t>
  </si>
  <si>
    <t>PADDED MAILERS FOR ILL</t>
  </si>
  <si>
    <t>POSTAGE - FY24 VARIABLE, EST ~60/MO</t>
  </si>
  <si>
    <t xml:space="preserve">DELL ULTRASHARP U2719D DISPLAYS - 5 </t>
  </si>
  <si>
    <t>HAND SANITIZER REFILL &amp; BATTERIES.  REPLACE 1 DISPENSER</t>
  </si>
  <si>
    <t>BUDGET ACCOUNT Number (AUTOFILLS)</t>
  </si>
  <si>
    <t>HCA</t>
  </si>
  <si>
    <t>TCOP</t>
  </si>
  <si>
    <t>APPROVED BUDGET TOTALS</t>
  </si>
  <si>
    <t>FUND</t>
  </si>
  <si>
    <t>Access Services Unit - Shimberg</t>
  </si>
  <si>
    <t>Access Services Unit - FBHKE</t>
  </si>
  <si>
    <t>Administrative Unit</t>
  </si>
  <si>
    <t>Collection Management Unit</t>
  </si>
  <si>
    <t>Events Team</t>
  </si>
  <si>
    <t>Passport Team</t>
  </si>
  <si>
    <t>Research and Education Unit</t>
  </si>
  <si>
    <t>Systems Unit</t>
  </si>
  <si>
    <t>Approval Status</t>
  </si>
  <si>
    <t>ALL</t>
  </si>
  <si>
    <t>TOTAL</t>
  </si>
  <si>
    <t>ASU - Shimberg</t>
  </si>
  <si>
    <t>Sum of TOTAL BUDGET REQUESTED</t>
  </si>
  <si>
    <t>Grand Total</t>
  </si>
  <si>
    <t>ASU - FBHKE</t>
  </si>
  <si>
    <t>Admin</t>
  </si>
  <si>
    <t>Not Found</t>
  </si>
  <si>
    <t>CMU</t>
  </si>
  <si>
    <t>Events</t>
  </si>
  <si>
    <t>BUDGET ACCOUNT NUMBER</t>
  </si>
  <si>
    <t>Passport</t>
  </si>
  <si>
    <t>REU</t>
  </si>
  <si>
    <t>Systems</t>
  </si>
  <si>
    <t>Sheet Name That Question/Issue/Suggestion Pertains To</t>
  </si>
  <si>
    <t>Question/Issue/Suggestion Category</t>
  </si>
  <si>
    <t>Specific Location That Question/Issue Pertains To</t>
  </si>
  <si>
    <t>Person Posting Question/Issue/Suggestion</t>
  </si>
  <si>
    <t>Question/Issue/Suggestion</t>
  </si>
  <si>
    <t>Answer/Acknowledgement (Done by Bryan/Admin)</t>
  </si>
  <si>
    <t>List Sources</t>
  </si>
  <si>
    <t>Questions</t>
  </si>
  <si>
    <t>Other</t>
  </si>
  <si>
    <t>Please Reference Specific Cell Here, if Applicable (ie this is located in C2)</t>
  </si>
  <si>
    <t>Bryan Reeder</t>
  </si>
  <si>
    <t>EXAMPLE</t>
  </si>
  <si>
    <t>Instructions</t>
  </si>
  <si>
    <t>Budget Codes (Don't Edit!)</t>
  </si>
  <si>
    <t>Template</t>
  </si>
  <si>
    <t>Research &amp; Education Unit</t>
  </si>
  <si>
    <t>Approved Total</t>
  </si>
  <si>
    <t>Pivot Tables</t>
  </si>
  <si>
    <t>Questions and Feedback</t>
  </si>
  <si>
    <t>Budget Request Entry Clarification - Unknown Budget Code</t>
  </si>
  <si>
    <t>Budget Request Entry Clarification - Description Related Issue</t>
  </si>
  <si>
    <t>Budget Request Entry Clarification - Budget Requested Amount Issue</t>
  </si>
  <si>
    <t>Budget Code Key Issue</t>
  </si>
  <si>
    <t>General Formatting Problem/Suggestion</t>
  </si>
  <si>
    <t>Formula Error/Issue</t>
  </si>
  <si>
    <t>Access Issue (Something Locked that Should Not Be or Unlocked that Should be Locked)</t>
  </si>
  <si>
    <t>FND</t>
  </si>
  <si>
    <t>RIA</t>
  </si>
  <si>
    <t>VP Aux</t>
  </si>
  <si>
    <t>Cfwd (shift to PPT)</t>
  </si>
  <si>
    <t>From All-Source (exp only; no salary)</t>
  </si>
  <si>
    <t>Approved totals from this page</t>
  </si>
  <si>
    <t>Variance</t>
  </si>
  <si>
    <t>Explanation</t>
  </si>
  <si>
    <t>TCOP add'l resource support, per KLJ 03/13/24</t>
  </si>
  <si>
    <t>E&amp;G (TCOP support increase)</t>
  </si>
  <si>
    <t>MDD (-186 to LibAux)</t>
  </si>
  <si>
    <t xml:space="preserve">PPT </t>
  </si>
  <si>
    <t>Overheads calculated at 7% (USF) &amp; 3% (USFH)</t>
  </si>
  <si>
    <t>Lib Aux (+186 from MDD)</t>
  </si>
  <si>
    <t>Implementing EBSCO Panorama in FY26</t>
  </si>
  <si>
    <t>FBHKE Recording Studio Panels (and Green Screen?)</t>
  </si>
  <si>
    <t>New office furniture in 1202</t>
  </si>
  <si>
    <t>88100</t>
  </si>
  <si>
    <t>88200</t>
  </si>
  <si>
    <t>88250</t>
  </si>
  <si>
    <t>88350</t>
  </si>
  <si>
    <t>88400</t>
  </si>
  <si>
    <t>88420</t>
  </si>
  <si>
    <t>88500</t>
  </si>
  <si>
    <t>88510</t>
  </si>
  <si>
    <t>88800</t>
  </si>
  <si>
    <t xml:space="preserve">HSC ASSESSMENT 03216 </t>
  </si>
  <si>
    <t>HSC ASSESSMENT 03216</t>
  </si>
  <si>
    <t>FUND/Budget Account</t>
  </si>
  <si>
    <t>Approved (Off Cycle)</t>
  </si>
  <si>
    <t>APPROVED BUDGET TOTALS - OFF CYCLE ONLY</t>
  </si>
  <si>
    <t>A &amp; P</t>
  </si>
  <si>
    <t>FACULTY</t>
  </si>
  <si>
    <t>FACULTY SALARY/WAGES</t>
  </si>
  <si>
    <t>A &amp; P SALARY SALARY/WAGES</t>
  </si>
  <si>
    <t>STAFF (PEU)</t>
  </si>
  <si>
    <t>FRINGE - MATCHING</t>
  </si>
  <si>
    <t>AWARDS &amp; BONUSES</t>
  </si>
  <si>
    <t>OPS - OTHER</t>
  </si>
  <si>
    <t>USPS STAFF SALARY/WAGES</t>
  </si>
  <si>
    <t>88021</t>
  </si>
  <si>
    <t>88022</t>
  </si>
  <si>
    <t>88023</t>
  </si>
  <si>
    <t>88027</t>
  </si>
  <si>
    <t>88028</t>
  </si>
  <si>
    <t>88032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</si>
</sst>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00"/>
  </numFmts>
  <fonts count="18">
    <font>
      <sz val="11"/>
      <color theme="1"/>
      <name val="Calibri"/>
      <family val="2"/>
      <scheme val="minor"/>
    </font>
    <font>
      <b/>
      <sz val="16"/>
      <color theme="1"/>
      <name val="Calibri"/>
      <family val="2"/>
      <scheme val="minor"/>
    </font>
    <font>
      <b/>
      <sz val="14"/>
      <color theme="1"/>
      <name val="Calibri"/>
      <family val="2"/>
      <scheme val="minor"/>
    </font>
    <font>
      <b/>
      <sz val="14"/>
      <name val="Calibri"/>
      <family val="2"/>
      <scheme val="minor"/>
    </font>
    <font>
      <b/>
      <sz val="24"/>
      <color theme="1"/>
      <name val="Calibri"/>
      <family val="2"/>
      <scheme val="minor"/>
    </font>
    <font>
      <sz val="11"/>
      <color theme="0"/>
      <name val="Calibri"/>
      <family val="2"/>
      <scheme val="minor"/>
    </font>
    <font>
      <sz val="11"/>
      <color theme="1"/>
      <name val="Calibri"/>
      <family val="2"/>
      <scheme val="minor"/>
    </font>
    <font>
      <sz val="10"/>
      <name val="Arial"/>
      <family val="2"/>
    </font>
    <font>
      <sz val="10"/>
      <name val="Arial"/>
      <family val="2"/>
    </font>
    <font>
      <sz val="10"/>
      <color rgb="FF000000"/>
      <name val="Arial"/>
      <family val="2"/>
    </font>
    <font>
      <sz val="10"/>
      <name val="Arial Unicode MS"/>
      <family val="2"/>
    </font>
    <font>
      <sz val="10"/>
      <name val="Arial Unicode MS"/>
    </font>
    <font>
      <u/>
      <sz val="10"/>
      <color theme="10"/>
      <name val="Arial"/>
      <family val="2"/>
    </font>
    <font>
      <sz val="11"/>
      <name val="Calibri"/>
      <family val="2"/>
      <scheme val="minor"/>
    </font>
    <font>
      <sz val="8"/>
      <name val="Calibri"/>
      <family val="2"/>
      <scheme val="minor"/>
    </font>
    <font>
      <b/>
      <sz val="36"/>
      <color theme="1"/>
      <name val="Calibri"/>
      <family val="2"/>
      <scheme val="minor"/>
    </font>
    <font>
      <sz val="16"/>
      <color theme="1"/>
      <name val="Calibri"/>
      <family val="2"/>
      <scheme val="minor"/>
    </font>
    <font>
      <b/>
      <strike/>
      <sz val="24"/>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CA59E"/>
        <bgColor indexed="64"/>
      </patternFill>
    </fill>
    <fill>
      <patternFill patternType="darkUp">
        <fgColor indexed="0"/>
        <bgColor indexed="0"/>
      </patternFill>
    </fill>
    <fill>
      <patternFill patternType="solid">
        <fgColor theme="0"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top/>
      <bottom/>
      <diagonal style="double">
        <color indexed="0"/>
      </diagonal>
    </border>
    <border>
      <left/>
      <right/>
      <top style="thin">
        <color auto="1"/>
      </top>
      <bottom/>
      <diagonal/>
    </border>
    <border>
      <left/>
      <right/>
      <top/>
      <bottom style="thin">
        <color auto="1"/>
      </bottom>
      <diagonal/>
    </border>
  </borders>
  <cellStyleXfs count="19">
    <xf numFmtId="0" fontId="0" fillId="0" borderId="0"/>
    <xf numFmtId="0" fontId="7" fillId="0" borderId="0"/>
    <xf numFmtId="9" fontId="8" fillId="0" borderId="0" applyFont="0" applyFill="0" applyBorder="0" applyAlignment="0" applyProtection="0"/>
    <xf numFmtId="0" fontId="6" fillId="0" borderId="0"/>
    <xf numFmtId="44" fontId="8" fillId="0" borderId="0" applyFont="0" applyFill="0" applyBorder="0" applyAlignment="0" applyProtection="0"/>
    <xf numFmtId="0" fontId="9" fillId="0" borderId="0"/>
    <xf numFmtId="0" fontId="10" fillId="0" borderId="0"/>
    <xf numFmtId="9" fontId="10" fillId="0" borderId="0" applyFont="0" applyFill="0" applyBorder="0" applyAlignment="0" applyProtection="0"/>
    <xf numFmtId="0" fontId="8" fillId="0" borderId="0"/>
    <xf numFmtId="0" fontId="11" fillId="6" borderId="12"/>
    <xf numFmtId="0" fontId="12" fillId="0" borderId="0" applyNumberFormat="0" applyFill="0" applyBorder="0" applyAlignment="0" applyProtection="0"/>
    <xf numFmtId="0" fontId="6" fillId="0" borderId="0"/>
    <xf numFmtId="43" fontId="6" fillId="0" borderId="0" applyFont="0" applyFill="0" applyBorder="0" applyAlignment="0" applyProtection="0"/>
    <xf numFmtId="43" fontId="8"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4" fontId="6" fillId="0" borderId="0" applyFont="0" applyFill="0" applyBorder="0" applyAlignment="0" applyProtection="0"/>
    <xf numFmtId="43" fontId="6" fillId="0" borderId="0" applyFont="0" applyFill="0" applyBorder="0" applyAlignment="0" applyProtection="0"/>
  </cellStyleXfs>
  <cellXfs count="62">
    <xf numFmtId="0" fontId="0" fillId="0" borderId="0" xfId="0"/>
    <xf numFmtId="0" fontId="0" fillId="3" borderId="2" xfId="0" applyFill="1" applyBorder="1" applyAlignment="1">
      <alignment wrapText="1"/>
    </xf>
    <xf numFmtId="0" fontId="0" fillId="3" borderId="1" xfId="0" applyFill="1" applyBorder="1" applyAlignment="1">
      <alignment wrapText="1"/>
    </xf>
    <xf numFmtId="0" fontId="0" fillId="2" borderId="1" xfId="0" applyFill="1" applyBorder="1" applyAlignment="1">
      <alignment wrapText="1"/>
    </xf>
    <xf numFmtId="0" fontId="0" fillId="3" borderId="4" xfId="0" applyFill="1" applyBorder="1" applyAlignment="1">
      <alignment wrapText="1"/>
    </xf>
    <xf numFmtId="0" fontId="0" fillId="3" borderId="8" xfId="0" applyFill="1" applyBorder="1" applyAlignment="1">
      <alignment wrapText="1"/>
    </xf>
    <xf numFmtId="0" fontId="0" fillId="3" borderId="9" xfId="0" applyFill="1" applyBorder="1" applyAlignment="1">
      <alignment wrapText="1"/>
    </xf>
    <xf numFmtId="0" fontId="3" fillId="3" borderId="5" xfId="0" applyFont="1" applyFill="1" applyBorder="1" applyAlignment="1">
      <alignment wrapText="1"/>
    </xf>
    <xf numFmtId="0" fontId="3" fillId="3" borderId="6" xfId="0" applyFont="1" applyFill="1" applyBorder="1" applyAlignment="1">
      <alignment wrapText="1"/>
    </xf>
    <xf numFmtId="0" fontId="3" fillId="2" borderId="6" xfId="0" applyFont="1" applyFill="1" applyBorder="1" applyAlignment="1">
      <alignment wrapText="1"/>
    </xf>
    <xf numFmtId="0" fontId="3" fillId="5" borderId="6" xfId="0" applyFont="1" applyFill="1" applyBorder="1" applyAlignment="1">
      <alignment wrapText="1"/>
    </xf>
    <xf numFmtId="0" fontId="3" fillId="5" borderId="7" xfId="0" applyFont="1" applyFill="1" applyBorder="1" applyAlignment="1">
      <alignment wrapText="1"/>
    </xf>
    <xf numFmtId="0" fontId="0" fillId="3" borderId="10" xfId="0" applyFill="1" applyBorder="1" applyAlignment="1">
      <alignment wrapText="1"/>
    </xf>
    <xf numFmtId="0" fontId="3" fillId="3" borderId="7" xfId="0" applyFont="1" applyFill="1" applyBorder="1" applyAlignment="1">
      <alignment wrapText="1"/>
    </xf>
    <xf numFmtId="44" fontId="4" fillId="2" borderId="1" xfId="0" applyNumberFormat="1" applyFont="1" applyFill="1" applyBorder="1" applyAlignment="1">
      <alignment wrapText="1"/>
    </xf>
    <xf numFmtId="44" fontId="4" fillId="2" borderId="9" xfId="0" applyNumberFormat="1" applyFont="1" applyFill="1" applyBorder="1" applyAlignment="1">
      <alignment wrapText="1"/>
    </xf>
    <xf numFmtId="49" fontId="0" fillId="2" borderId="1" xfId="0" applyNumberFormat="1" applyFill="1" applyBorder="1" applyAlignment="1">
      <alignment vertical="center" wrapText="1"/>
    </xf>
    <xf numFmtId="49" fontId="0" fillId="2" borderId="1" xfId="0" applyNumberFormat="1" applyFill="1" applyBorder="1" applyAlignment="1">
      <alignment wrapText="1"/>
    </xf>
    <xf numFmtId="49" fontId="0" fillId="2" borderId="9" xfId="0" applyNumberFormat="1" applyFill="1" applyBorder="1" applyAlignment="1">
      <alignment wrapText="1"/>
    </xf>
    <xf numFmtId="49" fontId="0" fillId="5" borderId="1" xfId="0" applyNumberFormat="1" applyFill="1" applyBorder="1" applyAlignment="1">
      <alignment wrapText="1"/>
    </xf>
    <xf numFmtId="49" fontId="0" fillId="5" borderId="2" xfId="0" applyNumberFormat="1" applyFill="1" applyBorder="1" applyAlignment="1">
      <alignment wrapText="1"/>
    </xf>
    <xf numFmtId="49" fontId="0" fillId="5" borderId="9" xfId="0" applyNumberFormat="1" applyFill="1" applyBorder="1" applyAlignment="1">
      <alignment wrapText="1"/>
    </xf>
    <xf numFmtId="49" fontId="0" fillId="5" borderId="10" xfId="0" applyNumberFormat="1" applyFill="1" applyBorder="1" applyAlignment="1">
      <alignment wrapText="1"/>
    </xf>
    <xf numFmtId="0" fontId="5" fillId="0" borderId="0" xfId="0" applyFont="1"/>
    <xf numFmtId="0" fontId="5" fillId="0" borderId="0" xfId="0" applyFont="1" applyAlignment="1">
      <alignment wrapText="1"/>
    </xf>
    <xf numFmtId="0" fontId="3" fillId="5" borderId="1" xfId="0" applyFont="1" applyFill="1" applyBorder="1"/>
    <xf numFmtId="0" fontId="0" fillId="5" borderId="1" xfId="0" applyFill="1" applyBorder="1"/>
    <xf numFmtId="0" fontId="5" fillId="0" borderId="11" xfId="0" applyFont="1" applyBorder="1" applyAlignment="1">
      <alignment wrapText="1"/>
    </xf>
    <xf numFmtId="0" fontId="13" fillId="0" borderId="0" xfId="0" applyFont="1"/>
    <xf numFmtId="0" fontId="0" fillId="5" borderId="1" xfId="0" applyFill="1" applyBorder="1" applyAlignment="1">
      <alignment wrapText="1"/>
    </xf>
    <xf numFmtId="0" fontId="0" fillId="0" borderId="0" xfId="0" pivotButton="1"/>
    <xf numFmtId="44" fontId="4" fillId="3" borderId="4" xfId="17" applyFont="1" applyFill="1" applyBorder="1" applyAlignment="1">
      <alignment wrapText="1"/>
    </xf>
    <xf numFmtId="44" fontId="0" fillId="3" borderId="4" xfId="17" applyFont="1" applyFill="1" applyBorder="1" applyAlignment="1">
      <alignment wrapText="1"/>
    </xf>
    <xf numFmtId="0" fontId="0" fillId="0" borderId="6" xfId="0" applyBorder="1" applyAlignment="1">
      <alignment wrapText="1"/>
    </xf>
    <xf numFmtId="0" fontId="0" fillId="0" borderId="14" xfId="0" applyBorder="1" applyAlignment="1">
      <alignment wrapText="1"/>
    </xf>
    <xf numFmtId="0" fontId="16" fillId="0" borderId="3" xfId="0" applyFont="1" applyBorder="1" applyAlignment="1">
      <alignment wrapText="1"/>
    </xf>
    <xf numFmtId="0" fontId="16" fillId="0" borderId="14" xfId="0" applyFont="1" applyBorder="1" applyAlignment="1">
      <alignment wrapText="1"/>
    </xf>
    <xf numFmtId="0" fontId="16" fillId="0" borderId="13" xfId="0" applyFont="1" applyBorder="1" applyAlignment="1">
      <alignment wrapText="1"/>
    </xf>
    <xf numFmtId="8" fontId="4" fillId="2" borderId="1" xfId="0" applyNumberFormat="1" applyFont="1" applyFill="1" applyBorder="1" applyAlignment="1">
      <alignment wrapText="1"/>
    </xf>
    <xf numFmtId="0" fontId="0" fillId="0" borderId="0" xfId="0" applyAlignment="1">
      <alignment horizontal="left"/>
    </xf>
    <xf numFmtId="6" fontId="4" fillId="2" borderId="1" xfId="0" applyNumberFormat="1" applyFont="1" applyFill="1" applyBorder="1" applyAlignment="1">
      <alignment wrapText="1"/>
    </xf>
    <xf numFmtId="0" fontId="0" fillId="3" borderId="4" xfId="17" applyNumberFormat="1" applyFont="1" applyFill="1" applyBorder="1" applyAlignment="1">
      <alignment wrapText="1"/>
    </xf>
    <xf numFmtId="44" fontId="17" fillId="2" borderId="1" xfId="0" applyNumberFormat="1" applyFont="1" applyFill="1" applyBorder="1" applyAlignment="1">
      <alignment wrapText="1"/>
    </xf>
    <xf numFmtId="164" fontId="0" fillId="0" borderId="0" xfId="17" applyNumberFormat="1" applyFont="1"/>
    <xf numFmtId="164" fontId="0" fillId="0" borderId="0" xfId="0" applyNumberFormat="1"/>
    <xf numFmtId="7" fontId="0" fillId="0" borderId="0" xfId="0" applyNumberFormat="1"/>
    <xf numFmtId="43" fontId="0" fillId="0" borderId="0" xfId="18" applyFont="1"/>
    <xf numFmtId="43" fontId="0" fillId="0" borderId="0" xfId="0" applyNumberFormat="1"/>
    <xf numFmtId="0" fontId="0" fillId="0" borderId="0" xfId="0" applyAlignment="1">
      <alignment wrapText="1"/>
    </xf>
    <xf numFmtId="0" fontId="3" fillId="3" borderId="5" xfId="0" applyFont="1" applyFill="1" applyBorder="1" applyAlignment="1">
      <alignment horizontal="center" wrapText="1"/>
    </xf>
    <xf numFmtId="0" fontId="3" fillId="2" borderId="6" xfId="0" applyFont="1" applyFill="1" applyBorder="1" applyAlignment="1">
      <alignment horizontal="center" wrapText="1"/>
    </xf>
    <xf numFmtId="0" fontId="1" fillId="4"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15" fillId="7" borderId="11" xfId="0" applyFont="1" applyFill="1" applyBorder="1" applyAlignment="1">
      <alignment horizontal="center" wrapText="1"/>
    </xf>
    <xf numFmtId="0" fontId="15" fillId="7" borderId="0" xfId="0" applyFont="1" applyFill="1" applyAlignment="1">
      <alignment horizontal="center" wrapText="1"/>
    </xf>
    <xf numFmtId="0" fontId="4" fillId="0" borderId="0" xfId="0" applyFont="1" applyAlignment="1">
      <alignment horizontal="center"/>
    </xf>
    <xf numFmtId="0" fontId="0" fillId="0" borderId="0" xfId="0" applyAlignment="1">
      <alignment horizontal="center"/>
    </xf>
    <xf numFmtId="0" fontId="5" fillId="0" borderId="0" xfId="0" applyFont="1" applyBorder="1" applyAlignment="1">
      <alignment wrapText="1"/>
    </xf>
    <xf numFmtId="0" fontId="15" fillId="7" borderId="0" xfId="0" applyFont="1" applyFill="1" applyBorder="1" applyAlignment="1">
      <alignment horizontal="center" wrapText="1"/>
    </xf>
    <xf numFmtId="0" fontId="15" fillId="0" borderId="0" xfId="0" applyFont="1" applyFill="1" applyAlignment="1">
      <alignment wrapText="1"/>
    </xf>
  </cellXfs>
  <cellStyles count="19">
    <cellStyle name="Comma" xfId="18" builtinId="3"/>
    <cellStyle name="Comma 2" xfId="13" xr:uid="{F9E3EDAE-B3B5-412A-86D8-C74826A7ABD2}"/>
    <cellStyle name="Comma 2 2" xfId="12" xr:uid="{9B3B3ADE-AC04-4FA1-8222-41EA32BAB6F3}"/>
    <cellStyle name="Comma 3" xfId="15" xr:uid="{E8BE236E-FB4A-452C-ABBA-03E1A77B7890}"/>
    <cellStyle name="Currency" xfId="17" builtinId="4"/>
    <cellStyle name="Currency 2" xfId="4" xr:uid="{F1D0D82A-67C6-41E8-ABF6-3B83D7C4F6E2}"/>
    <cellStyle name="Hyperlink 2" xfId="10" xr:uid="{CFBE0EC4-AB45-462F-BE4D-FBDB1506D5EA}"/>
    <cellStyle name="Normal" xfId="0" builtinId="0"/>
    <cellStyle name="Normal 10" xfId="6" xr:uid="{33DE514E-5A47-450A-9AD8-FA2DEBAC8022}"/>
    <cellStyle name="Normal 2" xfId="1" xr:uid="{6C4620D7-B90F-47CB-BAB6-1D5AAD5E6552}"/>
    <cellStyle name="Normal 2 2" xfId="5" xr:uid="{188CAD2A-39A5-4D27-B164-C8E0BD308BDA}"/>
    <cellStyle name="Normal 4" xfId="3" xr:uid="{06B479BC-2FB1-48D4-80EC-92B4363299CB}"/>
    <cellStyle name="Normal 4 2" xfId="11" xr:uid="{D4619B45-9471-4035-A655-8FC76A6F2203}"/>
    <cellStyle name="Normal 5" xfId="8" xr:uid="{EC7A4915-4CED-4FFA-A876-67D3CD15102B}"/>
    <cellStyle name="Normal 6" xfId="9" xr:uid="{0F702997-C9B4-4CA0-8481-4D3C8E61A9A8}"/>
    <cellStyle name="Normal 7" xfId="14" xr:uid="{D51E51D1-B630-43F5-A7F6-8B403C963FEB}"/>
    <cellStyle name="Normal 8" xfId="16" xr:uid="{5DCACAFF-ED42-4594-BBF7-7B617020FCBA}"/>
    <cellStyle name="Percent 2" xfId="2" xr:uid="{2F7586C3-810D-4A24-B76F-7DD25688C01B}"/>
    <cellStyle name="Percent 3" xfId="7" xr:uid="{7F27A034-02E9-4E94-9627-21CC7B7A9863}"/>
  </cellStyles>
  <dxfs count="274">
    <dxf>
      <font>
        <color rgb="FF006100"/>
      </font>
      <fill>
        <patternFill>
          <bgColor rgb="FFC6EFCE"/>
        </patternFill>
      </fill>
    </dxf>
    <dxf>
      <font>
        <color rgb="FF006100"/>
      </font>
      <fill>
        <patternFill>
          <bgColor rgb="FFC6EFCE"/>
        </patternFill>
      </fill>
    </dxf>
    <dxf>
      <font>
        <strike val="0"/>
        <outline val="0"/>
        <shadow val="0"/>
        <u val="none"/>
        <vertAlign val="baseline"/>
        <sz val="16"/>
        <color theme="1"/>
        <name val="Calibri"/>
        <family val="2"/>
        <scheme val="minor"/>
      </font>
      <alignment horizontal="general" vertical="bottom"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6"/>
        <color theme="1"/>
        <name val="Calibri"/>
        <family val="2"/>
        <scheme val="minor"/>
      </font>
      <alignment horizontal="general" vertical="bottom"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6"/>
        <color theme="1"/>
        <name val="Calibri"/>
        <family val="2"/>
        <scheme val="minor"/>
      </font>
      <alignment horizontal="general" vertical="bottom"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6"/>
        <color theme="1"/>
        <name val="Calibri"/>
        <family val="2"/>
        <scheme val="minor"/>
      </font>
      <alignment horizontal="general" vertical="bottom"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6"/>
        <color theme="1"/>
        <name val="Calibri"/>
        <family val="2"/>
        <scheme val="minor"/>
      </font>
      <alignment horizontal="general" vertical="bottom"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6"/>
        <color theme="1"/>
        <name val="Calibri"/>
        <family val="2"/>
        <scheme val="minor"/>
      </font>
      <alignment horizontal="general" vertical="bottom" textRotation="0" wrapText="1" indent="0" justifyLastLine="0" shrinkToFit="0" readingOrder="0"/>
      <border diagonalUp="0" diagonalDown="0" outline="0">
        <left/>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6"/>
        <color theme="1"/>
        <name val="Calibri"/>
        <family val="2"/>
        <scheme val="minor"/>
      </font>
      <alignment horizontal="general" vertical="bottom" textRotation="0" wrapText="1" indent="0" justifyLastLine="0" shrinkToFit="0" readingOrder="0"/>
    </dxf>
    <dxf>
      <border>
        <bottom style="thin">
          <color auto="1"/>
        </bottom>
      </border>
    </dxf>
    <dxf>
      <alignment horizontal="general" vertical="bottom"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font>
        <b/>
        <i val="0"/>
        <strike val="0"/>
        <condense val="0"/>
        <extend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numFmt numFmtId="0" formatCode="General"/>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border>
    </dxf>
    <dxf>
      <numFmt numFmtId="0" formatCode="General"/>
      <fill>
        <patternFill patternType="solid">
          <fgColor indexed="64"/>
          <bgColor rgb="FFFCA59E"/>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ont>
        <b/>
        <i val="0"/>
        <strike val="0"/>
        <condense val="0"/>
        <extend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numFmt numFmtId="0" formatCode="General"/>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border>
    </dxf>
    <dxf>
      <numFmt numFmtId="0" formatCode="General"/>
      <fill>
        <patternFill patternType="solid">
          <fgColor indexed="64"/>
          <bgColor rgb="FFFCA59E"/>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ont>
        <b/>
        <i val="0"/>
        <strike val="0"/>
        <condense val="0"/>
        <extend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outline="0">
        <left/>
        <right style="thin">
          <color auto="1"/>
        </right>
        <top style="thin">
          <color auto="1"/>
        </top>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numFmt numFmtId="0" formatCode="General"/>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border>
    </dxf>
    <dxf>
      <numFmt numFmtId="0" formatCode="General"/>
      <fill>
        <patternFill patternType="solid">
          <fgColor indexed="64"/>
          <bgColor rgb="FFFCA59E"/>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
      <fill>
        <patternFill patternType="solid">
          <fgColor indexed="64"/>
          <bgColor theme="7" tint="0.59999389629810485"/>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bottom/>
      </border>
    </dxf>
    <dxf>
      <fill>
        <patternFill patternType="solid">
          <fgColor indexed="64"/>
          <bgColor rgb="FFFCA59E"/>
        </patternFill>
      </fill>
      <border diagonalUp="0" diagonalDown="0">
        <left style="thin">
          <color auto="1"/>
        </left>
        <right style="thin">
          <color auto="1"/>
        </right>
        <top style="thin">
          <color auto="1"/>
        </top>
        <bottom style="thin">
          <color auto="1"/>
        </bottom>
        <vertical/>
        <horizontal style="thin">
          <color auto="1"/>
        </horizontal>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top style="thin">
          <color auto="1"/>
        </top>
        <bottom style="thin">
          <color auto="1"/>
        </bottom>
      </border>
    </dxf>
    <dxf>
      <numFmt numFmtId="30" formatCode="@"/>
      <fill>
        <patternFill patternType="solid">
          <fgColor indexed="64"/>
          <bgColor rgb="FFFCA59E"/>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strike val="0"/>
        <outline val="0"/>
        <shadow val="0"/>
        <u val="none"/>
        <vertAlign val="baseline"/>
        <sz val="24"/>
        <color theme="1"/>
        <name val="Calibri"/>
        <family val="2"/>
        <scheme val="minor"/>
      </font>
      <numFmt numFmtId="34" formatCode="_(&quot;$&quot;* #,##0.00_);_(&quot;$&quot;* \(#,##0.00\);_(&quot;$&quot;* &quot;-&quot;??_);_(@_)"/>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30" formatCode="@"/>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5999938962981048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0" formatCode="General"/>
      <fill>
        <patternFill patternType="solid">
          <fgColor indexed="64"/>
          <bgColor theme="7" tint="0.59999389629810485"/>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4"/>
        <color auto="1"/>
        <name val="Calibri"/>
        <family val="2"/>
        <scheme val="minor"/>
      </font>
    </dxf>
  </dxfs>
  <tableStyles count="0" defaultTableStyle="TableStyleMedium2" defaultPivotStyle="PivotStyleLight16"/>
  <colors>
    <mruColors>
      <color rgb="FFFCA59E"/>
      <color rgb="FFFF86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361950</xdr:colOff>
      <xdr:row>72</xdr:row>
      <xdr:rowOff>57150</xdr:rowOff>
    </xdr:to>
    <xdr:sp macro="" textlink="">
      <xdr:nvSpPr>
        <xdr:cNvPr id="2" name="TextBox 1">
          <a:extLst>
            <a:ext uri="{FF2B5EF4-FFF2-40B4-BE49-F238E27FC236}">
              <a16:creationId xmlns:a16="http://schemas.microsoft.com/office/drawing/2014/main" id="{DA251EFA-7B96-D456-7073-76E9FB423C3C}"/>
            </a:ext>
          </a:extLst>
        </xdr:cNvPr>
        <xdr:cNvSpPr txBox="1"/>
      </xdr:nvSpPr>
      <xdr:spPr>
        <a:xfrm>
          <a:off x="0" y="0"/>
          <a:ext cx="14382750" cy="1308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latin typeface="+mj-lt"/>
            </a:rPr>
            <a:t>Instructions: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1600">
              <a:latin typeface="+mn-lt"/>
            </a:rPr>
            <a:t>This workbook is</a:t>
          </a:r>
          <a:r>
            <a:rPr lang="en-US" sz="1600" baseline="0">
              <a:latin typeface="+mn-lt"/>
            </a:rPr>
            <a:t> intended to make the budget request process work more efficiently. </a:t>
          </a:r>
          <a:br>
            <a:rPr lang="en-US" sz="1600" baseline="0">
              <a:latin typeface="+mn-lt"/>
            </a:rPr>
          </a:br>
          <a:br>
            <a:rPr lang="en-US" sz="1600" baseline="0">
              <a:latin typeface="+mn-lt"/>
            </a:rPr>
          </a:br>
          <a:br>
            <a:rPr lang="en-US" sz="1600" baseline="0">
              <a:latin typeface="+mn-lt"/>
            </a:rPr>
          </a:br>
          <a:r>
            <a:rPr lang="en-US" sz="1600" baseline="0">
              <a:latin typeface="+mn-lt"/>
            </a:rPr>
            <a:t>To use the workbook, maneuver to your department's sheet by clicking on it at the bottom tab (you may have to use the left and right arrows on the bottom bar to view more sheets). Every department's sheet contains a budget code key at the top to provide reference for budget codes. This key is sorted by rows, with the information in the yellow columns relating to the overall budget account code (number and name) and the information in the green columns being examples of types of expenses that fall into a given budget code. For example, "88100" is the budget account number correlating to "Travel" which includes expense types such as "Travel, In-State (including mileage)", </a:t>
          </a:r>
          <a:r>
            <a:rPr kumimoji="0" lang="en-US" sz="1600" b="0" i="0" u="none" strike="noStrike" kern="0" cap="none" spc="0" normalizeH="0" baseline="0" noProof="0">
              <a:ln>
                <a:noFill/>
              </a:ln>
              <a:solidFill>
                <a:prstClr val="black"/>
              </a:solidFill>
              <a:effectLst/>
              <a:uLnTx/>
              <a:uFillTx/>
              <a:latin typeface="+mn-lt"/>
              <a:ea typeface="+mn-ea"/>
              <a:cs typeface="+mn-cs"/>
            </a:rPr>
            <a:t>"Travel, Out-of-State (including mileage)", "Travel, Foreign (including mileage)", and "Registration/Conference Fees."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1" u="none" strike="noStrike" kern="0" cap="none" spc="0" normalizeH="0" baseline="0" noProof="0">
              <a:ln>
                <a:noFill/>
              </a:ln>
              <a:solidFill>
                <a:prstClr val="black"/>
              </a:solidFill>
              <a:effectLst/>
              <a:uLnTx/>
              <a:uFillTx/>
              <a:latin typeface="+mn-lt"/>
              <a:ea typeface="+mn-ea"/>
              <a:cs typeface="+mn-cs"/>
            </a:rPr>
            <a:t>Your Task:</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dbl" strike="noStrike" kern="0" cap="none" spc="0" normalizeH="0" baseline="0" noProof="0">
              <a:ln>
                <a:noFill/>
              </a:ln>
              <a:solidFill>
                <a:prstClr val="black"/>
              </a:solidFill>
              <a:effectLst/>
              <a:uLnTx/>
              <a:uFillTx/>
              <a:latin typeface="+mn-lt"/>
              <a:ea typeface="+mn-ea"/>
              <a:cs typeface="+mn-cs"/>
            </a:rPr>
            <a:t>IMPORTANT:</a:t>
          </a:r>
          <a:r>
            <a:rPr kumimoji="0" lang="en-US" sz="1600" b="0" i="0" u="none" strike="noStrike" kern="0" cap="none" spc="0" normalizeH="0" baseline="0" noProof="0">
              <a:ln>
                <a:noFill/>
              </a:ln>
              <a:solidFill>
                <a:prstClr val="black"/>
              </a:solidFill>
              <a:effectLst/>
              <a:uLnTx/>
              <a:uFillTx/>
              <a:latin typeface="+mn-lt"/>
              <a:ea typeface="+mn-ea"/>
              <a:cs typeface="+mn-cs"/>
            </a:rPr>
            <a:t> </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prstClr val="black"/>
              </a:solidFill>
              <a:effectLst/>
              <a:uLnTx/>
              <a:uFillTx/>
              <a:latin typeface="+mn-lt"/>
              <a:ea typeface="+mn-ea"/>
              <a:cs typeface="+mn-cs"/>
            </a:rPr>
            <a:t>The first time you attempt to edit any applicable cell on your department's sheet (ie something in column B, C, or D in the budget request table), it will ask you for your department's password. Please enter the password exactly the way it was given to you (</a:t>
          </a:r>
          <a:r>
            <a:rPr kumimoji="0" lang="en-US" sz="1600" b="1" i="0" u="none" strike="noStrike" kern="0" cap="none" spc="0" normalizeH="0" baseline="0" noProof="0">
              <a:ln>
                <a:noFill/>
              </a:ln>
              <a:solidFill>
                <a:prstClr val="black"/>
              </a:solidFill>
              <a:effectLst/>
              <a:uLnTx/>
              <a:uFillTx/>
              <a:latin typeface="+mn-lt"/>
              <a:ea typeface="+mn-ea"/>
              <a:cs typeface="+mn-cs"/>
            </a:rPr>
            <a:t>it is case sensitive</a:t>
          </a:r>
          <a:r>
            <a:rPr kumimoji="0" lang="en-US" sz="1600" b="0" i="0" u="none" strike="noStrike" kern="0" cap="none" spc="0" normalizeH="0" baseline="0" noProof="0">
              <a:ln>
                <a:noFill/>
              </a:ln>
              <a:solidFill>
                <a:prstClr val="black"/>
              </a:solidFill>
              <a:effectLst/>
              <a:uLnTx/>
              <a:uFillTx/>
              <a:latin typeface="+mn-lt"/>
              <a:ea typeface="+mn-ea"/>
              <a:cs typeface="+mn-cs"/>
            </a:rPr>
            <a:t>). </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prstClr val="black"/>
              </a:solidFill>
              <a:effectLst/>
              <a:uLnTx/>
              <a:uFillTx/>
              <a:latin typeface="+mn-lt"/>
              <a:ea typeface="+mn-ea"/>
              <a:cs typeface="+mn-cs"/>
            </a:rPr>
            <a:t>If it returns an error, make sure you don't have caps lock enabled and that you are on the correct sheet. If you are still having trouble or you forgot your password, please reach out to Bryan. </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prstClr val="black"/>
              </a:solidFill>
              <a:effectLst/>
              <a:uLnTx/>
              <a:uFillTx/>
              <a:latin typeface="+mn-lt"/>
              <a:ea typeface="+mn-ea"/>
              <a:cs typeface="+mn-cs"/>
            </a:rPr>
            <a:t>Once you have entered your password once, it will allow you to edit Columns B, C, and D in the table of your department's sheet until you close the file. Every time you re-open the file and attempt to edit your department's table, it will make you re-enter the password. </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prstClr val="black"/>
              </a:solidFill>
              <a:effectLst/>
              <a:uLnTx/>
              <a:uFillTx/>
              <a:latin typeface="+mn-lt"/>
              <a:ea typeface="+mn-ea"/>
              <a:cs typeface="+mn-cs"/>
            </a:rPr>
            <a:t>Everyone should be able to edit the Questions &amp; Feedback table in the applicable areas. </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2800" b="0" i="1"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1. Start with filling in Column C "ITEM REQUESTED -  Description, Line Item Pricing &amp; Justification"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2. Fill in the Column D "TOTAL BUDGET REQUESTED" - Please only input numbers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3. Refer to the budget code key to fill in Column B. Utilize the drop down menu to do this. All other values will return an error.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algn="l"/>
          <a:endParaRPr lang="en-US" sz="1600" u="sng" baseline="0">
            <a:latin typeface="+mn-lt"/>
          </a:endParaRPr>
        </a:p>
        <a:p>
          <a:pPr algn="l"/>
          <a:r>
            <a:rPr lang="en-US" sz="1600" u="sng" baseline="0">
              <a:latin typeface="+mn-lt"/>
            </a:rPr>
            <a:t>Column A auto-fills and Columns E, F and G are for Admin use only. Please do not touch these!</a:t>
          </a:r>
        </a:p>
        <a:p>
          <a:pPr algn="l"/>
          <a:endParaRPr lang="en-US" sz="1600" baseline="0">
            <a:latin typeface="+mn-lt"/>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1" u="none" strike="noStrike" kern="0" cap="none" spc="0" normalizeH="0" baseline="0" noProof="0">
              <a:ln>
                <a:noFill/>
              </a:ln>
              <a:solidFill>
                <a:prstClr val="black"/>
              </a:solidFill>
              <a:effectLst/>
              <a:uLnTx/>
              <a:uFillTx/>
              <a:latin typeface="+mn-lt"/>
              <a:ea typeface="+mn-ea"/>
              <a:cs typeface="+mn-cs"/>
            </a:rPr>
            <a:t>Questions and Feedback:</a:t>
          </a:r>
        </a:p>
        <a:p>
          <a:pPr algn="ctr"/>
          <a:endParaRPr lang="en-US" sz="1600" baseline="0">
            <a:latin typeface="+mn-lt"/>
          </a:endParaRPr>
        </a:p>
        <a:p>
          <a:pPr algn="l"/>
          <a:r>
            <a:rPr lang="en-US" sz="1600" baseline="0">
              <a:latin typeface="+mn-lt"/>
            </a:rPr>
            <a:t>There is a 'Questions and Feedback' sheet where you can place any questions/issues/suggestions you may have. The sheet has a table that is straightforward in nature. Please fill out all (applicable) cells in the next available row of the table similar to the example shown in row 2. </a:t>
          </a:r>
        </a:p>
        <a:p>
          <a:pPr algn="l"/>
          <a:endParaRPr lang="en-US" sz="1600" baseline="0">
            <a:latin typeface="+mn-lt"/>
          </a:endParaRPr>
        </a:p>
        <a:p>
          <a:pPr algn="l"/>
          <a:endParaRPr lang="en-US" sz="1600" baseline="0">
            <a:latin typeface="+mn-lt"/>
          </a:endParaRPr>
        </a:p>
        <a:p>
          <a:pPr algn="l"/>
          <a:r>
            <a:rPr lang="en-US" sz="1600" i="1" baseline="0">
              <a:latin typeface="+mn-lt"/>
            </a:rPr>
            <a:t>Key things to note:</a:t>
          </a:r>
          <a:br>
            <a:rPr lang="en-US" sz="1600" i="1" baseline="0">
              <a:latin typeface="+mn-lt"/>
            </a:rPr>
          </a:br>
          <a:r>
            <a:rPr lang="en-US" sz="1600" i="1" baseline="0">
              <a:latin typeface="+mn-lt"/>
            </a:rPr>
            <a:t>In regards to travel</a:t>
          </a:r>
          <a:r>
            <a:rPr lang="en-US" sz="1600" baseline="0">
              <a:latin typeface="+mn-lt"/>
            </a:rPr>
            <a:t>: Please try to limit each librarian's travel requests to a maximum of two per year and list these in priority order in the budget request section.</a:t>
          </a:r>
        </a:p>
        <a:p>
          <a:pPr algn="l"/>
          <a:endParaRPr lang="en-US" sz="1600" baseline="0">
            <a:latin typeface="+mn-lt"/>
          </a:endParaRPr>
        </a:p>
        <a:p>
          <a:pPr algn="l"/>
          <a:r>
            <a:rPr lang="en-US" sz="1600" i="1" baseline="0">
              <a:latin typeface="+mn-lt"/>
            </a:rPr>
            <a:t>In regards to Off-Cycle Requests: </a:t>
          </a:r>
          <a:r>
            <a:rPr lang="en-US" sz="1600" baseline="0">
              <a:latin typeface="+mn-lt"/>
            </a:rPr>
            <a:t>Please have all off-cycle requests at the end of your budget requests for your unit. Don't worry about choosing the budget codes because they will likely be different but please be descriptive and note in the item requested that it is an off-cycle request.</a:t>
          </a:r>
        </a:p>
        <a:p>
          <a:pPr algn="l"/>
          <a:endParaRPr lang="en-US" sz="1600" baseline="0">
            <a:latin typeface="+mn-lt"/>
          </a:endParaRPr>
        </a:p>
        <a:p>
          <a:pPr algn="l"/>
          <a:r>
            <a:rPr lang="en-US" sz="1600" baseline="0">
              <a:latin typeface="+mn-lt"/>
            </a:rPr>
            <a:t>The workbook should be password protected so certain departments can only edit Columns B-D on their own worksheet and the table on the 'Questions and Feedback' sheet. </a:t>
          </a:r>
        </a:p>
        <a:p>
          <a:pPr algn="l"/>
          <a:endParaRPr lang="en-US" sz="1600" baseline="0">
            <a:latin typeface="+mn-lt"/>
          </a:endParaRPr>
        </a:p>
        <a:p>
          <a:pPr algn="l"/>
          <a:endParaRPr lang="en-US" sz="1600" baseline="0">
            <a:latin typeface="+mn-lt"/>
          </a:endParaRPr>
        </a:p>
        <a:p>
          <a:pPr algn="l"/>
          <a:r>
            <a:rPr lang="en-US" sz="1600" baseline="0">
              <a:latin typeface="+mn-lt"/>
            </a:rPr>
            <a:t>Feel free to give me any feedback and thank you for your help!</a:t>
          </a:r>
        </a:p>
        <a:p>
          <a:pPr algn="l"/>
          <a:endParaRPr lang="en-US" sz="1600" baseline="0">
            <a:latin typeface="+mn-lt"/>
          </a:endParaRPr>
        </a:p>
        <a:p>
          <a:pPr algn="l"/>
          <a:endParaRPr lang="en-US" sz="1600" baseline="0">
            <a:latin typeface="+mn-lt"/>
          </a:endParaRPr>
        </a:p>
        <a:p>
          <a:pPr algn="l"/>
          <a:endParaRPr lang="en-US" sz="1600" baseline="0">
            <a:latin typeface="+mn-lt"/>
          </a:endParaRPr>
        </a:p>
      </xdr:txBody>
    </xdr:sp>
    <xdr:clientData/>
  </xdr:twoCellAnchor>
  <xdr:twoCellAnchor>
    <xdr:from>
      <xdr:col>30</xdr:col>
      <xdr:colOff>238125</xdr:colOff>
      <xdr:row>2</xdr:row>
      <xdr:rowOff>152400</xdr:rowOff>
    </xdr:from>
    <xdr:to>
      <xdr:col>35</xdr:col>
      <xdr:colOff>333375</xdr:colOff>
      <xdr:row>16</xdr:row>
      <xdr:rowOff>9525</xdr:rowOff>
    </xdr:to>
    <xdr:sp macro="" textlink="">
      <xdr:nvSpPr>
        <xdr:cNvPr id="3" name="TextBox 2">
          <a:extLst>
            <a:ext uri="{FF2B5EF4-FFF2-40B4-BE49-F238E27FC236}">
              <a16:creationId xmlns:a16="http://schemas.microsoft.com/office/drawing/2014/main" id="{EF626EC4-CDD1-15A1-F1A3-AF148413E5AA}"/>
            </a:ext>
          </a:extLst>
        </xdr:cNvPr>
        <xdr:cNvSpPr txBox="1"/>
      </xdr:nvSpPr>
      <xdr:spPr>
        <a:xfrm>
          <a:off x="19669125" y="514350"/>
          <a:ext cx="3333750" cy="2390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Idea for future iteration</a:t>
          </a:r>
          <a:r>
            <a:rPr lang="en-US" sz="1100" baseline="0"/>
            <a:t> of this workbook</a:t>
          </a:r>
          <a:r>
            <a:rPr lang="en-US" sz="1100"/>
            <a:t>: Insert conditional</a:t>
          </a:r>
          <a:r>
            <a:rPr lang="en-US" sz="1100" baseline="0"/>
            <a:t> formatting  to template based on approval status (ie checkmark box if approved, strikethrough or x if rejected, ! if blank/undecided, etc</a:t>
          </a:r>
          <a:endParaRPr lang="en-US" sz="1100"/>
        </a:p>
      </xdr:txBody>
    </xdr:sp>
    <xdr:clientData/>
  </xdr:twoCellAnchor>
  <xdr:oneCellAnchor>
    <xdr:from>
      <xdr:col>0</xdr:col>
      <xdr:colOff>590471</xdr:colOff>
      <xdr:row>67</xdr:row>
      <xdr:rowOff>121735</xdr:rowOff>
    </xdr:from>
    <xdr:ext cx="2229008" cy="937629"/>
    <xdr:sp macro="" textlink="">
      <xdr:nvSpPr>
        <xdr:cNvPr id="4" name="Rectangle 3">
          <a:extLst>
            <a:ext uri="{FF2B5EF4-FFF2-40B4-BE49-F238E27FC236}">
              <a16:creationId xmlns:a16="http://schemas.microsoft.com/office/drawing/2014/main" id="{ECABF708-ACC9-C43A-8F5C-7F1267D9C24A}"/>
            </a:ext>
            <a:ext uri="{147F2762-F138-4A5C-976F-8EAC2B608ADB}">
              <a16:predDERef xmlns:a16="http://schemas.microsoft.com/office/drawing/2014/main" pred="{EF626EC4-CDD1-15A1-F1A3-AF148413E5AA}"/>
            </a:ext>
          </a:extLst>
        </xdr:cNvPr>
        <xdr:cNvSpPr/>
      </xdr:nvSpPr>
      <xdr:spPr>
        <a:xfrm>
          <a:off x="590471" y="12247060"/>
          <a:ext cx="2229008" cy="937629"/>
        </a:xfrm>
        <a:prstGeom prst="rect">
          <a:avLst/>
        </a:prstGeom>
        <a:noFill/>
      </xdr:spPr>
      <xdr:txBody>
        <a:bodyPr wrap="none" lIns="91440" tIns="45720" rIns="91440" bIns="45720">
          <a:spAutoFit/>
        </a:bodyPr>
        <a:lstStyle/>
        <a:p>
          <a:pPr algn="ctr"/>
          <a:r>
            <a:rPr lang="en-US" sz="5400" b="1" cap="none" spc="0">
              <a:ln w="22225">
                <a:solidFill>
                  <a:schemeClr val="tx1"/>
                </a:solidFill>
                <a:prstDash val="solid"/>
              </a:ln>
              <a:solidFill>
                <a:srgbClr val="00B050"/>
              </a:solidFill>
              <a:effectLst/>
            </a:rPr>
            <a:t>- Bryan</a:t>
          </a:r>
        </a:p>
      </xdr:txBody>
    </xdr:sp>
    <xdr:clientData/>
  </xdr:oneCellAnchor>
  <xdr:twoCellAnchor>
    <xdr:from>
      <xdr:col>17</xdr:col>
      <xdr:colOff>257175</xdr:colOff>
      <xdr:row>26</xdr:row>
      <xdr:rowOff>28575</xdr:rowOff>
    </xdr:from>
    <xdr:to>
      <xdr:col>23</xdr:col>
      <xdr:colOff>152400</xdr:colOff>
      <xdr:row>43</xdr:row>
      <xdr:rowOff>47625</xdr:rowOff>
    </xdr:to>
    <xdr:sp macro="" textlink="">
      <xdr:nvSpPr>
        <xdr:cNvPr id="5" name="TextBox 4">
          <a:extLst>
            <a:ext uri="{FF2B5EF4-FFF2-40B4-BE49-F238E27FC236}">
              <a16:creationId xmlns:a16="http://schemas.microsoft.com/office/drawing/2014/main" id="{C67751A7-CE81-2896-7C63-9B7A0C3FB6F2}"/>
            </a:ext>
            <a:ext uri="{147F2762-F138-4A5C-976F-8EAC2B608ADB}">
              <a16:predDERef xmlns:a16="http://schemas.microsoft.com/office/drawing/2014/main" pred="{ECABF708-ACC9-C43A-8F5C-7F1267D9C24A}"/>
            </a:ext>
          </a:extLst>
        </xdr:cNvPr>
        <xdr:cNvSpPr txBox="1"/>
      </xdr:nvSpPr>
      <xdr:spPr>
        <a:xfrm>
          <a:off x="10620375" y="4981575"/>
          <a:ext cx="3552825" cy="3257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a:solidFill>
                <a:srgbClr val="FF0000"/>
              </a:solidFill>
              <a:latin typeface="+mn-lt"/>
              <a:ea typeface="+mn-lt"/>
              <a:cs typeface="+mn-lt"/>
            </a:rPr>
            <a:t>Please make sure that when you intend to edit the FY26 Budget Request Workbook, you access it by finding the file on the web version of box and go towards the top to "Open With" and choose to open with Microsoft Excel Online. This way you are able to edit the workbook at the same time somebody else is and there are not any save-errors</a:t>
          </a:r>
          <a:r>
            <a:rPr lang="en-US" sz="1100">
              <a:solidFill>
                <a:srgbClr val="FF0000"/>
              </a:solidFill>
              <a:latin typeface="+mn-lt"/>
              <a:ea typeface="+mn-lt"/>
              <a:cs typeface="+mn-lt"/>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368443</xdr:colOff>
      <xdr:row>15</xdr:row>
      <xdr:rowOff>70138</xdr:rowOff>
    </xdr:from>
    <xdr:to>
      <xdr:col>5</xdr:col>
      <xdr:colOff>1390216</xdr:colOff>
      <xdr:row>17</xdr:row>
      <xdr:rowOff>424296</xdr:rowOff>
    </xdr:to>
    <xdr:sp macro="" textlink="">
      <xdr:nvSpPr>
        <xdr:cNvPr id="2" name="TextBox 1">
          <a:extLst>
            <a:ext uri="{FF2B5EF4-FFF2-40B4-BE49-F238E27FC236}">
              <a16:creationId xmlns:a16="http://schemas.microsoft.com/office/drawing/2014/main" id="{136DCF31-F663-230A-F82B-CE7C3DA45ACC}"/>
            </a:ext>
          </a:extLst>
        </xdr:cNvPr>
        <xdr:cNvSpPr txBox="1"/>
      </xdr:nvSpPr>
      <xdr:spPr>
        <a:xfrm>
          <a:off x="13201216" y="4494933"/>
          <a:ext cx="5117523" cy="1878158"/>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chemeClr val="bg1"/>
              </a:solidFill>
            </a:rPr>
            <a:t>This</a:t>
          </a:r>
          <a:r>
            <a:rPr lang="en-US" sz="3600" baseline="0">
              <a:solidFill>
                <a:schemeClr val="bg1"/>
              </a:solidFill>
            </a:rPr>
            <a:t> sheet is a template for the other sheets and is an EXAMPLE</a:t>
          </a:r>
          <a:endParaRPr lang="en-US" sz="36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419099</xdr:colOff>
      <xdr:row>0</xdr:row>
      <xdr:rowOff>200026</xdr:rowOff>
    </xdr:from>
    <xdr:to>
      <xdr:col>6</xdr:col>
      <xdr:colOff>5210174</xdr:colOff>
      <xdr:row>4</xdr:row>
      <xdr:rowOff>190500</xdr:rowOff>
    </xdr:to>
    <xdr:sp macro="" textlink="">
      <xdr:nvSpPr>
        <xdr:cNvPr id="2" name="TextBox 1">
          <a:extLst>
            <a:ext uri="{FF2B5EF4-FFF2-40B4-BE49-F238E27FC236}">
              <a16:creationId xmlns:a16="http://schemas.microsoft.com/office/drawing/2014/main" id="{4E1C7E35-360E-4140-BEC1-A59F19606C7C}"/>
            </a:ext>
          </a:extLst>
        </xdr:cNvPr>
        <xdr:cNvSpPr txBox="1"/>
      </xdr:nvSpPr>
      <xdr:spPr>
        <a:xfrm>
          <a:off x="30708599" y="200026"/>
          <a:ext cx="4791075" cy="3990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Please</a:t>
          </a:r>
          <a:r>
            <a:rPr lang="en-US" sz="2000" baseline="0"/>
            <a:t> keep in mind that in columns A and B of this sheet, as well as in column B in the depertment specific sheets, data validation is being used to require any value inputted to match one of the values listed in the dropdown list. If you try typing in a value not on the list, it will return an error message. To avoid this, please use the drop-down box that appears when you click on the triangle outside the bottom right corner of the cell to select the desired output.</a:t>
          </a:r>
          <a:endParaRPr lang="en-US" sz="2000"/>
        </a:p>
      </xdr:txBody>
    </xdr:sp>
    <xdr:clientData/>
  </xdr:twoCellAnchor>
  <xdr:twoCellAnchor>
    <xdr:from>
      <xdr:col>6</xdr:col>
      <xdr:colOff>476250</xdr:colOff>
      <xdr:row>4</xdr:row>
      <xdr:rowOff>1095375</xdr:rowOff>
    </xdr:from>
    <xdr:to>
      <xdr:col>6</xdr:col>
      <xdr:colOff>5286375</xdr:colOff>
      <xdr:row>8</xdr:row>
      <xdr:rowOff>161925</xdr:rowOff>
    </xdr:to>
    <xdr:sp macro="" textlink="">
      <xdr:nvSpPr>
        <xdr:cNvPr id="3" name="TextBox 2">
          <a:extLst>
            <a:ext uri="{FF2B5EF4-FFF2-40B4-BE49-F238E27FC236}">
              <a16:creationId xmlns:a16="http://schemas.microsoft.com/office/drawing/2014/main" id="{8DAB71F7-6468-6762-F2C5-98E4657F1D91}"/>
            </a:ext>
          </a:extLst>
        </xdr:cNvPr>
        <xdr:cNvSpPr txBox="1"/>
      </xdr:nvSpPr>
      <xdr:spPr>
        <a:xfrm>
          <a:off x="30765750" y="5095875"/>
          <a:ext cx="4810125"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If your question/issue/suggestion</a:t>
          </a:r>
          <a:r>
            <a:rPr lang="en-US" sz="2400" baseline="0"/>
            <a:t> is urgent, please notify Bryan or Kate about it via Teams, email, or in person. Thank you!</a:t>
          </a:r>
          <a:endParaRPr lang="en-US" sz="24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5949073" createdVersion="8" refreshedVersion="8" minRefreshableVersion="3" recordCount="87" xr:uid="{8C8BF36C-7A90-47C5-990B-EF45FFC5DBCB}">
  <cacheSource type="worksheet">
    <worksheetSource name="Table_SU"/>
  </cacheSource>
  <cacheFields count="7">
    <cacheField name="BUDGET ACCOUNT NUMBER (AUTOFILLS)" numFmtId="0">
      <sharedItems containsMixedTypes="1" containsNumber="1" containsInteger="1" minValue="88100" maxValue="88800" count="10">
        <n v="88400"/>
        <s v="Not Found"/>
        <n v="88200" u="1"/>
        <n v="88250" u="1"/>
        <n v="88350" u="1"/>
        <n v="88420" u="1"/>
        <n v="88500" u="1"/>
        <n v="88510" u="1"/>
        <n v="88800" u="1"/>
        <n v="8810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0">
      <sharedItems containsString="0" containsBlank="1" containsNumber="1" containsInteger="1" minValue="28" maxValue="3696"/>
    </cacheField>
    <cacheField name="BUDGET APPROVED BY DIRECTOR? (ADMIN USE)" numFmtId="49">
      <sharedItems containsBlank="1" count="6">
        <s v="Approved"/>
        <m/>
        <s v="Needs Clarification" u="1"/>
        <s v="Rejected" u="1"/>
        <s v="Undecided" u="1"/>
        <s v="Deferred" u="1"/>
      </sharedItems>
    </cacheField>
    <cacheField name="NOTES  (ADMIN USE)" numFmtId="49">
      <sharedItems containsBlank="1"/>
    </cacheField>
    <cacheField name="FUND (ADMIN USE)" numFmtId="0">
      <sharedItems containsBlank="1" count="10">
        <s v="CFWD 10009"/>
        <s v="E + G 10000"/>
        <m/>
        <s v="VP ADMIN OVERHD 03209" u="1"/>
        <s v="AUX LIB 03203" u="1"/>
        <s v="AUX PASSPORT 03215" u="1"/>
        <s v="E + G MEDDTN 12000" u="1"/>
        <s v="RIA 18300" u="1"/>
        <s v="FWS 28000" u="1"/>
        <s v="FOUNDATION"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6412035" createdVersion="8" refreshedVersion="8" minRefreshableVersion="3" recordCount="87" xr:uid="{2EE0274B-5A38-423C-9C25-429FA7F4B80A}">
  <cacheSource type="worksheet">
    <worksheetSource name="Table_REU"/>
  </cacheSource>
  <cacheFields count="7">
    <cacheField name="BUDGET ACCOUNT NUMBER (AUTOFILLS)" numFmtId="0">
      <sharedItems containsMixedTypes="1" containsNumber="1" containsInteger="1" minValue="88100" maxValue="88800" count="10">
        <n v="88100"/>
        <n v="88250"/>
        <n v="88400"/>
        <n v="88350"/>
        <s v="Not Found"/>
        <n v="88200" u="1"/>
        <n v="88420" u="1"/>
        <n v="88500" u="1"/>
        <n v="88510" u="1"/>
        <n v="8880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44">
      <sharedItems containsString="0" containsBlank="1" containsNumber="1" containsInteger="1" minValue="240" maxValue="5263"/>
    </cacheField>
    <cacheField name="BUDGET APPROVED BY DIRECTOR? (ADMIN USE)" numFmtId="49">
      <sharedItems containsBlank="1" count="6">
        <s v="Approved"/>
        <s v="Needs Clarification"/>
        <s v="Rejected"/>
        <m/>
        <s v="Deferred" u="1"/>
        <s v="Undecided" u="1"/>
      </sharedItems>
    </cacheField>
    <cacheField name="NOTES  (ADMIN USE)" numFmtId="49">
      <sharedItems containsBlank="1"/>
    </cacheField>
    <cacheField name="FUND (ADMIN USE)" numFmtId="0">
      <sharedItems containsBlank="1" count="10">
        <s v="E + G 10000"/>
        <s v="E + G MEDDTN 12000"/>
        <m/>
        <s v="VP ADMIN OVERHD 03209" u="1"/>
        <s v="AUX LIB 03203" u="1"/>
        <s v="AUX PASSPORT 03215" u="1"/>
        <s v="CFWD 10009" u="1"/>
        <s v="RIA 18300" u="1"/>
        <s v="FWS 28000" u="1"/>
        <s v="FOUNDATION"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6990743" createdVersion="8" refreshedVersion="8" minRefreshableVersion="3" recordCount="87" xr:uid="{3384DB08-931D-4649-9349-747108315C55}">
  <cacheSource type="worksheet">
    <worksheetSource name="Table_PT"/>
  </cacheSource>
  <cacheFields count="7">
    <cacheField name="BUDGET ACCOUNT NUMBER (AUTOFILLS)" numFmtId="0">
      <sharedItems containsMixedTypes="1" containsNumber="1" containsInteger="1" minValue="88100" maxValue="88800" count="10">
        <n v="88420"/>
        <n v="88800"/>
        <n v="88350"/>
        <n v="88250"/>
        <s v="Not Found"/>
        <n v="88200" u="1"/>
        <n v="88400" u="1"/>
        <n v="88500" u="1"/>
        <n v="88510" u="1"/>
        <n v="8810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44">
      <sharedItems containsString="0" containsBlank="1" containsNumber="1" containsInteger="1" minValue="150" maxValue="12000"/>
    </cacheField>
    <cacheField name="BUDGET APPROVED BY DIRECTOR? (ADMIN USE)" numFmtId="49">
      <sharedItems containsBlank="1" count="6">
        <s v="Approved"/>
        <s v="Rejected"/>
        <m/>
        <s v="Needs Clarification" u="1"/>
        <s v="Undecided" u="1"/>
        <s v="Deferred" u="1"/>
      </sharedItems>
    </cacheField>
    <cacheField name="NOTES  (ADMIN USE)" numFmtId="49">
      <sharedItems containsBlank="1"/>
    </cacheField>
    <cacheField name="FUND (ADMIN USE)" numFmtId="0">
      <sharedItems containsBlank="1" count="10">
        <s v="AUX PASSPORT 03215"/>
        <m/>
        <s v="VP ADMIN OVERHD 03209" u="1"/>
        <s v="AUX LIB 03203" u="1"/>
        <s v="E + G 10000" u="1"/>
        <s v="CFWD 10009" u="1"/>
        <s v="E + G MEDDTN 12000" u="1"/>
        <s v="RIA 18300" u="1"/>
        <s v="FWS 28000" u="1"/>
        <s v="FOUNDATION"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7569443" createdVersion="8" refreshedVersion="8" minRefreshableVersion="3" recordCount="87" xr:uid="{D24063E7-F501-46AD-967A-52B4229765D1}">
  <cacheSource type="worksheet">
    <worksheetSource name="Table_HCA"/>
  </cacheSource>
  <cacheFields count="7">
    <cacheField name="BUDGET ACCOUNT Number (AUTOFILLS)" numFmtId="0">
      <sharedItems containsMixedTypes="1" containsNumber="1" containsInteger="1" minValue="88100" maxValue="88800" count="10">
        <s v="Not Found"/>
        <n v="88100"/>
        <n v="88400"/>
        <n v="88800"/>
        <n v="88250"/>
        <n v="88420" u="1"/>
        <n v="88200" u="1"/>
        <n v="88350" u="1"/>
        <n v="88500" u="1"/>
        <n v="8851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44">
      <sharedItems containsString="0" containsBlank="1" containsNumber="1" containsInteger="1" minValue="300" maxValue="7831"/>
    </cacheField>
    <cacheField name="BUDGET APPROVED BY DIRECTOR? (ADMIN USE)" numFmtId="49">
      <sharedItems containsBlank="1" count="3">
        <m/>
        <s v="Approved"/>
        <s v="Needs Clarification"/>
      </sharedItems>
    </cacheField>
    <cacheField name="NOTES  (ADMIN USE)" numFmtId="49">
      <sharedItems containsBlank="1"/>
    </cacheField>
    <cacheField name="FUND (ADMIN USE)" numFmtId="0">
      <sharedItems containsBlank="1" count="11">
        <m/>
        <s v="HCA"/>
        <s v="AUX LIB 03203" u="1"/>
        <s v="VP ADMIN OVERHD 03209" u="1"/>
        <s v="AUX PASSPORT 03215" u="1"/>
        <s v="E + G 10000" u="1"/>
        <s v="CFWD 10009" u="1"/>
        <s v="E + G MEDDTN 12000" u="1"/>
        <s v="RIA 18300" u="1"/>
        <s v="FWS 28000" u="1"/>
        <s v="FOUNDATION"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8148151" createdVersion="8" refreshedVersion="8" minRefreshableVersion="3" recordCount="87" xr:uid="{BBE46B7D-C209-4DDE-9368-B54508CD0301}">
  <cacheSource type="worksheet">
    <worksheetSource name="Table_E"/>
  </cacheSource>
  <cacheFields count="7">
    <cacheField name="BUDGET ACCOUNT NUMBER (AUTOFILLS)" numFmtId="0">
      <sharedItems containsMixedTypes="1" containsNumber="1" containsInteger="1" minValue="88100" maxValue="88800" count="10">
        <n v="88800"/>
        <s v="Not Found"/>
        <n v="88420"/>
        <n v="88200" u="1"/>
        <n v="88250" u="1"/>
        <n v="88350" u="1"/>
        <n v="88400" u="1"/>
        <n v="88500" u="1"/>
        <n v="88510" u="1"/>
        <n v="8810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44">
      <sharedItems containsString="0" containsBlank="1" containsNumber="1" containsInteger="1" minValue="120" maxValue="850"/>
    </cacheField>
    <cacheField name="BUDGET APPROVED BY DIRECTOR? (ADMIN USE)" numFmtId="49">
      <sharedItems containsBlank="1" count="6">
        <s v="Approved"/>
        <m/>
        <s v="Needs Clarification" u="1"/>
        <s v="Rejected" u="1"/>
        <s v="Undecided" u="1"/>
        <s v="Deferred" u="1"/>
      </sharedItems>
    </cacheField>
    <cacheField name="NOTES  (ADMIN USE)" numFmtId="49">
      <sharedItems containsNonDate="0" containsString="0" containsBlank="1"/>
    </cacheField>
    <cacheField name="FUND (ADMIN USE)" numFmtId="0">
      <sharedItems containsBlank="1" count="10">
        <s v="AUX LIB 03203"/>
        <s v="FOUNDATION"/>
        <m/>
        <s v="VP ADMIN OVERHD 03209" u="1"/>
        <s v="AUX PASSPORT 03215" u="1"/>
        <s v="E + G 10000" u="1"/>
        <s v="CFWD 10009" u="1"/>
        <s v="E + G MEDDTN 12000" u="1"/>
        <s v="RIA 18300" u="1"/>
        <s v="FWS 28000" u="1"/>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8726852" createdVersion="8" refreshedVersion="8" minRefreshableVersion="3" recordCount="91" xr:uid="{4A812899-98F0-42E3-88AC-CC24A9FEE948}">
  <cacheSource type="worksheet">
    <worksheetSource name="Table_CMU"/>
  </cacheSource>
  <cacheFields count="7">
    <cacheField name="BUDGET ACCOUNT NUMBER (AUTOFILLS)" numFmtId="0">
      <sharedItems containsMixedTypes="1" containsNumber="1" containsInteger="1" minValue="88100" maxValue="88800" count="10">
        <n v="88100"/>
        <n v="88420"/>
        <n v="88350"/>
        <s v="Not Found"/>
        <n v="88200" u="1"/>
        <n v="88250" u="1"/>
        <n v="88400" u="1"/>
        <n v="88500" u="1"/>
        <n v="88510" u="1"/>
        <n v="8880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44">
      <sharedItems containsString="0" containsBlank="1" containsNumber="1" containsInteger="1" minValue="-18150" maxValue="2380195"/>
    </cacheField>
    <cacheField name="BUDGET APPROVED BY DIRECTOR? (ADMIN USE)" numFmtId="49">
      <sharedItems containsBlank="1" count="6">
        <s v="Approved"/>
        <s v="Deferred"/>
        <s v="Rejected"/>
        <m/>
        <s v="Needs Clarification" u="1"/>
        <s v="Undecided" u="1"/>
      </sharedItems>
    </cacheField>
    <cacheField name="NOTES  (ADMIN USE)" numFmtId="49">
      <sharedItems containsBlank="1"/>
    </cacheField>
    <cacheField name="FUND (ADMIN USE)" numFmtId="0">
      <sharedItems containsBlank="1" count="12">
        <s v="E + G 10000"/>
        <s v="CFWD 10009"/>
        <m/>
        <s v="AUX PASSPORT 03215"/>
        <s v="VP ADMIN OVERHD 03209"/>
        <s v="AUX LIB 03203"/>
        <s v="TCOP"/>
        <s v="HCA"/>
        <s v="FOUNDATION"/>
        <s v="RIA 18300"/>
        <s v="E + G MEDDTN 12000" u="1"/>
        <s v="FWS 28000" u="1"/>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8958336" createdVersion="8" refreshedVersion="8" minRefreshableVersion="3" recordCount="87" xr:uid="{059B4050-06FA-43F7-A973-20FF33E7932E}">
  <cacheSource type="worksheet">
    <worksheetSource name="Table_ASU2"/>
  </cacheSource>
  <cacheFields count="7">
    <cacheField name="BUDGET ACCOUNT NUMBER (AUTOFILLS)" numFmtId="0">
      <sharedItems containsMixedTypes="1" containsNumber="1" containsInteger="1" minValue="88100" maxValue="88800" count="10">
        <n v="88420"/>
        <n v="88510"/>
        <n v="88800"/>
        <s v="Not Found"/>
        <n v="88100" u="1"/>
        <n v="88200" u="1"/>
        <n v="88250" u="1"/>
        <n v="88350" u="1"/>
        <n v="88400" u="1"/>
        <n v="8850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44">
      <sharedItems containsString="0" containsBlank="1" containsNumber="1" containsInteger="1" minValue="66" maxValue="3555"/>
    </cacheField>
    <cacheField name="BUDGET APPROVED BY DIRECTOR? (ADMIN USE)" numFmtId="49">
      <sharedItems containsBlank="1" count="6">
        <s v="Approved"/>
        <s v="Needs Clarification"/>
        <s v="Rejected"/>
        <m/>
        <s v="Deferred" u="1"/>
        <s v="Undecided" u="1"/>
      </sharedItems>
    </cacheField>
    <cacheField name="NOTES  (ADMIN USE)" numFmtId="49">
      <sharedItems containsBlank="1"/>
    </cacheField>
    <cacheField name="FUND (ADMIN USE)" numFmtId="0">
      <sharedItems containsBlank="1" count="10">
        <s v="CFWD 10009"/>
        <s v="E + G MEDDTN 12000"/>
        <m/>
        <s v="AUX LIB 03203" u="1"/>
        <s v="VP ADMIN OVERHD 03209" u="1"/>
        <s v="AUX PASSPORT 03215" u="1"/>
        <s v="E + G 10000" u="1"/>
        <s v="RIA 18300" u="1"/>
        <s v="FWS 28000" u="1"/>
        <s v="FOUNDATION" u="1"/>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699652775" createdVersion="8" refreshedVersion="8" minRefreshableVersion="3" recordCount="87" xr:uid="{4243934B-B18D-4926-96F1-96602946D809}">
  <cacheSource type="worksheet">
    <worksheetSource name="Table_ASU"/>
  </cacheSource>
  <cacheFields count="7">
    <cacheField name="BUDGET ACCOUNT Number (AUTOFILLS)" numFmtId="0">
      <sharedItems containsMixedTypes="1" containsNumber="1" containsInteger="1" minValue="88100" maxValue="88800" count="10">
        <n v="88510"/>
        <n v="88420"/>
        <n v="88250"/>
        <n v="88100"/>
        <s v="Not Found"/>
        <n v="88200" u="1"/>
        <n v="88350" u="1"/>
        <n v="88400" u="1"/>
        <n v="88500" u="1"/>
        <n v="8880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44">
      <sharedItems containsString="0" containsBlank="1" containsNumber="1" containsInteger="1" minValue="150" maxValue="2200"/>
    </cacheField>
    <cacheField name="BUDGET APPROVED BY DIRECTOR? (ADMIN USE)" numFmtId="49">
      <sharedItems containsBlank="1" count="6">
        <s v="Approved"/>
        <s v="Rejected"/>
        <s v="Deferred"/>
        <m/>
        <s v="Needs Clarification" u="1"/>
        <s v="Undecided" u="1"/>
      </sharedItems>
    </cacheField>
    <cacheField name="NOTES  (ADMIN USE)" numFmtId="49">
      <sharedItems containsBlank="1"/>
    </cacheField>
    <cacheField name="FUND (ADMIN USE)" numFmtId="0">
      <sharedItems containsBlank="1" count="10">
        <s v="E + G 10000"/>
        <s v="CFWD 10009"/>
        <m/>
        <s v="VP ADMIN OVERHD 03209" u="1"/>
        <s v="AUX LIB 03203" u="1"/>
        <s v="AUX PASSPORT 03215" u="1"/>
        <s v="E + G MEDDTN 12000" u="1"/>
        <s v="RIA 18300" u="1"/>
        <s v="FWS 28000" u="1"/>
        <s v="FOUNDATION" u="1"/>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refreshedDate="45377.705700578706" createdVersion="8" refreshedVersion="8" minRefreshableVersion="3" recordCount="87" xr:uid="{95BFF76A-84D3-4690-8E23-A4EBF99D4202}">
  <cacheSource type="worksheet">
    <worksheetSource name="Table_AU"/>
  </cacheSource>
  <cacheFields count="7">
    <cacheField name="BUDGET ACCOUNT NUMBER (AUTOFILLS)" numFmtId="0">
      <sharedItems containsMixedTypes="1" containsNumber="1" containsInteger="1" minValue="88100" maxValue="88800" count="10">
        <s v="Not Found"/>
        <n v="88100"/>
        <n v="88420"/>
        <n v="88400"/>
        <n v="88200"/>
        <n v="88510"/>
        <n v="88800"/>
        <n v="88500"/>
        <n v="88250" u="1"/>
        <n v="88350" u="1"/>
      </sharedItems>
    </cacheField>
    <cacheField name="BUDGET ACCOUNT NAME (DROPDOWN THAT IS USED TO FILL BUDGET ACCOUNT COLUMN)" numFmtId="0">
      <sharedItems containsBlank="1"/>
    </cacheField>
    <cacheField name="ITEM REQUESTED  -  Description, Line Item Pricing &amp; Justification" numFmtId="49">
      <sharedItems containsBlank="1"/>
    </cacheField>
    <cacheField name="TOTAL BUDGET REQUESTED" numFmtId="0">
      <sharedItems containsString="0" containsBlank="1" containsNumber="1" minValue="0" maxValue="38896"/>
    </cacheField>
    <cacheField name="BUDGET APPROVED BY DIRECTOR? (ADMIN USE)" numFmtId="49">
      <sharedItems containsBlank="1" count="6">
        <s v="Undecided"/>
        <s v="Approved"/>
        <s v="Rejected"/>
        <m/>
        <s v="Needs Clarification" u="1"/>
        <s v="Deferred" u="1"/>
      </sharedItems>
    </cacheField>
    <cacheField name="NOTES  (ADMIN USE)" numFmtId="49">
      <sharedItems containsBlank="1"/>
    </cacheField>
    <cacheField name="FUND (ADMIN USE)" numFmtId="0">
      <sharedItems containsBlank="1" count="10">
        <m/>
        <s v="FOUNDATION"/>
        <s v="E + G 10000"/>
        <s v="CFWD 10009"/>
        <s v="E + G MEDDTN 12000"/>
        <s v="VP ADMIN OVERHD 03209" u="1"/>
        <s v="AUX LIB 03203" u="1"/>
        <s v="AUX PASSPORT 03215" u="1"/>
        <s v="RIA 18300" u="1"/>
        <s v="FWS 2800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COMPUTER RELATED SUPPLIES &amp; EQUIPMENT"/>
    <s v="LED Display for collaboration tables (3) $1,232 . To replace LED displays that are having problems"/>
    <n v="3696"/>
    <x v="0"/>
    <s v="For student collaboration tables (student success :) )"/>
    <x v="0"/>
  </r>
  <r>
    <x v="0"/>
    <s v="COMPUTER RELATED SUPPLIES &amp; EQUIPMENT"/>
    <s v="USB-C DisplayPort Cables (display connectors) (10) $10.00. To connect to digital display ports"/>
    <n v="100"/>
    <x v="0"/>
    <m/>
    <x v="1"/>
  </r>
  <r>
    <x v="0"/>
    <s v="COMPUTER RELATED SUPPLIES &amp; EQUIPMENT"/>
    <s v="USB-C to Ethernet Adapter (2) 14.00. For connecting to ethernet jacks to have hardwired connection rather than WiFi. "/>
    <n v="28"/>
    <x v="0"/>
    <m/>
    <x v="1"/>
  </r>
  <r>
    <x v="0"/>
    <s v="COMPUTER RELATED SUPPLIES &amp; EQUIPMENT"/>
    <s v="Adapter (2) 19.00. To connect to the solid state drives we have and be able to read them."/>
    <n v="38"/>
    <x v="0"/>
    <m/>
    <x v="1"/>
  </r>
  <r>
    <x v="0"/>
    <s v="COMPUTER RELATED SUPPLIES &amp; EQUIPMENT"/>
    <s v="Logitech wired headsets and microphones for staff use to replace worn (4 at $64)"/>
    <n v="256"/>
    <x v="0"/>
    <s v="Kate found for $64 per set; might be in FY24"/>
    <x v="1"/>
  </r>
  <r>
    <x v="0"/>
    <s v="COMPUTER RELATED SUPPLIES &amp; EQUIPMENT"/>
    <s v="Poly Voyager 4310 Truker headset $150. (5) "/>
    <n v="750"/>
    <x v="0"/>
    <m/>
    <x v="1"/>
  </r>
  <r>
    <x v="0"/>
    <s v="COMPUTER RELATED SUPPLIES &amp; EQUIPMENT"/>
    <s v="DOWNTOWN - Powramid powerstrips for patron access computers to provide more electrical access."/>
    <n v="192"/>
    <x v="0"/>
    <m/>
    <x v="1"/>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TRAVEL"/>
    <s v="K Bullers American Association of Colleges of Pharmacy (AACP) Conference (July 2024) estimated $2610.00; Florida Health Science Libraries Association (FHSLA) Conference (Spring 2025) estimated $883"/>
    <n v="3493"/>
    <x v="0"/>
    <m/>
    <x v="0"/>
  </r>
  <r>
    <x v="0"/>
    <s v="TRAVEL"/>
    <s v="S Tomlinson Southern Chapter Medical Library Association (SC/MLA) Conference (October 2024) estimated $2160; Florida Health Sciences Library Association (FHSLA, Spring 2025) estimated $883"/>
    <n v="2282"/>
    <x v="0"/>
    <s v="75% MCOM liaison travel expenses on E&amp;G; balance on MEDDTN"/>
    <x v="0"/>
  </r>
  <r>
    <x v="0"/>
    <s v="TRAVEL"/>
    <s v="J Chan Duke EBP Workshop (Spring 2025) estimated  $3966; Southern Chapter Medical Library Association (SC/MLA) Conference (October 2024)   $2160"/>
    <n v="4076"/>
    <x v="0"/>
    <s v="$2,050 registration fee moved to budget account 51050 because it is a workshop, not a conference."/>
    <x v="0"/>
  </r>
  <r>
    <x v="0"/>
    <s v="TRAVEL"/>
    <s v="A Howard American Public Health Association (October 2024) estimated $2814; Teaching Professor Conference (June 2025) estimated $2190"/>
    <n v="5004"/>
    <x v="0"/>
    <m/>
    <x v="0"/>
  </r>
  <r>
    <x v="0"/>
    <s v="TRAVEL"/>
    <s v="A Hanson ACURIL (June 2025) estiamted $4380; ; Florida Health Sciences Library Associaiton (FHSLA, Spring 2025) estimated $883"/>
    <n v="5263"/>
    <x v="0"/>
    <m/>
    <x v="0"/>
  </r>
  <r>
    <x v="1"/>
    <s v="CONTRACTUAL SERVICES"/>
    <s v="Continuing education (CONFERENCE / WORKSHOP / WEBINAR-SEMINAR; all of REU; 6 persons)"/>
    <n v="3000"/>
    <x v="0"/>
    <s v="Only approved local or web"/>
    <x v="0"/>
  </r>
  <r>
    <x v="2"/>
    <s v="COMPUTER RELATED SUPPLIES &amp; EQUIPMENT"/>
    <s v="Transcription software"/>
    <n v="556"/>
    <x v="1"/>
    <s v="Mohamed to look to ensure USF has nothing else that would fulfill same purpose"/>
    <x v="0"/>
  </r>
  <r>
    <x v="3"/>
    <s v="LIBRARY RESOURCES/SERVICES"/>
    <s v="Covidence subscrition ( 1 SR/yr, unlimited users)"/>
    <n v="240"/>
    <x v="2"/>
    <s v="Will be approved under Admin budget"/>
    <x v="0"/>
  </r>
  <r>
    <x v="1"/>
    <s v="CONTRACTUAL SERVICES"/>
    <s v="Janet EBP workshop registration fee"/>
    <n v="2050"/>
    <x v="0"/>
    <m/>
    <x v="0"/>
  </r>
  <r>
    <x v="0"/>
    <s v="TRAVEL"/>
    <s v="S Tomlinson Southern Chapter Medical Library Association (SC/MLA) Conference (October 2024) estimated $2160; Florida Health Sciences Library Association (FHSLA, Spring 2025) estimated $883"/>
    <n v="761"/>
    <x v="0"/>
    <s v="25% MCOM liaison travel expenses on MEDDTN; balance on E&amp;G"/>
    <x v="1"/>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MATERIALS, SUPPLIES &amp; EQUIPMENT, OTHER"/>
    <s v="General office supplies for passport operation: copy paper, small envelopes for mailing passport cards and small IDs, receipt tape rolls, and a heavy-duty stapler for NGP books."/>
    <n v="200"/>
    <x v="0"/>
    <m/>
    <x v="0"/>
  </r>
  <r>
    <x v="1"/>
    <s v="ALL OTHER OPERATING EXPENSES"/>
    <s v="Estimated postage for application delivery - 6 mailers/week, for 50 weeks per year. Estimate $.45 increase in January, 2025 from $8.50/ea to $8.95/ea."/>
    <n v="2625"/>
    <x v="0"/>
    <m/>
    <x v="0"/>
  </r>
  <r>
    <x v="0"/>
    <s v="MATERIALS, SUPPLIES &amp; EQUIPMENT, OTHER"/>
    <s v="Annual cost of departmental reserved parking spot"/>
    <n v="1076"/>
    <x v="0"/>
    <m/>
    <x v="0"/>
  </r>
  <r>
    <x v="2"/>
    <s v="LIBRARY RESOURCES/SERVICES"/>
    <s v="Match FY24 LibRes budget"/>
    <n v="12000"/>
    <x v="1"/>
    <s v="Included in the CMU breakdown by fund"/>
    <x v="0"/>
  </r>
  <r>
    <x v="3"/>
    <s v="CONTRACTUAL SERVICES"/>
    <s v="Credit card fees through Chase. Incr from $950 in FY24"/>
    <n v="2000"/>
    <x v="0"/>
    <m/>
    <x v="0"/>
  </r>
  <r>
    <x v="1"/>
    <s v="ALL OTHER OPERATING EXPENSES"/>
    <s v="Agent recognition event (lunch)"/>
    <n v="150"/>
    <x v="0"/>
    <m/>
    <x v="0"/>
  </r>
  <r>
    <x v="1"/>
    <s v="ALL OTHER OPERATING EXPENSES"/>
    <s v="ILL postage ($250)"/>
    <n v="250"/>
    <x v="0"/>
    <m/>
    <x v="0"/>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r>
    <x v="4"/>
    <m/>
    <m/>
    <m/>
    <x v="2"/>
    <m/>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m/>
    <m/>
    <m/>
    <x v="0"/>
    <m/>
    <x v="0"/>
  </r>
  <r>
    <x v="1"/>
    <s v="TRAVEL"/>
    <s v="LAURA CONFERENCE TRAVEL - ACGME [FEB/MARCH] ($3,210) AND MLA [MAY] ($3,250)"/>
    <n v="6460"/>
    <x v="1"/>
    <s v="Reduced to 2 conferences"/>
    <x v="1"/>
  </r>
  <r>
    <x v="1"/>
    <s v="TRAVEL"/>
    <s v="LAURA VICINITY TRAVEL"/>
    <n v="450"/>
    <x v="2"/>
    <s v="Rose will discuss vicinity mileage cuts with Laura"/>
    <x v="1"/>
  </r>
  <r>
    <x v="2"/>
    <s v="COMPUTER RELATED SUPPLIES &amp; EQUIPMENT"/>
    <s v="SPRINGSHARE modules: _x000a_LibCal-5 - $1,099; LibGuides CMS - $2,982. No mention of LibWizard in quote."/>
    <n v="4081"/>
    <x v="1"/>
    <s v="Quote received 2/2/24, without reference to LibWizard for HCA."/>
    <x v="1"/>
  </r>
  <r>
    <x v="3"/>
    <s v="ALL OTHER OPERATING EXPENSES"/>
    <s v="Printing Brochures"/>
    <n v="300"/>
    <x v="2"/>
    <s v="ProCopy; need details on usual cost; 300 brochures to be printed. Two-sided tri-fold - ask Mohamed to get quote from pro-copy"/>
    <x v="1"/>
  </r>
  <r>
    <x v="2"/>
    <s v="COMPUTER RELATED SUPPLIES &amp; EQUIPMENT"/>
    <s v="Ipad"/>
    <n v="1227"/>
    <x v="1"/>
    <s v="iPad, stylus, keyboard/case"/>
    <x v="1"/>
  </r>
  <r>
    <x v="4"/>
    <s v="CONTRACTUAL SERVICES"/>
    <s v="Continuing Education"/>
    <n v="300"/>
    <x v="1"/>
    <s v="Got rid of her passport"/>
    <x v="1"/>
  </r>
  <r>
    <x v="2"/>
    <s v="COMPUTER RELATED SUPPLIES &amp; EQUIPMENT"/>
    <s v="Covidence - very rough estimate"/>
    <n v="3000"/>
    <x v="2"/>
    <s v="Confirm who will be using. Rose contacting Covidence for quote? Maybe Krystal?"/>
    <x v="1"/>
  </r>
  <r>
    <x v="2"/>
    <s v="COMPUTER RELATED SUPPLIES &amp; EQUIPMENT"/>
    <s v="CoPilot License 1 year for Laura Murray (12 months * $30 per month per user)"/>
    <n v="360"/>
    <x v="0"/>
    <m/>
    <x v="0"/>
  </r>
  <r>
    <x v="0"/>
    <m/>
    <m/>
    <m/>
    <x v="0"/>
    <m/>
    <x v="0"/>
  </r>
  <r>
    <x v="0"/>
    <m/>
    <m/>
    <n v="7831"/>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r>
    <x v="0"/>
    <m/>
    <m/>
    <m/>
    <x v="0"/>
    <m/>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ALL OTHER OPERATING EXPENSES"/>
    <s v="Library giveaways - functional and fun, branded, per each cost between $1-$2."/>
    <n v="750"/>
    <x v="0"/>
    <m/>
    <x v="0"/>
  </r>
  <r>
    <x v="1"/>
    <m/>
    <s v="From Foundation: _x000a_Event food (est $125/event) - dog therapy at Shimberg (x4), dog therapy at FBHKE (x2). Snitch's birthday (est $100 for cakes)"/>
    <n v="850"/>
    <x v="0"/>
    <m/>
    <x v="1"/>
  </r>
  <r>
    <x v="0"/>
    <s v="ALL OTHER OPERATING EXPENSES"/>
    <s v="Exhibit shipping cost estimate ($85/case) - 2 cases/exhibit, 2 exhibits/year"/>
    <n v="350"/>
    <x v="0"/>
    <m/>
    <x v="0"/>
  </r>
  <r>
    <x v="2"/>
    <s v="MATERIALS, SUPPLIES &amp; EQUIPMENT, OTHER"/>
    <s v="30 Parking passes - North campus events (VIP passes are $5 each) "/>
    <n v="150"/>
    <x v="0"/>
    <m/>
    <x v="0"/>
  </r>
  <r>
    <x v="1"/>
    <m/>
    <s v="Appreciation giftbags for dog teams. Contents - sample-size treats (x2/bag), toy ($5-$10), and poo bag rolls (x2/bag). ~$15 for the bags (24 bags - enough for 3 years)"/>
    <n v="120"/>
    <x v="0"/>
    <m/>
    <x v="1"/>
  </r>
  <r>
    <x v="0"/>
    <s v="ALL OTHER OPERATING EXPENSES"/>
    <s v="Parking validations for FBHKE (cost estimated to increase 25-50% over FY24 rates). Est 40 passes @ $10 ea."/>
    <n v="400"/>
    <x v="0"/>
    <m/>
    <x v="0"/>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r>
    <x v="1"/>
    <m/>
    <m/>
    <m/>
    <x v="1"/>
    <m/>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s v="TRAVEL"/>
    <s v="Julie Evener: Charleston Conference 2024 - $2,500 (estimated); MLA 2025 - $3,000 (estimated - location not yet announced)"/>
    <n v="5500"/>
    <x v="0"/>
    <m/>
    <x v="0"/>
  </r>
  <r>
    <x v="0"/>
    <s v="TRAVEL"/>
    <s v="Mindy Berg: SCMLA 2024 - $2,100 (estimated); ALA 2025 - $3,400 (estimated); SSLI - $1750"/>
    <n v="7250"/>
    <x v="0"/>
    <s v="Rose will check SSLI costs/mileage; ALA costs seem excessive (double FY24 Mindy's ALA CORE - this is because it is ALA not ALA CORE and is held in San Diego next year)"/>
    <x v="0"/>
  </r>
  <r>
    <x v="0"/>
    <s v="TRAVEL"/>
    <s v="Jeff Honker: Northwest ILL Conference online"/>
    <n v="50"/>
    <x v="0"/>
    <m/>
    <x v="0"/>
  </r>
  <r>
    <x v="1"/>
    <s v="MATERIALS, SUPPLIES &amp; EQUIPMENT, OTHER"/>
    <s v="Archival supplies such as folders/boxes, as well as book stands, vinyl book covers, notebooks. Other supplies including tape dispenser, printer labels, packing tape"/>
    <n v="355"/>
    <x v="0"/>
    <m/>
    <x v="1"/>
  </r>
  <r>
    <x v="2"/>
    <s v="LIBRARY RESOURCES/SERVICES"/>
    <s v="See details: https://usf.box.com/s/n7446rkngsd4uunt5ejw3vriye7jxdme    _x000a_This total updated 3/26/24."/>
    <n v="2380195"/>
    <x v="1"/>
    <s v="See lines below for fund breakdown"/>
    <x v="2"/>
  </r>
  <r>
    <x v="3"/>
    <m/>
    <m/>
    <n v="-18150"/>
    <x v="1"/>
    <s v="Covidence being moved from CMU to Admin"/>
    <x v="2"/>
  </r>
  <r>
    <x v="3"/>
    <m/>
    <m/>
    <n v="-3149"/>
    <x v="1"/>
    <s v="Springshare moved to admin instead of CMU"/>
    <x v="2"/>
  </r>
  <r>
    <x v="3"/>
    <m/>
    <m/>
    <n v="-741"/>
    <x v="1"/>
    <s v="EZPROXY part of Admin Budget"/>
    <x v="2"/>
  </r>
  <r>
    <x v="2"/>
    <s v="LIBRARY RESOURCES/SERVICES"/>
    <s v="03203 LIB RESOURCES"/>
    <n v="16000"/>
    <x v="0"/>
    <m/>
    <x v="3"/>
  </r>
  <r>
    <x v="2"/>
    <s v="LIBRARY RESOURCES/SERVICES"/>
    <s v="03209 LIB RESOURCES"/>
    <n v="234378"/>
    <x v="0"/>
    <m/>
    <x v="4"/>
  </r>
  <r>
    <x v="2"/>
    <s v="LIBRARY RESOURCES/SERVICES"/>
    <s v="03215 LIB RESOURCES"/>
    <n v="12000"/>
    <x v="0"/>
    <m/>
    <x v="5"/>
  </r>
  <r>
    <x v="2"/>
    <s v="LIBRARY RESOURCES/SERVICES"/>
    <s v="10000 LIB RESOURCES"/>
    <n v="1209687"/>
    <x v="0"/>
    <m/>
    <x v="0"/>
  </r>
  <r>
    <x v="2"/>
    <s v="LIBRARY RESOURCES/SERVICES"/>
    <s v="10009 LIB RESOURCES"/>
    <n v="21000"/>
    <x v="0"/>
    <m/>
    <x v="1"/>
  </r>
  <r>
    <x v="2"/>
    <s v="LIBRARY RESOURCES/SERVICES"/>
    <s v="TCOP LIB RESOURCES"/>
    <n v="97529"/>
    <x v="0"/>
    <s v="Includes increase $9500 and two &quot;new&quot; TCOP resources (Integrated Pharmacy $12,006 and APHA PharmacyLibrary $11,023) paid directly by TCOP in the past."/>
    <x v="6"/>
  </r>
  <r>
    <x v="2"/>
    <s v="LIBRARY RESOURCES/SERVICES"/>
    <s v="HCA LIB RESOURCES"/>
    <n v="63630"/>
    <x v="0"/>
    <m/>
    <x v="7"/>
  </r>
  <r>
    <x v="2"/>
    <s v="LIBRARY RESOURCES/SERVICES"/>
    <s v="FOUNDATION LIB RESOURCES"/>
    <n v="61200"/>
    <x v="0"/>
    <m/>
    <x v="8"/>
  </r>
  <r>
    <x v="2"/>
    <s v="LIBRARY RESOURCES/SERVICES"/>
    <s v="RIA LIB RESOURCES"/>
    <n v="622771"/>
    <x v="0"/>
    <m/>
    <x v="9"/>
  </r>
  <r>
    <x v="3"/>
    <m/>
    <m/>
    <n v="18150"/>
    <x v="2"/>
    <s v="Just used to ensure numbers add up to total number above"/>
    <x v="2"/>
  </r>
  <r>
    <x v="3"/>
    <m/>
    <m/>
    <n v="3149"/>
    <x v="2"/>
    <s v="Just used to ensure numbers add up to total number above"/>
    <x v="2"/>
  </r>
  <r>
    <x v="3"/>
    <m/>
    <m/>
    <n v="741"/>
    <x v="2"/>
    <s v="Just used to ensure numbers add up to total number above"/>
    <x v="2"/>
  </r>
  <r>
    <x v="2"/>
    <s v="LIBRARY RESOURCES/SERVICES"/>
    <s v="Additional funding for Copyright, based on FY24 Copyright Clearance Center costs"/>
    <n v="1700"/>
    <x v="1"/>
    <s v="Not in spreadsheet -&gt; added to collection enhancement. Included in Mar 24 LibRes spreadsheet updates"/>
    <x v="0"/>
  </r>
  <r>
    <x v="3"/>
    <m/>
    <m/>
    <m/>
    <x v="3"/>
    <m/>
    <x v="2"/>
  </r>
  <r>
    <x v="3"/>
    <m/>
    <m/>
    <n v="2359855"/>
    <x v="3"/>
    <m/>
    <x v="2"/>
  </r>
  <r>
    <x v="2"/>
    <s v="LIBRARY RESOURCES/SERVICES"/>
    <s v="Additional funding for backfiles in Carryforward"/>
    <n v="30000"/>
    <x v="0"/>
    <m/>
    <x v="1"/>
  </r>
  <r>
    <x v="2"/>
    <s v="LIBRARY RESOURCES/SERVICES"/>
    <s v="Additional funding for backfiles in PPT aux"/>
    <n v="24000"/>
    <x v="0"/>
    <m/>
    <x v="3"/>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MATERIALS, SUPPLIES &amp; EQUIPMENT, OTHER"/>
    <s v="SUPPY/EQUIPMENT (Two office chairs and standing desk)"/>
    <n v="1600"/>
    <x v="0"/>
    <s v="565 per chair, 225 per standing desk"/>
    <x v="0"/>
  </r>
  <r>
    <x v="0"/>
    <s v="MATERIALS, SUPPLIES &amp; EQUIPMENT, OTHER"/>
    <s v="Office supplies (Packing tape, Envelopes, Batteries, etc) "/>
    <n v="100"/>
    <x v="0"/>
    <s v="Double-check supplies to see if this number is accurate; as of now in FY24, no money has been spent on office supplies by FBHKE (other than IT signage); Also, this does include IT digital signage if unaware; try to stock up on supplies this year"/>
    <x v="1"/>
  </r>
  <r>
    <x v="1"/>
    <s v="REPAIRS, MAINTENANCE, RENOVATIONS"/>
    <s v="Copier est (no charges first 6 mos. of FY24 (1/4 of Shimberg)"/>
    <n v="100"/>
    <x v="0"/>
    <s v="Changed from $162.50 to $100.00 based on FY24 YTD lack of bills"/>
    <x v="1"/>
  </r>
  <r>
    <x v="0"/>
    <s v="MATERIALS, SUPPLIES &amp; EQUIPMENT, OTHER"/>
    <s v="Office Supplies (Clear Acryclic, Free-Standing Bookcase)"/>
    <n v="66"/>
    <x v="0"/>
    <s v="Try to buy FY24 but here in case it is not able to be purchased until FY25"/>
    <x v="1"/>
  </r>
  <r>
    <x v="2"/>
    <s v="ALL OTHER OPERATING EXPENSES"/>
    <s v="Transportation Cost of a Bookshelf from Shimberg to FBHKE"/>
    <m/>
    <x v="1"/>
    <s v="We need Mohamed to get quote for this transportation cost; back of a van????"/>
    <x v="0"/>
  </r>
  <r>
    <x v="0"/>
    <s v="MATERIALS, SUPPLIES &amp; EQUIPMENT, OTHER"/>
    <s v="Book cart"/>
    <n v="600"/>
    <x v="0"/>
    <m/>
    <x v="0"/>
  </r>
  <r>
    <x v="3"/>
    <m/>
    <s v="On 88029 (Other Benefits) - transportation stipend for FBHKE employees, based on FY24 rates - 3 F/T ($83.50/ea/mo) employees at MDD and 1 .   20 FTE employee ($7.18/mo); $462.89 on top of that for Krystal)"/>
    <n v="3555"/>
    <x v="2"/>
    <s v="On Admin page"/>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r>
    <x v="3"/>
    <m/>
    <m/>
    <m/>
    <x v="3"/>
    <m/>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REPAIRS, MAINTENANCE, RENOVATIONS"/>
    <s v="SPECIALTY UNDERWRITERS SECURITY GATE MAINT:  $1821 FOR 01-16-2024 _x000a_"/>
    <n v="1850"/>
    <x v="0"/>
    <m/>
    <x v="0"/>
  </r>
  <r>
    <x v="1"/>
    <s v="MATERIALS, SUPPLIES &amp; EQUIPMENT, OTHER"/>
    <s v="SUPPLY/EQUIPMENT (STANDING DESK for Damion, Venetha, and Nick)"/>
    <n v="800"/>
    <x v="0"/>
    <m/>
    <x v="1"/>
  </r>
  <r>
    <x v="2"/>
    <s v="CONTRACTUAL SERVICES"/>
    <s v="USF IT ALARM MAINT FEE:  $240 FOR FY23_x000a_"/>
    <n v="300"/>
    <x v="1"/>
    <s v="Is the silent alarm working??? No. Line and keypad will be removed in FY24."/>
    <x v="2"/>
  </r>
  <r>
    <x v="1"/>
    <s v="MATERIALS, SUPPLIES &amp; EQUIPMENT, OTHER"/>
    <s v="Office supplies (Packing tape, Envelopes, Batteries, etc) "/>
    <n v="150"/>
    <x v="1"/>
    <s v="Is included in admin"/>
    <x v="2"/>
  </r>
  <r>
    <x v="3"/>
    <s v="TRAVEL"/>
    <s v="TRAVEL REQUEST FOR VICINITY MILEAGE &amp; TOLLS, PROJECTED CALCULATIONS"/>
    <n v="450"/>
    <x v="0"/>
    <s v="Damion will be going one-way to DTN from Shimberg biweekly (~200 just for Damion)"/>
    <x v="0"/>
  </r>
  <r>
    <x v="3"/>
    <s v="TRAVEL"/>
    <s v="REGISTRATION/CONFERENCE FEES (NCAAL Conference, Travel, and registration for Damion) "/>
    <n v="2200"/>
    <x v="1"/>
    <s v="Damion has rescinded this request"/>
    <x v="2"/>
  </r>
  <r>
    <x v="4"/>
    <m/>
    <s v="Employee education/Spring 2025 MLIS program for Damion"/>
    <n v="900"/>
    <x v="2"/>
    <s v="EMPLOYEE TUITION PROGRA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r>
    <x v="4"/>
    <m/>
    <m/>
    <m/>
    <x v="3"/>
    <m/>
    <x v="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m/>
    <s v="On Carryforward - potential relocation expenses/signing bonus on 88028 for 2 faculty positions"/>
    <n v="5000"/>
    <x v="0"/>
    <s v="Probably won't populate to pivot tables. Include as non-salary support in off-cycle process."/>
    <x v="0"/>
  </r>
  <r>
    <x v="0"/>
    <m/>
    <s v="Book printing (50th Anniversary) from AUX or FDN"/>
    <n v="5000"/>
    <x v="1"/>
    <s v="Foundation does not use budget codes"/>
    <x v="1"/>
  </r>
  <r>
    <x v="1"/>
    <s v="TRAVEL"/>
    <s v="Rose's travel: SCMLA, AAMC/AAHSL, Charleston Conf/CONBLS, FCALM, MLA"/>
    <n v="10946"/>
    <x v="1"/>
    <s v="SCMLA (est. $2,160), AAMC/AAHSL (est. $3,000), Charleston/CONBLS ($2,500), MLA ($3,000), FCALM ($286)"/>
    <x v="2"/>
  </r>
  <r>
    <x v="2"/>
    <s v="MATERIALS, SUPPLIES &amp; EQUIPMENT, OTHER"/>
    <s v="General office supplies inc north campus parking permits"/>
    <n v="1500"/>
    <x v="1"/>
    <s v="Changed from $4,000.00 to $1,500.00"/>
    <x v="3"/>
  </r>
  <r>
    <x v="0"/>
    <m/>
    <s v="From Foundation: AVP special events; carry from FY24 (Does this figure include staff events, like graduations and retirements/resignations?)"/>
    <n v="1500"/>
    <x v="1"/>
    <s v="Changed from $1,000.00 to $1,500.00"/>
    <x v="1"/>
  </r>
  <r>
    <x v="0"/>
    <m/>
    <s v="Parking stipend for FBHKE (add KBB)(3 F/T allowances, one 40% allowance, and one 20% allowance) - part of personnel/fringe costs. From MDD - 88028"/>
    <n v="3555"/>
    <x v="1"/>
    <s v="Updated from $4,100 to $3,555.00 (remove DJB since he won't travel often enough to qualify and partial allowance for KBB); Probably won't populate to pivot tables"/>
    <x v="4"/>
  </r>
  <r>
    <x v="3"/>
    <s v="COMPUTER RELATED SUPPLIES &amp; EQUIPMENT"/>
    <s v="Panorama"/>
    <n v="11760"/>
    <x v="1"/>
    <s v="Based on first year quote, but part of 3 year contract…; Rose is going to make them work for this"/>
    <x v="2"/>
  </r>
  <r>
    <x v="4"/>
    <s v="TELEPHONE/TELECOMMUNICATIONS"/>
    <s v="Telephone/data allowances and phone charges - FY25 new allocation s/b $12,142. $175/month for allowances"/>
    <n v="14245"/>
    <x v="1"/>
    <s v="We are paying this whether we want to or not"/>
    <x v="2"/>
  </r>
  <r>
    <x v="3"/>
    <s v="COMPUTER RELATED SUPPLIES &amp; EQUIPMENT"/>
    <s v="Springshare (all modules):_x000a_LibAnswers Queue - $309; LibCal-20 - $1,401; LibWizard - $1,391; LibAnswers - $2,188; LibGuides CMS - $3,104; LibInsight $3,104 removed from price because we don't need it"/>
    <n v="8393"/>
    <x v="1"/>
    <s v="Quote 24-YC1048 from Mohamed; Will drop LibInsight; Find out about Laura LibWizard; We are getting rid of LibInsight; Make sure this is not included in CMU budget"/>
    <x v="2"/>
  </r>
  <r>
    <x v="3"/>
    <s v="COMPUTER RELATED SUPPLIES &amp; EQUIPMENT"/>
    <s v="EZProxy hosted authentication services 6% increase over FY24 quote."/>
    <n v="2487"/>
    <x v="1"/>
    <s v="Contract still being negotiated; Make sure this is not included in CMU"/>
    <x v="2"/>
  </r>
  <r>
    <x v="5"/>
    <s v="REPAIRS, MAINTENANCE, RENOVATIONS"/>
    <s v="Copier charges (Shimberg) est based on 1st 6 mos "/>
    <n v="650"/>
    <x v="1"/>
    <m/>
    <x v="2"/>
  </r>
  <r>
    <x v="6"/>
    <s v="ALL OTHER OPERATING EXPENSES"/>
    <s v="Business cards (2 new positions and systems vacancy)"/>
    <n v="100"/>
    <x v="1"/>
    <s v="Changed from $150 to $100"/>
    <x v="2"/>
  </r>
  <r>
    <x v="6"/>
    <s v="ALL OTHER OPERATING EXPENSES"/>
    <s v="Parking passes - FBHKE"/>
    <n v="750"/>
    <x v="1"/>
    <m/>
    <x v="4"/>
  </r>
  <r>
    <x v="6"/>
    <s v="ALL OTHER OPERATING EXPENSES"/>
    <s v="Potential Suddath renewal"/>
    <n v="38896"/>
    <x v="1"/>
    <m/>
    <x v="2"/>
  </r>
  <r>
    <x v="0"/>
    <m/>
    <s v="From Foundation: interview meals for two faculty vacancies"/>
    <n v="200"/>
    <x v="2"/>
    <s v="Included above"/>
    <x v="0"/>
  </r>
  <r>
    <x v="0"/>
    <m/>
    <s v="Institutional memberships from Foundation: CONBLS and AAHSL"/>
    <n v="2700"/>
    <x v="1"/>
    <m/>
    <x v="1"/>
  </r>
  <r>
    <x v="3"/>
    <s v="COMPUTER RELATED SUPPLIES &amp; EQUIPMENT"/>
    <s v="Covidence (Need License for FY 25?) based on 10% increase projected in FY25"/>
    <n v="11500"/>
    <x v="1"/>
    <s v="Rose needs to talk to Covidence about this. Quote came 3/15 at same rate as FY24 ($11,500)"/>
    <x v="2"/>
  </r>
  <r>
    <x v="5"/>
    <s v="REPAIRS, MAINTENANCE, RENOVATIONS"/>
    <s v="Furniture Reupholstery for FY25 - $1,040 per chair  (20 to be reupholstered) including a 15% delivery fee- Project Initiated in FY23/FY24; to be completed in FY25"/>
    <n v="23776"/>
    <x v="1"/>
    <s v="Still need official quote on this for partial reupholstery (instead of full reupholstery).  2 batches, with separate delivery fees; changed from $23,920 (our estimate by doing 20,800 *1.15)  to $23,776.47 (official quote including 10% contingency)"/>
    <x v="3"/>
  </r>
  <r>
    <x v="3"/>
    <s v="COMPUTER RELATED SUPPLIES &amp; EQUIPMENT"/>
    <s v="CoPilot Licenses (1 per unit, full admin unit), each license $30 per month"/>
    <n v="1440"/>
    <x v="1"/>
    <s v="Free trial for admin unit from February? 2024 - January 2025; Purchase of 8 licenses per month from Feb 2025-June 2025; budgeting for 4 licenses for entire FY25 fiscal year"/>
    <x v="2"/>
  </r>
  <r>
    <x v="3"/>
    <s v="COMPUTER RELATED SUPPLIES &amp; EQUIPMENT"/>
    <s v="CalendarPro (30 users at $1.40 each per month)"/>
    <m/>
    <x v="2"/>
    <s v="USF IT doesn't want us to use for security reasons; Sorry Mohamed :("/>
    <x v="0"/>
  </r>
  <r>
    <x v="3"/>
    <s v="COMPUTER RELATED SUPPLIES &amp; EQUIPMENT"/>
    <s v="Canva (Allison, Janet, Mohamed, and new systems staff member)"/>
    <n v="480"/>
    <x v="1"/>
    <s v="Talk about with Mohamed; according to website ($120 per license per year); do Allison and Janet need Canva next year? Yes"/>
    <x v="2"/>
  </r>
  <r>
    <x v="3"/>
    <s v="COMPUTER RELATED SUPPLIES &amp; EQUIPMENT"/>
    <s v="Visio (Krystal)"/>
    <n v="31"/>
    <x v="1"/>
    <s v="$31 is number from FY24; no reason to suspect this to differ much in FY25"/>
    <x v="2"/>
  </r>
  <r>
    <x v="3"/>
    <s v="COMPUTER RELATED SUPPLIES &amp; EQUIPMENT"/>
    <s v="Camtasia (8 users) $363 per license; need 8 licenses"/>
    <n v="2904"/>
    <x v="1"/>
    <s v="Discount again this year?"/>
    <x v="2"/>
  </r>
  <r>
    <x v="3"/>
    <s v="COMPUTER RELATED SUPPLIES &amp; EQUIPMENT"/>
    <s v="X20 Digital Signage Software - billed through IT"/>
    <n v="0"/>
    <x v="2"/>
    <s v="$77 is number from FY24; no reason to suspect this to differ much in FY25. Included in ASU-FBHKE office supply line."/>
    <x v="4"/>
  </r>
  <r>
    <x v="3"/>
    <s v="COMPUTER RELATED SUPPLIES &amp; EQUIPMENT"/>
    <s v="Endnote"/>
    <n v="0"/>
    <x v="2"/>
    <s v="This is free"/>
    <x v="2"/>
  </r>
  <r>
    <x v="1"/>
    <s v="TRAVEL"/>
    <s v="Travel Budget for 2 new faculty employees- 1 conference each"/>
    <n v="5000"/>
    <x v="0"/>
    <s v="Don't think it was anywhere else. Include during off-cycle request?"/>
    <x v="0"/>
  </r>
  <r>
    <x v="0"/>
    <m/>
    <s v="Bryan Reeder Tuition Waivers (does not fill in budget accounts)"/>
    <n v="6850.08"/>
    <x v="3"/>
    <s v="18 credit hours (6 per semester: fall 2024, spring 2025, summer 2025)"/>
    <x v="0"/>
  </r>
  <r>
    <x v="7"/>
    <s v="UTILITIES, WASTE &amp; FUEL"/>
    <s v="Gas for the golf cart"/>
    <n v="100"/>
    <x v="1"/>
    <s v="Requested primarily to ensure budget line is open. We have not filled the tank in the golfcart YTD. KWB"/>
    <x v="2"/>
  </r>
  <r>
    <x v="2"/>
    <s v="MATERIALS, SUPPLIES &amp; EQUIPMENT, OTHER"/>
    <s v="Lockwood books for 1st year med students (estimate)"/>
    <n v="4500"/>
    <x v="1"/>
    <m/>
    <x v="3"/>
  </r>
  <r>
    <x v="5"/>
    <s v="REPAIRS, MAINTENANCE, RENOVATIONS"/>
    <s v="Computer Lab Alarm Removal, Patching, and Painting"/>
    <n v="300"/>
    <x v="1"/>
    <s v="88510?"/>
    <x v="3"/>
  </r>
  <r>
    <x v="5"/>
    <s v="REPAIRS, MAINTENANCE, RENOVATIONS"/>
    <s v="Security Enhancements"/>
    <n v="15000"/>
    <x v="1"/>
    <s v="To implement operational hours controlled access with video, audio, and authorization."/>
    <x v="3"/>
  </r>
  <r>
    <x v="5"/>
    <s v="REPAIRS, MAINTENANCE, RENOVATIONS"/>
    <s v="Painting &amp; pressure washing - Shimberg exterior"/>
    <n v="10000"/>
    <x v="1"/>
    <s v="Painting &amp; pressure washing of exterior Shimberg Library"/>
    <x v="3"/>
  </r>
  <r>
    <x v="6"/>
    <s v="ALL OTHER OPERATING EXPENSES"/>
    <s v="Journal relocation and disposal project "/>
    <n v="20000"/>
    <x v="1"/>
    <m/>
    <x v="3"/>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r>
    <x v="0"/>
    <m/>
    <m/>
    <m/>
    <x v="3"/>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DB6AD-1DE4-4DF8-A00A-57F34DFB40C4}" name="PivotTable8"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6:J42" firstHeaderRow="1" firstDataRow="2" firstDataCol="1" rowPageCount="1" colPageCount="1"/>
  <pivotFields count="7">
    <pivotField axis="axisCol" compact="0" showAll="0">
      <items count="11">
        <item x="1"/>
        <item x="4"/>
        <item m="1" x="8"/>
        <item m="1" x="9"/>
        <item x="3"/>
        <item x="2"/>
        <item x="7"/>
        <item x="5"/>
        <item x="6"/>
        <item x="0"/>
        <item t="default"/>
      </items>
    </pivotField>
    <pivotField compact="0" showAll="0"/>
    <pivotField compact="0" showAll="0"/>
    <pivotField dataField="1" compact="0" showAll="0"/>
    <pivotField axis="axisPage" compact="0" showAll="0">
      <items count="7">
        <item x="1"/>
        <item m="1" x="5"/>
        <item m="1" x="4"/>
        <item x="2"/>
        <item x="0"/>
        <item x="3"/>
        <item t="default"/>
      </items>
    </pivotField>
    <pivotField compact="0" showAll="0"/>
    <pivotField axis="axisRow" compact="0" showAll="0">
      <items count="11">
        <item m="1" x="7"/>
        <item x="2"/>
        <item x="4"/>
        <item x="1"/>
        <item m="1" x="9"/>
        <item m="1" x="8"/>
        <item m="1" x="5"/>
        <item h="1" x="0"/>
        <item m="1" x="6"/>
        <item x="3"/>
        <item t="default"/>
      </items>
    </pivotField>
  </pivotFields>
  <rowFields count="1">
    <field x="6"/>
  </rowFields>
  <rowItems count="5">
    <i>
      <x v="1"/>
    </i>
    <i>
      <x v="2"/>
    </i>
    <i>
      <x v="3"/>
    </i>
    <i>
      <x v="9"/>
    </i>
    <i t="grand">
      <x/>
    </i>
  </rowItems>
  <colFields count="1">
    <field x="0"/>
  </colFields>
  <colItems count="9">
    <i>
      <x/>
    </i>
    <i>
      <x v="1"/>
    </i>
    <i>
      <x v="4"/>
    </i>
    <i>
      <x v="5"/>
    </i>
    <i>
      <x v="6"/>
    </i>
    <i>
      <x v="7"/>
    </i>
    <i>
      <x v="8"/>
    </i>
    <i>
      <x v="9"/>
    </i>
    <i t="grand">
      <x/>
    </i>
  </colItems>
  <pageFields count="1">
    <pageField fld="4" item="0"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E30431-8C9B-411B-8BB6-5D0D5B93B4AF}" name="PivotTable2" cacheId="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68:E72" firstHeaderRow="1" firstDataRow="2" firstDataCol="1" rowPageCount="1" colPageCount="1"/>
  <pivotFields count="7">
    <pivotField axis="axisCol" compact="0" showAll="0">
      <items count="11">
        <item m="1" x="9"/>
        <item m="1" x="3"/>
        <item m="1" x="4"/>
        <item m="1" x="5"/>
        <item m="1" x="6"/>
        <item x="2"/>
        <item m="1" x="7"/>
        <item m="1" x="8"/>
        <item x="0"/>
        <item x="1"/>
        <item t="default"/>
      </items>
    </pivotField>
    <pivotField compact="0" showAll="0"/>
    <pivotField compact="0" showAll="0"/>
    <pivotField dataField="1" compact="0" showAll="0"/>
    <pivotField axis="axisPage" compact="0" showAll="0">
      <items count="7">
        <item x="0"/>
        <item m="1" x="5"/>
        <item m="1" x="2"/>
        <item m="1" x="3"/>
        <item m="1" x="4"/>
        <item x="1"/>
        <item t="default"/>
      </items>
    </pivotField>
    <pivotField compact="0" showAll="0"/>
    <pivotField axis="axisRow" compact="0" showAll="0">
      <items count="11">
        <item m="1" x="4"/>
        <item m="1" x="5"/>
        <item m="1" x="7"/>
        <item x="1"/>
        <item m="1" x="9"/>
        <item m="1" x="8"/>
        <item m="1" x="3"/>
        <item h="1" x="2"/>
        <item x="0"/>
        <item m="1" x="6"/>
        <item t="default"/>
      </items>
    </pivotField>
  </pivotFields>
  <rowFields count="1">
    <field x="6"/>
  </rowFields>
  <rowItems count="3">
    <i>
      <x v="3"/>
    </i>
    <i>
      <x v="8"/>
    </i>
    <i t="grand">
      <x/>
    </i>
  </rowItems>
  <colFields count="1">
    <field x="0"/>
  </colFields>
  <colItems count="4">
    <i>
      <x v="5"/>
    </i>
    <i>
      <x v="8"/>
    </i>
    <i>
      <x v="9"/>
    </i>
    <i t="grand">
      <x/>
    </i>
  </colItems>
  <pageFields count="1">
    <pageField fld="4" item="0"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08AC3-865E-48B3-BE59-3CDCB1B78B27}" name="PivotTable1" cacheId="5"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52:E63" firstHeaderRow="1" firstDataRow="2" firstDataCol="1" rowPageCount="1" colPageCount="1"/>
  <pivotFields count="7">
    <pivotField axis="axisCol" compact="0" showAll="0">
      <items count="11">
        <item x="0"/>
        <item m="1" x="4"/>
        <item m="1" x="5"/>
        <item x="2"/>
        <item m="1" x="6"/>
        <item x="1"/>
        <item m="1" x="7"/>
        <item m="1" x="8"/>
        <item m="1" x="9"/>
        <item x="3"/>
        <item t="default"/>
      </items>
    </pivotField>
    <pivotField compact="0" showAll="0"/>
    <pivotField compact="0" showAll="0"/>
    <pivotField dataField="1" compact="0" showAll="0"/>
    <pivotField axis="axisPage" compact="0" showAll="0">
      <items count="7">
        <item x="0"/>
        <item x="1"/>
        <item m="1" x="4"/>
        <item x="2"/>
        <item m="1" x="5"/>
        <item x="3"/>
        <item t="default"/>
      </items>
    </pivotField>
    <pivotField compact="0" showAll="0"/>
    <pivotField axis="axisRow" compact="0" showAll="0">
      <items count="13">
        <item x="3"/>
        <item x="0"/>
        <item m="1" x="10"/>
        <item x="8"/>
        <item m="1" x="11"/>
        <item x="9"/>
        <item x="4"/>
        <item h="1" x="2"/>
        <item x="5"/>
        <item x="1"/>
        <item x="6"/>
        <item x="7"/>
        <item t="default"/>
      </items>
    </pivotField>
  </pivotFields>
  <rowFields count="1">
    <field x="6"/>
  </rowFields>
  <rowItems count="10">
    <i>
      <x/>
    </i>
    <i>
      <x v="1"/>
    </i>
    <i>
      <x v="3"/>
    </i>
    <i>
      <x v="5"/>
    </i>
    <i>
      <x v="6"/>
    </i>
    <i>
      <x v="8"/>
    </i>
    <i>
      <x v="9"/>
    </i>
    <i>
      <x v="10"/>
    </i>
    <i>
      <x v="11"/>
    </i>
    <i t="grand">
      <x/>
    </i>
  </rowItems>
  <colFields count="1">
    <field x="0"/>
  </colFields>
  <colItems count="4">
    <i>
      <x/>
    </i>
    <i>
      <x v="3"/>
    </i>
    <i>
      <x v="5"/>
    </i>
    <i t="grand">
      <x/>
    </i>
  </colItems>
  <pageFields count="1">
    <pageField fld="4" item="0"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7A826-6D1F-4D87-AA9A-C086D6D6265F}" name="PivotTable6" cacheId="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E8" firstHeaderRow="1" firstDataRow="2" firstDataCol="1" rowPageCount="1" colPageCount="1"/>
  <pivotFields count="7">
    <pivotField axis="axisCol" compact="0" showAll="0">
      <items count="11">
        <item x="3"/>
        <item m="1" x="5"/>
        <item x="2"/>
        <item m="1" x="6"/>
        <item m="1" x="7"/>
        <item x="1"/>
        <item m="1" x="8"/>
        <item x="0"/>
        <item m="1" x="9"/>
        <item x="4"/>
        <item t="default"/>
      </items>
    </pivotField>
    <pivotField compact="0" showAll="0"/>
    <pivotField compact="0" showAll="0"/>
    <pivotField dataField="1" compact="0" showAll="0"/>
    <pivotField axis="axisPage" compact="0" multipleItemSelectionAllowed="1" showAll="0">
      <items count="7">
        <item x="0"/>
        <item h="1" x="2"/>
        <item h="1" m="1" x="4"/>
        <item h="1" x="1"/>
        <item m="1" x="5"/>
        <item h="1" x="3"/>
        <item t="default"/>
      </items>
    </pivotField>
    <pivotField compact="0" showAll="0"/>
    <pivotField axis="axisRow" compact="0" showAll="0">
      <items count="11">
        <item m="1" x="5"/>
        <item x="0"/>
        <item m="1" x="6"/>
        <item m="1" x="9"/>
        <item m="1" x="8"/>
        <item m="1" x="7"/>
        <item m="1" x="3"/>
        <item h="1" x="2"/>
        <item m="1" x="4"/>
        <item x="1"/>
        <item t="default"/>
      </items>
    </pivotField>
  </pivotFields>
  <rowFields count="1">
    <field x="6"/>
  </rowFields>
  <rowItems count="3">
    <i>
      <x v="1"/>
    </i>
    <i>
      <x v="9"/>
    </i>
    <i t="grand">
      <x/>
    </i>
  </rowItems>
  <colFields count="1">
    <field x="0"/>
  </colFields>
  <colItems count="4">
    <i>
      <x/>
    </i>
    <i>
      <x v="5"/>
    </i>
    <i>
      <x v="7"/>
    </i>
    <i t="grand">
      <x/>
    </i>
  </colItems>
  <pageFields count="1">
    <pageField fld="4"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4E4526-F382-4091-9263-2A2DC799F554}"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UND (ADMIN USE)" colHeaderCaption="BUDGET ACCOUNT NUMBER">
  <location ref="A85:E88" firstHeaderRow="1" firstDataRow="2" firstDataCol="1" rowPageCount="1" colPageCount="1"/>
  <pivotFields count="7">
    <pivotField axis="axisCol" showAll="0">
      <items count="11">
        <item x="1"/>
        <item m="1" x="6"/>
        <item x="4"/>
        <item m="1" x="7"/>
        <item x="2"/>
        <item m="1" x="5"/>
        <item m="1" x="8"/>
        <item m="1" x="9"/>
        <item x="3"/>
        <item h="1" x="0"/>
        <item t="default"/>
      </items>
    </pivotField>
    <pivotField showAll="0"/>
    <pivotField showAll="0"/>
    <pivotField dataField="1" showAll="0"/>
    <pivotField axis="axisPage" showAll="0">
      <items count="4">
        <item x="0"/>
        <item x="1"/>
        <item x="2"/>
        <item t="default"/>
      </items>
    </pivotField>
    <pivotField showAll="0"/>
    <pivotField axis="axisRow" showAll="0">
      <items count="12">
        <item x="0"/>
        <item m="1" x="2"/>
        <item m="1" x="4"/>
        <item m="1" x="6"/>
        <item m="1" x="5"/>
        <item m="1" x="7"/>
        <item m="1" x="10"/>
        <item m="1" x="9"/>
        <item m="1" x="8"/>
        <item m="1" x="3"/>
        <item x="1"/>
        <item t="default"/>
      </items>
    </pivotField>
  </pivotFields>
  <rowFields count="1">
    <field x="6"/>
  </rowFields>
  <rowItems count="2">
    <i>
      <x v="10"/>
    </i>
    <i t="grand">
      <x/>
    </i>
  </rowItems>
  <colFields count="1">
    <field x="0"/>
  </colFields>
  <colItems count="4">
    <i>
      <x/>
    </i>
    <i>
      <x v="2"/>
    </i>
    <i>
      <x v="4"/>
    </i>
    <i t="grand">
      <x/>
    </i>
  </colItems>
  <pageFields count="1">
    <pageField fld="4" item="1"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2FA78B-7D4B-4191-ADFD-5FA33E6E67E1}" name="PivotTable5"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17:D121" firstHeaderRow="1" firstDataRow="2" firstDataCol="1" rowPageCount="1" colPageCount="1"/>
  <pivotFields count="7">
    <pivotField axis="axisCol" compact="0" showAll="0">
      <items count="11">
        <item x="0"/>
        <item m="1" x="5"/>
        <item x="1"/>
        <item x="3"/>
        <item x="2"/>
        <item m="1" x="6"/>
        <item m="1" x="7"/>
        <item m="1" x="8"/>
        <item m="1" x="9"/>
        <item x="4"/>
        <item t="default"/>
      </items>
    </pivotField>
    <pivotField compact="0" showAll="0"/>
    <pivotField compact="0" showAll="0"/>
    <pivotField dataField="1" compact="0" showAll="0"/>
    <pivotField axis="axisPage" compact="0" showAll="0">
      <items count="7">
        <item x="0"/>
        <item m="1" x="4"/>
        <item x="1"/>
        <item x="2"/>
        <item m="1" x="5"/>
        <item x="3"/>
        <item t="default"/>
      </items>
    </pivotField>
    <pivotField compact="0" showAll="0"/>
    <pivotField axis="axisRow" compact="0" showAll="0">
      <items count="11">
        <item m="1" x="5"/>
        <item x="0"/>
        <item x="1"/>
        <item m="1" x="9"/>
        <item m="1" x="8"/>
        <item m="1" x="7"/>
        <item m="1" x="3"/>
        <item h="1" x="2"/>
        <item m="1" x="4"/>
        <item m="1" x="6"/>
        <item t="default"/>
      </items>
    </pivotField>
  </pivotFields>
  <rowFields count="1">
    <field x="6"/>
  </rowFields>
  <rowItems count="3">
    <i>
      <x v="1"/>
    </i>
    <i>
      <x v="2"/>
    </i>
    <i t="grand">
      <x/>
    </i>
  </rowItems>
  <colFields count="1">
    <field x="0"/>
  </colFields>
  <colItems count="3">
    <i>
      <x/>
    </i>
    <i>
      <x v="2"/>
    </i>
    <i t="grand">
      <x/>
    </i>
  </colItems>
  <pageFields count="1">
    <pageField fld="4" item="0"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017A50-D581-4521-B48F-4DA81801B2E2}"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UND (ADMIN USE)" colHeaderCaption="BUDGET ACCOUNT Number (AUTOFILLS)">
  <location ref="A20:D24" firstHeaderRow="1" firstDataRow="2" firstDataCol="1" rowPageCount="1" colPageCount="1"/>
  <pivotFields count="7">
    <pivotField axis="axisCol" showAll="0">
      <items count="11">
        <item m="1" x="4"/>
        <item m="1" x="5"/>
        <item m="1" x="6"/>
        <item m="1" x="7"/>
        <item m="1" x="8"/>
        <item x="0"/>
        <item m="1" x="9"/>
        <item x="1"/>
        <item x="2"/>
        <item h="1" x="3"/>
        <item t="default"/>
      </items>
    </pivotField>
    <pivotField showAll="0"/>
    <pivotField showAll="0"/>
    <pivotField dataField="1" showAll="0"/>
    <pivotField axis="axisPage" showAll="0">
      <items count="7">
        <item x="0"/>
        <item m="1" x="4"/>
        <item x="1"/>
        <item x="2"/>
        <item m="1" x="5"/>
        <item x="3"/>
        <item t="default"/>
      </items>
    </pivotField>
    <pivotField showAll="0"/>
    <pivotField axis="axisRow" showAll="0">
      <items count="11">
        <item m="1" x="3"/>
        <item m="1" x="5"/>
        <item x="0"/>
        <item m="1" x="6"/>
        <item x="1"/>
        <item m="1" x="9"/>
        <item m="1" x="8"/>
        <item m="1" x="7"/>
        <item m="1" x="4"/>
        <item x="2"/>
        <item t="default"/>
      </items>
    </pivotField>
  </pivotFields>
  <rowFields count="1">
    <field x="6"/>
  </rowFields>
  <rowItems count="3">
    <i>
      <x v="2"/>
    </i>
    <i>
      <x v="4"/>
    </i>
    <i t="grand">
      <x/>
    </i>
  </rowItems>
  <colFields count="1">
    <field x="0"/>
  </colFields>
  <colItems count="3">
    <i>
      <x v="5"/>
    </i>
    <i>
      <x v="7"/>
    </i>
    <i t="grand">
      <x/>
    </i>
  </colItems>
  <pageFields count="1">
    <pageField fld="4" item="0"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2A7F09-4697-4574-84D4-1D970F37FEFA}" name="PivotTable7"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33:C137" firstHeaderRow="1" firstDataRow="2" firstDataCol="1" rowPageCount="1" colPageCount="1"/>
  <pivotFields count="7">
    <pivotField axis="axisCol" compact="0" showAll="0">
      <items count="11">
        <item m="1" x="9"/>
        <item m="1" x="2"/>
        <item m="1" x="3"/>
        <item m="1" x="4"/>
        <item x="0"/>
        <item m="1" x="5"/>
        <item m="1" x="6"/>
        <item m="1" x="7"/>
        <item m="1" x="8"/>
        <item x="1"/>
        <item t="default"/>
      </items>
    </pivotField>
    <pivotField compact="0" showAll="0"/>
    <pivotField compact="0" showAll="0"/>
    <pivotField dataField="1" compact="0" showAll="0"/>
    <pivotField axis="axisPage" compact="0" showAll="0">
      <items count="7">
        <item x="0"/>
        <item m="1" x="5"/>
        <item m="1" x="2"/>
        <item m="1" x="3"/>
        <item m="1" x="4"/>
        <item x="1"/>
        <item t="default"/>
      </items>
    </pivotField>
    <pivotField compact="0" showAll="0"/>
    <pivotField axis="axisRow" compact="0" showAll="0">
      <items count="11">
        <item m="1" x="5"/>
        <item x="1"/>
        <item m="1" x="6"/>
        <item m="1" x="9"/>
        <item m="1" x="8"/>
        <item m="1" x="7"/>
        <item m="1" x="3"/>
        <item h="1" x="2"/>
        <item m="1" x="4"/>
        <item x="0"/>
        <item t="default"/>
      </items>
    </pivotField>
  </pivotFields>
  <rowFields count="1">
    <field x="6"/>
  </rowFields>
  <rowItems count="3">
    <i>
      <x v="1"/>
    </i>
    <i>
      <x v="9"/>
    </i>
    <i t="grand">
      <x/>
    </i>
  </rowItems>
  <colFields count="1">
    <field x="0"/>
  </colFields>
  <colItems count="2">
    <i>
      <x v="4"/>
    </i>
    <i t="grand">
      <x/>
    </i>
  </colItems>
  <pageFields count="1">
    <pageField fld="4" item="0"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61F1B5-D352-4ECF-9A3D-C4A0C556EFC1}" name="PivotTable3"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01:E104" firstHeaderRow="1" firstDataRow="2" firstDataCol="1" rowPageCount="1" colPageCount="1"/>
  <pivotFields count="7">
    <pivotField axis="axisCol" compact="0" showAll="0">
      <items count="11">
        <item m="1" x="9"/>
        <item m="1" x="5"/>
        <item x="3"/>
        <item x="2"/>
        <item m="1" x="6"/>
        <item x="0"/>
        <item m="1" x="7"/>
        <item m="1" x="8"/>
        <item x="1"/>
        <item x="4"/>
        <item t="default"/>
      </items>
    </pivotField>
    <pivotField compact="0" showAll="0"/>
    <pivotField compact="0" showAll="0"/>
    <pivotField dataField="1" compact="0" showAll="0"/>
    <pivotField axis="axisPage" compact="0" showAll="0">
      <items count="7">
        <item x="0"/>
        <item m="1" x="5"/>
        <item m="1" x="3"/>
        <item x="1"/>
        <item m="1" x="4"/>
        <item x="2"/>
        <item t="default"/>
      </items>
    </pivotField>
    <pivotField compact="0" showAll="0"/>
    <pivotField axis="axisRow" compact="0" showAll="0">
      <items count="11">
        <item x="0"/>
        <item m="1" x="4"/>
        <item m="1" x="6"/>
        <item m="1" x="9"/>
        <item m="1" x="8"/>
        <item m="1" x="7"/>
        <item m="1" x="2"/>
        <item h="1" x="1"/>
        <item m="1" x="3"/>
        <item m="1" x="5"/>
        <item t="default"/>
      </items>
    </pivotField>
  </pivotFields>
  <rowFields count="1">
    <field x="6"/>
  </rowFields>
  <rowItems count="2">
    <i>
      <x/>
    </i>
    <i t="grand">
      <x/>
    </i>
  </rowItems>
  <colFields count="1">
    <field x="0"/>
  </colFields>
  <colItems count="4">
    <i>
      <x v="2"/>
    </i>
    <i>
      <x v="5"/>
    </i>
    <i>
      <x v="8"/>
    </i>
    <i t="grand">
      <x/>
    </i>
  </colItems>
  <pageFields count="1">
    <pageField fld="4" item="0" hier="-1"/>
  </pageFields>
  <dataFields count="1">
    <dataField name="Sum of TOTAL BUDGET REQUESTED"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B5088A-104B-4639-8F15-039F349297D6}" name="Table3" displayName="Table3" ref="A13:G100" totalsRowShown="0" headerRowDxfId="273" headerRowBorderDxfId="272" tableBorderDxfId="271" totalsRowBorderDxfId="270">
  <autoFilter ref="A13:G100" xr:uid="{66B5088A-104B-4639-8F15-039F349297D6}"/>
  <tableColumns count="7">
    <tableColumn id="1" xr3:uid="{72507D5F-0DB8-4100-A187-870DB7B7B37C}" name="BUDGET ACCOUNT NUMBER (AUTOFILLS)" dataDxfId="269">
      <calculatedColumnFormula>_xlfn.XLOOKUP(Table3[[#This Row],[BUDGET ACCOUNT NAME (DROPDOWN THAT IS USED TO FILL BUDGET ACCOUNT COLUMN)]],Table5[Budget Account Name],Table5[Budget Account Number],"Not Found",0)</calculatedColumnFormula>
    </tableColumn>
    <tableColumn id="2" xr3:uid="{8C80E138-465E-44A6-968E-28EDFB759F8F}" name="BUDGET ACCOUNT NAME (DROPDOWN THAT IS USED TO FILL BUDGET ACCOUNT COLUMN)" dataDxfId="268"/>
    <tableColumn id="3" xr3:uid="{B596E370-0979-4649-B228-1644C8C1F03C}" name="ITEM REQUESTED  -  Description, Line Item Pricing &amp; Justification" dataDxfId="267"/>
    <tableColumn id="4" xr3:uid="{CF2F8A6E-35FB-495C-968B-6442EA10E1FD}" name="TOTAL BUDGET REQUESTED" dataDxfId="266"/>
    <tableColumn id="5" xr3:uid="{6654C840-318C-407C-8CA3-CF587CD0B53A}" name="BUDGET APPROVED BY DIRECTOR? (ADMIN USE)" dataDxfId="265"/>
    <tableColumn id="6" xr3:uid="{4757AFB2-315C-4479-8F09-C932A8D30031}" name="NOTES  (ADMIN USE)" dataDxfId="264"/>
    <tableColumn id="7" xr3:uid="{1518E94D-A0E3-4EAA-BE8C-46B9DDA0981B}" name="FUND (ADMIN USE)" dataDxfId="26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9E49C5-70FF-4B84-BB72-BE2A07FBCD75}" name="Table58" displayName="Table58" ref="A2:B11" totalsRowShown="0" headerRowDxfId="194" headerRowBorderDxfId="193" tableBorderDxfId="192" totalsRowBorderDxfId="191">
  <autoFilter ref="A2:B11" xr:uid="{C4DC0EA9-A0E9-413C-B0C1-C8C5AE616C88}"/>
  <tableColumns count="2">
    <tableColumn id="1" xr3:uid="{81EA6F6C-A3B9-4DC5-BBDD-21A6ACE3C5D4}" name="Budget Account Number" dataDxfId="190"/>
    <tableColumn id="2" xr3:uid="{C08B8C47-03C2-4A07-8B7A-29D4FA78A70B}" name="Budget Account Name" dataDxfId="18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2BD021D-319C-4E42-8323-A9DFA89738BD}" name="Table_E" displayName="Table_E" ref="A13:G100" totalsRowShown="0" headerRowDxfId="188" headerRowBorderDxfId="187" tableBorderDxfId="186" totalsRowBorderDxfId="185">
  <autoFilter ref="A13:G100" xr:uid="{66B5088A-104B-4639-8F15-039F349297D6}"/>
  <tableColumns count="7">
    <tableColumn id="1" xr3:uid="{B9BA9C25-9C7F-4458-A4BB-1E7E14B0F7AB}" name="BUDGET ACCOUNT NUMBER (AUTOFILLS)" dataDxfId="184">
      <calculatedColumnFormula>_xlfn.XLOOKUP(Table_E[[#This Row],[BUDGET ACCOUNT NAME (DROPDOWN THAT IS USED TO FILL BUDGET ACCOUNT COLUMN)]],Table518[Budget Account Name],Table518[Budget Account Number],"Not Found",0)</calculatedColumnFormula>
    </tableColumn>
    <tableColumn id="2" xr3:uid="{4CE0056F-EF69-4CC2-9D92-FB703A020CCD}" name="BUDGET ACCOUNT NAME (DROPDOWN THAT IS USED TO FILL BUDGET ACCOUNT COLUMN)" dataDxfId="183"/>
    <tableColumn id="3" xr3:uid="{702D08B5-3276-4956-AC48-393B60222165}" name="ITEM REQUESTED  -  Description, Line Item Pricing &amp; Justification" dataDxfId="182"/>
    <tableColumn id="4" xr3:uid="{C9348F2C-D09A-44E1-B07C-E88C8B0828CD}" name="TOTAL BUDGET REQUESTED" dataDxfId="181">
      <calculatedColumnFormula>SUM(125*7)+100</calculatedColumnFormula>
    </tableColumn>
    <tableColumn id="5" xr3:uid="{7D7BC013-1E9F-4E3D-BFF6-6A817E417587}" name="BUDGET APPROVED BY DIRECTOR? (ADMIN USE)" dataDxfId="180"/>
    <tableColumn id="6" xr3:uid="{7A09B73F-AE48-481A-BF6D-15E25FBC2B93}" name="NOTES  (ADMIN USE)" dataDxfId="179"/>
    <tableColumn id="7" xr3:uid="{59E468DD-AA9A-43E6-9970-8D960844AADB}" name="FUND (ADMIN USE)" dataDxfId="17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6A7B46-03EB-4CF7-A33B-228EB1855406}" name="Table518" displayName="Table518" ref="A2:B11" totalsRowShown="0" headerRowDxfId="177" headerRowBorderDxfId="176" tableBorderDxfId="175" totalsRowBorderDxfId="174">
  <autoFilter ref="A2:B11" xr:uid="{C4DC0EA9-A0E9-413C-B0C1-C8C5AE616C88}"/>
  <tableColumns count="2">
    <tableColumn id="1" xr3:uid="{3D7BAEEB-32BC-431E-8982-FBA2BC4D6E91}" name="Budget Account Number" dataDxfId="173"/>
    <tableColumn id="2" xr3:uid="{60ADD150-3D6A-48E4-94B5-5402B9C79B5E}" name="Budget Account Name" dataDxfId="17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B395E4-14A3-436E-9163-1B77AAB8F825}" name="Table_HCA" displayName="Table_HCA" ref="A13:G100" totalsRowShown="0" headerRowDxfId="171" headerRowBorderDxfId="170" tableBorderDxfId="169" totalsRowBorderDxfId="168">
  <autoFilter ref="A13:G100" xr:uid="{66B5088A-104B-4639-8F15-039F349297D6}"/>
  <tableColumns count="7">
    <tableColumn id="1" xr3:uid="{A10C5699-ECD8-4023-A808-6D422F9F1EAF}" name="BUDGET ACCOUNT Number (AUTOFILLS)" dataDxfId="167">
      <calculatedColumnFormula>_xlfn.XLOOKUP(Table_HCA[[#This Row],[BUDGET ACCOUNT NAME (DROPDOWN THAT IS USED TO FILL BUDGET ACCOUNT COLUMN)]],Table5521[Budget Account Name],Table5521[Budget Account Number],"Not Found",0)</calculatedColumnFormula>
    </tableColumn>
    <tableColumn id="2" xr3:uid="{F5F3D480-48B4-433D-8D63-0B71CAB9B2B2}" name="BUDGET ACCOUNT NAME (DROPDOWN THAT IS USED TO FILL BUDGET ACCOUNT COLUMN)" dataDxfId="166"/>
    <tableColumn id="3" xr3:uid="{82BD6830-05B4-49EF-97F0-E57E8B267A54}" name="ITEM REQUESTED  -  Description, Line Item Pricing &amp; Justification" dataDxfId="165"/>
    <tableColumn id="4" xr3:uid="{DE1E7E7C-5823-462C-A5C7-9B78BAB712AE}" name="TOTAL BUDGET REQUESTED" dataDxfId="164"/>
    <tableColumn id="5" xr3:uid="{E9FBE4CE-E5EB-4EA1-8BF2-B365AEBDFDA9}" name="BUDGET APPROVED BY DIRECTOR? (ADMIN USE)" dataDxfId="163"/>
    <tableColumn id="6" xr3:uid="{3876531D-00C2-40CD-AEC0-FAAFEC24E3CF}" name="NOTES  (ADMIN USE)" dataDxfId="162"/>
    <tableColumn id="7" xr3:uid="{4A0C60B3-4152-4FC3-9CFB-2A35C7B29B99}" name="FUND (ADMIN USE)" dataDxfId="16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1D15E3B-7BE6-4A76-AF0D-EF9335A9A077}" name="Table5521" displayName="Table5521" ref="A2:B11" totalsRowShown="0" headerRowDxfId="160" headerRowBorderDxfId="159" tableBorderDxfId="158" totalsRowBorderDxfId="157">
  <autoFilter ref="A2:B11" xr:uid="{C4DC0EA9-A0E9-413C-B0C1-C8C5AE616C88}"/>
  <tableColumns count="2">
    <tableColumn id="1" xr3:uid="{3C4BD307-7C88-4FC5-9990-1B78D9170DAC}" name="Budget Account Number" dataDxfId="156"/>
    <tableColumn id="2" xr3:uid="{4A3ACDA6-C697-4DEA-88E0-43EDBC126CEF}" name="Budget Account Name" dataDxfId="15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B8E439-167E-43F9-AE0D-4B6330962B71}" name="Table_PT" displayName="Table_PT" ref="A13:G100" totalsRowShown="0" headerRowDxfId="154" headerRowBorderDxfId="153" tableBorderDxfId="152" totalsRowBorderDxfId="151">
  <autoFilter ref="A13:G100" xr:uid="{66B5088A-104B-4639-8F15-039F349297D6}"/>
  <tableColumns count="7">
    <tableColumn id="1" xr3:uid="{2261724A-BDAE-4FBC-8FB6-ED19D238CBA3}" name="BUDGET ACCOUNT NUMBER (AUTOFILLS)" dataDxfId="150">
      <calculatedColumnFormula>_xlfn.XLOOKUP(Table_PT[[#This Row],[BUDGET ACCOUNT NAME (DROPDOWN THAT IS USED TO FILL BUDGET ACCOUNT COLUMN)]],Table5816[Budget Account Name],Table5816[Budget Account Number],"Not Found",0)</calculatedColumnFormula>
    </tableColumn>
    <tableColumn id="2" xr3:uid="{6514323E-AE57-4BB7-B2EE-DAD48FB8F271}" name="BUDGET ACCOUNT NAME (DROPDOWN THAT IS USED TO FILL BUDGET ACCOUNT COLUMN)" dataDxfId="149"/>
    <tableColumn id="3" xr3:uid="{D548E6AA-D18F-4428-9439-A1268F0124F0}" name="ITEM REQUESTED  -  Description, Line Item Pricing &amp; Justification" dataDxfId="148"/>
    <tableColumn id="4" xr3:uid="{71BF5E95-1285-4E23-96F7-B78B18B00128}" name="TOTAL BUDGET REQUESTED" dataDxfId="147"/>
    <tableColumn id="5" xr3:uid="{FCA1AF76-D540-4793-B9FC-4243FA8C052E}" name="BUDGET APPROVED BY DIRECTOR? (ADMIN USE)" dataDxfId="146"/>
    <tableColumn id="6" xr3:uid="{0B65E9C6-CEE4-4C17-BC43-5E8C1C29EC37}" name="NOTES  (ADMIN USE)" dataDxfId="145"/>
    <tableColumn id="7" xr3:uid="{D075AD39-C60E-43D4-9097-96DA1002826A}" name="FUND (ADMIN USE)" dataDxfId="14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5D30A00-FEA5-4399-8A48-E0B114A672A4}" name="Table5816" displayName="Table5816" ref="A2:B11" totalsRowShown="0" headerRowDxfId="143" headerRowBorderDxfId="142" tableBorderDxfId="141" totalsRowBorderDxfId="140">
  <autoFilter ref="A2:B11" xr:uid="{C4DC0EA9-A0E9-413C-B0C1-C8C5AE616C88}"/>
  <tableColumns count="2">
    <tableColumn id="1" xr3:uid="{08D7519B-FCC8-4FC2-868D-1A58E6DB4142}" name="Budget Account Number" dataDxfId="139"/>
    <tableColumn id="2" xr3:uid="{BC1E4EC2-CA59-4B39-A517-6C568991AD8D}" name="Budget Account Name" dataDxfId="13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9EF152-61CC-4A1B-A25F-EF7FCBBC1450}" name="Table_REU" displayName="Table_REU" ref="A13:G100" totalsRowShown="0" headerRowDxfId="137" headerRowBorderDxfId="136" tableBorderDxfId="135" totalsRowBorderDxfId="134">
  <autoFilter ref="A13:G100" xr:uid="{66B5088A-104B-4639-8F15-039F349297D6}"/>
  <tableColumns count="7">
    <tableColumn id="1" xr3:uid="{ADA8FE3C-8003-4E6E-AAC5-81299F104ABD}" name="BUDGET ACCOUNT NUMBER (AUTOFILLS)" dataDxfId="133">
      <calculatedColumnFormula>_xlfn.XLOOKUP(Table_REU[[#This Row],[BUDGET ACCOUNT NAME (DROPDOWN THAT IS USED TO FILL BUDGET ACCOUNT COLUMN)]],Table5514[Budget Account Name],Table5514[Budget Account Number],"Not Found",0)</calculatedColumnFormula>
    </tableColumn>
    <tableColumn id="2" xr3:uid="{3051695B-54F2-46A5-BE6A-3D4093BFFF50}" name="BUDGET ACCOUNT NAME (DROPDOWN THAT IS USED TO FILL BUDGET ACCOUNT COLUMN)" dataDxfId="132"/>
    <tableColumn id="3" xr3:uid="{3AE2D923-1CFA-4D7B-A4B4-4807E29C4EFF}" name="ITEM REQUESTED  -  Description, Line Item Pricing &amp; Justification" dataDxfId="131"/>
    <tableColumn id="4" xr3:uid="{3AC0129F-6F49-4D92-A2A4-DB24D374B43B}" name="TOTAL BUDGET REQUESTED" dataDxfId="130"/>
    <tableColumn id="5" xr3:uid="{F2FD7F3D-3493-4557-BC67-03BD7A6E289A}" name="BUDGET APPROVED BY DIRECTOR? (ADMIN USE)" dataDxfId="129"/>
    <tableColumn id="6" xr3:uid="{BCCE1F58-FDA8-430F-A306-F22E6680550A}" name="NOTES  (ADMIN USE)" dataDxfId="128"/>
    <tableColumn id="7" xr3:uid="{620271E2-A21A-4F1C-9435-3DB780F0DEE7}" name="FUND (ADMIN USE)" dataDxfId="12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0E2CFC-F7C1-47B8-82C7-4958691CEEC6}" name="Table5514" displayName="Table5514" ref="A2:B11" totalsRowShown="0" headerRowDxfId="126" headerRowBorderDxfId="125" tableBorderDxfId="124" totalsRowBorderDxfId="123">
  <autoFilter ref="A2:B11" xr:uid="{C4DC0EA9-A0E9-413C-B0C1-C8C5AE616C88}"/>
  <tableColumns count="2">
    <tableColumn id="1" xr3:uid="{48E475FA-C500-49F7-AD1E-714EDB67FB4E}" name="Budget Account Number" dataDxfId="122"/>
    <tableColumn id="2" xr3:uid="{99B71487-F913-47D3-B078-5D1929DCE6FB}" name="Budget Account Name" dataDxfId="12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4053C3-5810-461F-ADD2-5A8A25A34307}" name="Table_SU" displayName="Table_SU" ref="A13:G100" totalsRowShown="0" headerRowDxfId="120" headerRowBorderDxfId="119" tableBorderDxfId="118" totalsRowBorderDxfId="117">
  <autoFilter ref="A13:G100" xr:uid="{66B5088A-104B-4639-8F15-039F349297D6}"/>
  <tableColumns count="7">
    <tableColumn id="1" xr3:uid="{E3F52C73-16CF-43E5-8B36-4F0FE6902806}" name="BUDGET ACCOUNT NUMBER (AUTOFILLS)" dataDxfId="116">
      <calculatedColumnFormula>_xlfn.XLOOKUP(Table_SU[[#This Row],[BUDGET ACCOUNT NAME (DROPDOWN THAT IS USED TO FILL BUDGET ACCOUNT COLUMN)]],Table510[Budget Account Name],Table510[Budget Account Number],"Not Found",0)</calculatedColumnFormula>
    </tableColumn>
    <tableColumn id="2" xr3:uid="{9FEF6C17-9543-4C17-983A-F9368B7F422A}" name="BUDGET ACCOUNT NAME (DROPDOWN THAT IS USED TO FILL BUDGET ACCOUNT COLUMN)" dataDxfId="115"/>
    <tableColumn id="3" xr3:uid="{8EDA8657-BE94-48D9-8A01-6D5DA88F895E}" name="ITEM REQUESTED  -  Description, Line Item Pricing &amp; Justification" dataDxfId="114"/>
    <tableColumn id="4" xr3:uid="{D08782CC-279B-465C-8872-6270E4095A74}" name="TOTAL BUDGET REQUESTED" dataDxfId="113"/>
    <tableColumn id="5" xr3:uid="{0AD7803F-947C-4BE1-AC5C-4D4411509A1D}" name="BUDGET APPROVED BY DIRECTOR? (ADMIN USE)" dataDxfId="112"/>
    <tableColumn id="6" xr3:uid="{2624E169-80FB-4F9C-9FCE-90FF49E02AA4}" name="NOTES  (ADMIN USE)" dataDxfId="111"/>
    <tableColumn id="7" xr3:uid="{ED8ABB19-15DA-4D99-BC65-4F5D919D6325}" name="FUND (ADMIN USE)" dataDxfId="1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DC0EA9-A0E9-413C-B0C1-C8C5AE616C88}" name="Table5" displayName="Table5" ref="A2:B11" totalsRowShown="0" headerRowDxfId="262" headerRowBorderDxfId="261" tableBorderDxfId="260" totalsRowBorderDxfId="259">
  <autoFilter ref="A2:B11" xr:uid="{C4DC0EA9-A0E9-413C-B0C1-C8C5AE616C88}"/>
  <tableColumns count="2">
    <tableColumn id="1" xr3:uid="{E989E1F5-4FB7-4B04-9B5D-AA23937932E1}" name="Budget Account Number" dataDxfId="258"/>
    <tableColumn id="2" xr3:uid="{E98B891C-8D77-451C-B718-74E856E6C306}" name="Budget Account Name" dataDxfId="25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B286A8-D5F5-4DBC-97F2-4E2644CDFF60}" name="Table510" displayName="Table510" ref="A2:B11" totalsRowShown="0" headerRowDxfId="109" headerRowBorderDxfId="108" tableBorderDxfId="107" totalsRowBorderDxfId="106">
  <autoFilter ref="A2:B11" xr:uid="{C4DC0EA9-A0E9-413C-B0C1-C8C5AE616C88}"/>
  <tableColumns count="2">
    <tableColumn id="1" xr3:uid="{AE017C8F-FB08-458B-B65E-23B430DE70A7}" name="Budget Account Number" dataDxfId="105"/>
    <tableColumn id="2" xr3:uid="{B3AF697A-535C-44C0-97FF-9288AFE98D73}" name="Budget Account Name" dataDxfId="10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1C47CCB-18F3-4061-AE8A-C796C4DA20CE}" name="Table_OFF" displayName="Table_OFF" ref="A11:G98" totalsRowShown="0" headerRowDxfId="103" headerRowBorderDxfId="102" tableBorderDxfId="101" totalsRowBorderDxfId="100">
  <autoFilter ref="A11:G98" xr:uid="{66B5088A-104B-4639-8F15-039F349297D6}"/>
  <tableColumns count="7">
    <tableColumn id="1" xr3:uid="{4989020F-F6E9-4AEF-800C-1FE86200DBCE}" name="BUDGET ACCOUNT NUMBER (AUTOFILLS)" dataDxfId="99">
      <calculatedColumnFormula>_xlfn.XLOOKUP(Table_OFF[[#This Row],[BUDGET ACCOUNT NAME (DROPDOWN THAT IS USED TO FILL BUDGET ACCOUNT COLUMN)]],Table51026[Budget Account Name],Table51026[Budget Account Number],"Not Found",0)</calculatedColumnFormula>
    </tableColumn>
    <tableColumn id="2" xr3:uid="{69CC707E-DCB2-4809-A98D-FE80C869A5FE}" name="BUDGET ACCOUNT NAME (DROPDOWN THAT IS USED TO FILL BUDGET ACCOUNT COLUMN)" dataDxfId="98"/>
    <tableColumn id="3" xr3:uid="{75117C3B-E8A7-4071-A569-ABBB2A855CCE}" name="ITEM REQUESTED  -  Description, Line Item Pricing &amp; Justification" dataDxfId="97"/>
    <tableColumn id="4" xr3:uid="{CB433871-27CD-402E-AFF9-84B4A77A8CFF}" name="TOTAL BUDGET REQUESTED" dataDxfId="96"/>
    <tableColumn id="5" xr3:uid="{B537FA82-F5A8-4F0A-AE16-EDD56CDB01A3}" name="BUDGET APPROVED BY DIRECTOR? (ADMIN USE)" dataDxfId="95"/>
    <tableColumn id="6" xr3:uid="{7AC5C6D7-2B16-493A-AD0F-C2230B920B4A}" name="NOTES  (ADMIN USE)" dataDxfId="94"/>
    <tableColumn id="7" xr3:uid="{C58E8A17-1541-407F-8296-7AF692DE212B}" name="FUND (ADMIN USE)" dataDxfId="9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2BC475C-7E3D-4326-8576-6B228B2EC9B2}" name="Table51026" displayName="Table51026" ref="A2:B9" totalsRowShown="0" headerRowDxfId="92" headerRowBorderDxfId="91" tableBorderDxfId="90" totalsRowBorderDxfId="89">
  <autoFilter ref="A2:B9" xr:uid="{C4DC0EA9-A0E9-413C-B0C1-C8C5AE616C88}"/>
  <tableColumns count="2">
    <tableColumn id="1" xr3:uid="{0BFA973B-170A-4D19-9E25-48170EAD0199}" name="Budget Account Number" dataDxfId="88"/>
    <tableColumn id="2" xr3:uid="{BC2375D8-8BFC-4B58-94FE-A31CA71D02BC}" name="Budget Account Name" dataDxfId="8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6980C3-4873-4803-BF97-0552C64CB37A}" name="Table_Totals" displayName="Table_Totals" ref="A2:K14" totalsRowShown="0" headerRowDxfId="86" headerRowBorderDxfId="85" tableBorderDxfId="84" totalsRowBorderDxfId="83">
  <autoFilter ref="A2:K14" xr:uid="{66B5088A-104B-4639-8F15-039F349297D6}"/>
  <tableColumns count="11">
    <tableColumn id="2" xr3:uid="{10A14E81-5B7E-4BF2-8CB2-E001544C7B4E}" name="FUND" dataDxfId="82" totalsRowDxfId="81"/>
    <tableColumn id="1" xr3:uid="{C0F624F2-26A0-47FA-AC68-C03F950F5DCC}" name="Access Services Unit - Shimberg" dataDxfId="80" totalsRowDxfId="79"/>
    <tableColumn id="11" xr3:uid="{77DD7178-2D8A-44C5-945E-095F45F0CAA6}" name="Access Services Unit - FBHKE" dataDxfId="78" totalsRowDxfId="77" dataCellStyle="Currency" totalsRowCellStyle="Currency"/>
    <tableColumn id="10" xr3:uid="{7F61F0A9-3DB1-4F0A-B5C4-DFE9E07665FC}" name="Administrative Unit" dataDxfId="76" totalsRowDxfId="75"/>
    <tableColumn id="9" xr3:uid="{BEB7FEB6-959A-4CF6-A791-FBB7C048F849}" name="Collection Management Unit" dataDxfId="74" totalsRowDxfId="73"/>
    <tableColumn id="8" xr3:uid="{7CFA41D0-CE69-4EE0-A6C3-1EA7DCAA3FBA}" name="Events Team" dataDxfId="72" totalsRowDxfId="71"/>
    <tableColumn id="3" xr3:uid="{F4FCCD2A-2181-41FD-A8AC-EFCCD8027C35}" name="HCA" dataDxfId="70" totalsRowDxfId="69" dataCellStyle="Currency" totalsRowCellStyle="Currency"/>
    <tableColumn id="7" xr3:uid="{323320B0-991D-4BDF-B4EA-82DEE4F54605}" name="Passport Team" dataDxfId="68" totalsRowDxfId="67"/>
    <tableColumn id="6" xr3:uid="{87C83D9F-67D6-4543-8F91-A50A0011F13A}" name="Research and Education Unit" dataDxfId="66" totalsRowDxfId="65"/>
    <tableColumn id="5" xr3:uid="{1CDFC2F4-D7B2-47A7-84E9-9F27A39DB59E}" name="Systems Unit" dataDxfId="64" totalsRowDxfId="63"/>
    <tableColumn id="4" xr3:uid="{B41801C4-797B-45BF-BEFB-266D92807EDA}" name="TOTAL BUDGET REQUESTED" dataDxfId="62" totalsRowDxfId="6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F41AE94-908C-4EEB-8824-3EF13C289284}" name="Table_Totals25" displayName="Table_Totals25" ref="A18:K30" totalsRowShown="0" headerRowDxfId="60" headerRowBorderDxfId="59" tableBorderDxfId="58" totalsRowBorderDxfId="57">
  <autoFilter ref="A18:K30" xr:uid="{FF41AE94-908C-4EEB-8824-3EF13C289284}"/>
  <tableColumns count="11">
    <tableColumn id="2" xr3:uid="{3A89C27E-96D2-42BB-85FA-112A99118B6B}" name="FUND/Budget Account" dataDxfId="56" totalsRowDxfId="55"/>
    <tableColumn id="1" xr3:uid="{73BE0843-7FF0-4372-BF6E-A79753B6A279}" name="88100" dataDxfId="54" totalsRowDxfId="53"/>
    <tableColumn id="11" xr3:uid="{A8BB2DFD-6BBA-45DB-A0B4-FD5309895FD3}" name="88200" dataDxfId="52" totalsRowDxfId="51" dataCellStyle="Currency" totalsRowCellStyle="Currency"/>
    <tableColumn id="10" xr3:uid="{DBF6EF19-00DD-4A2D-8DD4-AD0FCA59A6F8}" name="88250" dataDxfId="50" totalsRowDxfId="49"/>
    <tableColumn id="9" xr3:uid="{29B345BC-12A9-4B39-A54B-159C23A04ADF}" name="88350" dataDxfId="48" totalsRowDxfId="47"/>
    <tableColumn id="8" xr3:uid="{D6A43978-0010-40FE-9214-7A825DF74CBF}" name="88400" dataDxfId="46" totalsRowDxfId="45"/>
    <tableColumn id="3" xr3:uid="{D8F7BB27-C36B-48FB-A0D1-542F0F06428E}" name="88420" dataDxfId="44" totalsRowDxfId="43" dataCellStyle="Currency" totalsRowCellStyle="Currency"/>
    <tableColumn id="7" xr3:uid="{55FEDF0F-1AD5-479D-BD21-0B4E465CEBE4}" name="88500" dataDxfId="42" totalsRowDxfId="41"/>
    <tableColumn id="6" xr3:uid="{ACDD2E2C-B50A-4F94-B26E-20B376A050CC}" name="88510" dataDxfId="40" totalsRowDxfId="39"/>
    <tableColumn id="5" xr3:uid="{9150CAB8-9351-44EA-BAE0-7EA0EF384206}" name="88800" dataDxfId="38" totalsRowDxfId="37"/>
    <tableColumn id="4" xr3:uid="{52528DEB-9319-432F-9C72-165C45C2102F}" name="TOTAL BUDGET REQUESTED" dataDxfId="36" totalsRowDxfId="35"/>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246ED94-1162-4322-BFED-01CF5447A840}" name="Table_Totals2527" displayName="Table_Totals2527" ref="A33:I45" totalsRowShown="0" headerRowDxfId="34" headerRowBorderDxfId="33" tableBorderDxfId="32" totalsRowBorderDxfId="31">
  <autoFilter ref="A33:I45" xr:uid="{9246ED94-1162-4322-BFED-01CF5447A840}"/>
  <tableColumns count="9">
    <tableColumn id="2" xr3:uid="{F49094AC-48EC-443B-AFE8-7BEDA93C12D3}" name="FUND/Budget Account" dataDxfId="30" totalsRowDxfId="29"/>
    <tableColumn id="1" xr3:uid="{3323D06E-8B72-4501-A51C-29DE8080C0C2}" name="88021" dataDxfId="28" totalsRowDxfId="27"/>
    <tableColumn id="11" xr3:uid="{FFD13EFB-C758-417A-BDD5-02B3B4279FD1}" name="88022" dataDxfId="26" totalsRowDxfId="25" dataCellStyle="Currency" totalsRowCellStyle="Currency"/>
    <tableColumn id="10" xr3:uid="{8DBE460F-6FEA-4B5B-87F7-2B29677E90E9}" name="88023" dataDxfId="24" totalsRowDxfId="23"/>
    <tableColumn id="9" xr3:uid="{8C914443-3F34-48A6-945D-EB7AC692500F}" name="88027" dataDxfId="22" totalsRowDxfId="21"/>
    <tableColumn id="8" xr3:uid="{D2AC0771-05CB-4B34-90BF-EFF726517180}" name="88028" dataDxfId="20" totalsRowDxfId="19"/>
    <tableColumn id="3" xr3:uid="{CD2C3043-B3D9-4634-B97B-2324757BCB32}" name="88032" dataDxfId="18" totalsRowDxfId="17" dataCellStyle="Currency" totalsRowCellStyle="Currency"/>
    <tableColumn id="7" xr3:uid="{9EB603C5-C1A8-40C0-8E38-45E60894A752}" name="88100" dataDxfId="16" totalsRowDxfId="15"/>
    <tableColumn id="4" xr3:uid="{988FA639-1756-419D-A38C-99DBF100707A}" name="TOTAL BUDGET REQUESTED" dataDxfId="14" totalsRowDxfId="1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9756860-14F5-4009-8C93-19A6800D951F}" name="Table18" displayName="Table18" ref="A1:F50" totalsRowShown="0" headerRowDxfId="12" dataDxfId="10" headerRowBorderDxfId="11" tableBorderDxfId="9" totalsRowBorderDxfId="8">
  <autoFilter ref="A1:F50" xr:uid="{79756860-14F5-4009-8C93-19A6800D951F}"/>
  <tableColumns count="6">
    <tableColumn id="1" xr3:uid="{69932A65-A7ED-42F6-BC94-ACB462E72544}" name="Sheet Name That Question/Issue/Suggestion Pertains To" dataDxfId="7"/>
    <tableColumn id="2" xr3:uid="{92E135BD-3FBA-4611-8E97-E71DEC541B76}" name="Question/Issue/Suggestion Category" dataDxfId="6"/>
    <tableColumn id="3" xr3:uid="{0F9AAC5C-0C4D-44EF-87C8-81CE7C7A55B1}" name="Specific Location That Question/Issue Pertains To" dataDxfId="5"/>
    <tableColumn id="6" xr3:uid="{4807E9A1-49A0-4792-AEE7-4723E81D81E6}" name="Person Posting Question/Issue/Suggestion" dataDxfId="4"/>
    <tableColumn id="4" xr3:uid="{B4F44D33-1C9A-4547-9256-795EA67DB946}" name="Question/Issue/Suggestion" dataDxfId="3"/>
    <tableColumn id="5" xr3:uid="{55D82559-C823-49E2-ABBC-025FCADCC7A5}" name="Answer/Acknowledgement (Done by Bryan/Admin)"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2E005E-3AF9-42D3-8DF5-08044C0D772E}" name="Table_ASU" displayName="Table_ASU" ref="A13:G100" totalsRowShown="0" headerRowDxfId="256" headerRowBorderDxfId="255" tableBorderDxfId="254" totalsRowBorderDxfId="253">
  <autoFilter ref="A13:G100" xr:uid="{66B5088A-104B-4639-8F15-039F349297D6}"/>
  <tableColumns count="7">
    <tableColumn id="1" xr3:uid="{827E3298-5615-420D-AAB9-7C1C3453A2A4}" name="BUDGET ACCOUNT Number (AUTOFILLS)" dataDxfId="252">
      <calculatedColumnFormula>_xlfn.XLOOKUP(Table_ASU[[#This Row],[BUDGET ACCOUNT NAME (DROPDOWN THAT IS USED TO FILL BUDGET ACCOUNT COLUMN)]],Table55[Budget Account Name],Table55[Budget Account Number],"Not Found",0)</calculatedColumnFormula>
    </tableColumn>
    <tableColumn id="2" xr3:uid="{A51BC3BE-68C1-4BD8-93E2-9E67FF36F3F5}" name="BUDGET ACCOUNT NAME (DROPDOWN THAT IS USED TO FILL BUDGET ACCOUNT COLUMN)" dataDxfId="251"/>
    <tableColumn id="3" xr3:uid="{B683852B-7731-4189-BEE8-7D8987231ED8}" name="ITEM REQUESTED  -  Description, Line Item Pricing &amp; Justification" dataDxfId="250"/>
    <tableColumn id="4" xr3:uid="{584E8778-851F-4BAB-A643-88502EAB8DFF}" name="TOTAL BUDGET REQUESTED" dataDxfId="249"/>
    <tableColumn id="5" xr3:uid="{13EBC058-B2AE-4805-BE11-820EF1BA3533}" name="BUDGET APPROVED BY DIRECTOR? (ADMIN USE)" dataDxfId="248"/>
    <tableColumn id="6" xr3:uid="{9584AC25-572A-4E97-88A1-0229E62E5030}" name="NOTES  (ADMIN USE)" dataDxfId="247"/>
    <tableColumn id="7" xr3:uid="{DCB02EBE-1BC6-4009-91C4-0171F3F63E8F}" name="FUND (ADMIN USE)" dataDxfId="24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4542D4-99D6-4C2E-8315-065C0E509029}" name="Table55" displayName="Table55" ref="A2:B11" totalsRowShown="0" headerRowDxfId="245" headerRowBorderDxfId="244" tableBorderDxfId="243" totalsRowBorderDxfId="242">
  <autoFilter ref="A2:B11" xr:uid="{C4DC0EA9-A0E9-413C-B0C1-C8C5AE616C88}"/>
  <tableColumns count="2">
    <tableColumn id="1" xr3:uid="{D2D6677F-8ECE-4829-9A7B-E44C0DBEF12D}" name="Budget Account Number" dataDxfId="241"/>
    <tableColumn id="2" xr3:uid="{6CE19579-CA4D-4CAA-8D6F-99289B41DA38}" name="Budget Account Name" dataDxfId="24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EB0A3F1-D9B9-466C-89BD-17568DBC6F4F}" name="Table_ASU2" displayName="Table_ASU2" ref="A13:G100" totalsRowShown="0" headerRowDxfId="239" headerRowBorderDxfId="238" tableBorderDxfId="237" totalsRowBorderDxfId="236">
  <autoFilter ref="A13:G100" xr:uid="{66B5088A-104B-4639-8F15-039F349297D6}"/>
  <tableColumns count="7">
    <tableColumn id="1" xr3:uid="{2EB15BFE-1D3A-4F11-9EFC-6A8F9CD404C5}" name="BUDGET ACCOUNT NUMBER (AUTOFILLS)" dataDxfId="235">
      <calculatedColumnFormula>_xlfn.XLOOKUP(Table_ASU2[[#This Row],[BUDGET ACCOUNT NAME (DROPDOWN THAT IS USED TO FILL BUDGET ACCOUNT COLUMN)]],Table5823[Budget Account Name],Table5823[Budget Account Number],"Not Found",0)</calculatedColumnFormula>
    </tableColumn>
    <tableColumn id="2" xr3:uid="{84BB201C-9E72-493C-94B9-E31AD8177943}" name="BUDGET ACCOUNT NAME (DROPDOWN THAT IS USED TO FILL BUDGET ACCOUNT COLUMN)" dataDxfId="234"/>
    <tableColumn id="3" xr3:uid="{B43ED604-E15E-4B9F-A675-5986E1D9060D}" name="ITEM REQUESTED  -  Description, Line Item Pricing &amp; Justification" dataDxfId="233"/>
    <tableColumn id="4" xr3:uid="{6745A3B6-5BCD-43EA-BE2C-A86262D595B2}" name="TOTAL BUDGET REQUESTED" dataDxfId="232"/>
    <tableColumn id="5" xr3:uid="{0796D30E-26A5-418A-B4B7-08E4974C667E}" name="BUDGET APPROVED BY DIRECTOR? (ADMIN USE)" dataDxfId="231"/>
    <tableColumn id="6" xr3:uid="{3A808648-FA5A-4EF5-A28F-7F63C1A5951B}" name="NOTES  (ADMIN USE)" dataDxfId="230"/>
    <tableColumn id="7" xr3:uid="{796AB3FA-0DB3-4AB4-A7E3-124F7B2BAE48}" name="FUND (ADMIN USE)"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375439C-B0DF-4B55-B2EF-C857F947BCE2}" name="Table5823" displayName="Table5823" ref="A2:B11" totalsRowShown="0" headerRowDxfId="228" headerRowBorderDxfId="227" tableBorderDxfId="226" totalsRowBorderDxfId="225">
  <autoFilter ref="A2:B11" xr:uid="{C4DC0EA9-A0E9-413C-B0C1-C8C5AE616C88}"/>
  <tableColumns count="2">
    <tableColumn id="1" xr3:uid="{0509446F-FD5A-4B86-96CF-63D3C39F0A8D}" name="Budget Account Number" dataDxfId="224"/>
    <tableColumn id="2" xr3:uid="{7AD30845-EEE9-4D82-9DAD-8639BD55375D}" name="Budget Account Name" dataDxfId="2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5ED9E9C-BB5B-483D-B1C5-33B8C4EC342A}" name="Table_AU" displayName="Table_AU" ref="A13:G100" totalsRowShown="0" headerRowDxfId="222" headerRowBorderDxfId="221" tableBorderDxfId="220" totalsRowBorderDxfId="219">
  <autoFilter ref="A13:G100" xr:uid="{66B5088A-104B-4639-8F15-039F349297D6}"/>
  <tableColumns count="7">
    <tableColumn id="1" xr3:uid="{E3073827-EB83-4A67-9828-8066B5014AF9}" name="BUDGET ACCOUNT NUMBER (AUTOFILLS)" dataDxfId="218">
      <calculatedColumnFormula>_xlfn.XLOOKUP(Table_AU[[#This Row],[BUDGET ACCOUNT NAME (DROPDOWN THAT IS USED TO FILL BUDGET ACCOUNT COLUMN)]],Table512[Budget Account Name],Table512[Budget Account Number],"Not Found",0)</calculatedColumnFormula>
    </tableColumn>
    <tableColumn id="2" xr3:uid="{4F246554-068F-4292-8228-A20C3FDEB12D}" name="BUDGET ACCOUNT NAME (DROPDOWN THAT IS USED TO FILL BUDGET ACCOUNT COLUMN)" dataDxfId="217"/>
    <tableColumn id="3" xr3:uid="{FB8F3DA7-33B4-4465-A27D-58466079C6D8}" name="ITEM REQUESTED  -  Description, Line Item Pricing &amp; Justification" dataDxfId="216"/>
    <tableColumn id="4" xr3:uid="{7AC4575D-F834-43C7-B0E6-752918207A64}" name="TOTAL BUDGET REQUESTED" dataDxfId="215"/>
    <tableColumn id="5" xr3:uid="{5B739C81-B6C1-4448-AB70-1ABADD555D10}" name="BUDGET APPROVED BY DIRECTOR? (ADMIN USE)" dataDxfId="214"/>
    <tableColumn id="6" xr3:uid="{E48272E1-BC0D-4E25-9C46-D74E0CCD215B}" name="NOTES  (ADMIN USE)" dataDxfId="213"/>
    <tableColumn id="7" xr3:uid="{6E4B1176-7B44-4195-A458-7B1323A34E57}" name="FUND (ADMIN USE)" dataDxfId="2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1715CE3-3D50-4B58-8F94-0F27E3FF2529}" name="Table512" displayName="Table512" ref="A2:B11" totalsRowShown="0" headerRowDxfId="211" headerRowBorderDxfId="210" tableBorderDxfId="209" totalsRowBorderDxfId="208">
  <autoFilter ref="A2:B11" xr:uid="{C4DC0EA9-A0E9-413C-B0C1-C8C5AE616C88}"/>
  <tableColumns count="2">
    <tableColumn id="1" xr3:uid="{1977C8B4-CABA-474D-9784-36E0F95DA02C}" name="Budget Account Number" dataDxfId="207"/>
    <tableColumn id="2" xr3:uid="{34066C2C-29B8-4FDD-85AF-75B9799AE2A1}" name="Budget Account Name" dataDxfId="20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4C05B5-794F-44E3-B0B2-ED98A1B25B2A}" name="Table_CMU" displayName="Table_CMU" ref="A13:G104" totalsRowShown="0" headerRowDxfId="205" headerRowBorderDxfId="204" tableBorderDxfId="203" totalsRowBorderDxfId="202">
  <autoFilter ref="A13:G104" xr:uid="{66B5088A-104B-4639-8F15-039F349297D6}"/>
  <tableColumns count="7">
    <tableColumn id="1" xr3:uid="{1BF17028-1A25-4496-9FA3-481DFF239B6C}" name="BUDGET ACCOUNT NUMBER (AUTOFILLS)" dataDxfId="201">
      <calculatedColumnFormula>_xlfn.XLOOKUP(Table_CMU[[#This Row],[BUDGET ACCOUNT NAME (DROPDOWN THAT IS USED TO FILL BUDGET ACCOUNT COLUMN)]],Table58[Budget Account Name],Table58[Budget Account Number],"Not Found",0)</calculatedColumnFormula>
    </tableColumn>
    <tableColumn id="2" xr3:uid="{A24EB826-8283-4331-AF68-AF54E46964B8}" name="BUDGET ACCOUNT NAME (DROPDOWN THAT IS USED TO FILL BUDGET ACCOUNT COLUMN)" dataDxfId="200"/>
    <tableColumn id="3" xr3:uid="{0E4C2E76-4517-45DF-98EF-DA3D82036FB4}" name="ITEM REQUESTED  -  Description, Line Item Pricing &amp; Justification" dataDxfId="199"/>
    <tableColumn id="4" xr3:uid="{E140C5DE-CC41-411D-A1B9-429AB03756FA}" name="TOTAL BUDGET REQUESTED" dataDxfId="198"/>
    <tableColumn id="5" xr3:uid="{124AF7FF-6453-433F-8505-CE1AF6EA666C}" name="BUDGET APPROVED BY DIRECTOR? (ADMIN USE)" dataDxfId="197"/>
    <tableColumn id="6" xr3:uid="{E083B936-D7E2-4D4F-A799-F2DB9962F2DD}" name="NOTES  (ADMIN USE)" dataDxfId="196"/>
    <tableColumn id="7" xr3:uid="{772C8EF4-376A-4828-92BB-02FFC27682F6}" name="FUND (ADMIN USE)" dataDxfId="19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table" Target="../tables/table23.xml"/></Relationships>
</file>

<file path=xl/worksheets/_rels/sheet1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CAFF-766F-4FAB-B96E-788A989E194F}">
  <dimension ref="A1"/>
  <sheetViews>
    <sheetView workbookViewId="0">
      <selection activeCell="AA50" sqref="AA50"/>
    </sheetView>
  </sheetViews>
  <sheetFormatPr defaultRowHeight="1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718FD-C954-48D6-9C03-BAE676476E26}">
  <dimension ref="A1:J100"/>
  <sheetViews>
    <sheetView zoomScale="70" zoomScaleNormal="70" workbookViewId="0">
      <pane ySplit="13" topLeftCell="A14" activePane="bottomLeft" state="frozen"/>
      <selection pane="bottomLeft" activeCell="A12" sqref="A12:F12"/>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56.25">
      <c r="A13" s="7" t="s">
        <v>140</v>
      </c>
      <c r="B13" s="8" t="s">
        <v>141</v>
      </c>
      <c r="C13" s="9" t="s">
        <v>142</v>
      </c>
      <c r="D13" s="9" t="s">
        <v>143</v>
      </c>
      <c r="E13" s="10" t="s">
        <v>144</v>
      </c>
      <c r="F13" s="11" t="s">
        <v>145</v>
      </c>
      <c r="G13" s="25" t="s">
        <v>146</v>
      </c>
    </row>
    <row r="14" spans="1:10" ht="60" customHeight="1">
      <c r="A14" s="4" t="str">
        <f>_xlfn.XLOOKUP(Table_PT[[#This Row],[BUDGET ACCOUNT NAME (DROPDOWN THAT IS USED TO FILL BUDGET ACCOUNT COLUMN)]],Table5816[Budget Account Name],Table5816[Budget Account Number],"Not Found",0)</f>
        <v>Not Found</v>
      </c>
      <c r="B14" s="2"/>
      <c r="C14" s="16"/>
      <c r="D14" s="14"/>
      <c r="E14" s="19"/>
      <c r="F14" s="20"/>
      <c r="G14" s="26"/>
    </row>
    <row r="15" spans="1:10" ht="60" customHeight="1">
      <c r="A15" s="4" t="str">
        <f>_xlfn.XLOOKUP(Table_PT[[#This Row],[BUDGET ACCOUNT NAME (DROPDOWN THAT IS USED TO FILL BUDGET ACCOUNT COLUMN)]],Table5816[Budget Account Name],Table5816[Budget Account Number],"Not Found",0)</f>
        <v>Not Found</v>
      </c>
      <c r="B15" s="2"/>
      <c r="C15" s="17"/>
      <c r="D15" s="14"/>
      <c r="E15" s="19"/>
      <c r="F15" s="20"/>
      <c r="G15" s="26"/>
    </row>
    <row r="16" spans="1:10" ht="60" customHeight="1">
      <c r="A16" s="4" t="str">
        <f>_xlfn.XLOOKUP(Table_PT[[#This Row],[BUDGET ACCOUNT NAME (DROPDOWN THAT IS USED TO FILL BUDGET ACCOUNT COLUMN)]],Table5816[Budget Account Name],Table5816[Budget Account Number],"Not Found",0)</f>
        <v>Not Found</v>
      </c>
      <c r="B16" s="2"/>
      <c r="C16" s="17"/>
      <c r="D16" s="14"/>
      <c r="E16" s="19"/>
      <c r="F16" s="20"/>
      <c r="G16" s="26"/>
    </row>
    <row r="17" spans="1:7" ht="60" customHeight="1">
      <c r="A17" s="4" t="str">
        <f>_xlfn.XLOOKUP(Table_PT[[#This Row],[BUDGET ACCOUNT NAME (DROPDOWN THAT IS USED TO FILL BUDGET ACCOUNT COLUMN)]],Table5816[Budget Account Name],Table5816[Budget Account Number],"Not Found",0)</f>
        <v>Not Found</v>
      </c>
      <c r="B17" s="2"/>
      <c r="C17" s="17"/>
      <c r="D17" s="14"/>
      <c r="E17" s="19"/>
      <c r="F17" s="20"/>
      <c r="G17" s="26"/>
    </row>
    <row r="18" spans="1:7" ht="60" customHeight="1">
      <c r="A18" s="4" t="str">
        <f>_xlfn.XLOOKUP(Table_PT[[#This Row],[BUDGET ACCOUNT NAME (DROPDOWN THAT IS USED TO FILL BUDGET ACCOUNT COLUMN)]],Table5816[Budget Account Name],Table5816[Budget Account Number],"Not Found",0)</f>
        <v>Not Found</v>
      </c>
      <c r="B18" s="2"/>
      <c r="C18" s="17"/>
      <c r="D18" s="14"/>
      <c r="E18" s="19"/>
      <c r="F18" s="20"/>
      <c r="G18" s="26"/>
    </row>
    <row r="19" spans="1:7" ht="60" customHeight="1">
      <c r="A19" s="4" t="str">
        <f>_xlfn.XLOOKUP(Table_PT[[#This Row],[BUDGET ACCOUNT NAME (DROPDOWN THAT IS USED TO FILL BUDGET ACCOUNT COLUMN)]],Table5816[Budget Account Name],Table5816[Budget Account Number],"Not Found",0)</f>
        <v>Not Found</v>
      </c>
      <c r="B19" s="2"/>
      <c r="C19" s="17"/>
      <c r="D19" s="14"/>
      <c r="E19" s="19"/>
      <c r="F19" s="20"/>
      <c r="G19" s="26"/>
    </row>
    <row r="20" spans="1:7" ht="60" customHeight="1">
      <c r="A20" s="4" t="str">
        <f>_xlfn.XLOOKUP(Table_PT[[#This Row],[BUDGET ACCOUNT NAME (DROPDOWN THAT IS USED TO FILL BUDGET ACCOUNT COLUMN)]],Table5816[Budget Account Name],Table5816[Budget Account Number],"Not Found",0)</f>
        <v>Not Found</v>
      </c>
      <c r="B20" s="2"/>
      <c r="C20" s="17"/>
      <c r="D20" s="14"/>
      <c r="E20" s="19"/>
      <c r="F20" s="20"/>
      <c r="G20" s="26"/>
    </row>
    <row r="21" spans="1:7" ht="60" customHeight="1">
      <c r="A21" s="4" t="str">
        <f>_xlfn.XLOOKUP(Table_PT[[#This Row],[BUDGET ACCOUNT NAME (DROPDOWN THAT IS USED TO FILL BUDGET ACCOUNT COLUMN)]],Table5816[Budget Account Name],Table5816[Budget Account Number],"Not Found",0)</f>
        <v>Not Found</v>
      </c>
      <c r="B21" s="2"/>
      <c r="C21" s="17"/>
      <c r="D21" s="14"/>
      <c r="E21" s="19"/>
      <c r="F21" s="20"/>
      <c r="G21" s="26"/>
    </row>
    <row r="22" spans="1:7" ht="60" customHeight="1">
      <c r="A22" s="4" t="str">
        <f>_xlfn.XLOOKUP(Table_PT[[#This Row],[BUDGET ACCOUNT NAME (DROPDOWN THAT IS USED TO FILL BUDGET ACCOUNT COLUMN)]],Table5816[Budget Account Name],Table5816[Budget Account Number],"Not Found",0)</f>
        <v>Not Found</v>
      </c>
      <c r="B22" s="2"/>
      <c r="C22" s="17"/>
      <c r="D22" s="14"/>
      <c r="E22" s="19"/>
      <c r="F22" s="20"/>
      <c r="G22" s="26"/>
    </row>
    <row r="23" spans="1:7" ht="60" customHeight="1">
      <c r="A23" s="4" t="str">
        <f>_xlfn.XLOOKUP(Table_PT[[#This Row],[BUDGET ACCOUNT NAME (DROPDOWN THAT IS USED TO FILL BUDGET ACCOUNT COLUMN)]],Table5816[Budget Account Name],Table5816[Budget Account Number],"Not Found",0)</f>
        <v>Not Found</v>
      </c>
      <c r="B23" s="2"/>
      <c r="C23" s="17"/>
      <c r="D23" s="14"/>
      <c r="E23" s="19"/>
      <c r="F23" s="20"/>
      <c r="G23" s="26"/>
    </row>
    <row r="24" spans="1:7" ht="60" customHeight="1">
      <c r="A24" s="4" t="str">
        <f>_xlfn.XLOOKUP(Table_PT[[#This Row],[BUDGET ACCOUNT NAME (DROPDOWN THAT IS USED TO FILL BUDGET ACCOUNT COLUMN)]],Table5816[Budget Account Name],Table5816[Budget Account Number],"Not Found",0)</f>
        <v>Not Found</v>
      </c>
      <c r="B24" s="2"/>
      <c r="C24" s="17"/>
      <c r="D24" s="14"/>
      <c r="E24" s="19"/>
      <c r="F24" s="20"/>
      <c r="G24" s="26"/>
    </row>
    <row r="25" spans="1:7" ht="60" customHeight="1">
      <c r="A25" s="4" t="str">
        <f>_xlfn.XLOOKUP(Table_PT[[#This Row],[BUDGET ACCOUNT NAME (DROPDOWN THAT IS USED TO FILL BUDGET ACCOUNT COLUMN)]],Table5816[Budget Account Name],Table5816[Budget Account Number],"Not Found",0)</f>
        <v>Not Found</v>
      </c>
      <c r="B25" s="2"/>
      <c r="C25" s="17"/>
      <c r="D25" s="14"/>
      <c r="E25" s="19"/>
      <c r="F25" s="20"/>
      <c r="G25" s="26"/>
    </row>
    <row r="26" spans="1:7" ht="60" customHeight="1">
      <c r="A26" s="4" t="str">
        <f>_xlfn.XLOOKUP(Table_PT[[#This Row],[BUDGET ACCOUNT NAME (DROPDOWN THAT IS USED TO FILL BUDGET ACCOUNT COLUMN)]],Table5816[Budget Account Name],Table5816[Budget Account Number],"Not Found",0)</f>
        <v>Not Found</v>
      </c>
      <c r="B26" s="2"/>
      <c r="C26" s="17"/>
      <c r="D26" s="14"/>
      <c r="E26" s="19"/>
      <c r="F26" s="20"/>
      <c r="G26" s="26"/>
    </row>
    <row r="27" spans="1:7" ht="60" customHeight="1">
      <c r="A27" s="4" t="str">
        <f>_xlfn.XLOOKUP(Table_PT[[#This Row],[BUDGET ACCOUNT NAME (DROPDOWN THAT IS USED TO FILL BUDGET ACCOUNT COLUMN)]],Table5816[Budget Account Name],Table5816[Budget Account Number],"Not Found",0)</f>
        <v>Not Found</v>
      </c>
      <c r="B27" s="2"/>
      <c r="C27" s="17"/>
      <c r="D27" s="14"/>
      <c r="E27" s="19"/>
      <c r="F27" s="20"/>
      <c r="G27" s="26"/>
    </row>
    <row r="28" spans="1:7" ht="60" customHeight="1">
      <c r="A28" s="4" t="str">
        <f>_xlfn.XLOOKUP(Table_PT[[#This Row],[BUDGET ACCOUNT NAME (DROPDOWN THAT IS USED TO FILL BUDGET ACCOUNT COLUMN)]],Table5816[Budget Account Name],Table5816[Budget Account Number],"Not Found",0)</f>
        <v>Not Found</v>
      </c>
      <c r="B28" s="2"/>
      <c r="C28" s="17"/>
      <c r="D28" s="14"/>
      <c r="E28" s="19"/>
      <c r="F28" s="20"/>
      <c r="G28" s="26"/>
    </row>
    <row r="29" spans="1:7" ht="60" customHeight="1">
      <c r="A29" s="4" t="str">
        <f>_xlfn.XLOOKUP(Table_PT[[#This Row],[BUDGET ACCOUNT NAME (DROPDOWN THAT IS USED TO FILL BUDGET ACCOUNT COLUMN)]],Table5816[Budget Account Name],Table5816[Budget Account Number],"Not Found",0)</f>
        <v>Not Found</v>
      </c>
      <c r="B29" s="2"/>
      <c r="C29" s="17"/>
      <c r="D29" s="14"/>
      <c r="E29" s="19"/>
      <c r="F29" s="20"/>
      <c r="G29" s="26"/>
    </row>
    <row r="30" spans="1:7" ht="60" customHeight="1">
      <c r="A30" s="4" t="str">
        <f>_xlfn.XLOOKUP(Table_PT[[#This Row],[BUDGET ACCOUNT NAME (DROPDOWN THAT IS USED TO FILL BUDGET ACCOUNT COLUMN)]],Table5816[Budget Account Name],Table5816[Budget Account Number],"Not Found",0)</f>
        <v>Not Found</v>
      </c>
      <c r="B30" s="2"/>
      <c r="C30" s="17"/>
      <c r="D30" s="14"/>
      <c r="E30" s="19"/>
      <c r="F30" s="20"/>
      <c r="G30" s="26"/>
    </row>
    <row r="31" spans="1:7" ht="60" customHeight="1">
      <c r="A31" s="4" t="str">
        <f>_xlfn.XLOOKUP(Table_PT[[#This Row],[BUDGET ACCOUNT NAME (DROPDOWN THAT IS USED TO FILL BUDGET ACCOUNT COLUMN)]],Table5816[Budget Account Name],Table5816[Budget Account Number],"Not Found",0)</f>
        <v>Not Found</v>
      </c>
      <c r="B31" s="2"/>
      <c r="C31" s="17"/>
      <c r="D31" s="14"/>
      <c r="E31" s="19"/>
      <c r="F31" s="20"/>
      <c r="G31" s="26"/>
    </row>
    <row r="32" spans="1:7" ht="60" customHeight="1">
      <c r="A32" s="4" t="str">
        <f>_xlfn.XLOOKUP(Table_PT[[#This Row],[BUDGET ACCOUNT NAME (DROPDOWN THAT IS USED TO FILL BUDGET ACCOUNT COLUMN)]],Table5816[Budget Account Name],Table5816[Budget Account Number],"Not Found",0)</f>
        <v>Not Found</v>
      </c>
      <c r="B32" s="2"/>
      <c r="C32" s="17"/>
      <c r="D32" s="14"/>
      <c r="E32" s="19"/>
      <c r="F32" s="20"/>
      <c r="G32" s="26"/>
    </row>
    <row r="33" spans="1:7" ht="60" customHeight="1">
      <c r="A33" s="4" t="str">
        <f>_xlfn.XLOOKUP(Table_PT[[#This Row],[BUDGET ACCOUNT NAME (DROPDOWN THAT IS USED TO FILL BUDGET ACCOUNT COLUMN)]],Table5816[Budget Account Name],Table5816[Budget Account Number],"Not Found",0)</f>
        <v>Not Found</v>
      </c>
      <c r="B33" s="2"/>
      <c r="C33" s="17"/>
      <c r="D33" s="14"/>
      <c r="E33" s="19"/>
      <c r="F33" s="20"/>
      <c r="G33" s="26"/>
    </row>
    <row r="34" spans="1:7" ht="60" customHeight="1">
      <c r="A34" s="4" t="str">
        <f>_xlfn.XLOOKUP(Table_PT[[#This Row],[BUDGET ACCOUNT NAME (DROPDOWN THAT IS USED TO FILL BUDGET ACCOUNT COLUMN)]],Table5816[Budget Account Name],Table5816[Budget Account Number],"Not Found",0)</f>
        <v>Not Found</v>
      </c>
      <c r="B34" s="2"/>
      <c r="C34" s="17"/>
      <c r="D34" s="14"/>
      <c r="E34" s="19"/>
      <c r="F34" s="20"/>
      <c r="G34" s="26"/>
    </row>
    <row r="35" spans="1:7" ht="60" customHeight="1">
      <c r="A35" s="4" t="str">
        <f>_xlfn.XLOOKUP(Table_PT[[#This Row],[BUDGET ACCOUNT NAME (DROPDOWN THAT IS USED TO FILL BUDGET ACCOUNT COLUMN)]],Table5816[Budget Account Name],Table5816[Budget Account Number],"Not Found",0)</f>
        <v>Not Found</v>
      </c>
      <c r="B35" s="2"/>
      <c r="C35" s="17"/>
      <c r="D35" s="14"/>
      <c r="E35" s="19"/>
      <c r="F35" s="20"/>
      <c r="G35" s="26"/>
    </row>
    <row r="36" spans="1:7" ht="60" customHeight="1">
      <c r="A36" s="4" t="str">
        <f>_xlfn.XLOOKUP(Table_PT[[#This Row],[BUDGET ACCOUNT NAME (DROPDOWN THAT IS USED TO FILL BUDGET ACCOUNT COLUMN)]],Table5816[Budget Account Name],Table5816[Budget Account Number],"Not Found",0)</f>
        <v>Not Found</v>
      </c>
      <c r="B36" s="2"/>
      <c r="C36" s="17"/>
      <c r="D36" s="14"/>
      <c r="E36" s="19"/>
      <c r="F36" s="20"/>
      <c r="G36" s="26"/>
    </row>
    <row r="37" spans="1:7" ht="60" customHeight="1">
      <c r="A37" s="4" t="str">
        <f>_xlfn.XLOOKUP(Table_PT[[#This Row],[BUDGET ACCOUNT NAME (DROPDOWN THAT IS USED TO FILL BUDGET ACCOUNT COLUMN)]],Table5816[Budget Account Name],Table5816[Budget Account Number],"Not Found",0)</f>
        <v>Not Found</v>
      </c>
      <c r="B37" s="2"/>
      <c r="C37" s="17"/>
      <c r="D37" s="14"/>
      <c r="E37" s="19"/>
      <c r="F37" s="20"/>
      <c r="G37" s="26"/>
    </row>
    <row r="38" spans="1:7" ht="60" customHeight="1">
      <c r="A38" s="4" t="str">
        <f>_xlfn.XLOOKUP(Table_PT[[#This Row],[BUDGET ACCOUNT NAME (DROPDOWN THAT IS USED TO FILL BUDGET ACCOUNT COLUMN)]],Table5816[Budget Account Name],Table5816[Budget Account Number],"Not Found",0)</f>
        <v>Not Found</v>
      </c>
      <c r="B38" s="2"/>
      <c r="C38" s="17"/>
      <c r="D38" s="14"/>
      <c r="E38" s="19"/>
      <c r="F38" s="20"/>
      <c r="G38" s="26"/>
    </row>
    <row r="39" spans="1:7" ht="60" customHeight="1">
      <c r="A39" s="4" t="str">
        <f>_xlfn.XLOOKUP(Table_PT[[#This Row],[BUDGET ACCOUNT NAME (DROPDOWN THAT IS USED TO FILL BUDGET ACCOUNT COLUMN)]],Table5816[Budget Account Name],Table5816[Budget Account Number],"Not Found",0)</f>
        <v>Not Found</v>
      </c>
      <c r="B39" s="2"/>
      <c r="C39" s="17"/>
      <c r="D39" s="14"/>
      <c r="E39" s="19"/>
      <c r="F39" s="20"/>
      <c r="G39" s="26"/>
    </row>
    <row r="40" spans="1:7" ht="60" customHeight="1">
      <c r="A40" s="4" t="str">
        <f>_xlfn.XLOOKUP(Table_PT[[#This Row],[BUDGET ACCOUNT NAME (DROPDOWN THAT IS USED TO FILL BUDGET ACCOUNT COLUMN)]],Table5816[Budget Account Name],Table5816[Budget Account Number],"Not Found",0)</f>
        <v>Not Found</v>
      </c>
      <c r="B40" s="2"/>
      <c r="C40" s="17"/>
      <c r="D40" s="14"/>
      <c r="E40" s="19"/>
      <c r="F40" s="20"/>
      <c r="G40" s="26"/>
    </row>
    <row r="41" spans="1:7" ht="60" customHeight="1">
      <c r="A41" s="4" t="str">
        <f>_xlfn.XLOOKUP(Table_PT[[#This Row],[BUDGET ACCOUNT NAME (DROPDOWN THAT IS USED TO FILL BUDGET ACCOUNT COLUMN)]],Table5816[Budget Account Name],Table5816[Budget Account Number],"Not Found",0)</f>
        <v>Not Found</v>
      </c>
      <c r="B41" s="2"/>
      <c r="C41" s="17"/>
      <c r="D41" s="14"/>
      <c r="E41" s="19"/>
      <c r="F41" s="20"/>
      <c r="G41" s="26"/>
    </row>
    <row r="42" spans="1:7" ht="60" customHeight="1">
      <c r="A42" s="4" t="str">
        <f>_xlfn.XLOOKUP(Table_PT[[#This Row],[BUDGET ACCOUNT NAME (DROPDOWN THAT IS USED TO FILL BUDGET ACCOUNT COLUMN)]],Table5816[Budget Account Name],Table5816[Budget Account Number],"Not Found",0)</f>
        <v>Not Found</v>
      </c>
      <c r="B42" s="2"/>
      <c r="C42" s="17"/>
      <c r="D42" s="14"/>
      <c r="E42" s="19"/>
      <c r="F42" s="20"/>
      <c r="G42" s="26"/>
    </row>
    <row r="43" spans="1:7" ht="60" customHeight="1">
      <c r="A43" s="4" t="str">
        <f>_xlfn.XLOOKUP(Table_PT[[#This Row],[BUDGET ACCOUNT NAME (DROPDOWN THAT IS USED TO FILL BUDGET ACCOUNT COLUMN)]],Table5816[Budget Account Name],Table5816[Budget Account Number],"Not Found",0)</f>
        <v>Not Found</v>
      </c>
      <c r="B43" s="2"/>
      <c r="C43" s="17"/>
      <c r="D43" s="14"/>
      <c r="E43" s="19"/>
      <c r="F43" s="20"/>
      <c r="G43" s="26"/>
    </row>
    <row r="44" spans="1:7" ht="60" customHeight="1">
      <c r="A44" s="4" t="str">
        <f>_xlfn.XLOOKUP(Table_PT[[#This Row],[BUDGET ACCOUNT NAME (DROPDOWN THAT IS USED TO FILL BUDGET ACCOUNT COLUMN)]],Table5816[Budget Account Name],Table5816[Budget Account Number],"Not Found",0)</f>
        <v>Not Found</v>
      </c>
      <c r="B44" s="2"/>
      <c r="C44" s="17"/>
      <c r="D44" s="14"/>
      <c r="E44" s="19"/>
      <c r="F44" s="20"/>
      <c r="G44" s="26"/>
    </row>
    <row r="45" spans="1:7" ht="60" customHeight="1">
      <c r="A45" s="4" t="str">
        <f>_xlfn.XLOOKUP(Table_PT[[#This Row],[BUDGET ACCOUNT NAME (DROPDOWN THAT IS USED TO FILL BUDGET ACCOUNT COLUMN)]],Table5816[Budget Account Name],Table5816[Budget Account Number],"Not Found",0)</f>
        <v>Not Found</v>
      </c>
      <c r="B45" s="2"/>
      <c r="C45" s="17"/>
      <c r="D45" s="14"/>
      <c r="E45" s="19"/>
      <c r="F45" s="20"/>
      <c r="G45" s="26"/>
    </row>
    <row r="46" spans="1:7" ht="60" customHeight="1">
      <c r="A46" s="4" t="str">
        <f>_xlfn.XLOOKUP(Table_PT[[#This Row],[BUDGET ACCOUNT NAME (DROPDOWN THAT IS USED TO FILL BUDGET ACCOUNT COLUMN)]],Table5816[Budget Account Name],Table5816[Budget Account Number],"Not Found",0)</f>
        <v>Not Found</v>
      </c>
      <c r="B46" s="2"/>
      <c r="C46" s="17"/>
      <c r="D46" s="14"/>
      <c r="E46" s="19"/>
      <c r="F46" s="20"/>
      <c r="G46" s="26"/>
    </row>
    <row r="47" spans="1:7" ht="60" customHeight="1">
      <c r="A47" s="4" t="str">
        <f>_xlfn.XLOOKUP(Table_PT[[#This Row],[BUDGET ACCOUNT NAME (DROPDOWN THAT IS USED TO FILL BUDGET ACCOUNT COLUMN)]],Table5816[Budget Account Name],Table5816[Budget Account Number],"Not Found",0)</f>
        <v>Not Found</v>
      </c>
      <c r="B47" s="2"/>
      <c r="C47" s="17"/>
      <c r="D47" s="14"/>
      <c r="E47" s="19"/>
      <c r="F47" s="20"/>
      <c r="G47" s="26"/>
    </row>
    <row r="48" spans="1:7" ht="60" customHeight="1">
      <c r="A48" s="4" t="str">
        <f>_xlfn.XLOOKUP(Table_PT[[#This Row],[BUDGET ACCOUNT NAME (DROPDOWN THAT IS USED TO FILL BUDGET ACCOUNT COLUMN)]],Table5816[Budget Account Name],Table5816[Budget Account Number],"Not Found",0)</f>
        <v>Not Found</v>
      </c>
      <c r="B48" s="2"/>
      <c r="C48" s="17"/>
      <c r="D48" s="14"/>
      <c r="E48" s="19"/>
      <c r="F48" s="20"/>
      <c r="G48" s="26"/>
    </row>
    <row r="49" spans="1:7" ht="60" customHeight="1">
      <c r="A49" s="4" t="str">
        <f>_xlfn.XLOOKUP(Table_PT[[#This Row],[BUDGET ACCOUNT NAME (DROPDOWN THAT IS USED TO FILL BUDGET ACCOUNT COLUMN)]],Table5816[Budget Account Name],Table5816[Budget Account Number],"Not Found",0)</f>
        <v>Not Found</v>
      </c>
      <c r="B49" s="2"/>
      <c r="C49" s="17"/>
      <c r="D49" s="14"/>
      <c r="E49" s="19"/>
      <c r="F49" s="20"/>
      <c r="G49" s="26"/>
    </row>
    <row r="50" spans="1:7" ht="60" customHeight="1">
      <c r="A50" s="4" t="str">
        <f>_xlfn.XLOOKUP(Table_PT[[#This Row],[BUDGET ACCOUNT NAME (DROPDOWN THAT IS USED TO FILL BUDGET ACCOUNT COLUMN)]],Table5816[Budget Account Name],Table5816[Budget Account Number],"Not Found",0)</f>
        <v>Not Found</v>
      </c>
      <c r="B50" s="2"/>
      <c r="C50" s="17"/>
      <c r="D50" s="14"/>
      <c r="E50" s="19"/>
      <c r="F50" s="20"/>
      <c r="G50" s="26"/>
    </row>
    <row r="51" spans="1:7" ht="60" customHeight="1">
      <c r="A51" s="4" t="str">
        <f>_xlfn.XLOOKUP(Table_PT[[#This Row],[BUDGET ACCOUNT NAME (DROPDOWN THAT IS USED TO FILL BUDGET ACCOUNT COLUMN)]],Table5816[Budget Account Name],Table5816[Budget Account Number],"Not Found",0)</f>
        <v>Not Found</v>
      </c>
      <c r="B51" s="2"/>
      <c r="C51" s="17"/>
      <c r="D51" s="14"/>
      <c r="E51" s="19"/>
      <c r="F51" s="20"/>
      <c r="G51" s="26"/>
    </row>
    <row r="52" spans="1:7" ht="60" customHeight="1">
      <c r="A52" s="4" t="str">
        <f>_xlfn.XLOOKUP(Table_PT[[#This Row],[BUDGET ACCOUNT NAME (DROPDOWN THAT IS USED TO FILL BUDGET ACCOUNT COLUMN)]],Table5816[Budget Account Name],Table5816[Budget Account Number],"Not Found",0)</f>
        <v>Not Found</v>
      </c>
      <c r="B52" s="2"/>
      <c r="C52" s="17"/>
      <c r="D52" s="14"/>
      <c r="E52" s="19"/>
      <c r="F52" s="20"/>
      <c r="G52" s="26"/>
    </row>
    <row r="53" spans="1:7" ht="60" customHeight="1">
      <c r="A53" s="4" t="str">
        <f>_xlfn.XLOOKUP(Table_PT[[#This Row],[BUDGET ACCOUNT NAME (DROPDOWN THAT IS USED TO FILL BUDGET ACCOUNT COLUMN)]],Table5816[Budget Account Name],Table5816[Budget Account Number],"Not Found",0)</f>
        <v>Not Found</v>
      </c>
      <c r="B53" s="2"/>
      <c r="C53" s="17"/>
      <c r="D53" s="14"/>
      <c r="E53" s="19"/>
      <c r="F53" s="20"/>
      <c r="G53" s="26"/>
    </row>
    <row r="54" spans="1:7" ht="60" customHeight="1">
      <c r="A54" s="4" t="str">
        <f>_xlfn.XLOOKUP(Table_PT[[#This Row],[BUDGET ACCOUNT NAME (DROPDOWN THAT IS USED TO FILL BUDGET ACCOUNT COLUMN)]],Table5816[Budget Account Name],Table5816[Budget Account Number],"Not Found",0)</f>
        <v>Not Found</v>
      </c>
      <c r="B54" s="2"/>
      <c r="C54" s="17"/>
      <c r="D54" s="14"/>
      <c r="E54" s="19"/>
      <c r="F54" s="20"/>
      <c r="G54" s="26"/>
    </row>
    <row r="55" spans="1:7" ht="60" customHeight="1">
      <c r="A55" s="4" t="str">
        <f>_xlfn.XLOOKUP(Table_PT[[#This Row],[BUDGET ACCOUNT NAME (DROPDOWN THAT IS USED TO FILL BUDGET ACCOUNT COLUMN)]],Table5816[Budget Account Name],Table5816[Budget Account Number],"Not Found",0)</f>
        <v>Not Found</v>
      </c>
      <c r="B55" s="2"/>
      <c r="C55" s="17"/>
      <c r="D55" s="14"/>
      <c r="E55" s="19"/>
      <c r="F55" s="20"/>
      <c r="G55" s="26"/>
    </row>
    <row r="56" spans="1:7" ht="60" customHeight="1">
      <c r="A56" s="4" t="str">
        <f>_xlfn.XLOOKUP(Table_PT[[#This Row],[BUDGET ACCOUNT NAME (DROPDOWN THAT IS USED TO FILL BUDGET ACCOUNT COLUMN)]],Table5816[Budget Account Name],Table5816[Budget Account Number],"Not Found",0)</f>
        <v>Not Found</v>
      </c>
      <c r="B56" s="2"/>
      <c r="C56" s="17"/>
      <c r="D56" s="14"/>
      <c r="E56" s="19"/>
      <c r="F56" s="20"/>
      <c r="G56" s="26"/>
    </row>
    <row r="57" spans="1:7" ht="60" customHeight="1">
      <c r="A57" s="4" t="str">
        <f>_xlfn.XLOOKUP(Table_PT[[#This Row],[BUDGET ACCOUNT NAME (DROPDOWN THAT IS USED TO FILL BUDGET ACCOUNT COLUMN)]],Table5816[Budget Account Name],Table5816[Budget Account Number],"Not Found",0)</f>
        <v>Not Found</v>
      </c>
      <c r="B57" s="2"/>
      <c r="C57" s="17"/>
      <c r="D57" s="14"/>
      <c r="E57" s="19"/>
      <c r="F57" s="20"/>
      <c r="G57" s="26"/>
    </row>
    <row r="58" spans="1:7" ht="60" customHeight="1">
      <c r="A58" s="4" t="str">
        <f>_xlfn.XLOOKUP(Table_PT[[#This Row],[BUDGET ACCOUNT NAME (DROPDOWN THAT IS USED TO FILL BUDGET ACCOUNT COLUMN)]],Table5816[Budget Account Name],Table5816[Budget Account Number],"Not Found",0)</f>
        <v>Not Found</v>
      </c>
      <c r="B58" s="2"/>
      <c r="C58" s="17"/>
      <c r="D58" s="14"/>
      <c r="E58" s="19"/>
      <c r="F58" s="20"/>
      <c r="G58" s="26"/>
    </row>
    <row r="59" spans="1:7" ht="60" customHeight="1">
      <c r="A59" s="4" t="str">
        <f>_xlfn.XLOOKUP(Table_PT[[#This Row],[BUDGET ACCOUNT NAME (DROPDOWN THAT IS USED TO FILL BUDGET ACCOUNT COLUMN)]],Table5816[Budget Account Name],Table5816[Budget Account Number],"Not Found",0)</f>
        <v>Not Found</v>
      </c>
      <c r="B59" s="2"/>
      <c r="C59" s="17"/>
      <c r="D59" s="14"/>
      <c r="E59" s="19"/>
      <c r="F59" s="20"/>
      <c r="G59" s="26"/>
    </row>
    <row r="60" spans="1:7" ht="60" customHeight="1">
      <c r="A60" s="4" t="str">
        <f>_xlfn.XLOOKUP(Table_PT[[#This Row],[BUDGET ACCOUNT NAME (DROPDOWN THAT IS USED TO FILL BUDGET ACCOUNT COLUMN)]],Table5816[Budget Account Name],Table5816[Budget Account Number],"Not Found",0)</f>
        <v>Not Found</v>
      </c>
      <c r="B60" s="2"/>
      <c r="C60" s="17"/>
      <c r="D60" s="14"/>
      <c r="E60" s="19"/>
      <c r="F60" s="20"/>
      <c r="G60" s="26"/>
    </row>
    <row r="61" spans="1:7" ht="60" customHeight="1">
      <c r="A61" s="4" t="str">
        <f>_xlfn.XLOOKUP(Table_PT[[#This Row],[BUDGET ACCOUNT NAME (DROPDOWN THAT IS USED TO FILL BUDGET ACCOUNT COLUMN)]],Table5816[Budget Account Name],Table5816[Budget Account Number],"Not Found",0)</f>
        <v>Not Found</v>
      </c>
      <c r="B61" s="2"/>
      <c r="C61" s="17"/>
      <c r="D61" s="14"/>
      <c r="E61" s="19"/>
      <c r="F61" s="20"/>
      <c r="G61" s="26"/>
    </row>
    <row r="62" spans="1:7" ht="60" customHeight="1">
      <c r="A62" s="4" t="str">
        <f>_xlfn.XLOOKUP(Table_PT[[#This Row],[BUDGET ACCOUNT NAME (DROPDOWN THAT IS USED TO FILL BUDGET ACCOUNT COLUMN)]],Table5816[Budget Account Name],Table5816[Budget Account Number],"Not Found",0)</f>
        <v>Not Found</v>
      </c>
      <c r="B62" s="2"/>
      <c r="C62" s="17"/>
      <c r="D62" s="14"/>
      <c r="E62" s="19"/>
      <c r="F62" s="20"/>
      <c r="G62" s="26"/>
    </row>
    <row r="63" spans="1:7" ht="60" customHeight="1">
      <c r="A63" s="4" t="str">
        <f>_xlfn.XLOOKUP(Table_PT[[#This Row],[BUDGET ACCOUNT NAME (DROPDOWN THAT IS USED TO FILL BUDGET ACCOUNT COLUMN)]],Table5816[Budget Account Name],Table5816[Budget Account Number],"Not Found",0)</f>
        <v>Not Found</v>
      </c>
      <c r="B63" s="2"/>
      <c r="C63" s="17"/>
      <c r="D63" s="14"/>
      <c r="E63" s="19"/>
      <c r="F63" s="20"/>
      <c r="G63" s="26"/>
    </row>
    <row r="64" spans="1:7" ht="60" customHeight="1">
      <c r="A64" s="4" t="str">
        <f>_xlfn.XLOOKUP(Table_PT[[#This Row],[BUDGET ACCOUNT NAME (DROPDOWN THAT IS USED TO FILL BUDGET ACCOUNT COLUMN)]],Table5816[Budget Account Name],Table5816[Budget Account Number],"Not Found",0)</f>
        <v>Not Found</v>
      </c>
      <c r="B64" s="2"/>
      <c r="C64" s="17"/>
      <c r="D64" s="14"/>
      <c r="E64" s="19"/>
      <c r="F64" s="20"/>
      <c r="G64" s="26"/>
    </row>
    <row r="65" spans="1:7" ht="60" customHeight="1">
      <c r="A65" s="4" t="str">
        <f>_xlfn.XLOOKUP(Table_PT[[#This Row],[BUDGET ACCOUNT NAME (DROPDOWN THAT IS USED TO FILL BUDGET ACCOUNT COLUMN)]],Table5816[Budget Account Name],Table5816[Budget Account Number],"Not Found",0)</f>
        <v>Not Found</v>
      </c>
      <c r="B65" s="2"/>
      <c r="C65" s="17"/>
      <c r="D65" s="14"/>
      <c r="E65" s="19"/>
      <c r="F65" s="20"/>
      <c r="G65" s="26"/>
    </row>
    <row r="66" spans="1:7" ht="60" customHeight="1">
      <c r="A66" s="4" t="str">
        <f>_xlfn.XLOOKUP(Table_PT[[#This Row],[BUDGET ACCOUNT NAME (DROPDOWN THAT IS USED TO FILL BUDGET ACCOUNT COLUMN)]],Table5816[Budget Account Name],Table5816[Budget Account Number],"Not Found",0)</f>
        <v>Not Found</v>
      </c>
      <c r="B66" s="2"/>
      <c r="C66" s="17"/>
      <c r="D66" s="14"/>
      <c r="E66" s="19"/>
      <c r="F66" s="20"/>
      <c r="G66" s="26"/>
    </row>
    <row r="67" spans="1:7" ht="60" customHeight="1">
      <c r="A67" s="4" t="str">
        <f>_xlfn.XLOOKUP(Table_PT[[#This Row],[BUDGET ACCOUNT NAME (DROPDOWN THAT IS USED TO FILL BUDGET ACCOUNT COLUMN)]],Table5816[Budget Account Name],Table5816[Budget Account Number],"Not Found",0)</f>
        <v>Not Found</v>
      </c>
      <c r="B67" s="2"/>
      <c r="C67" s="17"/>
      <c r="D67" s="14"/>
      <c r="E67" s="19"/>
      <c r="F67" s="20"/>
      <c r="G67" s="26"/>
    </row>
    <row r="68" spans="1:7" ht="60" customHeight="1">
      <c r="A68" s="4" t="str">
        <f>_xlfn.XLOOKUP(Table_PT[[#This Row],[BUDGET ACCOUNT NAME (DROPDOWN THAT IS USED TO FILL BUDGET ACCOUNT COLUMN)]],Table5816[Budget Account Name],Table5816[Budget Account Number],"Not Found",0)</f>
        <v>Not Found</v>
      </c>
      <c r="B68" s="2"/>
      <c r="C68" s="17"/>
      <c r="D68" s="14"/>
      <c r="E68" s="19"/>
      <c r="F68" s="20"/>
      <c r="G68" s="26"/>
    </row>
    <row r="69" spans="1:7" ht="60" customHeight="1">
      <c r="A69" s="4" t="str">
        <f>_xlfn.XLOOKUP(Table_PT[[#This Row],[BUDGET ACCOUNT NAME (DROPDOWN THAT IS USED TO FILL BUDGET ACCOUNT COLUMN)]],Table5816[Budget Account Name],Table5816[Budget Account Number],"Not Found",0)</f>
        <v>Not Found</v>
      </c>
      <c r="B69" s="2"/>
      <c r="C69" s="17"/>
      <c r="D69" s="14"/>
      <c r="E69" s="19"/>
      <c r="F69" s="20"/>
      <c r="G69" s="26"/>
    </row>
    <row r="70" spans="1:7" ht="60" customHeight="1">
      <c r="A70" s="4" t="str">
        <f>_xlfn.XLOOKUP(Table_PT[[#This Row],[BUDGET ACCOUNT NAME (DROPDOWN THAT IS USED TO FILL BUDGET ACCOUNT COLUMN)]],Table5816[Budget Account Name],Table5816[Budget Account Number],"Not Found",0)</f>
        <v>Not Found</v>
      </c>
      <c r="B70" s="2"/>
      <c r="C70" s="17"/>
      <c r="D70" s="14"/>
      <c r="E70" s="19"/>
      <c r="F70" s="20"/>
      <c r="G70" s="26"/>
    </row>
    <row r="71" spans="1:7" ht="60" customHeight="1">
      <c r="A71" s="4" t="str">
        <f>_xlfn.XLOOKUP(Table_PT[[#This Row],[BUDGET ACCOUNT NAME (DROPDOWN THAT IS USED TO FILL BUDGET ACCOUNT COLUMN)]],Table5816[Budget Account Name],Table5816[Budget Account Number],"Not Found",0)</f>
        <v>Not Found</v>
      </c>
      <c r="B71" s="2"/>
      <c r="C71" s="17"/>
      <c r="D71" s="14"/>
      <c r="E71" s="19"/>
      <c r="F71" s="20"/>
      <c r="G71" s="26"/>
    </row>
    <row r="72" spans="1:7" ht="60" customHeight="1">
      <c r="A72" s="4" t="str">
        <f>_xlfn.XLOOKUP(Table_PT[[#This Row],[BUDGET ACCOUNT NAME (DROPDOWN THAT IS USED TO FILL BUDGET ACCOUNT COLUMN)]],Table5816[Budget Account Name],Table5816[Budget Account Number],"Not Found",0)</f>
        <v>Not Found</v>
      </c>
      <c r="B72" s="2"/>
      <c r="C72" s="17"/>
      <c r="D72" s="14"/>
      <c r="E72" s="19"/>
      <c r="F72" s="20"/>
      <c r="G72" s="26"/>
    </row>
    <row r="73" spans="1:7" ht="60" customHeight="1">
      <c r="A73" s="4" t="str">
        <f>_xlfn.XLOOKUP(Table_PT[[#This Row],[BUDGET ACCOUNT NAME (DROPDOWN THAT IS USED TO FILL BUDGET ACCOUNT COLUMN)]],Table5816[Budget Account Name],Table5816[Budget Account Number],"Not Found",0)</f>
        <v>Not Found</v>
      </c>
      <c r="B73" s="2"/>
      <c r="C73" s="17"/>
      <c r="D73" s="14"/>
      <c r="E73" s="19"/>
      <c r="F73" s="20"/>
      <c r="G73" s="26"/>
    </row>
    <row r="74" spans="1:7" ht="60" customHeight="1">
      <c r="A74" s="4" t="str">
        <f>_xlfn.XLOOKUP(Table_PT[[#This Row],[BUDGET ACCOUNT NAME (DROPDOWN THAT IS USED TO FILL BUDGET ACCOUNT COLUMN)]],Table5816[Budget Account Name],Table5816[Budget Account Number],"Not Found",0)</f>
        <v>Not Found</v>
      </c>
      <c r="B74" s="2"/>
      <c r="C74" s="17"/>
      <c r="D74" s="14"/>
      <c r="E74" s="19"/>
      <c r="F74" s="20"/>
      <c r="G74" s="26"/>
    </row>
    <row r="75" spans="1:7" ht="60" customHeight="1">
      <c r="A75" s="4" t="str">
        <f>_xlfn.XLOOKUP(Table_PT[[#This Row],[BUDGET ACCOUNT NAME (DROPDOWN THAT IS USED TO FILL BUDGET ACCOUNT COLUMN)]],Table5816[Budget Account Name],Table5816[Budget Account Number],"Not Found",0)</f>
        <v>Not Found</v>
      </c>
      <c r="B75" s="2"/>
      <c r="C75" s="17"/>
      <c r="D75" s="14"/>
      <c r="E75" s="19"/>
      <c r="F75" s="20"/>
      <c r="G75" s="26"/>
    </row>
    <row r="76" spans="1:7" ht="60" customHeight="1">
      <c r="A76" s="4" t="str">
        <f>_xlfn.XLOOKUP(Table_PT[[#This Row],[BUDGET ACCOUNT NAME (DROPDOWN THAT IS USED TO FILL BUDGET ACCOUNT COLUMN)]],Table5816[Budget Account Name],Table5816[Budget Account Number],"Not Found",0)</f>
        <v>Not Found</v>
      </c>
      <c r="B76" s="2"/>
      <c r="C76" s="17"/>
      <c r="D76" s="14"/>
      <c r="E76" s="19"/>
      <c r="F76" s="20"/>
      <c r="G76" s="26"/>
    </row>
    <row r="77" spans="1:7" ht="60" customHeight="1">
      <c r="A77" s="4" t="str">
        <f>_xlfn.XLOOKUP(Table_PT[[#This Row],[BUDGET ACCOUNT NAME (DROPDOWN THAT IS USED TO FILL BUDGET ACCOUNT COLUMN)]],Table5816[Budget Account Name],Table5816[Budget Account Number],"Not Found",0)</f>
        <v>Not Found</v>
      </c>
      <c r="B77" s="2"/>
      <c r="C77" s="17"/>
      <c r="D77" s="14"/>
      <c r="E77" s="19"/>
      <c r="F77" s="20"/>
      <c r="G77" s="26"/>
    </row>
    <row r="78" spans="1:7" ht="60" customHeight="1">
      <c r="A78" s="4" t="str">
        <f>_xlfn.XLOOKUP(Table_PT[[#This Row],[BUDGET ACCOUNT NAME (DROPDOWN THAT IS USED TO FILL BUDGET ACCOUNT COLUMN)]],Table5816[Budget Account Name],Table5816[Budget Account Number],"Not Found",0)</f>
        <v>Not Found</v>
      </c>
      <c r="B78" s="2"/>
      <c r="C78" s="17"/>
      <c r="D78" s="14"/>
      <c r="E78" s="19"/>
      <c r="F78" s="20"/>
      <c r="G78" s="26"/>
    </row>
    <row r="79" spans="1:7" ht="60" customHeight="1">
      <c r="A79" s="4" t="str">
        <f>_xlfn.XLOOKUP(Table_PT[[#This Row],[BUDGET ACCOUNT NAME (DROPDOWN THAT IS USED TO FILL BUDGET ACCOUNT COLUMN)]],Table5816[Budget Account Name],Table5816[Budget Account Number],"Not Found",0)</f>
        <v>Not Found</v>
      </c>
      <c r="B79" s="2"/>
      <c r="C79" s="17"/>
      <c r="D79" s="14"/>
      <c r="E79" s="19"/>
      <c r="F79" s="20"/>
      <c r="G79" s="26"/>
    </row>
    <row r="80" spans="1:7" ht="60" customHeight="1">
      <c r="A80" s="4" t="str">
        <f>_xlfn.XLOOKUP(Table_PT[[#This Row],[BUDGET ACCOUNT NAME (DROPDOWN THAT IS USED TO FILL BUDGET ACCOUNT COLUMN)]],Table5816[Budget Account Name],Table5816[Budget Account Number],"Not Found",0)</f>
        <v>Not Found</v>
      </c>
      <c r="B80" s="2"/>
      <c r="C80" s="17"/>
      <c r="D80" s="14"/>
      <c r="E80" s="19"/>
      <c r="F80" s="20"/>
      <c r="G80" s="26"/>
    </row>
    <row r="81" spans="1:7" ht="60" customHeight="1">
      <c r="A81" s="4" t="str">
        <f>_xlfn.XLOOKUP(Table_PT[[#This Row],[BUDGET ACCOUNT NAME (DROPDOWN THAT IS USED TO FILL BUDGET ACCOUNT COLUMN)]],Table5816[Budget Account Name],Table5816[Budget Account Number],"Not Found",0)</f>
        <v>Not Found</v>
      </c>
      <c r="B81" s="2"/>
      <c r="C81" s="17"/>
      <c r="D81" s="14"/>
      <c r="E81" s="19"/>
      <c r="F81" s="20"/>
      <c r="G81" s="26"/>
    </row>
    <row r="82" spans="1:7" ht="60" customHeight="1">
      <c r="A82" s="4" t="str">
        <f>_xlfn.XLOOKUP(Table_PT[[#This Row],[BUDGET ACCOUNT NAME (DROPDOWN THAT IS USED TO FILL BUDGET ACCOUNT COLUMN)]],Table5816[Budget Account Name],Table5816[Budget Account Number],"Not Found",0)</f>
        <v>Not Found</v>
      </c>
      <c r="B82" s="2"/>
      <c r="C82" s="17"/>
      <c r="D82" s="14"/>
      <c r="E82" s="19"/>
      <c r="F82" s="20"/>
      <c r="G82" s="26"/>
    </row>
    <row r="83" spans="1:7" ht="60" customHeight="1">
      <c r="A83" s="4" t="str">
        <f>_xlfn.XLOOKUP(Table_PT[[#This Row],[BUDGET ACCOUNT NAME (DROPDOWN THAT IS USED TO FILL BUDGET ACCOUNT COLUMN)]],Table5816[Budget Account Name],Table5816[Budget Account Number],"Not Found",0)</f>
        <v>Not Found</v>
      </c>
      <c r="B83" s="2"/>
      <c r="C83" s="17"/>
      <c r="D83" s="14"/>
      <c r="E83" s="19"/>
      <c r="F83" s="20"/>
      <c r="G83" s="26"/>
    </row>
    <row r="84" spans="1:7" ht="60" customHeight="1">
      <c r="A84" s="4" t="str">
        <f>_xlfn.XLOOKUP(Table_PT[[#This Row],[BUDGET ACCOUNT NAME (DROPDOWN THAT IS USED TO FILL BUDGET ACCOUNT COLUMN)]],Table5816[Budget Account Name],Table5816[Budget Account Number],"Not Found",0)</f>
        <v>Not Found</v>
      </c>
      <c r="B84" s="2"/>
      <c r="C84" s="17"/>
      <c r="D84" s="14"/>
      <c r="E84" s="19"/>
      <c r="F84" s="20"/>
      <c r="G84" s="26"/>
    </row>
    <row r="85" spans="1:7" ht="60" customHeight="1">
      <c r="A85" s="4" t="str">
        <f>_xlfn.XLOOKUP(Table_PT[[#This Row],[BUDGET ACCOUNT NAME (DROPDOWN THAT IS USED TO FILL BUDGET ACCOUNT COLUMN)]],Table5816[Budget Account Name],Table5816[Budget Account Number],"Not Found",0)</f>
        <v>Not Found</v>
      </c>
      <c r="B85" s="2"/>
      <c r="C85" s="17"/>
      <c r="D85" s="14"/>
      <c r="E85" s="19"/>
      <c r="F85" s="20"/>
      <c r="G85" s="26"/>
    </row>
    <row r="86" spans="1:7" ht="60" customHeight="1">
      <c r="A86" s="4" t="str">
        <f>_xlfn.XLOOKUP(Table_PT[[#This Row],[BUDGET ACCOUNT NAME (DROPDOWN THAT IS USED TO FILL BUDGET ACCOUNT COLUMN)]],Table5816[Budget Account Name],Table5816[Budget Account Number],"Not Found",0)</f>
        <v>Not Found</v>
      </c>
      <c r="B86" s="2"/>
      <c r="C86" s="17"/>
      <c r="D86" s="14"/>
      <c r="E86" s="19"/>
      <c r="F86" s="20"/>
      <c r="G86" s="26"/>
    </row>
    <row r="87" spans="1:7" ht="60" customHeight="1">
      <c r="A87" s="4" t="str">
        <f>_xlfn.XLOOKUP(Table_PT[[#This Row],[BUDGET ACCOUNT NAME (DROPDOWN THAT IS USED TO FILL BUDGET ACCOUNT COLUMN)]],Table5816[Budget Account Name],Table5816[Budget Account Number],"Not Found",0)</f>
        <v>Not Found</v>
      </c>
      <c r="B87" s="2"/>
      <c r="C87" s="17"/>
      <c r="D87" s="14"/>
      <c r="E87" s="19"/>
      <c r="F87" s="20"/>
      <c r="G87" s="26"/>
    </row>
    <row r="88" spans="1:7" ht="60" customHeight="1">
      <c r="A88" s="4" t="str">
        <f>_xlfn.XLOOKUP(Table_PT[[#This Row],[BUDGET ACCOUNT NAME (DROPDOWN THAT IS USED TO FILL BUDGET ACCOUNT COLUMN)]],Table5816[Budget Account Name],Table5816[Budget Account Number],"Not Found",0)</f>
        <v>Not Found</v>
      </c>
      <c r="B88" s="2"/>
      <c r="C88" s="17"/>
      <c r="D88" s="14"/>
      <c r="E88" s="19"/>
      <c r="F88" s="20"/>
      <c r="G88" s="26"/>
    </row>
    <row r="89" spans="1:7" ht="60" customHeight="1">
      <c r="A89" s="4" t="str">
        <f>_xlfn.XLOOKUP(Table_PT[[#This Row],[BUDGET ACCOUNT NAME (DROPDOWN THAT IS USED TO FILL BUDGET ACCOUNT COLUMN)]],Table5816[Budget Account Name],Table5816[Budget Account Number],"Not Found",0)</f>
        <v>Not Found</v>
      </c>
      <c r="B89" s="2"/>
      <c r="C89" s="17"/>
      <c r="D89" s="14"/>
      <c r="E89" s="19"/>
      <c r="F89" s="20"/>
      <c r="G89" s="26"/>
    </row>
    <row r="90" spans="1:7" ht="60" customHeight="1">
      <c r="A90" s="4" t="str">
        <f>_xlfn.XLOOKUP(Table_PT[[#This Row],[BUDGET ACCOUNT NAME (DROPDOWN THAT IS USED TO FILL BUDGET ACCOUNT COLUMN)]],Table5816[Budget Account Name],Table5816[Budget Account Number],"Not Found",0)</f>
        <v>Not Found</v>
      </c>
      <c r="B90" s="2"/>
      <c r="C90" s="17"/>
      <c r="D90" s="14"/>
      <c r="E90" s="19"/>
      <c r="F90" s="20"/>
      <c r="G90" s="26"/>
    </row>
    <row r="91" spans="1:7" ht="60" customHeight="1">
      <c r="A91" s="4" t="str">
        <f>_xlfn.XLOOKUP(Table_PT[[#This Row],[BUDGET ACCOUNT NAME (DROPDOWN THAT IS USED TO FILL BUDGET ACCOUNT COLUMN)]],Table5816[Budget Account Name],Table5816[Budget Account Number],"Not Found",0)</f>
        <v>Not Found</v>
      </c>
      <c r="B91" s="2"/>
      <c r="C91" s="17"/>
      <c r="D91" s="14"/>
      <c r="E91" s="19"/>
      <c r="F91" s="20"/>
      <c r="G91" s="26"/>
    </row>
    <row r="92" spans="1:7" ht="60" customHeight="1">
      <c r="A92" s="4" t="str">
        <f>_xlfn.XLOOKUP(Table_PT[[#This Row],[BUDGET ACCOUNT NAME (DROPDOWN THAT IS USED TO FILL BUDGET ACCOUNT COLUMN)]],Table5816[Budget Account Name],Table5816[Budget Account Number],"Not Found",0)</f>
        <v>Not Found</v>
      </c>
      <c r="B92" s="2"/>
      <c r="C92" s="17"/>
      <c r="D92" s="14"/>
      <c r="E92" s="19"/>
      <c r="F92" s="20"/>
      <c r="G92" s="26"/>
    </row>
    <row r="93" spans="1:7" ht="60" customHeight="1">
      <c r="A93" s="4" t="str">
        <f>_xlfn.XLOOKUP(Table_PT[[#This Row],[BUDGET ACCOUNT NAME (DROPDOWN THAT IS USED TO FILL BUDGET ACCOUNT COLUMN)]],Table5816[Budget Account Name],Table5816[Budget Account Number],"Not Found",0)</f>
        <v>Not Found</v>
      </c>
      <c r="B93" s="2"/>
      <c r="C93" s="17"/>
      <c r="D93" s="14"/>
      <c r="E93" s="19"/>
      <c r="F93" s="20"/>
      <c r="G93" s="26"/>
    </row>
    <row r="94" spans="1:7" ht="60" customHeight="1">
      <c r="A94" s="4" t="str">
        <f>_xlfn.XLOOKUP(Table_PT[[#This Row],[BUDGET ACCOUNT NAME (DROPDOWN THAT IS USED TO FILL BUDGET ACCOUNT COLUMN)]],Table5816[Budget Account Name],Table5816[Budget Account Number],"Not Found",0)</f>
        <v>Not Found</v>
      </c>
      <c r="B94" s="2"/>
      <c r="C94" s="17"/>
      <c r="D94" s="14"/>
      <c r="E94" s="19"/>
      <c r="F94" s="20"/>
      <c r="G94" s="26"/>
    </row>
    <row r="95" spans="1:7" ht="60" customHeight="1">
      <c r="A95" s="4" t="str">
        <f>_xlfn.XLOOKUP(Table_PT[[#This Row],[BUDGET ACCOUNT NAME (DROPDOWN THAT IS USED TO FILL BUDGET ACCOUNT COLUMN)]],Table5816[Budget Account Name],Table5816[Budget Account Number],"Not Found",0)</f>
        <v>Not Found</v>
      </c>
      <c r="B95" s="2"/>
      <c r="C95" s="17"/>
      <c r="D95" s="14"/>
      <c r="E95" s="19"/>
      <c r="F95" s="20"/>
      <c r="G95" s="26"/>
    </row>
    <row r="96" spans="1:7" ht="60" customHeight="1">
      <c r="A96" s="4" t="str">
        <f>_xlfn.XLOOKUP(Table_PT[[#This Row],[BUDGET ACCOUNT NAME (DROPDOWN THAT IS USED TO FILL BUDGET ACCOUNT COLUMN)]],Table5816[Budget Account Name],Table5816[Budget Account Number],"Not Found",0)</f>
        <v>Not Found</v>
      </c>
      <c r="B96" s="2"/>
      <c r="C96" s="17"/>
      <c r="D96" s="14"/>
      <c r="E96" s="19"/>
      <c r="F96" s="20"/>
      <c r="G96" s="26"/>
    </row>
    <row r="97" spans="1:7" ht="60" customHeight="1">
      <c r="A97" s="4" t="str">
        <f>_xlfn.XLOOKUP(Table_PT[[#This Row],[BUDGET ACCOUNT NAME (DROPDOWN THAT IS USED TO FILL BUDGET ACCOUNT COLUMN)]],Table5816[Budget Account Name],Table5816[Budget Account Number],"Not Found",0)</f>
        <v>Not Found</v>
      </c>
      <c r="B97" s="2"/>
      <c r="C97" s="17"/>
      <c r="D97" s="14"/>
      <c r="E97" s="19"/>
      <c r="F97" s="20"/>
      <c r="G97" s="26"/>
    </row>
    <row r="98" spans="1:7" ht="60" customHeight="1">
      <c r="A98" s="4" t="str">
        <f>_xlfn.XLOOKUP(Table_PT[[#This Row],[BUDGET ACCOUNT NAME (DROPDOWN THAT IS USED TO FILL BUDGET ACCOUNT COLUMN)]],Table5816[Budget Account Name],Table5816[Budget Account Number],"Not Found",0)</f>
        <v>Not Found</v>
      </c>
      <c r="B98" s="2"/>
      <c r="C98" s="17"/>
      <c r="D98" s="14"/>
      <c r="E98" s="19"/>
      <c r="F98" s="20"/>
      <c r="G98" s="26"/>
    </row>
    <row r="99" spans="1:7" ht="60" customHeight="1">
      <c r="A99" s="4" t="str">
        <f>_xlfn.XLOOKUP(Table_PT[[#This Row],[BUDGET ACCOUNT NAME (DROPDOWN THAT IS USED TO FILL BUDGET ACCOUNT COLUMN)]],Table5816[Budget Account Name],Table5816[Budget Account Number],"Not Found",0)</f>
        <v>Not Found</v>
      </c>
      <c r="B99" s="2"/>
      <c r="C99" s="17"/>
      <c r="D99" s="14"/>
      <c r="E99" s="19"/>
      <c r="F99" s="20"/>
      <c r="G99" s="26"/>
    </row>
    <row r="100" spans="1:7" ht="60" customHeight="1">
      <c r="A100" s="4" t="str">
        <f>_xlfn.XLOOKUP(Table_PT[[#This Row],[BUDGET ACCOUNT NAME (DROPDOWN THAT IS USED TO FILL BUDGET ACCOUNT COLUMN)]],Table5816[Budget Account Name],Table5816[Budget Account Number],"Not Found",0)</f>
        <v>Not Found</v>
      </c>
      <c r="B100" s="6"/>
      <c r="C100" s="18"/>
      <c r="D100" s="15"/>
      <c r="E100" s="21"/>
      <c r="F100" s="22"/>
      <c r="G100" s="26"/>
    </row>
  </sheetData>
  <protectedRanges>
    <protectedRange algorithmName="SHA-512" hashValue="xDuJaSjTXpznuS/6LnkOyl/8+K6rSkxeZC2cWahWezQHPSs0aPM15eIyqTjZO+JCp6ooOgJW098Azy1ZOqlY4A==" saltValue="NDlPmHisd0iqVM6P3pYSsw==" spinCount="100000" sqref="B14:D100" name="PT"/>
  </protectedRanges>
  <mergeCells count="3">
    <mergeCell ref="A1:F1"/>
    <mergeCell ref="C2:F2"/>
    <mergeCell ref="A12:F12"/>
  </mergeCells>
  <dataValidations count="3">
    <dataValidation type="list" allowBlank="1" showInputMessage="1" showErrorMessage="1" sqref="B14:B100" xr:uid="{090BE878-A4D5-499A-B962-3FD853C8C797}">
      <formula1>$B$3:$B$11</formula1>
    </dataValidation>
    <dataValidation type="list" allowBlank="1" showInputMessage="1" showErrorMessage="1" sqref="E14:E100" xr:uid="{B6608EC3-9ADD-49C1-B6E7-FD2776A174F5}">
      <formula1>$H$2:$H$6</formula1>
    </dataValidation>
    <dataValidation type="list" allowBlank="1" showInputMessage="1" showErrorMessage="1" sqref="G14:G100" xr:uid="{6326FA3C-EE0E-4292-B67D-75676153F29E}">
      <formula1>$G$1:$G$9</formula1>
    </dataValidation>
  </dataValidation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6A64-B8B4-488F-9DA8-CF726F0AFD25}">
  <dimension ref="A1:J100"/>
  <sheetViews>
    <sheetView zoomScale="70" zoomScaleNormal="70" workbookViewId="0">
      <pane ySplit="13" topLeftCell="A14" activePane="bottomLeft" state="frozen"/>
      <selection pane="bottomLeft" activeCell="F27" sqref="F27"/>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t="s">
        <v>155</v>
      </c>
      <c r="H10" s="23"/>
      <c r="I10" s="28"/>
      <c r="J10" s="28"/>
    </row>
    <row r="11" spans="1:10">
      <c r="A11" s="5">
        <v>88800</v>
      </c>
      <c r="B11" s="12" t="s">
        <v>26</v>
      </c>
      <c r="C11" s="3" t="s">
        <v>138</v>
      </c>
      <c r="D11" s="3" t="s">
        <v>89</v>
      </c>
      <c r="E11" s="3" t="s">
        <v>92</v>
      </c>
      <c r="F11" s="3" t="s">
        <v>93</v>
      </c>
      <c r="G11" s="27" t="s">
        <v>156</v>
      </c>
      <c r="H11" s="23"/>
      <c r="I11" s="28"/>
      <c r="J11" s="28"/>
    </row>
    <row r="12" spans="1:10" ht="21">
      <c r="A12" s="51" t="s">
        <v>139</v>
      </c>
      <c r="B12" s="51"/>
      <c r="C12" s="51"/>
      <c r="D12" s="51"/>
      <c r="E12" s="51"/>
      <c r="F12" s="51"/>
      <c r="G12" s="23"/>
      <c r="H12" s="23"/>
      <c r="I12" s="28"/>
      <c r="J12" s="28"/>
    </row>
    <row r="13" spans="1:10" ht="56.25">
      <c r="A13" s="7" t="s">
        <v>140</v>
      </c>
      <c r="B13" s="8" t="s">
        <v>141</v>
      </c>
      <c r="C13" s="9" t="s">
        <v>142</v>
      </c>
      <c r="D13" s="9" t="s">
        <v>143</v>
      </c>
      <c r="E13" s="10" t="s">
        <v>144</v>
      </c>
      <c r="F13" s="11" t="s">
        <v>145</v>
      </c>
      <c r="G13" s="25" t="s">
        <v>146</v>
      </c>
    </row>
    <row r="14" spans="1:10" ht="60" customHeight="1">
      <c r="A14" s="4" t="str">
        <f>_xlfn.XLOOKUP(Table_REU[[#This Row],[BUDGET ACCOUNT NAME (DROPDOWN THAT IS USED TO FILL BUDGET ACCOUNT COLUMN)]],Table5514[Budget Account Name],Table5514[Budget Account Number],"Not Found",0)</f>
        <v>Not Found</v>
      </c>
      <c r="B14" s="2"/>
      <c r="C14" s="16"/>
      <c r="D14" s="14"/>
      <c r="E14" s="19"/>
      <c r="F14" s="20"/>
      <c r="G14" s="26"/>
    </row>
    <row r="15" spans="1:10" ht="60" customHeight="1">
      <c r="A15" s="4" t="str">
        <f>_xlfn.XLOOKUP(Table_REU[[#This Row],[BUDGET ACCOUNT NAME (DROPDOWN THAT IS USED TO FILL BUDGET ACCOUNT COLUMN)]],Table5514[Budget Account Name],Table5514[Budget Account Number],"Not Found",0)</f>
        <v>Not Found</v>
      </c>
      <c r="B15" s="2"/>
      <c r="C15" s="17"/>
      <c r="D15" s="14"/>
      <c r="E15" s="19"/>
      <c r="F15" s="20"/>
      <c r="G15" s="26"/>
    </row>
    <row r="16" spans="1:10" ht="60" customHeight="1">
      <c r="A16" s="4" t="str">
        <f>_xlfn.XLOOKUP(Table_REU[[#This Row],[BUDGET ACCOUNT NAME (DROPDOWN THAT IS USED TO FILL BUDGET ACCOUNT COLUMN)]],Table5514[Budget Account Name],Table5514[Budget Account Number],"Not Found",0)</f>
        <v>Not Found</v>
      </c>
      <c r="B16" s="2"/>
      <c r="C16" s="17"/>
      <c r="D16" s="14"/>
      <c r="E16" s="19"/>
      <c r="F16" s="20"/>
      <c r="G16" s="26"/>
    </row>
    <row r="17" spans="1:7" ht="60" customHeight="1">
      <c r="A17" s="4" t="str">
        <f>_xlfn.XLOOKUP(Table_REU[[#This Row],[BUDGET ACCOUNT NAME (DROPDOWN THAT IS USED TO FILL BUDGET ACCOUNT COLUMN)]],Table5514[Budget Account Name],Table5514[Budget Account Number],"Not Found",0)</f>
        <v>Not Found</v>
      </c>
      <c r="B17" s="2"/>
      <c r="C17" s="17"/>
      <c r="D17" s="14"/>
      <c r="E17" s="19"/>
      <c r="F17" s="20"/>
      <c r="G17" s="26"/>
    </row>
    <row r="18" spans="1:7" ht="60" customHeight="1">
      <c r="A18" s="4" t="str">
        <f>_xlfn.XLOOKUP(Table_REU[[#This Row],[BUDGET ACCOUNT NAME (DROPDOWN THAT IS USED TO FILL BUDGET ACCOUNT COLUMN)]],Table5514[Budget Account Name],Table5514[Budget Account Number],"Not Found",0)</f>
        <v>Not Found</v>
      </c>
      <c r="B18" s="2"/>
      <c r="C18" s="17"/>
      <c r="D18" s="14"/>
      <c r="E18" s="19"/>
      <c r="F18" s="20"/>
      <c r="G18" s="26"/>
    </row>
    <row r="19" spans="1:7" ht="60" customHeight="1">
      <c r="A19" s="4" t="str">
        <f>_xlfn.XLOOKUP(Table_REU[[#This Row],[BUDGET ACCOUNT NAME (DROPDOWN THAT IS USED TO FILL BUDGET ACCOUNT COLUMN)]],Table5514[Budget Account Name],Table5514[Budget Account Number],"Not Found",0)</f>
        <v>Not Found</v>
      </c>
      <c r="B19" s="2"/>
      <c r="C19" s="17"/>
      <c r="D19" s="14"/>
      <c r="E19" s="19"/>
      <c r="F19" s="20"/>
      <c r="G19" s="26"/>
    </row>
    <row r="20" spans="1:7" ht="60" customHeight="1">
      <c r="A20" s="4" t="str">
        <f>_xlfn.XLOOKUP(Table_REU[[#This Row],[BUDGET ACCOUNT NAME (DROPDOWN THAT IS USED TO FILL BUDGET ACCOUNT COLUMN)]],Table5514[Budget Account Name],Table5514[Budget Account Number],"Not Found",0)</f>
        <v>Not Found</v>
      </c>
      <c r="B20" s="2"/>
      <c r="C20" s="17"/>
      <c r="D20" s="14"/>
      <c r="E20" s="19"/>
      <c r="F20" s="20"/>
      <c r="G20" s="26"/>
    </row>
    <row r="21" spans="1:7" ht="60" customHeight="1">
      <c r="A21" s="4" t="str">
        <f>_xlfn.XLOOKUP(Table_REU[[#This Row],[BUDGET ACCOUNT NAME (DROPDOWN THAT IS USED TO FILL BUDGET ACCOUNT COLUMN)]],Table5514[Budget Account Name],Table5514[Budget Account Number],"Not Found",0)</f>
        <v>Not Found</v>
      </c>
      <c r="B21" s="2"/>
      <c r="C21" s="17"/>
      <c r="D21" s="42"/>
      <c r="E21" s="19"/>
      <c r="F21" s="20"/>
      <c r="G21" s="26"/>
    </row>
    <row r="22" spans="1:7" ht="60" customHeight="1">
      <c r="A22" s="4" t="str">
        <f>_xlfn.XLOOKUP(Table_REU[[#This Row],[BUDGET ACCOUNT NAME (DROPDOWN THAT IS USED TO FILL BUDGET ACCOUNT COLUMN)]],Table5514[Budget Account Name],Table5514[Budget Account Number],"Not Found",0)</f>
        <v>Not Found</v>
      </c>
      <c r="B22" s="2"/>
      <c r="C22" s="17"/>
      <c r="D22" s="14"/>
      <c r="E22" s="19"/>
      <c r="F22" s="20"/>
      <c r="G22" s="26"/>
    </row>
    <row r="23" spans="1:7" ht="60" customHeight="1">
      <c r="A23" s="4" t="str">
        <f>_xlfn.XLOOKUP(Table_REU[[#This Row],[BUDGET ACCOUNT NAME (DROPDOWN THAT IS USED TO FILL BUDGET ACCOUNT COLUMN)]],Table5514[Budget Account Name],Table5514[Budget Account Number],"Not Found",0)</f>
        <v>Not Found</v>
      </c>
      <c r="B23" s="2"/>
      <c r="C23" s="17"/>
      <c r="D23" s="14"/>
      <c r="E23" s="19"/>
      <c r="F23" s="20"/>
      <c r="G23" s="26"/>
    </row>
    <row r="24" spans="1:7" ht="60" customHeight="1">
      <c r="A24" s="4" t="str">
        <f>_xlfn.XLOOKUP(Table_REU[[#This Row],[BUDGET ACCOUNT NAME (DROPDOWN THAT IS USED TO FILL BUDGET ACCOUNT COLUMN)]],Table5514[Budget Account Name],Table5514[Budget Account Number],"Not Found",0)</f>
        <v>Not Found</v>
      </c>
      <c r="B24" s="2"/>
      <c r="C24" s="17"/>
      <c r="D24" s="14"/>
      <c r="E24" s="19"/>
      <c r="F24" s="20"/>
      <c r="G24" s="26"/>
    </row>
    <row r="25" spans="1:7" ht="60" customHeight="1">
      <c r="A25" s="4" t="str">
        <f>_xlfn.XLOOKUP(Table_REU[[#This Row],[BUDGET ACCOUNT NAME (DROPDOWN THAT IS USED TO FILL BUDGET ACCOUNT COLUMN)]],Table5514[Budget Account Name],Table5514[Budget Account Number],"Not Found",0)</f>
        <v>Not Found</v>
      </c>
      <c r="B25" s="2"/>
      <c r="C25" s="17"/>
      <c r="D25" s="14"/>
      <c r="E25" s="19"/>
      <c r="F25" s="20"/>
      <c r="G25" s="26"/>
    </row>
    <row r="26" spans="1:7" ht="60" customHeight="1">
      <c r="A26" s="4" t="str">
        <f>_xlfn.XLOOKUP(Table_REU[[#This Row],[BUDGET ACCOUNT NAME (DROPDOWN THAT IS USED TO FILL BUDGET ACCOUNT COLUMN)]],Table5514[Budget Account Name],Table5514[Budget Account Number],"Not Found",0)</f>
        <v>Not Found</v>
      </c>
      <c r="B26" s="2"/>
      <c r="C26" s="17"/>
      <c r="D26" s="14"/>
      <c r="E26" s="19"/>
      <c r="F26" s="20"/>
      <c r="G26" s="26"/>
    </row>
    <row r="27" spans="1:7" ht="60" customHeight="1">
      <c r="A27" s="4" t="str">
        <f>_xlfn.XLOOKUP(Table_REU[[#This Row],[BUDGET ACCOUNT NAME (DROPDOWN THAT IS USED TO FILL BUDGET ACCOUNT COLUMN)]],Table5514[Budget Account Name],Table5514[Budget Account Number],"Not Found",0)</f>
        <v>Not Found</v>
      </c>
      <c r="B27" s="2"/>
      <c r="C27" s="17"/>
      <c r="D27" s="14"/>
      <c r="E27" s="19"/>
      <c r="F27" s="20"/>
      <c r="G27" s="26"/>
    </row>
    <row r="28" spans="1:7" ht="60" customHeight="1">
      <c r="A28" s="4" t="str">
        <f>_xlfn.XLOOKUP(Table_REU[[#This Row],[BUDGET ACCOUNT NAME (DROPDOWN THAT IS USED TO FILL BUDGET ACCOUNT COLUMN)]],Table5514[Budget Account Name],Table5514[Budget Account Number],"Not Found",0)</f>
        <v>Not Found</v>
      </c>
      <c r="B28" s="2"/>
      <c r="C28" s="17"/>
      <c r="D28" s="14"/>
      <c r="E28" s="19"/>
      <c r="F28" s="20"/>
      <c r="G28" s="26"/>
    </row>
    <row r="29" spans="1:7" ht="60" customHeight="1">
      <c r="A29" s="4" t="str">
        <f>_xlfn.XLOOKUP(Table_REU[[#This Row],[BUDGET ACCOUNT NAME (DROPDOWN THAT IS USED TO FILL BUDGET ACCOUNT COLUMN)]],Table5514[Budget Account Name],Table5514[Budget Account Number],"Not Found",0)</f>
        <v>Not Found</v>
      </c>
      <c r="B29" s="2"/>
      <c r="C29" s="17"/>
      <c r="D29" s="14"/>
      <c r="E29" s="19"/>
      <c r="F29" s="20"/>
      <c r="G29" s="26"/>
    </row>
    <row r="30" spans="1:7" ht="60" customHeight="1">
      <c r="A30" s="4" t="str">
        <f>_xlfn.XLOOKUP(Table_REU[[#This Row],[BUDGET ACCOUNT NAME (DROPDOWN THAT IS USED TO FILL BUDGET ACCOUNT COLUMN)]],Table5514[Budget Account Name],Table5514[Budget Account Number],"Not Found",0)</f>
        <v>Not Found</v>
      </c>
      <c r="B30" s="2"/>
      <c r="C30" s="17"/>
      <c r="D30" s="14"/>
      <c r="E30" s="19"/>
      <c r="F30" s="20"/>
      <c r="G30" s="26"/>
    </row>
    <row r="31" spans="1:7" ht="60" customHeight="1">
      <c r="A31" s="4" t="str">
        <f>_xlfn.XLOOKUP(Table_REU[[#This Row],[BUDGET ACCOUNT NAME (DROPDOWN THAT IS USED TO FILL BUDGET ACCOUNT COLUMN)]],Table5514[Budget Account Name],Table5514[Budget Account Number],"Not Found",0)</f>
        <v>Not Found</v>
      </c>
      <c r="B31" s="2"/>
      <c r="C31" s="17"/>
      <c r="D31" s="14"/>
      <c r="E31" s="19"/>
      <c r="F31" s="20"/>
      <c r="G31" s="26"/>
    </row>
    <row r="32" spans="1:7" ht="60" customHeight="1">
      <c r="A32" s="4" t="str">
        <f>_xlfn.XLOOKUP(Table_REU[[#This Row],[BUDGET ACCOUNT NAME (DROPDOWN THAT IS USED TO FILL BUDGET ACCOUNT COLUMN)]],Table5514[Budget Account Name],Table5514[Budget Account Number],"Not Found",0)</f>
        <v>Not Found</v>
      </c>
      <c r="B32" s="2"/>
      <c r="C32" s="17"/>
      <c r="D32" s="14"/>
      <c r="E32" s="19"/>
      <c r="F32" s="20"/>
      <c r="G32" s="26"/>
    </row>
    <row r="33" spans="1:7" ht="60" customHeight="1">
      <c r="A33" s="4" t="str">
        <f>_xlfn.XLOOKUP(Table_REU[[#This Row],[BUDGET ACCOUNT NAME (DROPDOWN THAT IS USED TO FILL BUDGET ACCOUNT COLUMN)]],Table5514[Budget Account Name],Table5514[Budget Account Number],"Not Found",0)</f>
        <v>Not Found</v>
      </c>
      <c r="B33" s="2"/>
      <c r="C33" s="17"/>
      <c r="D33" s="14"/>
      <c r="E33" s="19"/>
      <c r="F33" s="20"/>
      <c r="G33" s="26"/>
    </row>
    <row r="34" spans="1:7" ht="60" customHeight="1">
      <c r="A34" s="4" t="str">
        <f>_xlfn.XLOOKUP(Table_REU[[#This Row],[BUDGET ACCOUNT NAME (DROPDOWN THAT IS USED TO FILL BUDGET ACCOUNT COLUMN)]],Table5514[Budget Account Name],Table5514[Budget Account Number],"Not Found",0)</f>
        <v>Not Found</v>
      </c>
      <c r="B34" s="2"/>
      <c r="C34" s="17"/>
      <c r="D34" s="14"/>
      <c r="E34" s="19"/>
      <c r="F34" s="20"/>
      <c r="G34" s="26"/>
    </row>
    <row r="35" spans="1:7" ht="60" customHeight="1">
      <c r="A35" s="4" t="str">
        <f>_xlfn.XLOOKUP(Table_REU[[#This Row],[BUDGET ACCOUNT NAME (DROPDOWN THAT IS USED TO FILL BUDGET ACCOUNT COLUMN)]],Table5514[Budget Account Name],Table5514[Budget Account Number],"Not Found",0)</f>
        <v>Not Found</v>
      </c>
      <c r="B35" s="2"/>
      <c r="C35" s="17"/>
      <c r="D35" s="14"/>
      <c r="E35" s="19"/>
      <c r="F35" s="20"/>
      <c r="G35" s="26"/>
    </row>
    <row r="36" spans="1:7" ht="60" customHeight="1">
      <c r="A36" s="4" t="str">
        <f>_xlfn.XLOOKUP(Table_REU[[#This Row],[BUDGET ACCOUNT NAME (DROPDOWN THAT IS USED TO FILL BUDGET ACCOUNT COLUMN)]],Table5514[Budget Account Name],Table5514[Budget Account Number],"Not Found",0)</f>
        <v>Not Found</v>
      </c>
      <c r="B36" s="2"/>
      <c r="C36" s="17"/>
      <c r="D36" s="14"/>
      <c r="E36" s="19"/>
      <c r="F36" s="20"/>
      <c r="G36" s="26"/>
    </row>
    <row r="37" spans="1:7" ht="60" customHeight="1">
      <c r="A37" s="4" t="str">
        <f>_xlfn.XLOOKUP(Table_REU[[#This Row],[BUDGET ACCOUNT NAME (DROPDOWN THAT IS USED TO FILL BUDGET ACCOUNT COLUMN)]],Table5514[Budget Account Name],Table5514[Budget Account Number],"Not Found",0)</f>
        <v>Not Found</v>
      </c>
      <c r="B37" s="2"/>
      <c r="C37" s="17"/>
      <c r="D37" s="14"/>
      <c r="E37" s="19"/>
      <c r="F37" s="20"/>
      <c r="G37" s="26"/>
    </row>
    <row r="38" spans="1:7" ht="60" customHeight="1">
      <c r="A38" s="4" t="str">
        <f>_xlfn.XLOOKUP(Table_REU[[#This Row],[BUDGET ACCOUNT NAME (DROPDOWN THAT IS USED TO FILL BUDGET ACCOUNT COLUMN)]],Table5514[Budget Account Name],Table5514[Budget Account Number],"Not Found",0)</f>
        <v>Not Found</v>
      </c>
      <c r="B38" s="2"/>
      <c r="C38" s="17"/>
      <c r="D38" s="14"/>
      <c r="E38" s="19"/>
      <c r="F38" s="20"/>
      <c r="G38" s="26"/>
    </row>
    <row r="39" spans="1:7" ht="60" customHeight="1">
      <c r="A39" s="4" t="str">
        <f>_xlfn.XLOOKUP(Table_REU[[#This Row],[BUDGET ACCOUNT NAME (DROPDOWN THAT IS USED TO FILL BUDGET ACCOUNT COLUMN)]],Table5514[Budget Account Name],Table5514[Budget Account Number],"Not Found",0)</f>
        <v>Not Found</v>
      </c>
      <c r="B39" s="2"/>
      <c r="C39" s="17"/>
      <c r="D39" s="14"/>
      <c r="E39" s="19"/>
      <c r="F39" s="20"/>
      <c r="G39" s="26"/>
    </row>
    <row r="40" spans="1:7" ht="60" customHeight="1">
      <c r="A40" s="4" t="str">
        <f>_xlfn.XLOOKUP(Table_REU[[#This Row],[BUDGET ACCOUNT NAME (DROPDOWN THAT IS USED TO FILL BUDGET ACCOUNT COLUMN)]],Table5514[Budget Account Name],Table5514[Budget Account Number],"Not Found",0)</f>
        <v>Not Found</v>
      </c>
      <c r="B40" s="2"/>
      <c r="C40" s="17"/>
      <c r="D40" s="14"/>
      <c r="E40" s="19"/>
      <c r="F40" s="20"/>
      <c r="G40" s="26"/>
    </row>
    <row r="41" spans="1:7" ht="60" customHeight="1">
      <c r="A41" s="4" t="str">
        <f>_xlfn.XLOOKUP(Table_REU[[#This Row],[BUDGET ACCOUNT NAME (DROPDOWN THAT IS USED TO FILL BUDGET ACCOUNT COLUMN)]],Table5514[Budget Account Name],Table5514[Budget Account Number],"Not Found",0)</f>
        <v>Not Found</v>
      </c>
      <c r="B41" s="2"/>
      <c r="C41" s="17"/>
      <c r="D41" s="14"/>
      <c r="E41" s="19"/>
      <c r="F41" s="20"/>
      <c r="G41" s="26"/>
    </row>
    <row r="42" spans="1:7" ht="60" customHeight="1">
      <c r="A42" s="4" t="str">
        <f>_xlfn.XLOOKUP(Table_REU[[#This Row],[BUDGET ACCOUNT NAME (DROPDOWN THAT IS USED TO FILL BUDGET ACCOUNT COLUMN)]],Table5514[Budget Account Name],Table5514[Budget Account Number],"Not Found",0)</f>
        <v>Not Found</v>
      </c>
      <c r="B42" s="2"/>
      <c r="C42" s="17"/>
      <c r="D42" s="14"/>
      <c r="E42" s="19"/>
      <c r="F42" s="20"/>
      <c r="G42" s="26"/>
    </row>
    <row r="43" spans="1:7" ht="60" customHeight="1">
      <c r="A43" s="4" t="str">
        <f>_xlfn.XLOOKUP(Table_REU[[#This Row],[BUDGET ACCOUNT NAME (DROPDOWN THAT IS USED TO FILL BUDGET ACCOUNT COLUMN)]],Table5514[Budget Account Name],Table5514[Budget Account Number],"Not Found",0)</f>
        <v>Not Found</v>
      </c>
      <c r="B43" s="2"/>
      <c r="C43" s="17"/>
      <c r="D43" s="14"/>
      <c r="E43" s="19"/>
      <c r="F43" s="20"/>
      <c r="G43" s="26"/>
    </row>
    <row r="44" spans="1:7" ht="60" customHeight="1">
      <c r="A44" s="4" t="str">
        <f>_xlfn.XLOOKUP(Table_REU[[#This Row],[BUDGET ACCOUNT NAME (DROPDOWN THAT IS USED TO FILL BUDGET ACCOUNT COLUMN)]],Table5514[Budget Account Name],Table5514[Budget Account Number],"Not Found",0)</f>
        <v>Not Found</v>
      </c>
      <c r="B44" s="2"/>
      <c r="C44" s="17"/>
      <c r="D44" s="14"/>
      <c r="E44" s="19"/>
      <c r="F44" s="20"/>
      <c r="G44" s="26"/>
    </row>
    <row r="45" spans="1:7" ht="60" customHeight="1">
      <c r="A45" s="4" t="str">
        <f>_xlfn.XLOOKUP(Table_REU[[#This Row],[BUDGET ACCOUNT NAME (DROPDOWN THAT IS USED TO FILL BUDGET ACCOUNT COLUMN)]],Table5514[Budget Account Name],Table5514[Budget Account Number],"Not Found",0)</f>
        <v>Not Found</v>
      </c>
      <c r="B45" s="2"/>
      <c r="C45" s="17"/>
      <c r="D45" s="14"/>
      <c r="E45" s="19"/>
      <c r="F45" s="20"/>
      <c r="G45" s="26"/>
    </row>
    <row r="46" spans="1:7" ht="60" customHeight="1">
      <c r="A46" s="4" t="str">
        <f>_xlfn.XLOOKUP(Table_REU[[#This Row],[BUDGET ACCOUNT NAME (DROPDOWN THAT IS USED TO FILL BUDGET ACCOUNT COLUMN)]],Table5514[Budget Account Name],Table5514[Budget Account Number],"Not Found",0)</f>
        <v>Not Found</v>
      </c>
      <c r="B46" s="2"/>
      <c r="C46" s="17"/>
      <c r="D46" s="14"/>
      <c r="E46" s="19"/>
      <c r="F46" s="20"/>
      <c r="G46" s="26"/>
    </row>
    <row r="47" spans="1:7" ht="60" customHeight="1">
      <c r="A47" s="4" t="str">
        <f>_xlfn.XLOOKUP(Table_REU[[#This Row],[BUDGET ACCOUNT NAME (DROPDOWN THAT IS USED TO FILL BUDGET ACCOUNT COLUMN)]],Table5514[Budget Account Name],Table5514[Budget Account Number],"Not Found",0)</f>
        <v>Not Found</v>
      </c>
      <c r="B47" s="2"/>
      <c r="C47" s="17"/>
      <c r="D47" s="14"/>
      <c r="E47" s="19"/>
      <c r="F47" s="20"/>
      <c r="G47" s="26"/>
    </row>
    <row r="48" spans="1:7" ht="60" customHeight="1">
      <c r="A48" s="4" t="str">
        <f>_xlfn.XLOOKUP(Table_REU[[#This Row],[BUDGET ACCOUNT NAME (DROPDOWN THAT IS USED TO FILL BUDGET ACCOUNT COLUMN)]],Table5514[Budget Account Name],Table5514[Budget Account Number],"Not Found",0)</f>
        <v>Not Found</v>
      </c>
      <c r="B48" s="2"/>
      <c r="C48" s="17"/>
      <c r="D48" s="14"/>
      <c r="E48" s="19"/>
      <c r="F48" s="20"/>
      <c r="G48" s="26"/>
    </row>
    <row r="49" spans="1:7" ht="60" customHeight="1">
      <c r="A49" s="4" t="str">
        <f>_xlfn.XLOOKUP(Table_REU[[#This Row],[BUDGET ACCOUNT NAME (DROPDOWN THAT IS USED TO FILL BUDGET ACCOUNT COLUMN)]],Table5514[Budget Account Name],Table5514[Budget Account Number],"Not Found",0)</f>
        <v>Not Found</v>
      </c>
      <c r="B49" s="2"/>
      <c r="C49" s="17"/>
      <c r="D49" s="14"/>
      <c r="E49" s="19"/>
      <c r="F49" s="20"/>
      <c r="G49" s="26"/>
    </row>
    <row r="50" spans="1:7" ht="60" customHeight="1">
      <c r="A50" s="4" t="str">
        <f>_xlfn.XLOOKUP(Table_REU[[#This Row],[BUDGET ACCOUNT NAME (DROPDOWN THAT IS USED TO FILL BUDGET ACCOUNT COLUMN)]],Table5514[Budget Account Name],Table5514[Budget Account Number],"Not Found",0)</f>
        <v>Not Found</v>
      </c>
      <c r="B50" s="2"/>
      <c r="C50" s="17"/>
      <c r="D50" s="14"/>
      <c r="E50" s="19"/>
      <c r="F50" s="20"/>
      <c r="G50" s="26"/>
    </row>
    <row r="51" spans="1:7" ht="60" customHeight="1">
      <c r="A51" s="4" t="str">
        <f>_xlfn.XLOOKUP(Table_REU[[#This Row],[BUDGET ACCOUNT NAME (DROPDOWN THAT IS USED TO FILL BUDGET ACCOUNT COLUMN)]],Table5514[Budget Account Name],Table5514[Budget Account Number],"Not Found",0)</f>
        <v>Not Found</v>
      </c>
      <c r="B51" s="2"/>
      <c r="C51" s="17"/>
      <c r="D51" s="14"/>
      <c r="E51" s="19"/>
      <c r="F51" s="20"/>
      <c r="G51" s="26"/>
    </row>
    <row r="52" spans="1:7" ht="60" customHeight="1">
      <c r="A52" s="4" t="str">
        <f>_xlfn.XLOOKUP(Table_REU[[#This Row],[BUDGET ACCOUNT NAME (DROPDOWN THAT IS USED TO FILL BUDGET ACCOUNT COLUMN)]],Table5514[Budget Account Name],Table5514[Budget Account Number],"Not Found",0)</f>
        <v>Not Found</v>
      </c>
      <c r="B52" s="2"/>
      <c r="C52" s="17"/>
      <c r="D52" s="14"/>
      <c r="E52" s="19"/>
      <c r="F52" s="20"/>
      <c r="G52" s="26"/>
    </row>
    <row r="53" spans="1:7" ht="60" customHeight="1">
      <c r="A53" s="4" t="str">
        <f>_xlfn.XLOOKUP(Table_REU[[#This Row],[BUDGET ACCOUNT NAME (DROPDOWN THAT IS USED TO FILL BUDGET ACCOUNT COLUMN)]],Table5514[Budget Account Name],Table5514[Budget Account Number],"Not Found",0)</f>
        <v>Not Found</v>
      </c>
      <c r="B53" s="2"/>
      <c r="C53" s="17"/>
      <c r="D53" s="14"/>
      <c r="E53" s="19"/>
      <c r="F53" s="20"/>
      <c r="G53" s="26"/>
    </row>
    <row r="54" spans="1:7" ht="60" customHeight="1">
      <c r="A54" s="4" t="str">
        <f>_xlfn.XLOOKUP(Table_REU[[#This Row],[BUDGET ACCOUNT NAME (DROPDOWN THAT IS USED TO FILL BUDGET ACCOUNT COLUMN)]],Table5514[Budget Account Name],Table5514[Budget Account Number],"Not Found",0)</f>
        <v>Not Found</v>
      </c>
      <c r="B54" s="2"/>
      <c r="C54" s="17"/>
      <c r="D54" s="14"/>
      <c r="E54" s="19"/>
      <c r="F54" s="20"/>
      <c r="G54" s="26"/>
    </row>
    <row r="55" spans="1:7" ht="60" customHeight="1">
      <c r="A55" s="4" t="str">
        <f>_xlfn.XLOOKUP(Table_REU[[#This Row],[BUDGET ACCOUNT NAME (DROPDOWN THAT IS USED TO FILL BUDGET ACCOUNT COLUMN)]],Table5514[Budget Account Name],Table5514[Budget Account Number],"Not Found",0)</f>
        <v>Not Found</v>
      </c>
      <c r="B55" s="2"/>
      <c r="C55" s="17"/>
      <c r="D55" s="14"/>
      <c r="E55" s="19"/>
      <c r="F55" s="20"/>
      <c r="G55" s="26"/>
    </row>
    <row r="56" spans="1:7" ht="60" customHeight="1">
      <c r="A56" s="4" t="str">
        <f>_xlfn.XLOOKUP(Table_REU[[#This Row],[BUDGET ACCOUNT NAME (DROPDOWN THAT IS USED TO FILL BUDGET ACCOUNT COLUMN)]],Table5514[Budget Account Name],Table5514[Budget Account Number],"Not Found",0)</f>
        <v>Not Found</v>
      </c>
      <c r="B56" s="2"/>
      <c r="C56" s="17"/>
      <c r="D56" s="14"/>
      <c r="E56" s="19"/>
      <c r="F56" s="20"/>
      <c r="G56" s="26"/>
    </row>
    <row r="57" spans="1:7" ht="60" customHeight="1">
      <c r="A57" s="4" t="str">
        <f>_xlfn.XLOOKUP(Table_REU[[#This Row],[BUDGET ACCOUNT NAME (DROPDOWN THAT IS USED TO FILL BUDGET ACCOUNT COLUMN)]],Table5514[Budget Account Name],Table5514[Budget Account Number],"Not Found",0)</f>
        <v>Not Found</v>
      </c>
      <c r="B57" s="2"/>
      <c r="C57" s="17"/>
      <c r="D57" s="14"/>
      <c r="E57" s="19"/>
      <c r="F57" s="20"/>
      <c r="G57" s="26"/>
    </row>
    <row r="58" spans="1:7" ht="60" customHeight="1">
      <c r="A58" s="4" t="str">
        <f>_xlfn.XLOOKUP(Table_REU[[#This Row],[BUDGET ACCOUNT NAME (DROPDOWN THAT IS USED TO FILL BUDGET ACCOUNT COLUMN)]],Table5514[Budget Account Name],Table5514[Budget Account Number],"Not Found",0)</f>
        <v>Not Found</v>
      </c>
      <c r="B58" s="2"/>
      <c r="C58" s="17"/>
      <c r="D58" s="14"/>
      <c r="E58" s="19"/>
      <c r="F58" s="20"/>
      <c r="G58" s="26"/>
    </row>
    <row r="59" spans="1:7" ht="60" customHeight="1">
      <c r="A59" s="4" t="str">
        <f>_xlfn.XLOOKUP(Table_REU[[#This Row],[BUDGET ACCOUNT NAME (DROPDOWN THAT IS USED TO FILL BUDGET ACCOUNT COLUMN)]],Table5514[Budget Account Name],Table5514[Budget Account Number],"Not Found",0)</f>
        <v>Not Found</v>
      </c>
      <c r="B59" s="2"/>
      <c r="C59" s="17"/>
      <c r="D59" s="14"/>
      <c r="E59" s="19"/>
      <c r="F59" s="20"/>
      <c r="G59" s="26"/>
    </row>
    <row r="60" spans="1:7" ht="60" customHeight="1">
      <c r="A60" s="4" t="str">
        <f>_xlfn.XLOOKUP(Table_REU[[#This Row],[BUDGET ACCOUNT NAME (DROPDOWN THAT IS USED TO FILL BUDGET ACCOUNT COLUMN)]],Table5514[Budget Account Name],Table5514[Budget Account Number],"Not Found",0)</f>
        <v>Not Found</v>
      </c>
      <c r="B60" s="2"/>
      <c r="C60" s="17"/>
      <c r="D60" s="14"/>
      <c r="E60" s="19"/>
      <c r="F60" s="20"/>
      <c r="G60" s="26"/>
    </row>
    <row r="61" spans="1:7" ht="60" customHeight="1">
      <c r="A61" s="4" t="str">
        <f>_xlfn.XLOOKUP(Table_REU[[#This Row],[BUDGET ACCOUNT NAME (DROPDOWN THAT IS USED TO FILL BUDGET ACCOUNT COLUMN)]],Table5514[Budget Account Name],Table5514[Budget Account Number],"Not Found",0)</f>
        <v>Not Found</v>
      </c>
      <c r="B61" s="2"/>
      <c r="C61" s="17"/>
      <c r="D61" s="14"/>
      <c r="E61" s="19"/>
      <c r="F61" s="20"/>
      <c r="G61" s="26"/>
    </row>
    <row r="62" spans="1:7" ht="60" customHeight="1">
      <c r="A62" s="4" t="str">
        <f>_xlfn.XLOOKUP(Table_REU[[#This Row],[BUDGET ACCOUNT NAME (DROPDOWN THAT IS USED TO FILL BUDGET ACCOUNT COLUMN)]],Table5514[Budget Account Name],Table5514[Budget Account Number],"Not Found",0)</f>
        <v>Not Found</v>
      </c>
      <c r="B62" s="2"/>
      <c r="C62" s="17"/>
      <c r="D62" s="14"/>
      <c r="E62" s="19"/>
      <c r="F62" s="20"/>
      <c r="G62" s="26"/>
    </row>
    <row r="63" spans="1:7" ht="60" customHeight="1">
      <c r="A63" s="4" t="str">
        <f>_xlfn.XLOOKUP(Table_REU[[#This Row],[BUDGET ACCOUNT NAME (DROPDOWN THAT IS USED TO FILL BUDGET ACCOUNT COLUMN)]],Table5514[Budget Account Name],Table5514[Budget Account Number],"Not Found",0)</f>
        <v>Not Found</v>
      </c>
      <c r="B63" s="2"/>
      <c r="C63" s="17"/>
      <c r="D63" s="14"/>
      <c r="E63" s="19"/>
      <c r="F63" s="20"/>
      <c r="G63" s="26"/>
    </row>
    <row r="64" spans="1:7" ht="60" customHeight="1">
      <c r="A64" s="4" t="str">
        <f>_xlfn.XLOOKUP(Table_REU[[#This Row],[BUDGET ACCOUNT NAME (DROPDOWN THAT IS USED TO FILL BUDGET ACCOUNT COLUMN)]],Table5514[Budget Account Name],Table5514[Budget Account Number],"Not Found",0)</f>
        <v>Not Found</v>
      </c>
      <c r="B64" s="2"/>
      <c r="C64" s="17"/>
      <c r="D64" s="14"/>
      <c r="E64" s="19"/>
      <c r="F64" s="20"/>
      <c r="G64" s="26"/>
    </row>
    <row r="65" spans="1:7" ht="60" customHeight="1">
      <c r="A65" s="4" t="str">
        <f>_xlfn.XLOOKUP(Table_REU[[#This Row],[BUDGET ACCOUNT NAME (DROPDOWN THAT IS USED TO FILL BUDGET ACCOUNT COLUMN)]],Table5514[Budget Account Name],Table5514[Budget Account Number],"Not Found",0)</f>
        <v>Not Found</v>
      </c>
      <c r="B65" s="2"/>
      <c r="C65" s="17"/>
      <c r="D65" s="14"/>
      <c r="E65" s="19"/>
      <c r="F65" s="20"/>
      <c r="G65" s="26"/>
    </row>
    <row r="66" spans="1:7" ht="60" customHeight="1">
      <c r="A66" s="4" t="str">
        <f>_xlfn.XLOOKUP(Table_REU[[#This Row],[BUDGET ACCOUNT NAME (DROPDOWN THAT IS USED TO FILL BUDGET ACCOUNT COLUMN)]],Table5514[Budget Account Name],Table5514[Budget Account Number],"Not Found",0)</f>
        <v>Not Found</v>
      </c>
      <c r="B66" s="2"/>
      <c r="C66" s="17"/>
      <c r="D66" s="14"/>
      <c r="E66" s="19"/>
      <c r="F66" s="20"/>
      <c r="G66" s="26"/>
    </row>
    <row r="67" spans="1:7" ht="60" customHeight="1">
      <c r="A67" s="4" t="str">
        <f>_xlfn.XLOOKUP(Table_REU[[#This Row],[BUDGET ACCOUNT NAME (DROPDOWN THAT IS USED TO FILL BUDGET ACCOUNT COLUMN)]],Table5514[Budget Account Name],Table5514[Budget Account Number],"Not Found",0)</f>
        <v>Not Found</v>
      </c>
      <c r="B67" s="2"/>
      <c r="C67" s="17"/>
      <c r="D67" s="14"/>
      <c r="E67" s="19"/>
      <c r="F67" s="20"/>
      <c r="G67" s="26"/>
    </row>
    <row r="68" spans="1:7" ht="60" customHeight="1">
      <c r="A68" s="4" t="str">
        <f>_xlfn.XLOOKUP(Table_REU[[#This Row],[BUDGET ACCOUNT NAME (DROPDOWN THAT IS USED TO FILL BUDGET ACCOUNT COLUMN)]],Table5514[Budget Account Name],Table5514[Budget Account Number],"Not Found",0)</f>
        <v>Not Found</v>
      </c>
      <c r="B68" s="2"/>
      <c r="C68" s="17"/>
      <c r="D68" s="14"/>
      <c r="E68" s="19"/>
      <c r="F68" s="20"/>
      <c r="G68" s="26"/>
    </row>
    <row r="69" spans="1:7" ht="60" customHeight="1">
      <c r="A69" s="4" t="str">
        <f>_xlfn.XLOOKUP(Table_REU[[#This Row],[BUDGET ACCOUNT NAME (DROPDOWN THAT IS USED TO FILL BUDGET ACCOUNT COLUMN)]],Table5514[Budget Account Name],Table5514[Budget Account Number],"Not Found",0)</f>
        <v>Not Found</v>
      </c>
      <c r="B69" s="2"/>
      <c r="C69" s="17"/>
      <c r="D69" s="14"/>
      <c r="E69" s="19"/>
      <c r="F69" s="20"/>
      <c r="G69" s="26"/>
    </row>
    <row r="70" spans="1:7" ht="60" customHeight="1">
      <c r="A70" s="4" t="str">
        <f>_xlfn.XLOOKUP(Table_REU[[#This Row],[BUDGET ACCOUNT NAME (DROPDOWN THAT IS USED TO FILL BUDGET ACCOUNT COLUMN)]],Table5514[Budget Account Name],Table5514[Budget Account Number],"Not Found",0)</f>
        <v>Not Found</v>
      </c>
      <c r="B70" s="2"/>
      <c r="C70" s="17"/>
      <c r="D70" s="14"/>
      <c r="E70" s="19"/>
      <c r="F70" s="20"/>
      <c r="G70" s="26"/>
    </row>
    <row r="71" spans="1:7" ht="60" customHeight="1">
      <c r="A71" s="4" t="str">
        <f>_xlfn.XLOOKUP(Table_REU[[#This Row],[BUDGET ACCOUNT NAME (DROPDOWN THAT IS USED TO FILL BUDGET ACCOUNT COLUMN)]],Table5514[Budget Account Name],Table5514[Budget Account Number],"Not Found",0)</f>
        <v>Not Found</v>
      </c>
      <c r="B71" s="2"/>
      <c r="C71" s="17"/>
      <c r="D71" s="14"/>
      <c r="E71" s="19"/>
      <c r="F71" s="20"/>
      <c r="G71" s="26"/>
    </row>
    <row r="72" spans="1:7" ht="60" customHeight="1">
      <c r="A72" s="4" t="str">
        <f>_xlfn.XLOOKUP(Table_REU[[#This Row],[BUDGET ACCOUNT NAME (DROPDOWN THAT IS USED TO FILL BUDGET ACCOUNT COLUMN)]],Table5514[Budget Account Name],Table5514[Budget Account Number],"Not Found",0)</f>
        <v>Not Found</v>
      </c>
      <c r="B72" s="2"/>
      <c r="C72" s="17"/>
      <c r="D72" s="14"/>
      <c r="E72" s="19"/>
      <c r="F72" s="20"/>
      <c r="G72" s="26"/>
    </row>
    <row r="73" spans="1:7" ht="60" customHeight="1">
      <c r="A73" s="4" t="str">
        <f>_xlfn.XLOOKUP(Table_REU[[#This Row],[BUDGET ACCOUNT NAME (DROPDOWN THAT IS USED TO FILL BUDGET ACCOUNT COLUMN)]],Table5514[Budget Account Name],Table5514[Budget Account Number],"Not Found",0)</f>
        <v>Not Found</v>
      </c>
      <c r="B73" s="2"/>
      <c r="C73" s="17"/>
      <c r="D73" s="14"/>
      <c r="E73" s="19"/>
      <c r="F73" s="20"/>
      <c r="G73" s="26"/>
    </row>
    <row r="74" spans="1:7" ht="60" customHeight="1">
      <c r="A74" s="4" t="str">
        <f>_xlfn.XLOOKUP(Table_REU[[#This Row],[BUDGET ACCOUNT NAME (DROPDOWN THAT IS USED TO FILL BUDGET ACCOUNT COLUMN)]],Table5514[Budget Account Name],Table5514[Budget Account Number],"Not Found",0)</f>
        <v>Not Found</v>
      </c>
      <c r="B74" s="2"/>
      <c r="C74" s="17"/>
      <c r="D74" s="14"/>
      <c r="E74" s="19"/>
      <c r="F74" s="20"/>
      <c r="G74" s="26"/>
    </row>
    <row r="75" spans="1:7" ht="60" customHeight="1">
      <c r="A75" s="4" t="str">
        <f>_xlfn.XLOOKUP(Table_REU[[#This Row],[BUDGET ACCOUNT NAME (DROPDOWN THAT IS USED TO FILL BUDGET ACCOUNT COLUMN)]],Table5514[Budget Account Name],Table5514[Budget Account Number],"Not Found",0)</f>
        <v>Not Found</v>
      </c>
      <c r="B75" s="2"/>
      <c r="C75" s="17"/>
      <c r="D75" s="14"/>
      <c r="E75" s="19"/>
      <c r="F75" s="20"/>
      <c r="G75" s="26"/>
    </row>
    <row r="76" spans="1:7" ht="60" customHeight="1">
      <c r="A76" s="4" t="str">
        <f>_xlfn.XLOOKUP(Table_REU[[#This Row],[BUDGET ACCOUNT NAME (DROPDOWN THAT IS USED TO FILL BUDGET ACCOUNT COLUMN)]],Table5514[Budget Account Name],Table5514[Budget Account Number],"Not Found",0)</f>
        <v>Not Found</v>
      </c>
      <c r="B76" s="2"/>
      <c r="C76" s="17"/>
      <c r="D76" s="14"/>
      <c r="E76" s="19"/>
      <c r="F76" s="20"/>
      <c r="G76" s="26"/>
    </row>
    <row r="77" spans="1:7" ht="60" customHeight="1">
      <c r="A77" s="4" t="str">
        <f>_xlfn.XLOOKUP(Table_REU[[#This Row],[BUDGET ACCOUNT NAME (DROPDOWN THAT IS USED TO FILL BUDGET ACCOUNT COLUMN)]],Table5514[Budget Account Name],Table5514[Budget Account Number],"Not Found",0)</f>
        <v>Not Found</v>
      </c>
      <c r="B77" s="2"/>
      <c r="C77" s="17"/>
      <c r="D77" s="14"/>
      <c r="E77" s="19"/>
      <c r="F77" s="20"/>
      <c r="G77" s="26"/>
    </row>
    <row r="78" spans="1:7" ht="60" customHeight="1">
      <c r="A78" s="4" t="str">
        <f>_xlfn.XLOOKUP(Table_REU[[#This Row],[BUDGET ACCOUNT NAME (DROPDOWN THAT IS USED TO FILL BUDGET ACCOUNT COLUMN)]],Table5514[Budget Account Name],Table5514[Budget Account Number],"Not Found",0)</f>
        <v>Not Found</v>
      </c>
      <c r="B78" s="2"/>
      <c r="C78" s="17"/>
      <c r="D78" s="14"/>
      <c r="E78" s="19"/>
      <c r="F78" s="20"/>
      <c r="G78" s="26"/>
    </row>
    <row r="79" spans="1:7" ht="60" customHeight="1">
      <c r="A79" s="4" t="str">
        <f>_xlfn.XLOOKUP(Table_REU[[#This Row],[BUDGET ACCOUNT NAME (DROPDOWN THAT IS USED TO FILL BUDGET ACCOUNT COLUMN)]],Table5514[Budget Account Name],Table5514[Budget Account Number],"Not Found",0)</f>
        <v>Not Found</v>
      </c>
      <c r="B79" s="2"/>
      <c r="C79" s="17"/>
      <c r="D79" s="14"/>
      <c r="E79" s="19"/>
      <c r="F79" s="20"/>
      <c r="G79" s="26"/>
    </row>
    <row r="80" spans="1:7" ht="60" customHeight="1">
      <c r="A80" s="4" t="str">
        <f>_xlfn.XLOOKUP(Table_REU[[#This Row],[BUDGET ACCOUNT NAME (DROPDOWN THAT IS USED TO FILL BUDGET ACCOUNT COLUMN)]],Table5514[Budget Account Name],Table5514[Budget Account Number],"Not Found",0)</f>
        <v>Not Found</v>
      </c>
      <c r="B80" s="2"/>
      <c r="C80" s="17"/>
      <c r="D80" s="14"/>
      <c r="E80" s="19"/>
      <c r="F80" s="20"/>
      <c r="G80" s="26"/>
    </row>
    <row r="81" spans="1:7" ht="60" customHeight="1">
      <c r="A81" s="4" t="str">
        <f>_xlfn.XLOOKUP(Table_REU[[#This Row],[BUDGET ACCOUNT NAME (DROPDOWN THAT IS USED TO FILL BUDGET ACCOUNT COLUMN)]],Table5514[Budget Account Name],Table5514[Budget Account Number],"Not Found",0)</f>
        <v>Not Found</v>
      </c>
      <c r="B81" s="2"/>
      <c r="C81" s="17"/>
      <c r="D81" s="14"/>
      <c r="E81" s="19"/>
      <c r="F81" s="20"/>
      <c r="G81" s="26"/>
    </row>
    <row r="82" spans="1:7" ht="60" customHeight="1">
      <c r="A82" s="4" t="str">
        <f>_xlfn.XLOOKUP(Table_REU[[#This Row],[BUDGET ACCOUNT NAME (DROPDOWN THAT IS USED TO FILL BUDGET ACCOUNT COLUMN)]],Table5514[Budget Account Name],Table5514[Budget Account Number],"Not Found",0)</f>
        <v>Not Found</v>
      </c>
      <c r="B82" s="2"/>
      <c r="C82" s="17"/>
      <c r="D82" s="14"/>
      <c r="E82" s="19"/>
      <c r="F82" s="20"/>
      <c r="G82" s="26"/>
    </row>
    <row r="83" spans="1:7" ht="60" customHeight="1">
      <c r="A83" s="4" t="str">
        <f>_xlfn.XLOOKUP(Table_REU[[#This Row],[BUDGET ACCOUNT NAME (DROPDOWN THAT IS USED TO FILL BUDGET ACCOUNT COLUMN)]],Table5514[Budget Account Name],Table5514[Budget Account Number],"Not Found",0)</f>
        <v>Not Found</v>
      </c>
      <c r="B83" s="2"/>
      <c r="C83" s="17"/>
      <c r="D83" s="14"/>
      <c r="E83" s="19"/>
      <c r="F83" s="20"/>
      <c r="G83" s="26"/>
    </row>
    <row r="84" spans="1:7" ht="60" customHeight="1">
      <c r="A84" s="4" t="str">
        <f>_xlfn.XLOOKUP(Table_REU[[#This Row],[BUDGET ACCOUNT NAME (DROPDOWN THAT IS USED TO FILL BUDGET ACCOUNT COLUMN)]],Table5514[Budget Account Name],Table5514[Budget Account Number],"Not Found",0)</f>
        <v>Not Found</v>
      </c>
      <c r="B84" s="2"/>
      <c r="C84" s="17"/>
      <c r="D84" s="14"/>
      <c r="E84" s="19"/>
      <c r="F84" s="20"/>
      <c r="G84" s="26"/>
    </row>
    <row r="85" spans="1:7" ht="60" customHeight="1">
      <c r="A85" s="4" t="str">
        <f>_xlfn.XLOOKUP(Table_REU[[#This Row],[BUDGET ACCOUNT NAME (DROPDOWN THAT IS USED TO FILL BUDGET ACCOUNT COLUMN)]],Table5514[Budget Account Name],Table5514[Budget Account Number],"Not Found",0)</f>
        <v>Not Found</v>
      </c>
      <c r="B85" s="2"/>
      <c r="C85" s="17"/>
      <c r="D85" s="14"/>
      <c r="E85" s="19"/>
      <c r="F85" s="20"/>
      <c r="G85" s="26"/>
    </row>
    <row r="86" spans="1:7" ht="60" customHeight="1">
      <c r="A86" s="4" t="str">
        <f>_xlfn.XLOOKUP(Table_REU[[#This Row],[BUDGET ACCOUNT NAME (DROPDOWN THAT IS USED TO FILL BUDGET ACCOUNT COLUMN)]],Table5514[Budget Account Name],Table5514[Budget Account Number],"Not Found",0)</f>
        <v>Not Found</v>
      </c>
      <c r="B86" s="2"/>
      <c r="C86" s="17"/>
      <c r="D86" s="14"/>
      <c r="E86" s="19"/>
      <c r="F86" s="20"/>
      <c r="G86" s="26"/>
    </row>
    <row r="87" spans="1:7" ht="60" customHeight="1">
      <c r="A87" s="4" t="str">
        <f>_xlfn.XLOOKUP(Table_REU[[#This Row],[BUDGET ACCOUNT NAME (DROPDOWN THAT IS USED TO FILL BUDGET ACCOUNT COLUMN)]],Table5514[Budget Account Name],Table5514[Budget Account Number],"Not Found",0)</f>
        <v>Not Found</v>
      </c>
      <c r="B87" s="2"/>
      <c r="C87" s="17"/>
      <c r="D87" s="14"/>
      <c r="E87" s="19"/>
      <c r="F87" s="20"/>
      <c r="G87" s="26"/>
    </row>
    <row r="88" spans="1:7" ht="60" customHeight="1">
      <c r="A88" s="4" t="str">
        <f>_xlfn.XLOOKUP(Table_REU[[#This Row],[BUDGET ACCOUNT NAME (DROPDOWN THAT IS USED TO FILL BUDGET ACCOUNT COLUMN)]],Table5514[Budget Account Name],Table5514[Budget Account Number],"Not Found",0)</f>
        <v>Not Found</v>
      </c>
      <c r="B88" s="2"/>
      <c r="C88" s="17"/>
      <c r="D88" s="14"/>
      <c r="E88" s="19"/>
      <c r="F88" s="20"/>
      <c r="G88" s="26"/>
    </row>
    <row r="89" spans="1:7" ht="60" customHeight="1">
      <c r="A89" s="4" t="str">
        <f>_xlfn.XLOOKUP(Table_REU[[#This Row],[BUDGET ACCOUNT NAME (DROPDOWN THAT IS USED TO FILL BUDGET ACCOUNT COLUMN)]],Table5514[Budget Account Name],Table5514[Budget Account Number],"Not Found",0)</f>
        <v>Not Found</v>
      </c>
      <c r="B89" s="2"/>
      <c r="C89" s="17"/>
      <c r="D89" s="14"/>
      <c r="E89" s="19"/>
      <c r="F89" s="20"/>
      <c r="G89" s="26"/>
    </row>
    <row r="90" spans="1:7" ht="60" customHeight="1">
      <c r="A90" s="4" t="str">
        <f>_xlfn.XLOOKUP(Table_REU[[#This Row],[BUDGET ACCOUNT NAME (DROPDOWN THAT IS USED TO FILL BUDGET ACCOUNT COLUMN)]],Table5514[Budget Account Name],Table5514[Budget Account Number],"Not Found",0)</f>
        <v>Not Found</v>
      </c>
      <c r="B90" s="2"/>
      <c r="C90" s="17"/>
      <c r="D90" s="14"/>
      <c r="E90" s="19"/>
      <c r="F90" s="20"/>
      <c r="G90" s="26"/>
    </row>
    <row r="91" spans="1:7" ht="60" customHeight="1">
      <c r="A91" s="4" t="str">
        <f>_xlfn.XLOOKUP(Table_REU[[#This Row],[BUDGET ACCOUNT NAME (DROPDOWN THAT IS USED TO FILL BUDGET ACCOUNT COLUMN)]],Table5514[Budget Account Name],Table5514[Budget Account Number],"Not Found",0)</f>
        <v>Not Found</v>
      </c>
      <c r="B91" s="2"/>
      <c r="C91" s="17"/>
      <c r="D91" s="14"/>
      <c r="E91" s="19"/>
      <c r="F91" s="20"/>
      <c r="G91" s="26"/>
    </row>
    <row r="92" spans="1:7" ht="60" customHeight="1">
      <c r="A92" s="4" t="str">
        <f>_xlfn.XLOOKUP(Table_REU[[#This Row],[BUDGET ACCOUNT NAME (DROPDOWN THAT IS USED TO FILL BUDGET ACCOUNT COLUMN)]],Table5514[Budget Account Name],Table5514[Budget Account Number],"Not Found",0)</f>
        <v>Not Found</v>
      </c>
      <c r="B92" s="2"/>
      <c r="C92" s="17"/>
      <c r="D92" s="14"/>
      <c r="E92" s="19"/>
      <c r="F92" s="20"/>
      <c r="G92" s="26"/>
    </row>
    <row r="93" spans="1:7" ht="60" customHeight="1">
      <c r="A93" s="4" t="str">
        <f>_xlfn.XLOOKUP(Table_REU[[#This Row],[BUDGET ACCOUNT NAME (DROPDOWN THAT IS USED TO FILL BUDGET ACCOUNT COLUMN)]],Table5514[Budget Account Name],Table5514[Budget Account Number],"Not Found",0)</f>
        <v>Not Found</v>
      </c>
      <c r="B93" s="2"/>
      <c r="C93" s="17"/>
      <c r="D93" s="14"/>
      <c r="E93" s="19"/>
      <c r="F93" s="20"/>
      <c r="G93" s="26"/>
    </row>
    <row r="94" spans="1:7" ht="60" customHeight="1">
      <c r="A94" s="4" t="str">
        <f>_xlfn.XLOOKUP(Table_REU[[#This Row],[BUDGET ACCOUNT NAME (DROPDOWN THAT IS USED TO FILL BUDGET ACCOUNT COLUMN)]],Table5514[Budget Account Name],Table5514[Budget Account Number],"Not Found",0)</f>
        <v>Not Found</v>
      </c>
      <c r="B94" s="2"/>
      <c r="C94" s="17"/>
      <c r="D94" s="14"/>
      <c r="E94" s="19"/>
      <c r="F94" s="20"/>
      <c r="G94" s="26"/>
    </row>
    <row r="95" spans="1:7" ht="60" customHeight="1">
      <c r="A95" s="4" t="str">
        <f>_xlfn.XLOOKUP(Table_REU[[#This Row],[BUDGET ACCOUNT NAME (DROPDOWN THAT IS USED TO FILL BUDGET ACCOUNT COLUMN)]],Table5514[Budget Account Name],Table5514[Budget Account Number],"Not Found",0)</f>
        <v>Not Found</v>
      </c>
      <c r="B95" s="2"/>
      <c r="C95" s="17"/>
      <c r="D95" s="14"/>
      <c r="E95" s="19"/>
      <c r="F95" s="20"/>
      <c r="G95" s="26"/>
    </row>
    <row r="96" spans="1:7" ht="60" customHeight="1">
      <c r="A96" s="4" t="str">
        <f>_xlfn.XLOOKUP(Table_REU[[#This Row],[BUDGET ACCOUNT NAME (DROPDOWN THAT IS USED TO FILL BUDGET ACCOUNT COLUMN)]],Table5514[Budget Account Name],Table5514[Budget Account Number],"Not Found",0)</f>
        <v>Not Found</v>
      </c>
      <c r="B96" s="2"/>
      <c r="C96" s="17"/>
      <c r="D96" s="14"/>
      <c r="E96" s="19"/>
      <c r="F96" s="20"/>
      <c r="G96" s="26"/>
    </row>
    <row r="97" spans="1:7" ht="60" customHeight="1">
      <c r="A97" s="4" t="str">
        <f>_xlfn.XLOOKUP(Table_REU[[#This Row],[BUDGET ACCOUNT NAME (DROPDOWN THAT IS USED TO FILL BUDGET ACCOUNT COLUMN)]],Table5514[Budget Account Name],Table5514[Budget Account Number],"Not Found",0)</f>
        <v>Not Found</v>
      </c>
      <c r="B97" s="2"/>
      <c r="C97" s="17"/>
      <c r="D97" s="14"/>
      <c r="E97" s="19"/>
      <c r="F97" s="20"/>
      <c r="G97" s="26"/>
    </row>
    <row r="98" spans="1:7" ht="60" customHeight="1">
      <c r="A98" s="4" t="str">
        <f>_xlfn.XLOOKUP(Table_REU[[#This Row],[BUDGET ACCOUNT NAME (DROPDOWN THAT IS USED TO FILL BUDGET ACCOUNT COLUMN)]],Table5514[Budget Account Name],Table5514[Budget Account Number],"Not Found",0)</f>
        <v>Not Found</v>
      </c>
      <c r="B98" s="2"/>
      <c r="C98" s="17"/>
      <c r="D98" s="14"/>
      <c r="E98" s="19"/>
      <c r="F98" s="20"/>
      <c r="G98" s="26"/>
    </row>
    <row r="99" spans="1:7" ht="60" customHeight="1">
      <c r="A99" s="4" t="str">
        <f>_xlfn.XLOOKUP(Table_REU[[#This Row],[BUDGET ACCOUNT NAME (DROPDOWN THAT IS USED TO FILL BUDGET ACCOUNT COLUMN)]],Table5514[Budget Account Name],Table5514[Budget Account Number],"Not Found",0)</f>
        <v>Not Found</v>
      </c>
      <c r="B99" s="2"/>
      <c r="C99" s="17"/>
      <c r="D99" s="14"/>
      <c r="E99" s="19"/>
      <c r="F99" s="20"/>
      <c r="G99" s="26"/>
    </row>
    <row r="100" spans="1:7" ht="60" customHeight="1">
      <c r="A100" s="4" t="str">
        <f>_xlfn.XLOOKUP(Table_REU[[#This Row],[BUDGET ACCOUNT NAME (DROPDOWN THAT IS USED TO FILL BUDGET ACCOUNT COLUMN)]],Table5514[Budget Account Name],Table5514[Budget Account Number],"Not Found",0)</f>
        <v>Not Found</v>
      </c>
      <c r="B100" s="6"/>
      <c r="C100" s="18"/>
      <c r="D100" s="15"/>
      <c r="E100" s="21"/>
      <c r="F100" s="22"/>
      <c r="G100" s="26"/>
    </row>
  </sheetData>
  <protectedRanges>
    <protectedRange algorithmName="SHA-512" hashValue="h9sMRYTaO2IEbgKWY8pOn0iX/gc6x6ioCJoi1zhvmJsoIGcPey/hNo89muEgMm2D2hOrL9Xwyj1/ghTynQdbVw==" saltValue="0DSnhXyEjlaV+wKCgZLJBg==" spinCount="100000" sqref="B14:D100" name="REU"/>
  </protectedRanges>
  <mergeCells count="3">
    <mergeCell ref="A1:F1"/>
    <mergeCell ref="C2:F2"/>
    <mergeCell ref="A12:F12"/>
  </mergeCells>
  <dataValidations count="3">
    <dataValidation type="list" allowBlank="1" showInputMessage="1" showErrorMessage="1" sqref="B14:B100" xr:uid="{6CF05D84-1923-4DE0-806B-8D2D450061FB}">
      <formula1>$B$3:$B$11</formula1>
    </dataValidation>
    <dataValidation type="list" allowBlank="1" showInputMessage="1" showErrorMessage="1" sqref="E14:E100" xr:uid="{3BDE2386-20E0-4B8D-AE32-0C1A957E6FDA}">
      <formula1>$H$2:$H$6</formula1>
    </dataValidation>
    <dataValidation type="list" allowBlank="1" showInputMessage="1" showErrorMessage="1" sqref="G14:G100" xr:uid="{C29749DF-FE44-4623-A5F1-723CCB205005}">
      <formula1>$G$1:$G$11</formula1>
    </dataValidation>
  </dataValidations>
  <pageMargins left="0.7" right="0.7" top="0.75" bottom="0.75" header="0.3" footer="0.3"/>
  <pageSetup orientation="portrait" horizontalDpi="1200" verticalDpi="1200"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E4AD-7BAB-4F3E-9727-B1AAC740B21C}">
  <dimension ref="A1:J100"/>
  <sheetViews>
    <sheetView zoomScale="70" zoomScaleNormal="70" workbookViewId="0">
      <pane ySplit="13" topLeftCell="A14" activePane="bottomLeft" state="frozen"/>
      <selection pane="bottomLeft" activeCell="E14" sqref="E14"/>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56.25">
      <c r="A13" s="7" t="s">
        <v>140</v>
      </c>
      <c r="B13" s="8" t="s">
        <v>141</v>
      </c>
      <c r="C13" s="9" t="s">
        <v>142</v>
      </c>
      <c r="D13" s="9" t="s">
        <v>143</v>
      </c>
      <c r="E13" s="10" t="s">
        <v>144</v>
      </c>
      <c r="F13" s="11" t="s">
        <v>145</v>
      </c>
      <c r="G13" s="25" t="s">
        <v>146</v>
      </c>
    </row>
    <row r="14" spans="1:10" ht="60" customHeight="1">
      <c r="A14" s="4" t="str">
        <f>_xlfn.XLOOKUP(Table_SU[[#This Row],[BUDGET ACCOUNT NAME (DROPDOWN THAT IS USED TO FILL BUDGET ACCOUNT COLUMN)]],Table510[Budget Account Name],Table510[Budget Account Number],"Not Found",0)</f>
        <v>Not Found</v>
      </c>
      <c r="B14" s="2"/>
      <c r="C14" s="16"/>
      <c r="D14" s="40"/>
      <c r="E14" s="19"/>
      <c r="F14" s="20"/>
      <c r="G14" s="26"/>
    </row>
    <row r="15" spans="1:10" ht="60" customHeight="1">
      <c r="A15" s="4" t="str">
        <f>_xlfn.XLOOKUP(Table_SU[[#This Row],[BUDGET ACCOUNT NAME (DROPDOWN THAT IS USED TO FILL BUDGET ACCOUNT COLUMN)]],Table510[Budget Account Name],Table510[Budget Account Number],"Not Found",0)</f>
        <v>Not Found</v>
      </c>
      <c r="B15" s="2"/>
      <c r="C15" s="17"/>
      <c r="D15" s="38"/>
      <c r="E15" s="19"/>
      <c r="F15" s="20"/>
      <c r="G15" s="26"/>
    </row>
    <row r="16" spans="1:10" ht="60" customHeight="1">
      <c r="A16" s="4" t="str">
        <f>_xlfn.XLOOKUP(Table_SU[[#This Row],[BUDGET ACCOUNT NAME (DROPDOWN THAT IS USED TO FILL BUDGET ACCOUNT COLUMN)]],Table510[Budget Account Name],Table510[Budget Account Number],"Not Found",0)</f>
        <v>Not Found</v>
      </c>
      <c r="B16" s="2"/>
      <c r="C16" s="17"/>
      <c r="D16" s="38"/>
      <c r="E16" s="19"/>
      <c r="F16" s="20"/>
      <c r="G16" s="26"/>
    </row>
    <row r="17" spans="1:7" ht="60" customHeight="1">
      <c r="A17" s="4" t="str">
        <f>_xlfn.XLOOKUP(Table_SU[[#This Row],[BUDGET ACCOUNT NAME (DROPDOWN THAT IS USED TO FILL BUDGET ACCOUNT COLUMN)]],Table510[Budget Account Name],Table510[Budget Account Number],"Not Found",0)</f>
        <v>Not Found</v>
      </c>
      <c r="B17" s="2"/>
      <c r="C17" s="17"/>
      <c r="D17" s="38"/>
      <c r="E17" s="19"/>
      <c r="F17" s="20"/>
      <c r="G17" s="26"/>
    </row>
    <row r="18" spans="1:7" ht="60" customHeight="1">
      <c r="A18" s="4" t="str">
        <f>_xlfn.XLOOKUP(Table_SU[[#This Row],[BUDGET ACCOUNT NAME (DROPDOWN THAT IS USED TO FILL BUDGET ACCOUNT COLUMN)]],Table510[Budget Account Name],Table510[Budget Account Number],"Not Found",0)</f>
        <v>Not Found</v>
      </c>
      <c r="B18" s="2"/>
      <c r="C18" s="17"/>
      <c r="D18" s="40"/>
      <c r="E18" s="19"/>
      <c r="F18" s="20"/>
      <c r="G18" s="26"/>
    </row>
    <row r="19" spans="1:7" ht="60" customHeight="1">
      <c r="A19" s="4" t="str">
        <f>_xlfn.XLOOKUP(Table_SU[[#This Row],[BUDGET ACCOUNT NAME (DROPDOWN THAT IS USED TO FILL BUDGET ACCOUNT COLUMN)]],Table510[Budget Account Name],Table510[Budget Account Number],"Not Found",0)</f>
        <v>Not Found</v>
      </c>
      <c r="B19" s="2"/>
      <c r="C19" s="17"/>
      <c r="D19" s="14"/>
      <c r="E19" s="19"/>
      <c r="F19" s="20"/>
      <c r="G19" s="26"/>
    </row>
    <row r="20" spans="1:7" ht="60" customHeight="1">
      <c r="A20" s="4" t="str">
        <f>_xlfn.XLOOKUP(Table_SU[[#This Row],[BUDGET ACCOUNT NAME (DROPDOWN THAT IS USED TO FILL BUDGET ACCOUNT COLUMN)]],Table510[Budget Account Name],Table510[Budget Account Number],"Not Found",0)</f>
        <v>Not Found</v>
      </c>
      <c r="B20" s="2"/>
      <c r="C20" s="17"/>
      <c r="D20" s="14"/>
      <c r="E20" s="19"/>
      <c r="F20" s="20"/>
      <c r="G20" s="26"/>
    </row>
    <row r="21" spans="1:7" ht="60" customHeight="1">
      <c r="A21" s="4" t="str">
        <f>_xlfn.XLOOKUP(Table_SU[[#This Row],[BUDGET ACCOUNT NAME (DROPDOWN THAT IS USED TO FILL BUDGET ACCOUNT COLUMN)]],Table510[Budget Account Name],Table510[Budget Account Number],"Not Found",0)</f>
        <v>Not Found</v>
      </c>
      <c r="B21" s="2"/>
      <c r="C21" s="17"/>
      <c r="D21" s="14"/>
      <c r="E21" s="19"/>
      <c r="F21" s="20"/>
      <c r="G21" s="26"/>
    </row>
    <row r="22" spans="1:7" ht="60" customHeight="1">
      <c r="A22" s="4" t="str">
        <f>_xlfn.XLOOKUP(Table_SU[[#This Row],[BUDGET ACCOUNT NAME (DROPDOWN THAT IS USED TO FILL BUDGET ACCOUNT COLUMN)]],Table510[Budget Account Name],Table510[Budget Account Number],"Not Found",0)</f>
        <v>Not Found</v>
      </c>
      <c r="B22" s="2"/>
      <c r="C22" s="17"/>
      <c r="D22" s="14"/>
      <c r="E22" s="19"/>
      <c r="F22" s="20"/>
      <c r="G22" s="26"/>
    </row>
    <row r="23" spans="1:7" ht="60" customHeight="1">
      <c r="A23" s="4" t="str">
        <f>_xlfn.XLOOKUP(Table_SU[[#This Row],[BUDGET ACCOUNT NAME (DROPDOWN THAT IS USED TO FILL BUDGET ACCOUNT COLUMN)]],Table510[Budget Account Name],Table510[Budget Account Number],"Not Found",0)</f>
        <v>Not Found</v>
      </c>
      <c r="B23" s="2"/>
      <c r="C23" s="17"/>
      <c r="D23" s="14"/>
      <c r="E23" s="19"/>
      <c r="F23" s="20"/>
      <c r="G23" s="26"/>
    </row>
    <row r="24" spans="1:7" ht="60" customHeight="1">
      <c r="A24" s="4" t="str">
        <f>_xlfn.XLOOKUP(Table_SU[[#This Row],[BUDGET ACCOUNT NAME (DROPDOWN THAT IS USED TO FILL BUDGET ACCOUNT COLUMN)]],Table510[Budget Account Name],Table510[Budget Account Number],"Not Found",0)</f>
        <v>Not Found</v>
      </c>
      <c r="B24" s="2"/>
      <c r="C24" s="17"/>
      <c r="D24" s="14"/>
      <c r="E24" s="19"/>
      <c r="F24" s="20"/>
      <c r="G24" s="26"/>
    </row>
    <row r="25" spans="1:7" ht="60" customHeight="1">
      <c r="A25" s="4" t="str">
        <f>_xlfn.XLOOKUP(Table_SU[[#This Row],[BUDGET ACCOUNT NAME (DROPDOWN THAT IS USED TO FILL BUDGET ACCOUNT COLUMN)]],Table510[Budget Account Name],Table510[Budget Account Number],"Not Found",0)</f>
        <v>Not Found</v>
      </c>
      <c r="B25" s="2"/>
      <c r="C25" s="17"/>
      <c r="D25" s="14"/>
      <c r="E25" s="19"/>
      <c r="F25" s="20"/>
      <c r="G25" s="26"/>
    </row>
    <row r="26" spans="1:7" ht="60" customHeight="1">
      <c r="A26" s="4" t="str">
        <f>_xlfn.XLOOKUP(Table_SU[[#This Row],[BUDGET ACCOUNT NAME (DROPDOWN THAT IS USED TO FILL BUDGET ACCOUNT COLUMN)]],Table510[Budget Account Name],Table510[Budget Account Number],"Not Found",0)</f>
        <v>Not Found</v>
      </c>
      <c r="B26" s="2"/>
      <c r="C26" s="17"/>
      <c r="D26" s="14"/>
      <c r="E26" s="19"/>
      <c r="F26" s="20"/>
      <c r="G26" s="26"/>
    </row>
    <row r="27" spans="1:7" ht="60" customHeight="1">
      <c r="A27" s="4" t="str">
        <f>_xlfn.XLOOKUP(Table_SU[[#This Row],[BUDGET ACCOUNT NAME (DROPDOWN THAT IS USED TO FILL BUDGET ACCOUNT COLUMN)]],Table510[Budget Account Name],Table510[Budget Account Number],"Not Found",0)</f>
        <v>Not Found</v>
      </c>
      <c r="B27" s="2"/>
      <c r="C27" s="17"/>
      <c r="D27" s="14"/>
      <c r="E27" s="19"/>
      <c r="F27" s="20"/>
      <c r="G27" s="26"/>
    </row>
    <row r="28" spans="1:7" ht="60" customHeight="1">
      <c r="A28" s="4" t="str">
        <f>_xlfn.XLOOKUP(Table_SU[[#This Row],[BUDGET ACCOUNT NAME (DROPDOWN THAT IS USED TO FILL BUDGET ACCOUNT COLUMN)]],Table510[Budget Account Name],Table510[Budget Account Number],"Not Found",0)</f>
        <v>Not Found</v>
      </c>
      <c r="B28" s="2"/>
      <c r="C28" s="17"/>
      <c r="D28" s="14"/>
      <c r="E28" s="19"/>
      <c r="F28" s="20"/>
      <c r="G28" s="26"/>
    </row>
    <row r="29" spans="1:7" ht="60" customHeight="1">
      <c r="A29" s="4" t="str">
        <f>_xlfn.XLOOKUP(Table_SU[[#This Row],[BUDGET ACCOUNT NAME (DROPDOWN THAT IS USED TO FILL BUDGET ACCOUNT COLUMN)]],Table510[Budget Account Name],Table510[Budget Account Number],"Not Found",0)</f>
        <v>Not Found</v>
      </c>
      <c r="B29" s="2"/>
      <c r="C29" s="17"/>
      <c r="D29" s="14"/>
      <c r="E29" s="19"/>
      <c r="F29" s="20"/>
      <c r="G29" s="26"/>
    </row>
    <row r="30" spans="1:7" ht="60" customHeight="1">
      <c r="A30" s="4" t="str">
        <f>_xlfn.XLOOKUP(Table_SU[[#This Row],[BUDGET ACCOUNT NAME (DROPDOWN THAT IS USED TO FILL BUDGET ACCOUNT COLUMN)]],Table510[Budget Account Name],Table510[Budget Account Number],"Not Found",0)</f>
        <v>Not Found</v>
      </c>
      <c r="B30" s="2"/>
      <c r="C30" s="17"/>
      <c r="D30" s="14"/>
      <c r="E30" s="19"/>
      <c r="F30" s="20"/>
      <c r="G30" s="26"/>
    </row>
    <row r="31" spans="1:7" ht="60" customHeight="1">
      <c r="A31" s="4" t="str">
        <f>_xlfn.XLOOKUP(Table_SU[[#This Row],[BUDGET ACCOUNT NAME (DROPDOWN THAT IS USED TO FILL BUDGET ACCOUNT COLUMN)]],Table510[Budget Account Name],Table510[Budget Account Number],"Not Found",0)</f>
        <v>Not Found</v>
      </c>
      <c r="B31" s="2"/>
      <c r="C31" s="17"/>
      <c r="D31" s="14"/>
      <c r="E31" s="19"/>
      <c r="F31" s="20"/>
      <c r="G31" s="26"/>
    </row>
    <row r="32" spans="1:7" ht="60" customHeight="1">
      <c r="A32" s="4" t="str">
        <f>_xlfn.XLOOKUP(Table_SU[[#This Row],[BUDGET ACCOUNT NAME (DROPDOWN THAT IS USED TO FILL BUDGET ACCOUNT COLUMN)]],Table510[Budget Account Name],Table510[Budget Account Number],"Not Found",0)</f>
        <v>Not Found</v>
      </c>
      <c r="B32" s="2"/>
      <c r="C32" s="17"/>
      <c r="D32" s="14"/>
      <c r="E32" s="19"/>
      <c r="F32" s="20"/>
      <c r="G32" s="26"/>
    </row>
    <row r="33" spans="1:7" ht="60" customHeight="1">
      <c r="A33" s="4" t="str">
        <f>_xlfn.XLOOKUP(Table_SU[[#This Row],[BUDGET ACCOUNT NAME (DROPDOWN THAT IS USED TO FILL BUDGET ACCOUNT COLUMN)]],Table510[Budget Account Name],Table510[Budget Account Number],"Not Found",0)</f>
        <v>Not Found</v>
      </c>
      <c r="B33" s="2"/>
      <c r="C33" s="17"/>
      <c r="D33" s="14"/>
      <c r="E33" s="19"/>
      <c r="F33" s="20"/>
      <c r="G33" s="26"/>
    </row>
    <row r="34" spans="1:7" ht="60" customHeight="1">
      <c r="A34" s="4" t="str">
        <f>_xlfn.XLOOKUP(Table_SU[[#This Row],[BUDGET ACCOUNT NAME (DROPDOWN THAT IS USED TO FILL BUDGET ACCOUNT COLUMN)]],Table510[Budget Account Name],Table510[Budget Account Number],"Not Found",0)</f>
        <v>Not Found</v>
      </c>
      <c r="B34" s="2"/>
      <c r="C34" s="17"/>
      <c r="D34" s="14"/>
      <c r="E34" s="19"/>
      <c r="F34" s="20"/>
      <c r="G34" s="26"/>
    </row>
    <row r="35" spans="1:7" ht="60" customHeight="1">
      <c r="A35" s="4" t="str">
        <f>_xlfn.XLOOKUP(Table_SU[[#This Row],[BUDGET ACCOUNT NAME (DROPDOWN THAT IS USED TO FILL BUDGET ACCOUNT COLUMN)]],Table510[Budget Account Name],Table510[Budget Account Number],"Not Found",0)</f>
        <v>Not Found</v>
      </c>
      <c r="B35" s="2"/>
      <c r="C35" s="17"/>
      <c r="D35" s="14"/>
      <c r="E35" s="19"/>
      <c r="F35" s="20"/>
      <c r="G35" s="26"/>
    </row>
    <row r="36" spans="1:7" ht="60" customHeight="1">
      <c r="A36" s="4" t="str">
        <f>_xlfn.XLOOKUP(Table_SU[[#This Row],[BUDGET ACCOUNT NAME (DROPDOWN THAT IS USED TO FILL BUDGET ACCOUNT COLUMN)]],Table510[Budget Account Name],Table510[Budget Account Number],"Not Found",0)</f>
        <v>Not Found</v>
      </c>
      <c r="B36" s="2"/>
      <c r="C36" s="17"/>
      <c r="D36" s="14"/>
      <c r="E36" s="19"/>
      <c r="F36" s="20"/>
      <c r="G36" s="26"/>
    </row>
    <row r="37" spans="1:7" ht="60" customHeight="1">
      <c r="A37" s="4" t="str">
        <f>_xlfn.XLOOKUP(Table_SU[[#This Row],[BUDGET ACCOUNT NAME (DROPDOWN THAT IS USED TO FILL BUDGET ACCOUNT COLUMN)]],Table510[Budget Account Name],Table510[Budget Account Number],"Not Found",0)</f>
        <v>Not Found</v>
      </c>
      <c r="B37" s="2"/>
      <c r="C37" s="17"/>
      <c r="D37" s="14"/>
      <c r="E37" s="19"/>
      <c r="F37" s="20"/>
      <c r="G37" s="26"/>
    </row>
    <row r="38" spans="1:7" ht="60" customHeight="1">
      <c r="A38" s="4" t="str">
        <f>_xlfn.XLOOKUP(Table_SU[[#This Row],[BUDGET ACCOUNT NAME (DROPDOWN THAT IS USED TO FILL BUDGET ACCOUNT COLUMN)]],Table510[Budget Account Name],Table510[Budget Account Number],"Not Found",0)</f>
        <v>Not Found</v>
      </c>
      <c r="B38" s="2"/>
      <c r="C38" s="17"/>
      <c r="D38" s="14"/>
      <c r="E38" s="19"/>
      <c r="F38" s="20"/>
      <c r="G38" s="26"/>
    </row>
    <row r="39" spans="1:7" ht="60" customHeight="1">
      <c r="A39" s="4" t="str">
        <f>_xlfn.XLOOKUP(Table_SU[[#This Row],[BUDGET ACCOUNT NAME (DROPDOWN THAT IS USED TO FILL BUDGET ACCOUNT COLUMN)]],Table510[Budget Account Name],Table510[Budget Account Number],"Not Found",0)</f>
        <v>Not Found</v>
      </c>
      <c r="B39" s="2"/>
      <c r="C39" s="17"/>
      <c r="D39" s="14"/>
      <c r="E39" s="19"/>
      <c r="F39" s="20"/>
      <c r="G39" s="26"/>
    </row>
    <row r="40" spans="1:7" ht="60" customHeight="1">
      <c r="A40" s="4" t="str">
        <f>_xlfn.XLOOKUP(Table_SU[[#This Row],[BUDGET ACCOUNT NAME (DROPDOWN THAT IS USED TO FILL BUDGET ACCOUNT COLUMN)]],Table510[Budget Account Name],Table510[Budget Account Number],"Not Found",0)</f>
        <v>Not Found</v>
      </c>
      <c r="B40" s="2"/>
      <c r="C40" s="17"/>
      <c r="D40" s="14"/>
      <c r="E40" s="19"/>
      <c r="F40" s="20"/>
      <c r="G40" s="26"/>
    </row>
    <row r="41" spans="1:7" ht="60" customHeight="1">
      <c r="A41" s="4" t="str">
        <f>_xlfn.XLOOKUP(Table_SU[[#This Row],[BUDGET ACCOUNT NAME (DROPDOWN THAT IS USED TO FILL BUDGET ACCOUNT COLUMN)]],Table510[Budget Account Name],Table510[Budget Account Number],"Not Found",0)</f>
        <v>Not Found</v>
      </c>
      <c r="B41" s="2"/>
      <c r="C41" s="17"/>
      <c r="D41" s="14"/>
      <c r="E41" s="19"/>
      <c r="F41" s="20"/>
      <c r="G41" s="26"/>
    </row>
    <row r="42" spans="1:7" ht="60" customHeight="1">
      <c r="A42" s="4" t="str">
        <f>_xlfn.XLOOKUP(Table_SU[[#This Row],[BUDGET ACCOUNT NAME (DROPDOWN THAT IS USED TO FILL BUDGET ACCOUNT COLUMN)]],Table510[Budget Account Name],Table510[Budget Account Number],"Not Found",0)</f>
        <v>Not Found</v>
      </c>
      <c r="B42" s="2"/>
      <c r="C42" s="17"/>
      <c r="D42" s="14"/>
      <c r="E42" s="19"/>
      <c r="F42" s="20"/>
      <c r="G42" s="26"/>
    </row>
    <row r="43" spans="1:7" ht="60" customHeight="1">
      <c r="A43" s="4" t="str">
        <f>_xlfn.XLOOKUP(Table_SU[[#This Row],[BUDGET ACCOUNT NAME (DROPDOWN THAT IS USED TO FILL BUDGET ACCOUNT COLUMN)]],Table510[Budget Account Name],Table510[Budget Account Number],"Not Found",0)</f>
        <v>Not Found</v>
      </c>
      <c r="B43" s="2"/>
      <c r="C43" s="17"/>
      <c r="D43" s="14"/>
      <c r="E43" s="19"/>
      <c r="F43" s="20"/>
      <c r="G43" s="26"/>
    </row>
    <row r="44" spans="1:7" ht="60" customHeight="1">
      <c r="A44" s="4" t="str">
        <f>_xlfn.XLOOKUP(Table_SU[[#This Row],[BUDGET ACCOUNT NAME (DROPDOWN THAT IS USED TO FILL BUDGET ACCOUNT COLUMN)]],Table510[Budget Account Name],Table510[Budget Account Number],"Not Found",0)</f>
        <v>Not Found</v>
      </c>
      <c r="B44" s="2"/>
      <c r="C44" s="17"/>
      <c r="D44" s="14"/>
      <c r="E44" s="19"/>
      <c r="F44" s="20"/>
      <c r="G44" s="26"/>
    </row>
    <row r="45" spans="1:7" ht="60" customHeight="1">
      <c r="A45" s="4" t="str">
        <f>_xlfn.XLOOKUP(Table_SU[[#This Row],[BUDGET ACCOUNT NAME (DROPDOWN THAT IS USED TO FILL BUDGET ACCOUNT COLUMN)]],Table510[Budget Account Name],Table510[Budget Account Number],"Not Found",0)</f>
        <v>Not Found</v>
      </c>
      <c r="B45" s="2"/>
      <c r="C45" s="17"/>
      <c r="D45" s="14"/>
      <c r="E45" s="19"/>
      <c r="F45" s="20"/>
      <c r="G45" s="26"/>
    </row>
    <row r="46" spans="1:7" ht="60" customHeight="1">
      <c r="A46" s="4" t="str">
        <f>_xlfn.XLOOKUP(Table_SU[[#This Row],[BUDGET ACCOUNT NAME (DROPDOWN THAT IS USED TO FILL BUDGET ACCOUNT COLUMN)]],Table510[Budget Account Name],Table510[Budget Account Number],"Not Found",0)</f>
        <v>Not Found</v>
      </c>
      <c r="B46" s="2"/>
      <c r="C46" s="17"/>
      <c r="D46" s="14"/>
      <c r="E46" s="19"/>
      <c r="F46" s="20"/>
      <c r="G46" s="26"/>
    </row>
    <row r="47" spans="1:7" ht="60" customHeight="1">
      <c r="A47" s="4" t="str">
        <f>_xlfn.XLOOKUP(Table_SU[[#This Row],[BUDGET ACCOUNT NAME (DROPDOWN THAT IS USED TO FILL BUDGET ACCOUNT COLUMN)]],Table510[Budget Account Name],Table510[Budget Account Number],"Not Found",0)</f>
        <v>Not Found</v>
      </c>
      <c r="B47" s="2"/>
      <c r="C47" s="17"/>
      <c r="D47" s="14"/>
      <c r="E47" s="19"/>
      <c r="F47" s="20"/>
      <c r="G47" s="26"/>
    </row>
    <row r="48" spans="1:7" ht="60" customHeight="1">
      <c r="A48" s="4" t="str">
        <f>_xlfn.XLOOKUP(Table_SU[[#This Row],[BUDGET ACCOUNT NAME (DROPDOWN THAT IS USED TO FILL BUDGET ACCOUNT COLUMN)]],Table510[Budget Account Name],Table510[Budget Account Number],"Not Found",0)</f>
        <v>Not Found</v>
      </c>
      <c r="B48" s="2"/>
      <c r="C48" s="17"/>
      <c r="D48" s="14"/>
      <c r="E48" s="19"/>
      <c r="F48" s="20"/>
      <c r="G48" s="26"/>
    </row>
    <row r="49" spans="1:7" ht="60" customHeight="1">
      <c r="A49" s="4" t="str">
        <f>_xlfn.XLOOKUP(Table_SU[[#This Row],[BUDGET ACCOUNT NAME (DROPDOWN THAT IS USED TO FILL BUDGET ACCOUNT COLUMN)]],Table510[Budget Account Name],Table510[Budget Account Number],"Not Found",0)</f>
        <v>Not Found</v>
      </c>
      <c r="B49" s="2"/>
      <c r="C49" s="17"/>
      <c r="D49" s="14"/>
      <c r="E49" s="19"/>
      <c r="F49" s="20"/>
      <c r="G49" s="26"/>
    </row>
    <row r="50" spans="1:7" ht="60" customHeight="1">
      <c r="A50" s="4" t="str">
        <f>_xlfn.XLOOKUP(Table_SU[[#This Row],[BUDGET ACCOUNT NAME (DROPDOWN THAT IS USED TO FILL BUDGET ACCOUNT COLUMN)]],Table510[Budget Account Name],Table510[Budget Account Number],"Not Found",0)</f>
        <v>Not Found</v>
      </c>
      <c r="B50" s="2"/>
      <c r="C50" s="17"/>
      <c r="D50" s="14"/>
      <c r="E50" s="19"/>
      <c r="F50" s="20"/>
      <c r="G50" s="26"/>
    </row>
    <row r="51" spans="1:7" ht="60" customHeight="1">
      <c r="A51" s="4" t="str">
        <f>_xlfn.XLOOKUP(Table_SU[[#This Row],[BUDGET ACCOUNT NAME (DROPDOWN THAT IS USED TO FILL BUDGET ACCOUNT COLUMN)]],Table510[Budget Account Name],Table510[Budget Account Number],"Not Found",0)</f>
        <v>Not Found</v>
      </c>
      <c r="B51" s="2"/>
      <c r="C51" s="17"/>
      <c r="D51" s="14"/>
      <c r="E51" s="19"/>
      <c r="F51" s="20"/>
      <c r="G51" s="26"/>
    </row>
    <row r="52" spans="1:7" ht="60" customHeight="1">
      <c r="A52" s="4" t="str">
        <f>_xlfn.XLOOKUP(Table_SU[[#This Row],[BUDGET ACCOUNT NAME (DROPDOWN THAT IS USED TO FILL BUDGET ACCOUNT COLUMN)]],Table510[Budget Account Name],Table510[Budget Account Number],"Not Found",0)</f>
        <v>Not Found</v>
      </c>
      <c r="B52" s="2"/>
      <c r="C52" s="17"/>
      <c r="D52" s="14"/>
      <c r="E52" s="19"/>
      <c r="F52" s="20"/>
      <c r="G52" s="26"/>
    </row>
    <row r="53" spans="1:7" ht="60" customHeight="1">
      <c r="A53" s="4" t="str">
        <f>_xlfn.XLOOKUP(Table_SU[[#This Row],[BUDGET ACCOUNT NAME (DROPDOWN THAT IS USED TO FILL BUDGET ACCOUNT COLUMN)]],Table510[Budget Account Name],Table510[Budget Account Number],"Not Found",0)</f>
        <v>Not Found</v>
      </c>
      <c r="B53" s="2"/>
      <c r="C53" s="17"/>
      <c r="D53" s="14"/>
      <c r="E53" s="19"/>
      <c r="F53" s="20"/>
      <c r="G53" s="26"/>
    </row>
    <row r="54" spans="1:7" ht="60" customHeight="1">
      <c r="A54" s="4" t="str">
        <f>_xlfn.XLOOKUP(Table_SU[[#This Row],[BUDGET ACCOUNT NAME (DROPDOWN THAT IS USED TO FILL BUDGET ACCOUNT COLUMN)]],Table510[Budget Account Name],Table510[Budget Account Number],"Not Found",0)</f>
        <v>Not Found</v>
      </c>
      <c r="B54" s="2"/>
      <c r="C54" s="17"/>
      <c r="D54" s="14"/>
      <c r="E54" s="19"/>
      <c r="F54" s="20"/>
      <c r="G54" s="26"/>
    </row>
    <row r="55" spans="1:7" ht="60" customHeight="1">
      <c r="A55" s="4" t="str">
        <f>_xlfn.XLOOKUP(Table_SU[[#This Row],[BUDGET ACCOUNT NAME (DROPDOWN THAT IS USED TO FILL BUDGET ACCOUNT COLUMN)]],Table510[Budget Account Name],Table510[Budget Account Number],"Not Found",0)</f>
        <v>Not Found</v>
      </c>
      <c r="B55" s="2"/>
      <c r="C55" s="17"/>
      <c r="D55" s="14"/>
      <c r="E55" s="19"/>
      <c r="F55" s="20"/>
      <c r="G55" s="26"/>
    </row>
    <row r="56" spans="1:7" ht="60" customHeight="1">
      <c r="A56" s="4" t="str">
        <f>_xlfn.XLOOKUP(Table_SU[[#This Row],[BUDGET ACCOUNT NAME (DROPDOWN THAT IS USED TO FILL BUDGET ACCOUNT COLUMN)]],Table510[Budget Account Name],Table510[Budget Account Number],"Not Found",0)</f>
        <v>Not Found</v>
      </c>
      <c r="B56" s="2"/>
      <c r="C56" s="17"/>
      <c r="D56" s="14"/>
      <c r="E56" s="19"/>
      <c r="F56" s="20"/>
      <c r="G56" s="26"/>
    </row>
    <row r="57" spans="1:7" ht="60" customHeight="1">
      <c r="A57" s="4" t="str">
        <f>_xlfn.XLOOKUP(Table_SU[[#This Row],[BUDGET ACCOUNT NAME (DROPDOWN THAT IS USED TO FILL BUDGET ACCOUNT COLUMN)]],Table510[Budget Account Name],Table510[Budget Account Number],"Not Found",0)</f>
        <v>Not Found</v>
      </c>
      <c r="B57" s="2"/>
      <c r="C57" s="17"/>
      <c r="D57" s="14"/>
      <c r="E57" s="19"/>
      <c r="F57" s="20"/>
      <c r="G57" s="26"/>
    </row>
    <row r="58" spans="1:7" ht="60" customHeight="1">
      <c r="A58" s="4" t="str">
        <f>_xlfn.XLOOKUP(Table_SU[[#This Row],[BUDGET ACCOUNT NAME (DROPDOWN THAT IS USED TO FILL BUDGET ACCOUNT COLUMN)]],Table510[Budget Account Name],Table510[Budget Account Number],"Not Found",0)</f>
        <v>Not Found</v>
      </c>
      <c r="B58" s="2"/>
      <c r="C58" s="17"/>
      <c r="D58" s="14"/>
      <c r="E58" s="19"/>
      <c r="F58" s="20"/>
      <c r="G58" s="26"/>
    </row>
    <row r="59" spans="1:7" ht="60" customHeight="1">
      <c r="A59" s="4" t="str">
        <f>_xlfn.XLOOKUP(Table_SU[[#This Row],[BUDGET ACCOUNT NAME (DROPDOWN THAT IS USED TO FILL BUDGET ACCOUNT COLUMN)]],Table510[Budget Account Name],Table510[Budget Account Number],"Not Found",0)</f>
        <v>Not Found</v>
      </c>
      <c r="B59" s="2"/>
      <c r="C59" s="17"/>
      <c r="D59" s="14"/>
      <c r="E59" s="19"/>
      <c r="F59" s="20"/>
      <c r="G59" s="26"/>
    </row>
    <row r="60" spans="1:7" ht="60" customHeight="1">
      <c r="A60" s="4" t="str">
        <f>_xlfn.XLOOKUP(Table_SU[[#This Row],[BUDGET ACCOUNT NAME (DROPDOWN THAT IS USED TO FILL BUDGET ACCOUNT COLUMN)]],Table510[Budget Account Name],Table510[Budget Account Number],"Not Found",0)</f>
        <v>Not Found</v>
      </c>
      <c r="B60" s="2"/>
      <c r="C60" s="17"/>
      <c r="D60" s="14"/>
      <c r="E60" s="19"/>
      <c r="F60" s="20"/>
      <c r="G60" s="26"/>
    </row>
    <row r="61" spans="1:7" ht="60" customHeight="1">
      <c r="A61" s="4" t="str">
        <f>_xlfn.XLOOKUP(Table_SU[[#This Row],[BUDGET ACCOUNT NAME (DROPDOWN THAT IS USED TO FILL BUDGET ACCOUNT COLUMN)]],Table510[Budget Account Name],Table510[Budget Account Number],"Not Found",0)</f>
        <v>Not Found</v>
      </c>
      <c r="B61" s="2"/>
      <c r="C61" s="17"/>
      <c r="D61" s="14"/>
      <c r="E61" s="19"/>
      <c r="F61" s="20"/>
      <c r="G61" s="26"/>
    </row>
    <row r="62" spans="1:7" ht="60" customHeight="1">
      <c r="A62" s="4" t="str">
        <f>_xlfn.XLOOKUP(Table_SU[[#This Row],[BUDGET ACCOUNT NAME (DROPDOWN THAT IS USED TO FILL BUDGET ACCOUNT COLUMN)]],Table510[Budget Account Name],Table510[Budget Account Number],"Not Found",0)</f>
        <v>Not Found</v>
      </c>
      <c r="B62" s="2"/>
      <c r="C62" s="17"/>
      <c r="D62" s="14"/>
      <c r="E62" s="19"/>
      <c r="F62" s="20"/>
      <c r="G62" s="26"/>
    </row>
    <row r="63" spans="1:7" ht="60" customHeight="1">
      <c r="A63" s="4" t="str">
        <f>_xlfn.XLOOKUP(Table_SU[[#This Row],[BUDGET ACCOUNT NAME (DROPDOWN THAT IS USED TO FILL BUDGET ACCOUNT COLUMN)]],Table510[Budget Account Name],Table510[Budget Account Number],"Not Found",0)</f>
        <v>Not Found</v>
      </c>
      <c r="B63" s="2"/>
      <c r="C63" s="17"/>
      <c r="D63" s="14"/>
      <c r="E63" s="19"/>
      <c r="F63" s="20"/>
      <c r="G63" s="26"/>
    </row>
    <row r="64" spans="1:7" ht="60" customHeight="1">
      <c r="A64" s="4" t="str">
        <f>_xlfn.XLOOKUP(Table_SU[[#This Row],[BUDGET ACCOUNT NAME (DROPDOWN THAT IS USED TO FILL BUDGET ACCOUNT COLUMN)]],Table510[Budget Account Name],Table510[Budget Account Number],"Not Found",0)</f>
        <v>Not Found</v>
      </c>
      <c r="B64" s="2"/>
      <c r="C64" s="17"/>
      <c r="D64" s="14"/>
      <c r="E64" s="19"/>
      <c r="F64" s="20"/>
      <c r="G64" s="26"/>
    </row>
    <row r="65" spans="1:7" ht="60" customHeight="1">
      <c r="A65" s="4" t="str">
        <f>_xlfn.XLOOKUP(Table_SU[[#This Row],[BUDGET ACCOUNT NAME (DROPDOWN THAT IS USED TO FILL BUDGET ACCOUNT COLUMN)]],Table510[Budget Account Name],Table510[Budget Account Number],"Not Found",0)</f>
        <v>Not Found</v>
      </c>
      <c r="B65" s="2"/>
      <c r="C65" s="17"/>
      <c r="D65" s="14"/>
      <c r="E65" s="19"/>
      <c r="F65" s="20"/>
      <c r="G65" s="26"/>
    </row>
    <row r="66" spans="1:7" ht="60" customHeight="1">
      <c r="A66" s="4" t="str">
        <f>_xlfn.XLOOKUP(Table_SU[[#This Row],[BUDGET ACCOUNT NAME (DROPDOWN THAT IS USED TO FILL BUDGET ACCOUNT COLUMN)]],Table510[Budget Account Name],Table510[Budget Account Number],"Not Found",0)</f>
        <v>Not Found</v>
      </c>
      <c r="B66" s="2"/>
      <c r="C66" s="17"/>
      <c r="D66" s="14"/>
      <c r="E66" s="19"/>
      <c r="F66" s="20"/>
      <c r="G66" s="26"/>
    </row>
    <row r="67" spans="1:7" ht="60" customHeight="1">
      <c r="A67" s="4" t="str">
        <f>_xlfn.XLOOKUP(Table_SU[[#This Row],[BUDGET ACCOUNT NAME (DROPDOWN THAT IS USED TO FILL BUDGET ACCOUNT COLUMN)]],Table510[Budget Account Name],Table510[Budget Account Number],"Not Found",0)</f>
        <v>Not Found</v>
      </c>
      <c r="B67" s="2"/>
      <c r="C67" s="17"/>
      <c r="D67" s="14"/>
      <c r="E67" s="19"/>
      <c r="F67" s="20"/>
      <c r="G67" s="26"/>
    </row>
    <row r="68" spans="1:7" ht="60" customHeight="1">
      <c r="A68" s="4" t="str">
        <f>_xlfn.XLOOKUP(Table_SU[[#This Row],[BUDGET ACCOUNT NAME (DROPDOWN THAT IS USED TO FILL BUDGET ACCOUNT COLUMN)]],Table510[Budget Account Name],Table510[Budget Account Number],"Not Found",0)</f>
        <v>Not Found</v>
      </c>
      <c r="B68" s="2"/>
      <c r="C68" s="17"/>
      <c r="D68" s="14"/>
      <c r="E68" s="19"/>
      <c r="F68" s="20"/>
      <c r="G68" s="26"/>
    </row>
    <row r="69" spans="1:7" ht="60" customHeight="1">
      <c r="A69" s="4" t="str">
        <f>_xlfn.XLOOKUP(Table_SU[[#This Row],[BUDGET ACCOUNT NAME (DROPDOWN THAT IS USED TO FILL BUDGET ACCOUNT COLUMN)]],Table510[Budget Account Name],Table510[Budget Account Number],"Not Found",0)</f>
        <v>Not Found</v>
      </c>
      <c r="B69" s="2"/>
      <c r="C69" s="17"/>
      <c r="D69" s="14"/>
      <c r="E69" s="19"/>
      <c r="F69" s="20"/>
      <c r="G69" s="26"/>
    </row>
    <row r="70" spans="1:7" ht="60" customHeight="1">
      <c r="A70" s="4" t="str">
        <f>_xlfn.XLOOKUP(Table_SU[[#This Row],[BUDGET ACCOUNT NAME (DROPDOWN THAT IS USED TO FILL BUDGET ACCOUNT COLUMN)]],Table510[Budget Account Name],Table510[Budget Account Number],"Not Found",0)</f>
        <v>Not Found</v>
      </c>
      <c r="B70" s="2"/>
      <c r="C70" s="17"/>
      <c r="D70" s="14"/>
      <c r="E70" s="19"/>
      <c r="F70" s="20"/>
      <c r="G70" s="26"/>
    </row>
    <row r="71" spans="1:7" ht="60" customHeight="1">
      <c r="A71" s="4" t="str">
        <f>_xlfn.XLOOKUP(Table_SU[[#This Row],[BUDGET ACCOUNT NAME (DROPDOWN THAT IS USED TO FILL BUDGET ACCOUNT COLUMN)]],Table510[Budget Account Name],Table510[Budget Account Number],"Not Found",0)</f>
        <v>Not Found</v>
      </c>
      <c r="B71" s="2"/>
      <c r="C71" s="17"/>
      <c r="D71" s="14"/>
      <c r="E71" s="19"/>
      <c r="F71" s="20"/>
      <c r="G71" s="26"/>
    </row>
    <row r="72" spans="1:7" ht="60" customHeight="1">
      <c r="A72" s="4" t="str">
        <f>_xlfn.XLOOKUP(Table_SU[[#This Row],[BUDGET ACCOUNT NAME (DROPDOWN THAT IS USED TO FILL BUDGET ACCOUNT COLUMN)]],Table510[Budget Account Name],Table510[Budget Account Number],"Not Found",0)</f>
        <v>Not Found</v>
      </c>
      <c r="B72" s="2"/>
      <c r="C72" s="17"/>
      <c r="D72" s="14"/>
      <c r="E72" s="19"/>
      <c r="F72" s="20"/>
      <c r="G72" s="26"/>
    </row>
    <row r="73" spans="1:7" ht="60" customHeight="1">
      <c r="A73" s="4" t="str">
        <f>_xlfn.XLOOKUP(Table_SU[[#This Row],[BUDGET ACCOUNT NAME (DROPDOWN THAT IS USED TO FILL BUDGET ACCOUNT COLUMN)]],Table510[Budget Account Name],Table510[Budget Account Number],"Not Found",0)</f>
        <v>Not Found</v>
      </c>
      <c r="B73" s="2"/>
      <c r="C73" s="17"/>
      <c r="D73" s="14"/>
      <c r="E73" s="19"/>
      <c r="F73" s="20"/>
      <c r="G73" s="26"/>
    </row>
    <row r="74" spans="1:7" ht="60" customHeight="1">
      <c r="A74" s="4" t="str">
        <f>_xlfn.XLOOKUP(Table_SU[[#This Row],[BUDGET ACCOUNT NAME (DROPDOWN THAT IS USED TO FILL BUDGET ACCOUNT COLUMN)]],Table510[Budget Account Name],Table510[Budget Account Number],"Not Found",0)</f>
        <v>Not Found</v>
      </c>
      <c r="B74" s="2"/>
      <c r="C74" s="17"/>
      <c r="D74" s="14"/>
      <c r="E74" s="19"/>
      <c r="F74" s="20"/>
      <c r="G74" s="26"/>
    </row>
    <row r="75" spans="1:7" ht="60" customHeight="1">
      <c r="A75" s="4" t="str">
        <f>_xlfn.XLOOKUP(Table_SU[[#This Row],[BUDGET ACCOUNT NAME (DROPDOWN THAT IS USED TO FILL BUDGET ACCOUNT COLUMN)]],Table510[Budget Account Name],Table510[Budget Account Number],"Not Found",0)</f>
        <v>Not Found</v>
      </c>
      <c r="B75" s="2"/>
      <c r="C75" s="17"/>
      <c r="D75" s="14"/>
      <c r="E75" s="19"/>
      <c r="F75" s="20"/>
      <c r="G75" s="26"/>
    </row>
    <row r="76" spans="1:7" ht="60" customHeight="1">
      <c r="A76" s="4" t="str">
        <f>_xlfn.XLOOKUP(Table_SU[[#This Row],[BUDGET ACCOUNT NAME (DROPDOWN THAT IS USED TO FILL BUDGET ACCOUNT COLUMN)]],Table510[Budget Account Name],Table510[Budget Account Number],"Not Found",0)</f>
        <v>Not Found</v>
      </c>
      <c r="B76" s="2"/>
      <c r="C76" s="17"/>
      <c r="D76" s="14"/>
      <c r="E76" s="19"/>
      <c r="F76" s="20"/>
      <c r="G76" s="26"/>
    </row>
    <row r="77" spans="1:7" ht="60" customHeight="1">
      <c r="A77" s="4" t="str">
        <f>_xlfn.XLOOKUP(Table_SU[[#This Row],[BUDGET ACCOUNT NAME (DROPDOWN THAT IS USED TO FILL BUDGET ACCOUNT COLUMN)]],Table510[Budget Account Name],Table510[Budget Account Number],"Not Found",0)</f>
        <v>Not Found</v>
      </c>
      <c r="B77" s="2"/>
      <c r="C77" s="17"/>
      <c r="D77" s="14"/>
      <c r="E77" s="19"/>
      <c r="F77" s="20"/>
      <c r="G77" s="26"/>
    </row>
    <row r="78" spans="1:7" ht="60" customHeight="1">
      <c r="A78" s="4" t="str">
        <f>_xlfn.XLOOKUP(Table_SU[[#This Row],[BUDGET ACCOUNT NAME (DROPDOWN THAT IS USED TO FILL BUDGET ACCOUNT COLUMN)]],Table510[Budget Account Name],Table510[Budget Account Number],"Not Found",0)</f>
        <v>Not Found</v>
      </c>
      <c r="B78" s="2"/>
      <c r="C78" s="17"/>
      <c r="D78" s="14"/>
      <c r="E78" s="19"/>
      <c r="F78" s="20"/>
      <c r="G78" s="26"/>
    </row>
    <row r="79" spans="1:7" ht="60" customHeight="1">
      <c r="A79" s="4" t="str">
        <f>_xlfn.XLOOKUP(Table_SU[[#This Row],[BUDGET ACCOUNT NAME (DROPDOWN THAT IS USED TO FILL BUDGET ACCOUNT COLUMN)]],Table510[Budget Account Name],Table510[Budget Account Number],"Not Found",0)</f>
        <v>Not Found</v>
      </c>
      <c r="B79" s="2"/>
      <c r="C79" s="17"/>
      <c r="D79" s="14"/>
      <c r="E79" s="19"/>
      <c r="F79" s="20"/>
      <c r="G79" s="26"/>
    </row>
    <row r="80" spans="1:7" ht="60" customHeight="1">
      <c r="A80" s="4" t="str">
        <f>_xlfn.XLOOKUP(Table_SU[[#This Row],[BUDGET ACCOUNT NAME (DROPDOWN THAT IS USED TO FILL BUDGET ACCOUNT COLUMN)]],Table510[Budget Account Name],Table510[Budget Account Number],"Not Found",0)</f>
        <v>Not Found</v>
      </c>
      <c r="B80" s="2"/>
      <c r="C80" s="17"/>
      <c r="D80" s="14"/>
      <c r="E80" s="19"/>
      <c r="F80" s="20"/>
      <c r="G80" s="26"/>
    </row>
    <row r="81" spans="1:7" ht="60" customHeight="1">
      <c r="A81" s="4" t="str">
        <f>_xlfn.XLOOKUP(Table_SU[[#This Row],[BUDGET ACCOUNT NAME (DROPDOWN THAT IS USED TO FILL BUDGET ACCOUNT COLUMN)]],Table510[Budget Account Name],Table510[Budget Account Number],"Not Found",0)</f>
        <v>Not Found</v>
      </c>
      <c r="B81" s="2"/>
      <c r="C81" s="17"/>
      <c r="D81" s="14"/>
      <c r="E81" s="19"/>
      <c r="F81" s="20"/>
      <c r="G81" s="26"/>
    </row>
    <row r="82" spans="1:7" ht="60" customHeight="1">
      <c r="A82" s="4" t="str">
        <f>_xlfn.XLOOKUP(Table_SU[[#This Row],[BUDGET ACCOUNT NAME (DROPDOWN THAT IS USED TO FILL BUDGET ACCOUNT COLUMN)]],Table510[Budget Account Name],Table510[Budget Account Number],"Not Found",0)</f>
        <v>Not Found</v>
      </c>
      <c r="B82" s="2"/>
      <c r="C82" s="17"/>
      <c r="D82" s="14"/>
      <c r="E82" s="19"/>
      <c r="F82" s="20"/>
      <c r="G82" s="26"/>
    </row>
    <row r="83" spans="1:7" ht="60" customHeight="1">
      <c r="A83" s="4" t="str">
        <f>_xlfn.XLOOKUP(Table_SU[[#This Row],[BUDGET ACCOUNT NAME (DROPDOWN THAT IS USED TO FILL BUDGET ACCOUNT COLUMN)]],Table510[Budget Account Name],Table510[Budget Account Number],"Not Found",0)</f>
        <v>Not Found</v>
      </c>
      <c r="B83" s="2"/>
      <c r="C83" s="17"/>
      <c r="D83" s="14"/>
      <c r="E83" s="19"/>
      <c r="F83" s="20"/>
      <c r="G83" s="26"/>
    </row>
    <row r="84" spans="1:7" ht="60" customHeight="1">
      <c r="A84" s="4" t="str">
        <f>_xlfn.XLOOKUP(Table_SU[[#This Row],[BUDGET ACCOUNT NAME (DROPDOWN THAT IS USED TO FILL BUDGET ACCOUNT COLUMN)]],Table510[Budget Account Name],Table510[Budget Account Number],"Not Found",0)</f>
        <v>Not Found</v>
      </c>
      <c r="B84" s="2"/>
      <c r="C84" s="17"/>
      <c r="D84" s="14"/>
      <c r="E84" s="19"/>
      <c r="F84" s="20"/>
      <c r="G84" s="26"/>
    </row>
    <row r="85" spans="1:7" ht="60" customHeight="1">
      <c r="A85" s="4" t="str">
        <f>_xlfn.XLOOKUP(Table_SU[[#This Row],[BUDGET ACCOUNT NAME (DROPDOWN THAT IS USED TO FILL BUDGET ACCOUNT COLUMN)]],Table510[Budget Account Name],Table510[Budget Account Number],"Not Found",0)</f>
        <v>Not Found</v>
      </c>
      <c r="B85" s="2"/>
      <c r="C85" s="17"/>
      <c r="D85" s="14"/>
      <c r="E85" s="19"/>
      <c r="F85" s="20"/>
      <c r="G85" s="26"/>
    </row>
    <row r="86" spans="1:7" ht="60" customHeight="1">
      <c r="A86" s="4" t="str">
        <f>_xlfn.XLOOKUP(Table_SU[[#This Row],[BUDGET ACCOUNT NAME (DROPDOWN THAT IS USED TO FILL BUDGET ACCOUNT COLUMN)]],Table510[Budget Account Name],Table510[Budget Account Number],"Not Found",0)</f>
        <v>Not Found</v>
      </c>
      <c r="B86" s="2"/>
      <c r="C86" s="17"/>
      <c r="D86" s="14"/>
      <c r="E86" s="19"/>
      <c r="F86" s="20"/>
      <c r="G86" s="26"/>
    </row>
    <row r="87" spans="1:7" ht="60" customHeight="1">
      <c r="A87" s="4" t="str">
        <f>_xlfn.XLOOKUP(Table_SU[[#This Row],[BUDGET ACCOUNT NAME (DROPDOWN THAT IS USED TO FILL BUDGET ACCOUNT COLUMN)]],Table510[Budget Account Name],Table510[Budget Account Number],"Not Found",0)</f>
        <v>Not Found</v>
      </c>
      <c r="B87" s="2"/>
      <c r="C87" s="17"/>
      <c r="D87" s="14"/>
      <c r="E87" s="19"/>
      <c r="F87" s="20"/>
      <c r="G87" s="26"/>
    </row>
    <row r="88" spans="1:7" ht="60" customHeight="1">
      <c r="A88" s="4" t="str">
        <f>_xlfn.XLOOKUP(Table_SU[[#This Row],[BUDGET ACCOUNT NAME (DROPDOWN THAT IS USED TO FILL BUDGET ACCOUNT COLUMN)]],Table510[Budget Account Name],Table510[Budget Account Number],"Not Found",0)</f>
        <v>Not Found</v>
      </c>
      <c r="B88" s="2"/>
      <c r="C88" s="17"/>
      <c r="D88" s="14"/>
      <c r="E88" s="19"/>
      <c r="F88" s="20"/>
      <c r="G88" s="26"/>
    </row>
    <row r="89" spans="1:7" ht="60" customHeight="1">
      <c r="A89" s="4" t="str">
        <f>_xlfn.XLOOKUP(Table_SU[[#This Row],[BUDGET ACCOUNT NAME (DROPDOWN THAT IS USED TO FILL BUDGET ACCOUNT COLUMN)]],Table510[Budget Account Name],Table510[Budget Account Number],"Not Found",0)</f>
        <v>Not Found</v>
      </c>
      <c r="B89" s="2"/>
      <c r="C89" s="17"/>
      <c r="D89" s="14"/>
      <c r="E89" s="19"/>
      <c r="F89" s="20"/>
      <c r="G89" s="26"/>
    </row>
    <row r="90" spans="1:7" ht="60" customHeight="1">
      <c r="A90" s="4" t="str">
        <f>_xlfn.XLOOKUP(Table_SU[[#This Row],[BUDGET ACCOUNT NAME (DROPDOWN THAT IS USED TO FILL BUDGET ACCOUNT COLUMN)]],Table510[Budget Account Name],Table510[Budget Account Number],"Not Found",0)</f>
        <v>Not Found</v>
      </c>
      <c r="B90" s="2"/>
      <c r="C90" s="17"/>
      <c r="D90" s="14"/>
      <c r="E90" s="19"/>
      <c r="F90" s="20"/>
      <c r="G90" s="26"/>
    </row>
    <row r="91" spans="1:7" ht="60" customHeight="1">
      <c r="A91" s="4" t="str">
        <f>_xlfn.XLOOKUP(Table_SU[[#This Row],[BUDGET ACCOUNT NAME (DROPDOWN THAT IS USED TO FILL BUDGET ACCOUNT COLUMN)]],Table510[Budget Account Name],Table510[Budget Account Number],"Not Found",0)</f>
        <v>Not Found</v>
      </c>
      <c r="B91" s="2"/>
      <c r="C91" s="17"/>
      <c r="D91" s="14"/>
      <c r="E91" s="19"/>
      <c r="F91" s="20"/>
      <c r="G91" s="26"/>
    </row>
    <row r="92" spans="1:7" ht="60" customHeight="1">
      <c r="A92" s="4" t="str">
        <f>_xlfn.XLOOKUP(Table_SU[[#This Row],[BUDGET ACCOUNT NAME (DROPDOWN THAT IS USED TO FILL BUDGET ACCOUNT COLUMN)]],Table510[Budget Account Name],Table510[Budget Account Number],"Not Found",0)</f>
        <v>Not Found</v>
      </c>
      <c r="B92" s="2"/>
      <c r="C92" s="17"/>
      <c r="D92" s="14"/>
      <c r="E92" s="19"/>
      <c r="F92" s="20"/>
      <c r="G92" s="26"/>
    </row>
    <row r="93" spans="1:7" ht="60" customHeight="1">
      <c r="A93" s="4" t="str">
        <f>_xlfn.XLOOKUP(Table_SU[[#This Row],[BUDGET ACCOUNT NAME (DROPDOWN THAT IS USED TO FILL BUDGET ACCOUNT COLUMN)]],Table510[Budget Account Name],Table510[Budget Account Number],"Not Found",0)</f>
        <v>Not Found</v>
      </c>
      <c r="B93" s="2"/>
      <c r="C93" s="17"/>
      <c r="D93" s="14"/>
      <c r="E93" s="19"/>
      <c r="F93" s="20"/>
      <c r="G93" s="26"/>
    </row>
    <row r="94" spans="1:7" ht="60" customHeight="1">
      <c r="A94" s="4" t="str">
        <f>_xlfn.XLOOKUP(Table_SU[[#This Row],[BUDGET ACCOUNT NAME (DROPDOWN THAT IS USED TO FILL BUDGET ACCOUNT COLUMN)]],Table510[Budget Account Name],Table510[Budget Account Number],"Not Found",0)</f>
        <v>Not Found</v>
      </c>
      <c r="B94" s="2"/>
      <c r="C94" s="17"/>
      <c r="D94" s="14"/>
      <c r="E94" s="19"/>
      <c r="F94" s="20"/>
      <c r="G94" s="26"/>
    </row>
    <row r="95" spans="1:7" ht="60" customHeight="1">
      <c r="A95" s="4" t="str">
        <f>_xlfn.XLOOKUP(Table_SU[[#This Row],[BUDGET ACCOUNT NAME (DROPDOWN THAT IS USED TO FILL BUDGET ACCOUNT COLUMN)]],Table510[Budget Account Name],Table510[Budget Account Number],"Not Found",0)</f>
        <v>Not Found</v>
      </c>
      <c r="B95" s="2"/>
      <c r="C95" s="17"/>
      <c r="D95" s="14"/>
      <c r="E95" s="19"/>
      <c r="F95" s="20"/>
      <c r="G95" s="26"/>
    </row>
    <row r="96" spans="1:7" ht="60" customHeight="1">
      <c r="A96" s="4" t="str">
        <f>_xlfn.XLOOKUP(Table_SU[[#This Row],[BUDGET ACCOUNT NAME (DROPDOWN THAT IS USED TO FILL BUDGET ACCOUNT COLUMN)]],Table510[Budget Account Name],Table510[Budget Account Number],"Not Found",0)</f>
        <v>Not Found</v>
      </c>
      <c r="B96" s="2"/>
      <c r="C96" s="17"/>
      <c r="D96" s="14"/>
      <c r="E96" s="19"/>
      <c r="F96" s="20"/>
      <c r="G96" s="26"/>
    </row>
    <row r="97" spans="1:7" ht="60" customHeight="1">
      <c r="A97" s="4" t="str">
        <f>_xlfn.XLOOKUP(Table_SU[[#This Row],[BUDGET ACCOUNT NAME (DROPDOWN THAT IS USED TO FILL BUDGET ACCOUNT COLUMN)]],Table510[Budget Account Name],Table510[Budget Account Number],"Not Found",0)</f>
        <v>Not Found</v>
      </c>
      <c r="B97" s="2"/>
      <c r="C97" s="17"/>
      <c r="D97" s="14"/>
      <c r="E97" s="19"/>
      <c r="F97" s="20"/>
      <c r="G97" s="26"/>
    </row>
    <row r="98" spans="1:7" ht="60" customHeight="1">
      <c r="A98" s="4" t="str">
        <f>_xlfn.XLOOKUP(Table_SU[[#This Row],[BUDGET ACCOUNT NAME (DROPDOWN THAT IS USED TO FILL BUDGET ACCOUNT COLUMN)]],Table510[Budget Account Name],Table510[Budget Account Number],"Not Found",0)</f>
        <v>Not Found</v>
      </c>
      <c r="B98" s="2"/>
      <c r="C98" s="17"/>
      <c r="D98" s="14"/>
      <c r="E98" s="19"/>
      <c r="F98" s="20"/>
      <c r="G98" s="26"/>
    </row>
    <row r="99" spans="1:7" ht="60" customHeight="1">
      <c r="A99" s="4" t="str">
        <f>_xlfn.XLOOKUP(Table_SU[[#This Row],[BUDGET ACCOUNT NAME (DROPDOWN THAT IS USED TO FILL BUDGET ACCOUNT COLUMN)]],Table510[Budget Account Name],Table510[Budget Account Number],"Not Found",0)</f>
        <v>Not Found</v>
      </c>
      <c r="B99" s="2"/>
      <c r="C99" s="17"/>
      <c r="D99" s="14"/>
      <c r="E99" s="19"/>
      <c r="F99" s="20"/>
      <c r="G99" s="26"/>
    </row>
    <row r="100" spans="1:7" ht="60" customHeight="1">
      <c r="A100" s="4" t="str">
        <f>_xlfn.XLOOKUP(Table_SU[[#This Row],[BUDGET ACCOUNT NAME (DROPDOWN THAT IS USED TO FILL BUDGET ACCOUNT COLUMN)]],Table510[Budget Account Name],Table510[Budget Account Number],"Not Found",0)</f>
        <v>Not Found</v>
      </c>
      <c r="B100" s="6"/>
      <c r="C100" s="18"/>
      <c r="D100" s="15"/>
      <c r="E100" s="21"/>
      <c r="F100" s="22"/>
      <c r="G100" s="26"/>
    </row>
  </sheetData>
  <protectedRanges>
    <protectedRange algorithmName="SHA-512" hashValue="EoiD8VzbAZ5+fp3clXEkul9pxOo7ArmJYisSeUg7PdhlT+VvxTw3fvh8BaScVKJ4aH4H2Q4V/9yNTYhKAplCfw==" saltValue="omX0OFnUCo75zPHpbI10Zg==" spinCount="100000" sqref="B14:D100" name="SU"/>
  </protectedRanges>
  <mergeCells count="3">
    <mergeCell ref="A1:F1"/>
    <mergeCell ref="C2:F2"/>
    <mergeCell ref="A12:F12"/>
  </mergeCells>
  <dataValidations count="3">
    <dataValidation type="list" allowBlank="1" showInputMessage="1" showErrorMessage="1" sqref="G14:G100" xr:uid="{DE576D88-6617-406E-8AE0-4936C6EED42D}">
      <formula1>$G$1:$G$9</formula1>
    </dataValidation>
    <dataValidation type="list" allowBlank="1" showInputMessage="1" showErrorMessage="1" sqref="E14:E100" xr:uid="{71EA6D8F-C39B-43E1-8820-6DFF9DE4387C}">
      <formula1>$H$2:$H$6</formula1>
    </dataValidation>
    <dataValidation type="list" allowBlank="1" showInputMessage="1" showErrorMessage="1" sqref="B14:B100" xr:uid="{94533993-DA89-4147-9934-F0379E72D776}">
      <formula1>$B$3:$B$11</formula1>
    </dataValidation>
  </dataValidations>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6FEB1-086E-4D8D-9061-477D633FBFB4}">
  <dimension ref="A1:J98"/>
  <sheetViews>
    <sheetView zoomScale="70" zoomScaleNormal="70" workbookViewId="0">
      <pane ySplit="11" topLeftCell="A12" activePane="bottomLeft" state="frozen"/>
      <selection pane="bottomLeft" activeCell="E15" sqref="E15"/>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t="s">
        <v>237</v>
      </c>
      <c r="I1" s="28"/>
      <c r="J1" s="28"/>
    </row>
    <row r="2" spans="1:10" ht="18.75">
      <c r="A2" s="7" t="s">
        <v>110</v>
      </c>
      <c r="B2" s="13" t="s">
        <v>111</v>
      </c>
      <c r="C2" s="52" t="s">
        <v>112</v>
      </c>
      <c r="D2" s="53"/>
      <c r="E2" s="53"/>
      <c r="F2" s="54"/>
      <c r="G2" s="23" t="s">
        <v>235</v>
      </c>
      <c r="H2" s="23" t="s">
        <v>114</v>
      </c>
      <c r="I2" s="28"/>
      <c r="J2" s="28"/>
    </row>
    <row r="3" spans="1:10">
      <c r="A3" s="4">
        <v>88021</v>
      </c>
      <c r="B3" s="1" t="s">
        <v>239</v>
      </c>
      <c r="C3" s="3" t="s">
        <v>242</v>
      </c>
      <c r="D3" s="3"/>
      <c r="E3" s="3"/>
      <c r="F3" s="3"/>
      <c r="G3" s="27" t="s">
        <v>118</v>
      </c>
      <c r="H3" s="24" t="s">
        <v>119</v>
      </c>
      <c r="I3" s="28"/>
      <c r="J3" s="28"/>
    </row>
    <row r="4" spans="1:10">
      <c r="A4" s="4">
        <v>88022</v>
      </c>
      <c r="B4" s="1" t="s">
        <v>240</v>
      </c>
      <c r="C4" s="3" t="s">
        <v>241</v>
      </c>
      <c r="D4" s="3"/>
      <c r="E4" s="3"/>
      <c r="F4" s="3"/>
      <c r="G4" s="27" t="s">
        <v>122</v>
      </c>
      <c r="H4" s="24" t="s">
        <v>123</v>
      </c>
      <c r="I4" s="28"/>
      <c r="J4" s="28"/>
    </row>
    <row r="5" spans="1:10">
      <c r="A5" s="4">
        <v>88023</v>
      </c>
      <c r="B5" s="1" t="s">
        <v>243</v>
      </c>
      <c r="C5" s="3" t="s">
        <v>247</v>
      </c>
      <c r="D5" s="3"/>
      <c r="E5" s="3"/>
      <c r="F5" s="3"/>
      <c r="G5" s="27" t="s">
        <v>126</v>
      </c>
      <c r="H5" s="24" t="s">
        <v>127</v>
      </c>
      <c r="I5" s="28"/>
      <c r="J5" s="28"/>
    </row>
    <row r="6" spans="1:10">
      <c r="A6" s="4">
        <v>88027</v>
      </c>
      <c r="B6" s="1" t="s">
        <v>244</v>
      </c>
      <c r="C6" s="3" t="s">
        <v>8</v>
      </c>
      <c r="D6" s="3"/>
      <c r="E6" s="3"/>
      <c r="F6" s="3"/>
      <c r="G6" s="27" t="s">
        <v>128</v>
      </c>
      <c r="H6" s="24" t="s">
        <v>129</v>
      </c>
      <c r="I6" s="28"/>
      <c r="J6" s="28"/>
    </row>
    <row r="7" spans="1:10">
      <c r="A7" s="4">
        <v>88028</v>
      </c>
      <c r="B7" s="1" t="s">
        <v>9</v>
      </c>
      <c r="C7" s="3" t="s">
        <v>245</v>
      </c>
      <c r="D7" s="3"/>
      <c r="E7" s="3"/>
      <c r="F7" s="3"/>
      <c r="G7" s="27" t="s">
        <v>133</v>
      </c>
      <c r="H7" s="23"/>
      <c r="I7" s="28"/>
      <c r="J7" s="28"/>
    </row>
    <row r="8" spans="1:10">
      <c r="A8" s="4">
        <v>88032</v>
      </c>
      <c r="B8" s="1" t="s">
        <v>246</v>
      </c>
      <c r="C8" s="3" t="s">
        <v>20</v>
      </c>
      <c r="D8" s="3"/>
      <c r="E8" s="3"/>
      <c r="F8" s="3"/>
      <c r="G8" s="27" t="s">
        <v>135</v>
      </c>
      <c r="H8" s="23"/>
      <c r="I8" s="28"/>
      <c r="J8" s="28"/>
    </row>
    <row r="9" spans="1:10" ht="29.25" customHeight="1">
      <c r="A9" s="5">
        <v>88100</v>
      </c>
      <c r="B9" s="12" t="s">
        <v>12</v>
      </c>
      <c r="C9" s="3" t="s">
        <v>115</v>
      </c>
      <c r="D9" s="3" t="s">
        <v>116</v>
      </c>
      <c r="E9" s="3" t="s">
        <v>117</v>
      </c>
      <c r="F9" s="3" t="s">
        <v>34</v>
      </c>
      <c r="G9" s="59"/>
      <c r="H9" s="23"/>
      <c r="I9" s="28"/>
      <c r="J9" s="28"/>
    </row>
    <row r="10" spans="1:10" ht="21">
      <c r="A10" s="51" t="s">
        <v>139</v>
      </c>
      <c r="B10" s="51"/>
      <c r="C10" s="51"/>
      <c r="D10" s="51"/>
      <c r="E10" s="51"/>
      <c r="F10" s="51"/>
      <c r="G10" s="23"/>
      <c r="H10" s="23"/>
      <c r="I10" s="28"/>
      <c r="J10" s="28"/>
    </row>
    <row r="11" spans="1:10" ht="56.25">
      <c r="A11" s="7" t="s">
        <v>140</v>
      </c>
      <c r="B11" s="8" t="s">
        <v>141</v>
      </c>
      <c r="C11" s="9" t="s">
        <v>142</v>
      </c>
      <c r="D11" s="9" t="s">
        <v>143</v>
      </c>
      <c r="E11" s="10" t="s">
        <v>144</v>
      </c>
      <c r="F11" s="11" t="s">
        <v>145</v>
      </c>
      <c r="G11" s="25" t="s">
        <v>146</v>
      </c>
    </row>
    <row r="12" spans="1:10" ht="60" customHeight="1">
      <c r="A12" s="4" t="str">
        <f>_xlfn.XLOOKUP(Table_OFF[[#This Row],[BUDGET ACCOUNT NAME (DROPDOWN THAT IS USED TO FILL BUDGET ACCOUNT COLUMN)]],Table51026[Budget Account Name],Table51026[Budget Account Number],"Not Found",0)</f>
        <v>Not Found</v>
      </c>
      <c r="B12" s="2"/>
      <c r="C12" s="16"/>
      <c r="D12" s="40"/>
      <c r="E12" s="19"/>
      <c r="F12" s="20"/>
      <c r="G12" s="26"/>
    </row>
    <row r="13" spans="1:10" ht="60" customHeight="1">
      <c r="A13" s="4" t="str">
        <f>_xlfn.XLOOKUP(Table_OFF[[#This Row],[BUDGET ACCOUNT NAME (DROPDOWN THAT IS USED TO FILL BUDGET ACCOUNT COLUMN)]],Table51026[Budget Account Name],Table51026[Budget Account Number],"Not Found",0)</f>
        <v>Not Found</v>
      </c>
      <c r="B13" s="2"/>
      <c r="C13" s="17"/>
      <c r="D13" s="38"/>
      <c r="E13" s="19"/>
      <c r="F13" s="20"/>
      <c r="G13" s="26"/>
    </row>
    <row r="14" spans="1:10" ht="60" customHeight="1">
      <c r="A14" s="4" t="str">
        <f>_xlfn.XLOOKUP(Table_OFF[[#This Row],[BUDGET ACCOUNT NAME (DROPDOWN THAT IS USED TO FILL BUDGET ACCOUNT COLUMN)]],Table51026[Budget Account Name],Table51026[Budget Account Number],"Not Found",0)</f>
        <v>Not Found</v>
      </c>
      <c r="B14" s="2"/>
      <c r="C14" s="17"/>
      <c r="D14" s="38"/>
      <c r="E14" s="19"/>
      <c r="F14" s="20"/>
      <c r="G14" s="26"/>
    </row>
    <row r="15" spans="1:10" ht="60" customHeight="1">
      <c r="A15" s="4" t="str">
        <f>_xlfn.XLOOKUP(Table_OFF[[#This Row],[BUDGET ACCOUNT NAME (DROPDOWN THAT IS USED TO FILL BUDGET ACCOUNT COLUMN)]],Table51026[Budget Account Name],Table51026[Budget Account Number],"Not Found",0)</f>
        <v>Not Found</v>
      </c>
      <c r="B15" s="2"/>
      <c r="C15" s="17"/>
      <c r="D15" s="38"/>
      <c r="E15" s="19"/>
      <c r="F15" s="20"/>
      <c r="G15" s="26"/>
    </row>
    <row r="16" spans="1:10" ht="60" customHeight="1">
      <c r="A16" s="4" t="str">
        <f>_xlfn.XLOOKUP(Table_OFF[[#This Row],[BUDGET ACCOUNT NAME (DROPDOWN THAT IS USED TO FILL BUDGET ACCOUNT COLUMN)]],Table51026[Budget Account Name],Table51026[Budget Account Number],"Not Found",0)</f>
        <v>Not Found</v>
      </c>
      <c r="B16" s="2"/>
      <c r="C16" s="17"/>
      <c r="D16" s="40"/>
      <c r="E16" s="19"/>
      <c r="F16" s="20"/>
      <c r="G16" s="26"/>
    </row>
    <row r="17" spans="1:7" ht="60" customHeight="1">
      <c r="A17" s="4" t="str">
        <f>_xlfn.XLOOKUP(Table_OFF[[#This Row],[BUDGET ACCOUNT NAME (DROPDOWN THAT IS USED TO FILL BUDGET ACCOUNT COLUMN)]],Table51026[Budget Account Name],Table51026[Budget Account Number],"Not Found",0)</f>
        <v>Not Found</v>
      </c>
      <c r="B17" s="2"/>
      <c r="C17" s="17"/>
      <c r="D17" s="14"/>
      <c r="E17" s="19"/>
      <c r="F17" s="20"/>
      <c r="G17" s="26"/>
    </row>
    <row r="18" spans="1:7" ht="60" customHeight="1">
      <c r="A18" s="4" t="str">
        <f>_xlfn.XLOOKUP(Table_OFF[[#This Row],[BUDGET ACCOUNT NAME (DROPDOWN THAT IS USED TO FILL BUDGET ACCOUNT COLUMN)]],Table51026[Budget Account Name],Table51026[Budget Account Number],"Not Found",0)</f>
        <v>Not Found</v>
      </c>
      <c r="B18" s="2"/>
      <c r="C18" s="17"/>
      <c r="D18" s="14"/>
      <c r="E18" s="19"/>
      <c r="F18" s="20"/>
      <c r="G18" s="26"/>
    </row>
    <row r="19" spans="1:7" ht="60" customHeight="1">
      <c r="A19" s="4" t="str">
        <f>_xlfn.XLOOKUP(Table_OFF[[#This Row],[BUDGET ACCOUNT NAME (DROPDOWN THAT IS USED TO FILL BUDGET ACCOUNT COLUMN)]],Table51026[Budget Account Name],Table51026[Budget Account Number],"Not Found",0)</f>
        <v>Not Found</v>
      </c>
      <c r="B19" s="2"/>
      <c r="C19" s="17"/>
      <c r="D19" s="14"/>
      <c r="E19" s="19"/>
      <c r="F19" s="20"/>
      <c r="G19" s="26"/>
    </row>
    <row r="20" spans="1:7" ht="60" customHeight="1">
      <c r="A20" s="4" t="str">
        <f>_xlfn.XLOOKUP(Table_OFF[[#This Row],[BUDGET ACCOUNT NAME (DROPDOWN THAT IS USED TO FILL BUDGET ACCOUNT COLUMN)]],Table51026[Budget Account Name],Table51026[Budget Account Number],"Not Found",0)</f>
        <v>Not Found</v>
      </c>
      <c r="B20" s="2"/>
      <c r="C20" s="17"/>
      <c r="D20" s="14"/>
      <c r="E20" s="19"/>
      <c r="F20" s="20"/>
      <c r="G20" s="26"/>
    </row>
    <row r="21" spans="1:7" ht="60" customHeight="1">
      <c r="A21" s="4" t="str">
        <f>_xlfn.XLOOKUP(Table_OFF[[#This Row],[BUDGET ACCOUNT NAME (DROPDOWN THAT IS USED TO FILL BUDGET ACCOUNT COLUMN)]],Table51026[Budget Account Name],Table51026[Budget Account Number],"Not Found",0)</f>
        <v>Not Found</v>
      </c>
      <c r="B21" s="2"/>
      <c r="C21" s="17"/>
      <c r="D21" s="14"/>
      <c r="E21" s="19"/>
      <c r="F21" s="20"/>
      <c r="G21" s="26"/>
    </row>
    <row r="22" spans="1:7" ht="60" customHeight="1">
      <c r="A22" s="4" t="str">
        <f>_xlfn.XLOOKUP(Table_OFF[[#This Row],[BUDGET ACCOUNT NAME (DROPDOWN THAT IS USED TO FILL BUDGET ACCOUNT COLUMN)]],Table51026[Budget Account Name],Table51026[Budget Account Number],"Not Found",0)</f>
        <v>Not Found</v>
      </c>
      <c r="B22" s="2"/>
      <c r="C22" s="17"/>
      <c r="D22" s="14"/>
      <c r="E22" s="19"/>
      <c r="F22" s="20"/>
      <c r="G22" s="26"/>
    </row>
    <row r="23" spans="1:7" ht="60" customHeight="1">
      <c r="A23" s="4" t="str">
        <f>_xlfn.XLOOKUP(Table_OFF[[#This Row],[BUDGET ACCOUNT NAME (DROPDOWN THAT IS USED TO FILL BUDGET ACCOUNT COLUMN)]],Table51026[Budget Account Name],Table51026[Budget Account Number],"Not Found",0)</f>
        <v>Not Found</v>
      </c>
      <c r="B23" s="2"/>
      <c r="C23" s="17"/>
      <c r="D23" s="14"/>
      <c r="E23" s="19"/>
      <c r="F23" s="20"/>
      <c r="G23" s="26"/>
    </row>
    <row r="24" spans="1:7" ht="60" customHeight="1">
      <c r="A24" s="4" t="str">
        <f>_xlfn.XLOOKUP(Table_OFF[[#This Row],[BUDGET ACCOUNT NAME (DROPDOWN THAT IS USED TO FILL BUDGET ACCOUNT COLUMN)]],Table51026[Budget Account Name],Table51026[Budget Account Number],"Not Found",0)</f>
        <v>Not Found</v>
      </c>
      <c r="B24" s="2"/>
      <c r="C24" s="17"/>
      <c r="D24" s="14"/>
      <c r="E24" s="19"/>
      <c r="F24" s="20"/>
      <c r="G24" s="26"/>
    </row>
    <row r="25" spans="1:7" ht="60" customHeight="1">
      <c r="A25" s="4" t="str">
        <f>_xlfn.XLOOKUP(Table_OFF[[#This Row],[BUDGET ACCOUNT NAME (DROPDOWN THAT IS USED TO FILL BUDGET ACCOUNT COLUMN)]],Table51026[Budget Account Name],Table51026[Budget Account Number],"Not Found",0)</f>
        <v>Not Found</v>
      </c>
      <c r="B25" s="2"/>
      <c r="C25" s="17"/>
      <c r="D25" s="14"/>
      <c r="E25" s="19"/>
      <c r="F25" s="20"/>
      <c r="G25" s="26"/>
    </row>
    <row r="26" spans="1:7" ht="60" customHeight="1">
      <c r="A26" s="4" t="str">
        <f>_xlfn.XLOOKUP(Table_OFF[[#This Row],[BUDGET ACCOUNT NAME (DROPDOWN THAT IS USED TO FILL BUDGET ACCOUNT COLUMN)]],Table51026[Budget Account Name],Table51026[Budget Account Number],"Not Found",0)</f>
        <v>Not Found</v>
      </c>
      <c r="B26" s="2"/>
      <c r="C26" s="17"/>
      <c r="D26" s="14"/>
      <c r="E26" s="19"/>
      <c r="F26" s="20"/>
      <c r="G26" s="26"/>
    </row>
    <row r="27" spans="1:7" ht="60" customHeight="1">
      <c r="A27" s="4" t="str">
        <f>_xlfn.XLOOKUP(Table_OFF[[#This Row],[BUDGET ACCOUNT NAME (DROPDOWN THAT IS USED TO FILL BUDGET ACCOUNT COLUMN)]],Table51026[Budget Account Name],Table51026[Budget Account Number],"Not Found",0)</f>
        <v>Not Found</v>
      </c>
      <c r="B27" s="2"/>
      <c r="C27" s="17"/>
      <c r="D27" s="14"/>
      <c r="E27" s="19"/>
      <c r="F27" s="20"/>
      <c r="G27" s="26"/>
    </row>
    <row r="28" spans="1:7" ht="60" customHeight="1">
      <c r="A28" s="4" t="str">
        <f>_xlfn.XLOOKUP(Table_OFF[[#This Row],[BUDGET ACCOUNT NAME (DROPDOWN THAT IS USED TO FILL BUDGET ACCOUNT COLUMN)]],Table51026[Budget Account Name],Table51026[Budget Account Number],"Not Found",0)</f>
        <v>Not Found</v>
      </c>
      <c r="B28" s="2"/>
      <c r="C28" s="17"/>
      <c r="D28" s="14"/>
      <c r="E28" s="19"/>
      <c r="F28" s="20"/>
      <c r="G28" s="26"/>
    </row>
    <row r="29" spans="1:7" ht="60" customHeight="1">
      <c r="A29" s="4" t="str">
        <f>_xlfn.XLOOKUP(Table_OFF[[#This Row],[BUDGET ACCOUNT NAME (DROPDOWN THAT IS USED TO FILL BUDGET ACCOUNT COLUMN)]],Table51026[Budget Account Name],Table51026[Budget Account Number],"Not Found",0)</f>
        <v>Not Found</v>
      </c>
      <c r="B29" s="2"/>
      <c r="C29" s="17"/>
      <c r="D29" s="14"/>
      <c r="E29" s="19"/>
      <c r="F29" s="20"/>
      <c r="G29" s="26"/>
    </row>
    <row r="30" spans="1:7" ht="60" customHeight="1">
      <c r="A30" s="4" t="str">
        <f>_xlfn.XLOOKUP(Table_OFF[[#This Row],[BUDGET ACCOUNT NAME (DROPDOWN THAT IS USED TO FILL BUDGET ACCOUNT COLUMN)]],Table51026[Budget Account Name],Table51026[Budget Account Number],"Not Found",0)</f>
        <v>Not Found</v>
      </c>
      <c r="B30" s="2"/>
      <c r="C30" s="17"/>
      <c r="D30" s="14"/>
      <c r="E30" s="19"/>
      <c r="F30" s="20"/>
      <c r="G30" s="26"/>
    </row>
    <row r="31" spans="1:7" ht="60" customHeight="1">
      <c r="A31" s="4" t="str">
        <f>_xlfn.XLOOKUP(Table_OFF[[#This Row],[BUDGET ACCOUNT NAME (DROPDOWN THAT IS USED TO FILL BUDGET ACCOUNT COLUMN)]],Table51026[Budget Account Name],Table51026[Budget Account Number],"Not Found",0)</f>
        <v>Not Found</v>
      </c>
      <c r="B31" s="2"/>
      <c r="C31" s="17"/>
      <c r="D31" s="14"/>
      <c r="E31" s="19"/>
      <c r="F31" s="20"/>
      <c r="G31" s="26"/>
    </row>
    <row r="32" spans="1:7" ht="60" customHeight="1">
      <c r="A32" s="4" t="str">
        <f>_xlfn.XLOOKUP(Table_OFF[[#This Row],[BUDGET ACCOUNT NAME (DROPDOWN THAT IS USED TO FILL BUDGET ACCOUNT COLUMN)]],Table51026[Budget Account Name],Table51026[Budget Account Number],"Not Found",0)</f>
        <v>Not Found</v>
      </c>
      <c r="B32" s="2"/>
      <c r="C32" s="17"/>
      <c r="D32" s="14"/>
      <c r="E32" s="19"/>
      <c r="F32" s="20"/>
      <c r="G32" s="26"/>
    </row>
    <row r="33" spans="1:7" ht="60" customHeight="1">
      <c r="A33" s="4" t="str">
        <f>_xlfn.XLOOKUP(Table_OFF[[#This Row],[BUDGET ACCOUNT NAME (DROPDOWN THAT IS USED TO FILL BUDGET ACCOUNT COLUMN)]],Table51026[Budget Account Name],Table51026[Budget Account Number],"Not Found",0)</f>
        <v>Not Found</v>
      </c>
      <c r="B33" s="2"/>
      <c r="C33" s="17"/>
      <c r="D33" s="14"/>
      <c r="E33" s="19"/>
      <c r="F33" s="20"/>
      <c r="G33" s="26"/>
    </row>
    <row r="34" spans="1:7" ht="60" customHeight="1">
      <c r="A34" s="4" t="str">
        <f>_xlfn.XLOOKUP(Table_OFF[[#This Row],[BUDGET ACCOUNT NAME (DROPDOWN THAT IS USED TO FILL BUDGET ACCOUNT COLUMN)]],Table51026[Budget Account Name],Table51026[Budget Account Number],"Not Found",0)</f>
        <v>Not Found</v>
      </c>
      <c r="B34" s="2"/>
      <c r="C34" s="17"/>
      <c r="D34" s="14"/>
      <c r="E34" s="19"/>
      <c r="F34" s="20"/>
      <c r="G34" s="26"/>
    </row>
    <row r="35" spans="1:7" ht="60" customHeight="1">
      <c r="A35" s="4" t="str">
        <f>_xlfn.XLOOKUP(Table_OFF[[#This Row],[BUDGET ACCOUNT NAME (DROPDOWN THAT IS USED TO FILL BUDGET ACCOUNT COLUMN)]],Table51026[Budget Account Name],Table51026[Budget Account Number],"Not Found",0)</f>
        <v>Not Found</v>
      </c>
      <c r="B35" s="2"/>
      <c r="C35" s="17"/>
      <c r="D35" s="14"/>
      <c r="E35" s="19"/>
      <c r="F35" s="20"/>
      <c r="G35" s="26"/>
    </row>
    <row r="36" spans="1:7" ht="60" customHeight="1">
      <c r="A36" s="4" t="str">
        <f>_xlfn.XLOOKUP(Table_OFF[[#This Row],[BUDGET ACCOUNT NAME (DROPDOWN THAT IS USED TO FILL BUDGET ACCOUNT COLUMN)]],Table51026[Budget Account Name],Table51026[Budget Account Number],"Not Found",0)</f>
        <v>Not Found</v>
      </c>
      <c r="B36" s="2"/>
      <c r="C36" s="17"/>
      <c r="D36" s="14"/>
      <c r="E36" s="19"/>
      <c r="F36" s="20"/>
      <c r="G36" s="26"/>
    </row>
    <row r="37" spans="1:7" ht="60" customHeight="1">
      <c r="A37" s="4" t="str">
        <f>_xlfn.XLOOKUP(Table_OFF[[#This Row],[BUDGET ACCOUNT NAME (DROPDOWN THAT IS USED TO FILL BUDGET ACCOUNT COLUMN)]],Table51026[Budget Account Name],Table51026[Budget Account Number],"Not Found",0)</f>
        <v>Not Found</v>
      </c>
      <c r="B37" s="2"/>
      <c r="C37" s="17"/>
      <c r="D37" s="14"/>
      <c r="E37" s="19"/>
      <c r="F37" s="20"/>
      <c r="G37" s="26"/>
    </row>
    <row r="38" spans="1:7" ht="60" customHeight="1">
      <c r="A38" s="4" t="str">
        <f>_xlfn.XLOOKUP(Table_OFF[[#This Row],[BUDGET ACCOUNT NAME (DROPDOWN THAT IS USED TO FILL BUDGET ACCOUNT COLUMN)]],Table51026[Budget Account Name],Table51026[Budget Account Number],"Not Found",0)</f>
        <v>Not Found</v>
      </c>
      <c r="B38" s="2"/>
      <c r="C38" s="17"/>
      <c r="D38" s="14"/>
      <c r="E38" s="19"/>
      <c r="F38" s="20"/>
      <c r="G38" s="26"/>
    </row>
    <row r="39" spans="1:7" ht="60" customHeight="1">
      <c r="A39" s="4" t="str">
        <f>_xlfn.XLOOKUP(Table_OFF[[#This Row],[BUDGET ACCOUNT NAME (DROPDOWN THAT IS USED TO FILL BUDGET ACCOUNT COLUMN)]],Table51026[Budget Account Name],Table51026[Budget Account Number],"Not Found",0)</f>
        <v>Not Found</v>
      </c>
      <c r="B39" s="2"/>
      <c r="C39" s="17"/>
      <c r="D39" s="14"/>
      <c r="E39" s="19"/>
      <c r="F39" s="20"/>
      <c r="G39" s="26"/>
    </row>
    <row r="40" spans="1:7" ht="60" customHeight="1">
      <c r="A40" s="4" t="str">
        <f>_xlfn.XLOOKUP(Table_OFF[[#This Row],[BUDGET ACCOUNT NAME (DROPDOWN THAT IS USED TO FILL BUDGET ACCOUNT COLUMN)]],Table51026[Budget Account Name],Table51026[Budget Account Number],"Not Found",0)</f>
        <v>Not Found</v>
      </c>
      <c r="B40" s="2"/>
      <c r="C40" s="17"/>
      <c r="D40" s="14"/>
      <c r="E40" s="19"/>
      <c r="F40" s="20"/>
      <c r="G40" s="26"/>
    </row>
    <row r="41" spans="1:7" ht="60" customHeight="1">
      <c r="A41" s="4" t="str">
        <f>_xlfn.XLOOKUP(Table_OFF[[#This Row],[BUDGET ACCOUNT NAME (DROPDOWN THAT IS USED TO FILL BUDGET ACCOUNT COLUMN)]],Table51026[Budget Account Name],Table51026[Budget Account Number],"Not Found",0)</f>
        <v>Not Found</v>
      </c>
      <c r="B41" s="2"/>
      <c r="C41" s="17"/>
      <c r="D41" s="14"/>
      <c r="E41" s="19"/>
      <c r="F41" s="20"/>
      <c r="G41" s="26"/>
    </row>
    <row r="42" spans="1:7" ht="60" customHeight="1">
      <c r="A42" s="4" t="str">
        <f>_xlfn.XLOOKUP(Table_OFF[[#This Row],[BUDGET ACCOUNT NAME (DROPDOWN THAT IS USED TO FILL BUDGET ACCOUNT COLUMN)]],Table51026[Budget Account Name],Table51026[Budget Account Number],"Not Found",0)</f>
        <v>Not Found</v>
      </c>
      <c r="B42" s="2"/>
      <c r="C42" s="17"/>
      <c r="D42" s="14"/>
      <c r="E42" s="19"/>
      <c r="F42" s="20"/>
      <c r="G42" s="26"/>
    </row>
    <row r="43" spans="1:7" ht="60" customHeight="1">
      <c r="A43" s="4" t="str">
        <f>_xlfn.XLOOKUP(Table_OFF[[#This Row],[BUDGET ACCOUNT NAME (DROPDOWN THAT IS USED TO FILL BUDGET ACCOUNT COLUMN)]],Table51026[Budget Account Name],Table51026[Budget Account Number],"Not Found",0)</f>
        <v>Not Found</v>
      </c>
      <c r="B43" s="2"/>
      <c r="C43" s="17"/>
      <c r="D43" s="14"/>
      <c r="E43" s="19"/>
      <c r="F43" s="20"/>
      <c r="G43" s="26"/>
    </row>
    <row r="44" spans="1:7" ht="60" customHeight="1">
      <c r="A44" s="4" t="str">
        <f>_xlfn.XLOOKUP(Table_OFF[[#This Row],[BUDGET ACCOUNT NAME (DROPDOWN THAT IS USED TO FILL BUDGET ACCOUNT COLUMN)]],Table51026[Budget Account Name],Table51026[Budget Account Number],"Not Found",0)</f>
        <v>Not Found</v>
      </c>
      <c r="B44" s="2"/>
      <c r="C44" s="17"/>
      <c r="D44" s="14"/>
      <c r="E44" s="19"/>
      <c r="F44" s="20"/>
      <c r="G44" s="26"/>
    </row>
    <row r="45" spans="1:7" ht="60" customHeight="1">
      <c r="A45" s="4" t="str">
        <f>_xlfn.XLOOKUP(Table_OFF[[#This Row],[BUDGET ACCOUNT NAME (DROPDOWN THAT IS USED TO FILL BUDGET ACCOUNT COLUMN)]],Table51026[Budget Account Name],Table51026[Budget Account Number],"Not Found",0)</f>
        <v>Not Found</v>
      </c>
      <c r="B45" s="2"/>
      <c r="C45" s="17"/>
      <c r="D45" s="14"/>
      <c r="E45" s="19"/>
      <c r="F45" s="20"/>
      <c r="G45" s="26"/>
    </row>
    <row r="46" spans="1:7" ht="60" customHeight="1">
      <c r="A46" s="4" t="str">
        <f>_xlfn.XLOOKUP(Table_OFF[[#This Row],[BUDGET ACCOUNT NAME (DROPDOWN THAT IS USED TO FILL BUDGET ACCOUNT COLUMN)]],Table51026[Budget Account Name],Table51026[Budget Account Number],"Not Found",0)</f>
        <v>Not Found</v>
      </c>
      <c r="B46" s="2"/>
      <c r="C46" s="17"/>
      <c r="D46" s="14"/>
      <c r="E46" s="19"/>
      <c r="F46" s="20"/>
      <c r="G46" s="26"/>
    </row>
    <row r="47" spans="1:7" ht="60" customHeight="1">
      <c r="A47" s="4" t="str">
        <f>_xlfn.XLOOKUP(Table_OFF[[#This Row],[BUDGET ACCOUNT NAME (DROPDOWN THAT IS USED TO FILL BUDGET ACCOUNT COLUMN)]],Table51026[Budget Account Name],Table51026[Budget Account Number],"Not Found",0)</f>
        <v>Not Found</v>
      </c>
      <c r="B47" s="2"/>
      <c r="C47" s="17"/>
      <c r="D47" s="14"/>
      <c r="E47" s="19"/>
      <c r="F47" s="20"/>
      <c r="G47" s="26"/>
    </row>
    <row r="48" spans="1:7" ht="60" customHeight="1">
      <c r="A48" s="4" t="str">
        <f>_xlfn.XLOOKUP(Table_OFF[[#This Row],[BUDGET ACCOUNT NAME (DROPDOWN THAT IS USED TO FILL BUDGET ACCOUNT COLUMN)]],Table51026[Budget Account Name],Table51026[Budget Account Number],"Not Found",0)</f>
        <v>Not Found</v>
      </c>
      <c r="B48" s="2"/>
      <c r="C48" s="17"/>
      <c r="D48" s="14"/>
      <c r="E48" s="19"/>
      <c r="F48" s="20"/>
      <c r="G48" s="26"/>
    </row>
    <row r="49" spans="1:7" ht="60" customHeight="1">
      <c r="A49" s="4" t="str">
        <f>_xlfn.XLOOKUP(Table_OFF[[#This Row],[BUDGET ACCOUNT NAME (DROPDOWN THAT IS USED TO FILL BUDGET ACCOUNT COLUMN)]],Table51026[Budget Account Name],Table51026[Budget Account Number],"Not Found",0)</f>
        <v>Not Found</v>
      </c>
      <c r="B49" s="2"/>
      <c r="C49" s="17"/>
      <c r="D49" s="14"/>
      <c r="E49" s="19"/>
      <c r="F49" s="20"/>
      <c r="G49" s="26"/>
    </row>
    <row r="50" spans="1:7" ht="60" customHeight="1">
      <c r="A50" s="4" t="str">
        <f>_xlfn.XLOOKUP(Table_OFF[[#This Row],[BUDGET ACCOUNT NAME (DROPDOWN THAT IS USED TO FILL BUDGET ACCOUNT COLUMN)]],Table51026[Budget Account Name],Table51026[Budget Account Number],"Not Found",0)</f>
        <v>Not Found</v>
      </c>
      <c r="B50" s="2"/>
      <c r="C50" s="17"/>
      <c r="D50" s="14"/>
      <c r="E50" s="19"/>
      <c r="F50" s="20"/>
      <c r="G50" s="26"/>
    </row>
    <row r="51" spans="1:7" ht="60" customHeight="1">
      <c r="A51" s="4" t="str">
        <f>_xlfn.XLOOKUP(Table_OFF[[#This Row],[BUDGET ACCOUNT NAME (DROPDOWN THAT IS USED TO FILL BUDGET ACCOUNT COLUMN)]],Table51026[Budget Account Name],Table51026[Budget Account Number],"Not Found",0)</f>
        <v>Not Found</v>
      </c>
      <c r="B51" s="2"/>
      <c r="C51" s="17"/>
      <c r="D51" s="14"/>
      <c r="E51" s="19"/>
      <c r="F51" s="20"/>
      <c r="G51" s="26"/>
    </row>
    <row r="52" spans="1:7" ht="60" customHeight="1">
      <c r="A52" s="4" t="str">
        <f>_xlfn.XLOOKUP(Table_OFF[[#This Row],[BUDGET ACCOUNT NAME (DROPDOWN THAT IS USED TO FILL BUDGET ACCOUNT COLUMN)]],Table51026[Budget Account Name],Table51026[Budget Account Number],"Not Found",0)</f>
        <v>Not Found</v>
      </c>
      <c r="B52" s="2"/>
      <c r="C52" s="17"/>
      <c r="D52" s="14"/>
      <c r="E52" s="19"/>
      <c r="F52" s="20"/>
      <c r="G52" s="26"/>
    </row>
    <row r="53" spans="1:7" ht="60" customHeight="1">
      <c r="A53" s="4" t="str">
        <f>_xlfn.XLOOKUP(Table_OFF[[#This Row],[BUDGET ACCOUNT NAME (DROPDOWN THAT IS USED TO FILL BUDGET ACCOUNT COLUMN)]],Table51026[Budget Account Name],Table51026[Budget Account Number],"Not Found",0)</f>
        <v>Not Found</v>
      </c>
      <c r="B53" s="2"/>
      <c r="C53" s="17"/>
      <c r="D53" s="14"/>
      <c r="E53" s="19"/>
      <c r="F53" s="20"/>
      <c r="G53" s="26"/>
    </row>
    <row r="54" spans="1:7" ht="60" customHeight="1">
      <c r="A54" s="4" t="str">
        <f>_xlfn.XLOOKUP(Table_OFF[[#This Row],[BUDGET ACCOUNT NAME (DROPDOWN THAT IS USED TO FILL BUDGET ACCOUNT COLUMN)]],Table51026[Budget Account Name],Table51026[Budget Account Number],"Not Found",0)</f>
        <v>Not Found</v>
      </c>
      <c r="B54" s="2"/>
      <c r="C54" s="17"/>
      <c r="D54" s="14"/>
      <c r="E54" s="19"/>
      <c r="F54" s="20"/>
      <c r="G54" s="26"/>
    </row>
    <row r="55" spans="1:7" ht="60" customHeight="1">
      <c r="A55" s="4" t="str">
        <f>_xlfn.XLOOKUP(Table_OFF[[#This Row],[BUDGET ACCOUNT NAME (DROPDOWN THAT IS USED TO FILL BUDGET ACCOUNT COLUMN)]],Table51026[Budget Account Name],Table51026[Budget Account Number],"Not Found",0)</f>
        <v>Not Found</v>
      </c>
      <c r="B55" s="2"/>
      <c r="C55" s="17"/>
      <c r="D55" s="14"/>
      <c r="E55" s="19"/>
      <c r="F55" s="20"/>
      <c r="G55" s="26"/>
    </row>
    <row r="56" spans="1:7" ht="60" customHeight="1">
      <c r="A56" s="4" t="str">
        <f>_xlfn.XLOOKUP(Table_OFF[[#This Row],[BUDGET ACCOUNT NAME (DROPDOWN THAT IS USED TO FILL BUDGET ACCOUNT COLUMN)]],Table51026[Budget Account Name],Table51026[Budget Account Number],"Not Found",0)</f>
        <v>Not Found</v>
      </c>
      <c r="B56" s="2"/>
      <c r="C56" s="17"/>
      <c r="D56" s="14"/>
      <c r="E56" s="19"/>
      <c r="F56" s="20"/>
      <c r="G56" s="26"/>
    </row>
    <row r="57" spans="1:7" ht="60" customHeight="1">
      <c r="A57" s="4" t="str">
        <f>_xlfn.XLOOKUP(Table_OFF[[#This Row],[BUDGET ACCOUNT NAME (DROPDOWN THAT IS USED TO FILL BUDGET ACCOUNT COLUMN)]],Table51026[Budget Account Name],Table51026[Budget Account Number],"Not Found",0)</f>
        <v>Not Found</v>
      </c>
      <c r="B57" s="2"/>
      <c r="C57" s="17"/>
      <c r="D57" s="14"/>
      <c r="E57" s="19"/>
      <c r="F57" s="20"/>
      <c r="G57" s="26"/>
    </row>
    <row r="58" spans="1:7" ht="60" customHeight="1">
      <c r="A58" s="4" t="str">
        <f>_xlfn.XLOOKUP(Table_OFF[[#This Row],[BUDGET ACCOUNT NAME (DROPDOWN THAT IS USED TO FILL BUDGET ACCOUNT COLUMN)]],Table51026[Budget Account Name],Table51026[Budget Account Number],"Not Found",0)</f>
        <v>Not Found</v>
      </c>
      <c r="B58" s="2"/>
      <c r="C58" s="17"/>
      <c r="D58" s="14"/>
      <c r="E58" s="19"/>
      <c r="F58" s="20"/>
      <c r="G58" s="26"/>
    </row>
    <row r="59" spans="1:7" ht="60" customHeight="1">
      <c r="A59" s="4" t="str">
        <f>_xlfn.XLOOKUP(Table_OFF[[#This Row],[BUDGET ACCOUNT NAME (DROPDOWN THAT IS USED TO FILL BUDGET ACCOUNT COLUMN)]],Table51026[Budget Account Name],Table51026[Budget Account Number],"Not Found",0)</f>
        <v>Not Found</v>
      </c>
      <c r="B59" s="2"/>
      <c r="C59" s="17"/>
      <c r="D59" s="14"/>
      <c r="E59" s="19"/>
      <c r="F59" s="20"/>
      <c r="G59" s="26"/>
    </row>
    <row r="60" spans="1:7" ht="60" customHeight="1">
      <c r="A60" s="4" t="str">
        <f>_xlfn.XLOOKUP(Table_OFF[[#This Row],[BUDGET ACCOUNT NAME (DROPDOWN THAT IS USED TO FILL BUDGET ACCOUNT COLUMN)]],Table51026[Budget Account Name],Table51026[Budget Account Number],"Not Found",0)</f>
        <v>Not Found</v>
      </c>
      <c r="B60" s="2"/>
      <c r="C60" s="17"/>
      <c r="D60" s="14"/>
      <c r="E60" s="19"/>
      <c r="F60" s="20"/>
      <c r="G60" s="26"/>
    </row>
    <row r="61" spans="1:7" ht="60" customHeight="1">
      <c r="A61" s="4" t="str">
        <f>_xlfn.XLOOKUP(Table_OFF[[#This Row],[BUDGET ACCOUNT NAME (DROPDOWN THAT IS USED TO FILL BUDGET ACCOUNT COLUMN)]],Table51026[Budget Account Name],Table51026[Budget Account Number],"Not Found",0)</f>
        <v>Not Found</v>
      </c>
      <c r="B61" s="2"/>
      <c r="C61" s="17"/>
      <c r="D61" s="14"/>
      <c r="E61" s="19"/>
      <c r="F61" s="20"/>
      <c r="G61" s="26"/>
    </row>
    <row r="62" spans="1:7" ht="60" customHeight="1">
      <c r="A62" s="4" t="str">
        <f>_xlfn.XLOOKUP(Table_OFF[[#This Row],[BUDGET ACCOUNT NAME (DROPDOWN THAT IS USED TO FILL BUDGET ACCOUNT COLUMN)]],Table51026[Budget Account Name],Table51026[Budget Account Number],"Not Found",0)</f>
        <v>Not Found</v>
      </c>
      <c r="B62" s="2"/>
      <c r="C62" s="17"/>
      <c r="D62" s="14"/>
      <c r="E62" s="19"/>
      <c r="F62" s="20"/>
      <c r="G62" s="26"/>
    </row>
    <row r="63" spans="1:7" ht="60" customHeight="1">
      <c r="A63" s="4" t="str">
        <f>_xlfn.XLOOKUP(Table_OFF[[#This Row],[BUDGET ACCOUNT NAME (DROPDOWN THAT IS USED TO FILL BUDGET ACCOUNT COLUMN)]],Table51026[Budget Account Name],Table51026[Budget Account Number],"Not Found",0)</f>
        <v>Not Found</v>
      </c>
      <c r="B63" s="2"/>
      <c r="C63" s="17"/>
      <c r="D63" s="14"/>
      <c r="E63" s="19"/>
      <c r="F63" s="20"/>
      <c r="G63" s="26"/>
    </row>
    <row r="64" spans="1:7" ht="60" customHeight="1">
      <c r="A64" s="4" t="str">
        <f>_xlfn.XLOOKUP(Table_OFF[[#This Row],[BUDGET ACCOUNT NAME (DROPDOWN THAT IS USED TO FILL BUDGET ACCOUNT COLUMN)]],Table51026[Budget Account Name],Table51026[Budget Account Number],"Not Found",0)</f>
        <v>Not Found</v>
      </c>
      <c r="B64" s="2"/>
      <c r="C64" s="17"/>
      <c r="D64" s="14"/>
      <c r="E64" s="19"/>
      <c r="F64" s="20"/>
      <c r="G64" s="26"/>
    </row>
    <row r="65" spans="1:7" ht="60" customHeight="1">
      <c r="A65" s="4" t="str">
        <f>_xlfn.XLOOKUP(Table_OFF[[#This Row],[BUDGET ACCOUNT NAME (DROPDOWN THAT IS USED TO FILL BUDGET ACCOUNT COLUMN)]],Table51026[Budget Account Name],Table51026[Budget Account Number],"Not Found",0)</f>
        <v>Not Found</v>
      </c>
      <c r="B65" s="2"/>
      <c r="C65" s="17"/>
      <c r="D65" s="14"/>
      <c r="E65" s="19"/>
      <c r="F65" s="20"/>
      <c r="G65" s="26"/>
    </row>
    <row r="66" spans="1:7" ht="60" customHeight="1">
      <c r="A66" s="4" t="str">
        <f>_xlfn.XLOOKUP(Table_OFF[[#This Row],[BUDGET ACCOUNT NAME (DROPDOWN THAT IS USED TO FILL BUDGET ACCOUNT COLUMN)]],Table51026[Budget Account Name],Table51026[Budget Account Number],"Not Found",0)</f>
        <v>Not Found</v>
      </c>
      <c r="B66" s="2"/>
      <c r="C66" s="17"/>
      <c r="D66" s="14"/>
      <c r="E66" s="19"/>
      <c r="F66" s="20"/>
      <c r="G66" s="26"/>
    </row>
    <row r="67" spans="1:7" ht="60" customHeight="1">
      <c r="A67" s="4" t="str">
        <f>_xlfn.XLOOKUP(Table_OFF[[#This Row],[BUDGET ACCOUNT NAME (DROPDOWN THAT IS USED TO FILL BUDGET ACCOUNT COLUMN)]],Table51026[Budget Account Name],Table51026[Budget Account Number],"Not Found",0)</f>
        <v>Not Found</v>
      </c>
      <c r="B67" s="2"/>
      <c r="C67" s="17"/>
      <c r="D67" s="14"/>
      <c r="E67" s="19"/>
      <c r="F67" s="20"/>
      <c r="G67" s="26"/>
    </row>
    <row r="68" spans="1:7" ht="60" customHeight="1">
      <c r="A68" s="4" t="str">
        <f>_xlfn.XLOOKUP(Table_OFF[[#This Row],[BUDGET ACCOUNT NAME (DROPDOWN THAT IS USED TO FILL BUDGET ACCOUNT COLUMN)]],Table51026[Budget Account Name],Table51026[Budget Account Number],"Not Found",0)</f>
        <v>Not Found</v>
      </c>
      <c r="B68" s="2"/>
      <c r="C68" s="17"/>
      <c r="D68" s="14"/>
      <c r="E68" s="19"/>
      <c r="F68" s="20"/>
      <c r="G68" s="26"/>
    </row>
    <row r="69" spans="1:7" ht="60" customHeight="1">
      <c r="A69" s="4" t="str">
        <f>_xlfn.XLOOKUP(Table_OFF[[#This Row],[BUDGET ACCOUNT NAME (DROPDOWN THAT IS USED TO FILL BUDGET ACCOUNT COLUMN)]],Table51026[Budget Account Name],Table51026[Budget Account Number],"Not Found",0)</f>
        <v>Not Found</v>
      </c>
      <c r="B69" s="2"/>
      <c r="C69" s="17"/>
      <c r="D69" s="14"/>
      <c r="E69" s="19"/>
      <c r="F69" s="20"/>
      <c r="G69" s="26"/>
    </row>
    <row r="70" spans="1:7" ht="60" customHeight="1">
      <c r="A70" s="4" t="str">
        <f>_xlfn.XLOOKUP(Table_OFF[[#This Row],[BUDGET ACCOUNT NAME (DROPDOWN THAT IS USED TO FILL BUDGET ACCOUNT COLUMN)]],Table51026[Budget Account Name],Table51026[Budget Account Number],"Not Found",0)</f>
        <v>Not Found</v>
      </c>
      <c r="B70" s="2"/>
      <c r="C70" s="17"/>
      <c r="D70" s="14"/>
      <c r="E70" s="19"/>
      <c r="F70" s="20"/>
      <c r="G70" s="26"/>
    </row>
    <row r="71" spans="1:7" ht="60" customHeight="1">
      <c r="A71" s="4" t="str">
        <f>_xlfn.XLOOKUP(Table_OFF[[#This Row],[BUDGET ACCOUNT NAME (DROPDOWN THAT IS USED TO FILL BUDGET ACCOUNT COLUMN)]],Table51026[Budget Account Name],Table51026[Budget Account Number],"Not Found",0)</f>
        <v>Not Found</v>
      </c>
      <c r="B71" s="2"/>
      <c r="C71" s="17"/>
      <c r="D71" s="14"/>
      <c r="E71" s="19"/>
      <c r="F71" s="20"/>
      <c r="G71" s="26"/>
    </row>
    <row r="72" spans="1:7" ht="60" customHeight="1">
      <c r="A72" s="4" t="str">
        <f>_xlfn.XLOOKUP(Table_OFF[[#This Row],[BUDGET ACCOUNT NAME (DROPDOWN THAT IS USED TO FILL BUDGET ACCOUNT COLUMN)]],Table51026[Budget Account Name],Table51026[Budget Account Number],"Not Found",0)</f>
        <v>Not Found</v>
      </c>
      <c r="B72" s="2"/>
      <c r="C72" s="17"/>
      <c r="D72" s="14"/>
      <c r="E72" s="19"/>
      <c r="F72" s="20"/>
      <c r="G72" s="26"/>
    </row>
    <row r="73" spans="1:7" ht="60" customHeight="1">
      <c r="A73" s="4" t="str">
        <f>_xlfn.XLOOKUP(Table_OFF[[#This Row],[BUDGET ACCOUNT NAME (DROPDOWN THAT IS USED TO FILL BUDGET ACCOUNT COLUMN)]],Table51026[Budget Account Name],Table51026[Budget Account Number],"Not Found",0)</f>
        <v>Not Found</v>
      </c>
      <c r="B73" s="2"/>
      <c r="C73" s="17"/>
      <c r="D73" s="14"/>
      <c r="E73" s="19"/>
      <c r="F73" s="20"/>
      <c r="G73" s="26"/>
    </row>
    <row r="74" spans="1:7" ht="60" customHeight="1">
      <c r="A74" s="4" t="str">
        <f>_xlfn.XLOOKUP(Table_OFF[[#This Row],[BUDGET ACCOUNT NAME (DROPDOWN THAT IS USED TO FILL BUDGET ACCOUNT COLUMN)]],Table51026[Budget Account Name],Table51026[Budget Account Number],"Not Found",0)</f>
        <v>Not Found</v>
      </c>
      <c r="B74" s="2"/>
      <c r="C74" s="17"/>
      <c r="D74" s="14"/>
      <c r="E74" s="19"/>
      <c r="F74" s="20"/>
      <c r="G74" s="26"/>
    </row>
    <row r="75" spans="1:7" ht="60" customHeight="1">
      <c r="A75" s="4" t="str">
        <f>_xlfn.XLOOKUP(Table_OFF[[#This Row],[BUDGET ACCOUNT NAME (DROPDOWN THAT IS USED TO FILL BUDGET ACCOUNT COLUMN)]],Table51026[Budget Account Name],Table51026[Budget Account Number],"Not Found",0)</f>
        <v>Not Found</v>
      </c>
      <c r="B75" s="2"/>
      <c r="C75" s="17"/>
      <c r="D75" s="14"/>
      <c r="E75" s="19"/>
      <c r="F75" s="20"/>
      <c r="G75" s="26"/>
    </row>
    <row r="76" spans="1:7" ht="60" customHeight="1">
      <c r="A76" s="4" t="str">
        <f>_xlfn.XLOOKUP(Table_OFF[[#This Row],[BUDGET ACCOUNT NAME (DROPDOWN THAT IS USED TO FILL BUDGET ACCOUNT COLUMN)]],Table51026[Budget Account Name],Table51026[Budget Account Number],"Not Found",0)</f>
        <v>Not Found</v>
      </c>
      <c r="B76" s="2"/>
      <c r="C76" s="17"/>
      <c r="D76" s="14"/>
      <c r="E76" s="19"/>
      <c r="F76" s="20"/>
      <c r="G76" s="26"/>
    </row>
    <row r="77" spans="1:7" ht="60" customHeight="1">
      <c r="A77" s="4" t="str">
        <f>_xlfn.XLOOKUP(Table_OFF[[#This Row],[BUDGET ACCOUNT NAME (DROPDOWN THAT IS USED TO FILL BUDGET ACCOUNT COLUMN)]],Table51026[Budget Account Name],Table51026[Budget Account Number],"Not Found",0)</f>
        <v>Not Found</v>
      </c>
      <c r="B77" s="2"/>
      <c r="C77" s="17"/>
      <c r="D77" s="14"/>
      <c r="E77" s="19"/>
      <c r="F77" s="20"/>
      <c r="G77" s="26"/>
    </row>
    <row r="78" spans="1:7" ht="60" customHeight="1">
      <c r="A78" s="4" t="str">
        <f>_xlfn.XLOOKUP(Table_OFF[[#This Row],[BUDGET ACCOUNT NAME (DROPDOWN THAT IS USED TO FILL BUDGET ACCOUNT COLUMN)]],Table51026[Budget Account Name],Table51026[Budget Account Number],"Not Found",0)</f>
        <v>Not Found</v>
      </c>
      <c r="B78" s="2"/>
      <c r="C78" s="17"/>
      <c r="D78" s="14"/>
      <c r="E78" s="19"/>
      <c r="F78" s="20"/>
      <c r="G78" s="26"/>
    </row>
    <row r="79" spans="1:7" ht="60" customHeight="1">
      <c r="A79" s="4" t="str">
        <f>_xlfn.XLOOKUP(Table_OFF[[#This Row],[BUDGET ACCOUNT NAME (DROPDOWN THAT IS USED TO FILL BUDGET ACCOUNT COLUMN)]],Table51026[Budget Account Name],Table51026[Budget Account Number],"Not Found",0)</f>
        <v>Not Found</v>
      </c>
      <c r="B79" s="2"/>
      <c r="C79" s="17"/>
      <c r="D79" s="14"/>
      <c r="E79" s="19"/>
      <c r="F79" s="20"/>
      <c r="G79" s="26"/>
    </row>
    <row r="80" spans="1:7" ht="60" customHeight="1">
      <c r="A80" s="4" t="str">
        <f>_xlfn.XLOOKUP(Table_OFF[[#This Row],[BUDGET ACCOUNT NAME (DROPDOWN THAT IS USED TO FILL BUDGET ACCOUNT COLUMN)]],Table51026[Budget Account Name],Table51026[Budget Account Number],"Not Found",0)</f>
        <v>Not Found</v>
      </c>
      <c r="B80" s="2"/>
      <c r="C80" s="17"/>
      <c r="D80" s="14"/>
      <c r="E80" s="19"/>
      <c r="F80" s="20"/>
      <c r="G80" s="26"/>
    </row>
    <row r="81" spans="1:7" ht="60" customHeight="1">
      <c r="A81" s="4" t="str">
        <f>_xlfn.XLOOKUP(Table_OFF[[#This Row],[BUDGET ACCOUNT NAME (DROPDOWN THAT IS USED TO FILL BUDGET ACCOUNT COLUMN)]],Table51026[Budget Account Name],Table51026[Budget Account Number],"Not Found",0)</f>
        <v>Not Found</v>
      </c>
      <c r="B81" s="2"/>
      <c r="C81" s="17"/>
      <c r="D81" s="14"/>
      <c r="E81" s="19"/>
      <c r="F81" s="20"/>
      <c r="G81" s="26"/>
    </row>
    <row r="82" spans="1:7" ht="60" customHeight="1">
      <c r="A82" s="4" t="str">
        <f>_xlfn.XLOOKUP(Table_OFF[[#This Row],[BUDGET ACCOUNT NAME (DROPDOWN THAT IS USED TO FILL BUDGET ACCOUNT COLUMN)]],Table51026[Budget Account Name],Table51026[Budget Account Number],"Not Found",0)</f>
        <v>Not Found</v>
      </c>
      <c r="B82" s="2"/>
      <c r="C82" s="17"/>
      <c r="D82" s="14"/>
      <c r="E82" s="19"/>
      <c r="F82" s="20"/>
      <c r="G82" s="26"/>
    </row>
    <row r="83" spans="1:7" ht="60" customHeight="1">
      <c r="A83" s="4" t="str">
        <f>_xlfn.XLOOKUP(Table_OFF[[#This Row],[BUDGET ACCOUNT NAME (DROPDOWN THAT IS USED TO FILL BUDGET ACCOUNT COLUMN)]],Table51026[Budget Account Name],Table51026[Budget Account Number],"Not Found",0)</f>
        <v>Not Found</v>
      </c>
      <c r="B83" s="2"/>
      <c r="C83" s="17"/>
      <c r="D83" s="14"/>
      <c r="E83" s="19"/>
      <c r="F83" s="20"/>
      <c r="G83" s="26"/>
    </row>
    <row r="84" spans="1:7" ht="60" customHeight="1">
      <c r="A84" s="4" t="str">
        <f>_xlfn.XLOOKUP(Table_OFF[[#This Row],[BUDGET ACCOUNT NAME (DROPDOWN THAT IS USED TO FILL BUDGET ACCOUNT COLUMN)]],Table51026[Budget Account Name],Table51026[Budget Account Number],"Not Found",0)</f>
        <v>Not Found</v>
      </c>
      <c r="B84" s="2"/>
      <c r="C84" s="17"/>
      <c r="D84" s="14"/>
      <c r="E84" s="19"/>
      <c r="F84" s="20"/>
      <c r="G84" s="26"/>
    </row>
    <row r="85" spans="1:7" ht="60" customHeight="1">
      <c r="A85" s="4" t="str">
        <f>_xlfn.XLOOKUP(Table_OFF[[#This Row],[BUDGET ACCOUNT NAME (DROPDOWN THAT IS USED TO FILL BUDGET ACCOUNT COLUMN)]],Table51026[Budget Account Name],Table51026[Budget Account Number],"Not Found",0)</f>
        <v>Not Found</v>
      </c>
      <c r="B85" s="2"/>
      <c r="C85" s="17"/>
      <c r="D85" s="14"/>
      <c r="E85" s="19"/>
      <c r="F85" s="20"/>
      <c r="G85" s="26"/>
    </row>
    <row r="86" spans="1:7" ht="60" customHeight="1">
      <c r="A86" s="4" t="str">
        <f>_xlfn.XLOOKUP(Table_OFF[[#This Row],[BUDGET ACCOUNT NAME (DROPDOWN THAT IS USED TO FILL BUDGET ACCOUNT COLUMN)]],Table51026[Budget Account Name],Table51026[Budget Account Number],"Not Found",0)</f>
        <v>Not Found</v>
      </c>
      <c r="B86" s="2"/>
      <c r="C86" s="17"/>
      <c r="D86" s="14"/>
      <c r="E86" s="19"/>
      <c r="F86" s="20"/>
      <c r="G86" s="26"/>
    </row>
    <row r="87" spans="1:7" ht="60" customHeight="1">
      <c r="A87" s="4" t="str">
        <f>_xlfn.XLOOKUP(Table_OFF[[#This Row],[BUDGET ACCOUNT NAME (DROPDOWN THAT IS USED TO FILL BUDGET ACCOUNT COLUMN)]],Table51026[Budget Account Name],Table51026[Budget Account Number],"Not Found",0)</f>
        <v>Not Found</v>
      </c>
      <c r="B87" s="2"/>
      <c r="C87" s="17"/>
      <c r="D87" s="14"/>
      <c r="E87" s="19"/>
      <c r="F87" s="20"/>
      <c r="G87" s="26"/>
    </row>
    <row r="88" spans="1:7" ht="60" customHeight="1">
      <c r="A88" s="4" t="str">
        <f>_xlfn.XLOOKUP(Table_OFF[[#This Row],[BUDGET ACCOUNT NAME (DROPDOWN THAT IS USED TO FILL BUDGET ACCOUNT COLUMN)]],Table51026[Budget Account Name],Table51026[Budget Account Number],"Not Found",0)</f>
        <v>Not Found</v>
      </c>
      <c r="B88" s="2"/>
      <c r="C88" s="17"/>
      <c r="D88" s="14"/>
      <c r="E88" s="19"/>
      <c r="F88" s="20"/>
      <c r="G88" s="26"/>
    </row>
    <row r="89" spans="1:7" ht="60" customHeight="1">
      <c r="A89" s="4" t="str">
        <f>_xlfn.XLOOKUP(Table_OFF[[#This Row],[BUDGET ACCOUNT NAME (DROPDOWN THAT IS USED TO FILL BUDGET ACCOUNT COLUMN)]],Table51026[Budget Account Name],Table51026[Budget Account Number],"Not Found",0)</f>
        <v>Not Found</v>
      </c>
      <c r="B89" s="2"/>
      <c r="C89" s="17"/>
      <c r="D89" s="14"/>
      <c r="E89" s="19"/>
      <c r="F89" s="20"/>
      <c r="G89" s="26"/>
    </row>
    <row r="90" spans="1:7" ht="60" customHeight="1">
      <c r="A90" s="4" t="str">
        <f>_xlfn.XLOOKUP(Table_OFF[[#This Row],[BUDGET ACCOUNT NAME (DROPDOWN THAT IS USED TO FILL BUDGET ACCOUNT COLUMN)]],Table51026[Budget Account Name],Table51026[Budget Account Number],"Not Found",0)</f>
        <v>Not Found</v>
      </c>
      <c r="B90" s="2"/>
      <c r="C90" s="17"/>
      <c r="D90" s="14"/>
      <c r="E90" s="19"/>
      <c r="F90" s="20"/>
      <c r="G90" s="26"/>
    </row>
    <row r="91" spans="1:7" ht="60" customHeight="1">
      <c r="A91" s="4" t="str">
        <f>_xlfn.XLOOKUP(Table_OFF[[#This Row],[BUDGET ACCOUNT NAME (DROPDOWN THAT IS USED TO FILL BUDGET ACCOUNT COLUMN)]],Table51026[Budget Account Name],Table51026[Budget Account Number],"Not Found",0)</f>
        <v>Not Found</v>
      </c>
      <c r="B91" s="2"/>
      <c r="C91" s="17"/>
      <c r="D91" s="14"/>
      <c r="E91" s="19"/>
      <c r="F91" s="20"/>
      <c r="G91" s="26"/>
    </row>
    <row r="92" spans="1:7" ht="60" customHeight="1">
      <c r="A92" s="4" t="str">
        <f>_xlfn.XLOOKUP(Table_OFF[[#This Row],[BUDGET ACCOUNT NAME (DROPDOWN THAT IS USED TO FILL BUDGET ACCOUNT COLUMN)]],Table51026[Budget Account Name],Table51026[Budget Account Number],"Not Found",0)</f>
        <v>Not Found</v>
      </c>
      <c r="B92" s="2"/>
      <c r="C92" s="17"/>
      <c r="D92" s="14"/>
      <c r="E92" s="19"/>
      <c r="F92" s="20"/>
      <c r="G92" s="26"/>
    </row>
    <row r="93" spans="1:7" ht="60" customHeight="1">
      <c r="A93" s="4" t="str">
        <f>_xlfn.XLOOKUP(Table_OFF[[#This Row],[BUDGET ACCOUNT NAME (DROPDOWN THAT IS USED TO FILL BUDGET ACCOUNT COLUMN)]],Table51026[Budget Account Name],Table51026[Budget Account Number],"Not Found",0)</f>
        <v>Not Found</v>
      </c>
      <c r="B93" s="2"/>
      <c r="C93" s="17"/>
      <c r="D93" s="14"/>
      <c r="E93" s="19"/>
      <c r="F93" s="20"/>
      <c r="G93" s="26"/>
    </row>
    <row r="94" spans="1:7" ht="60" customHeight="1">
      <c r="A94" s="4" t="str">
        <f>_xlfn.XLOOKUP(Table_OFF[[#This Row],[BUDGET ACCOUNT NAME (DROPDOWN THAT IS USED TO FILL BUDGET ACCOUNT COLUMN)]],Table51026[Budget Account Name],Table51026[Budget Account Number],"Not Found",0)</f>
        <v>Not Found</v>
      </c>
      <c r="B94" s="2"/>
      <c r="C94" s="17"/>
      <c r="D94" s="14"/>
      <c r="E94" s="19"/>
      <c r="F94" s="20"/>
      <c r="G94" s="26"/>
    </row>
    <row r="95" spans="1:7" ht="60" customHeight="1">
      <c r="A95" s="4" t="str">
        <f>_xlfn.XLOOKUP(Table_OFF[[#This Row],[BUDGET ACCOUNT NAME (DROPDOWN THAT IS USED TO FILL BUDGET ACCOUNT COLUMN)]],Table51026[Budget Account Name],Table51026[Budget Account Number],"Not Found",0)</f>
        <v>Not Found</v>
      </c>
      <c r="B95" s="2"/>
      <c r="C95" s="17"/>
      <c r="D95" s="14"/>
      <c r="E95" s="19"/>
      <c r="F95" s="20"/>
      <c r="G95" s="26"/>
    </row>
    <row r="96" spans="1:7" ht="60" customHeight="1">
      <c r="A96" s="4" t="str">
        <f>_xlfn.XLOOKUP(Table_OFF[[#This Row],[BUDGET ACCOUNT NAME (DROPDOWN THAT IS USED TO FILL BUDGET ACCOUNT COLUMN)]],Table51026[Budget Account Name],Table51026[Budget Account Number],"Not Found",0)</f>
        <v>Not Found</v>
      </c>
      <c r="B96" s="2"/>
      <c r="C96" s="17"/>
      <c r="D96" s="14"/>
      <c r="E96" s="19"/>
      <c r="F96" s="20"/>
      <c r="G96" s="26"/>
    </row>
    <row r="97" spans="1:7" ht="60" customHeight="1">
      <c r="A97" s="4" t="str">
        <f>_xlfn.XLOOKUP(Table_OFF[[#This Row],[BUDGET ACCOUNT NAME (DROPDOWN THAT IS USED TO FILL BUDGET ACCOUNT COLUMN)]],Table51026[Budget Account Name],Table51026[Budget Account Number],"Not Found",0)</f>
        <v>Not Found</v>
      </c>
      <c r="B97" s="2"/>
      <c r="C97" s="17"/>
      <c r="D97" s="14"/>
      <c r="E97" s="19"/>
      <c r="F97" s="20"/>
      <c r="G97" s="26"/>
    </row>
    <row r="98" spans="1:7" ht="60" customHeight="1">
      <c r="A98" s="4" t="str">
        <f>_xlfn.XLOOKUP(Table_OFF[[#This Row],[BUDGET ACCOUNT NAME (DROPDOWN THAT IS USED TO FILL BUDGET ACCOUNT COLUMN)]],Table51026[Budget Account Name],Table51026[Budget Account Number],"Not Found",0)</f>
        <v>Not Found</v>
      </c>
      <c r="B98" s="6"/>
      <c r="C98" s="18"/>
      <c r="D98" s="15"/>
      <c r="E98" s="21"/>
      <c r="F98" s="22"/>
      <c r="G98" s="26"/>
    </row>
  </sheetData>
  <protectedRanges>
    <protectedRange algorithmName="SHA-512" hashValue="EoiD8VzbAZ5+fp3clXEkul9pxOo7ArmJYisSeUg7PdhlT+VvxTw3fvh8BaScVKJ4aH4H2Q4V/9yNTYhKAplCfw==" saltValue="omX0OFnUCo75zPHpbI10Zg==" spinCount="100000" sqref="B12:D98" name="SU"/>
  </protectedRanges>
  <mergeCells count="3">
    <mergeCell ref="A1:F1"/>
    <mergeCell ref="C2:F2"/>
    <mergeCell ref="A10:F10"/>
  </mergeCells>
  <dataValidations count="3">
    <dataValidation type="list" allowBlank="1" showInputMessage="1" showErrorMessage="1" sqref="B12:B98" xr:uid="{D851A209-56A4-4215-8E38-889146DC467C}">
      <formula1>$B$3:$B$9</formula1>
    </dataValidation>
    <dataValidation type="list" allowBlank="1" showInputMessage="1" showErrorMessage="1" sqref="E12:E98" xr:uid="{A243653C-6C8E-420E-AD38-FFDAAE001473}">
      <formula1>$H$1:$H$6</formula1>
    </dataValidation>
    <dataValidation type="list" allowBlank="1" showInputMessage="1" showErrorMessage="1" sqref="G12:G98" xr:uid="{66A14846-2C00-43EC-87D6-D11C9D6BA7D3}">
      <formula1>$G$1:$G$8</formula1>
    </dataValidation>
  </dataValidations>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6A286-5F91-4D56-993D-13A4FEEEC529}">
  <dimension ref="A1:P91"/>
  <sheetViews>
    <sheetView zoomScale="80" zoomScaleNormal="80" workbookViewId="0">
      <selection activeCell="J38" sqref="J38"/>
    </sheetView>
  </sheetViews>
  <sheetFormatPr defaultRowHeight="15"/>
  <cols>
    <col min="1" max="9" width="35.7109375" customWidth="1"/>
    <col min="10" max="10" width="37.85546875" customWidth="1"/>
    <col min="11" max="12" width="33.42578125" bestFit="1" customWidth="1"/>
    <col min="13" max="13" width="35.5703125" customWidth="1"/>
    <col min="14" max="18" width="6.5703125" bestFit="1" customWidth="1"/>
    <col min="19" max="19" width="10.28515625" bestFit="1" customWidth="1"/>
    <col min="20" max="20" width="11.5703125" bestFit="1" customWidth="1"/>
  </cols>
  <sheetData>
    <row r="1" spans="1:16" ht="46.5" customHeight="1">
      <c r="A1" s="55" t="s">
        <v>157</v>
      </c>
      <c r="B1" s="56"/>
      <c r="C1" s="56"/>
      <c r="D1" s="56"/>
      <c r="E1" s="56"/>
      <c r="F1" s="56"/>
      <c r="G1" s="56"/>
      <c r="H1" s="56"/>
      <c r="I1" s="56"/>
      <c r="J1" s="56"/>
      <c r="K1" s="56"/>
    </row>
    <row r="2" spans="1:16" ht="37.5">
      <c r="A2" s="25" t="s">
        <v>158</v>
      </c>
      <c r="B2" s="49" t="s">
        <v>159</v>
      </c>
      <c r="C2" s="49" t="s">
        <v>160</v>
      </c>
      <c r="D2" s="49" t="s">
        <v>161</v>
      </c>
      <c r="E2" s="49" t="s">
        <v>162</v>
      </c>
      <c r="F2" s="49" t="s">
        <v>163</v>
      </c>
      <c r="G2" s="49" t="s">
        <v>155</v>
      </c>
      <c r="H2" s="49" t="s">
        <v>164</v>
      </c>
      <c r="I2" s="49" t="s">
        <v>165</v>
      </c>
      <c r="J2" s="49" t="s">
        <v>166</v>
      </c>
      <c r="K2" s="50" t="s">
        <v>143</v>
      </c>
      <c r="P2" s="23" t="s">
        <v>167</v>
      </c>
    </row>
    <row r="3" spans="1:16" ht="60" customHeight="1">
      <c r="A3" s="29" t="s">
        <v>109</v>
      </c>
      <c r="B3" s="32">
        <f>SUMIFS(Table_ASU[TOTAL BUDGET REQUESTED], Table_ASU[FUND (ADMIN USE)], "AUX LIB 03203", Table_ASU[BUDGET APPROVED BY DIRECTOR? (ADMIN USE)], "Approved")</f>
        <v>0</v>
      </c>
      <c r="C3" s="32">
        <f>SUMIFS(Table_ASU2[TOTAL BUDGET REQUESTED], Table_ASU2[FUND (ADMIN USE)], "AUX LIB 03203", Table_ASU2[BUDGET APPROVED BY DIRECTOR? (ADMIN USE)], "Approved")</f>
        <v>0</v>
      </c>
      <c r="D3" s="32">
        <f>SUMIFS(Table_AU[TOTAL BUDGET REQUESTED], Table_AU[FUND (ADMIN USE)], "AUX LIB 03203", Table_AU[BUDGET APPROVED BY DIRECTOR? (ADMIN USE)], "Approved")</f>
        <v>0</v>
      </c>
      <c r="E3" s="32">
        <f>SUMIFS(Table_CMU[TOTAL BUDGET REQUESTED], Table_CMU[FUND (ADMIN USE)], "AUX LIB 03203", Table_CMU[BUDGET APPROVED BY DIRECTOR? (ADMIN USE)], "Approved")</f>
        <v>0</v>
      </c>
      <c r="F3" s="32">
        <f>SUMIFS(Table_E[TOTAL BUDGET REQUESTED], Table_E[FUND (ADMIN USE)], "AUX LIB 03203", Table_E[BUDGET APPROVED BY DIRECTOR? (ADMIN USE)], "Approved")</f>
        <v>0</v>
      </c>
      <c r="G3" s="32">
        <f>SUMIFS(Table_HCA[TOTAL BUDGET REQUESTED], Table_HCA[FUND (ADMIN USE)], "AUX LIB 03203", Table_HCA[BUDGET APPROVED BY DIRECTOR? (ADMIN USE)], "Approved")</f>
        <v>0</v>
      </c>
      <c r="H3" s="32">
        <f>SUMIFS(Table_PT[TOTAL BUDGET REQUESTED], Table_PT[FUND (ADMIN USE)], "AUX LIB 03203", Table_PT[BUDGET APPROVED BY DIRECTOR? (ADMIN USE)], "Approved")</f>
        <v>0</v>
      </c>
      <c r="I3" s="32">
        <f>SUMIFS(Table_REU[TOTAL BUDGET REQUESTED], Table_REU[FUND (ADMIN USE)], "AUX LIB 03203", Table_REU[BUDGET APPROVED BY DIRECTOR? (ADMIN USE)], "Approved")</f>
        <v>0</v>
      </c>
      <c r="J3" s="32">
        <f>SUMIFS(Table_SU[TOTAL BUDGET REQUESTED], Table_SU[FUND (ADMIN USE)], "AUX LIB 03203", Table_SU[BUDGET APPROVED BY DIRECTOR? (ADMIN USE)], "Approved")</f>
        <v>0</v>
      </c>
      <c r="K3" s="14">
        <f>SUM(Table_Totals[[#This Row],[Access Services Unit - Shimberg]:[Systems Unit]])</f>
        <v>0</v>
      </c>
      <c r="P3" s="23" t="s">
        <v>114</v>
      </c>
    </row>
    <row r="4" spans="1:16" ht="60" customHeight="1">
      <c r="A4" s="29" t="s">
        <v>234</v>
      </c>
      <c r="B4" s="32">
        <f>SUMIFS(Table_ASU[TOTAL BUDGET REQUESTED], Table_ASU[FUND (ADMIN USE)], "HSC ASSESSMENT 03216", Table_ASU[BUDGET APPROVED BY DIRECTOR? (ADMIN USE)], "Approved")</f>
        <v>0</v>
      </c>
      <c r="C4" s="32">
        <f>SUMIFS(Table_ASU2[TOTAL BUDGET REQUESTED], Table_ASU2[FUND (ADMIN USE)], "HSC ASSESSMENT 03216", Table_ASU2[BUDGET APPROVED BY DIRECTOR? (ADMIN USE)], "Approved")</f>
        <v>0</v>
      </c>
      <c r="D4" s="32">
        <f>SUMIFS(Table_AU[TOTAL BUDGET REQUESTED], Table_AU[FUND (ADMIN USE)], "HSC ASSESSMENT 03216", Table_AU[BUDGET APPROVED BY DIRECTOR? (ADMIN USE)], "Approved")</f>
        <v>0</v>
      </c>
      <c r="E4" s="32">
        <f>SUMIFS(Table_CMU[TOTAL BUDGET REQUESTED], Table_CMU[FUND (ADMIN USE)], "HSC ASSESSMENT 03216", Table_CMU[BUDGET APPROVED BY DIRECTOR? (ADMIN USE)], "Approved")</f>
        <v>0</v>
      </c>
      <c r="F4" s="32">
        <f>SUMIFS(Table_E[TOTAL BUDGET REQUESTED], Table_E[FUND (ADMIN USE)], "HSC ASSESSMENT 03216", Table_E[BUDGET APPROVED BY DIRECTOR? (ADMIN USE)], "Approved")</f>
        <v>0</v>
      </c>
      <c r="G4" s="32">
        <f>SUMIFS(Table_HCA[TOTAL BUDGET REQUESTED], Table_HCA[FUND (ADMIN USE)], "HSC ASSESSMENT 03216", Table_HCA[BUDGET APPROVED BY DIRECTOR? (ADMIN USE)], "Approved")</f>
        <v>0</v>
      </c>
      <c r="H4" s="32">
        <f>SUMIFS(Table_PT[TOTAL BUDGET REQUESTED], Table_PT[FUND (ADMIN USE)], "HSC ASSESSMENT 03216", Table_PT[BUDGET APPROVED BY DIRECTOR? (ADMIN USE)], "Approved")</f>
        <v>0</v>
      </c>
      <c r="I4" s="32">
        <f>SUMIFS(Table_REU[TOTAL BUDGET REQUESTED], Table_REU[FUND (ADMIN USE)], "HSC ASSESSMENT 03216", Table_REU[BUDGET APPROVED BY DIRECTOR? (ADMIN USE)], "Approved")</f>
        <v>0</v>
      </c>
      <c r="J4" s="32">
        <f>SUMIFS(Table_SU[TOTAL BUDGET REQUESTED], Table_SU[FUND (ADMIN USE)], "HSC ASSESSMENT 03216", Table_SU[BUDGET APPROVED BY DIRECTOR? (ADMIN USE)], "Approved")</f>
        <v>0</v>
      </c>
      <c r="K4" s="14">
        <f>SUM(Table_Totals[[#This Row],[Access Services Unit - Shimberg]:[Systems Unit]])</f>
        <v>0</v>
      </c>
      <c r="P4" s="23" t="s">
        <v>119</v>
      </c>
    </row>
    <row r="5" spans="1:16" ht="60" customHeight="1">
      <c r="A5" s="29" t="s">
        <v>118</v>
      </c>
      <c r="B5" s="32">
        <f>SUMIFS(Table_ASU[TOTAL BUDGET REQUESTED], Table_ASU[FUND (ADMIN USE)], "AUX PASSPORT 03215", Table_ASU[BUDGET APPROVED BY DIRECTOR? (ADMIN USE)], "Approved")</f>
        <v>0</v>
      </c>
      <c r="C5" s="32">
        <f>SUMIFS(Table_ASU2[TOTAL BUDGET REQUESTED], Table_ASU2[FUND (ADMIN USE)], "AUX PASSPORT 03215", Table_ASU2[BUDGET APPROVED BY DIRECTOR? (ADMIN USE)], "Approved")</f>
        <v>0</v>
      </c>
      <c r="D5" s="32">
        <f>SUMIFS(Table_AU[TOTAL BUDGET REQUESTED], Table_AU[FUND (ADMIN USE)], "AUX PASSPORT 03215", Table_AU[BUDGET APPROVED BY DIRECTOR? (ADMIN USE)], "Approved")</f>
        <v>0</v>
      </c>
      <c r="E5" s="32">
        <f>SUMIFS(Table_CMU[TOTAL BUDGET REQUESTED], Table_CMU[FUND (ADMIN USE)], "AUX PASSPORT 03215", Table_CMU[BUDGET APPROVED BY DIRECTOR? (ADMIN USE)], "Approved")</f>
        <v>0</v>
      </c>
      <c r="F5" s="32">
        <f>SUMIFS(Table_E[TOTAL BUDGET REQUESTED], Table_E[FUND (ADMIN USE)], "AUX PASSPORT 03215", Table_E[BUDGET APPROVED BY DIRECTOR? (ADMIN USE)], "Approved")</f>
        <v>0</v>
      </c>
      <c r="G5" s="32">
        <f>SUMIFS(Table_HCA[TOTAL BUDGET REQUESTED], Table_HCA[FUND (ADMIN USE)], "AUX PASSPORT 03215", Table_HCA[BUDGET APPROVED BY DIRECTOR? (ADMIN USE)], "Approved")</f>
        <v>0</v>
      </c>
      <c r="H5" s="32">
        <f>SUMIFS(Table_PT[TOTAL BUDGET REQUESTED], Table_PT[FUND (ADMIN USE)], "AUX PASSPORT 03215", Table_PT[BUDGET APPROVED BY DIRECTOR? (ADMIN USE)], "Approved")</f>
        <v>0</v>
      </c>
      <c r="I5" s="32">
        <f>SUMIFS(Table_REU[TOTAL BUDGET REQUESTED], Table_REU[FUND (ADMIN USE)], "AUX PASSPORT 03215", Table_REU[BUDGET APPROVED BY DIRECTOR? (ADMIN USE)], "Approved")</f>
        <v>0</v>
      </c>
      <c r="J5" s="32">
        <f>SUMIFS(Table_SU[TOTAL BUDGET REQUESTED], Table_SU[FUND (ADMIN USE)], "AUX PASSPORT 03215", Table_SU[BUDGET APPROVED BY DIRECTOR? (ADMIN USE)], "Approved")</f>
        <v>0</v>
      </c>
      <c r="K5" s="14">
        <f>SUM(Table_Totals[[#This Row],[Access Services Unit - Shimberg]:[Systems Unit]])</f>
        <v>0</v>
      </c>
      <c r="P5" s="23" t="s">
        <v>129</v>
      </c>
    </row>
    <row r="6" spans="1:16" ht="60" customHeight="1">
      <c r="A6" s="29" t="s">
        <v>122</v>
      </c>
      <c r="B6" s="32">
        <f>SUMIFS(Table_ASU[TOTAL BUDGET REQUESTED], Table_ASU[FUND (ADMIN USE)], "E + G 10000", Table_ASU[BUDGET APPROVED BY DIRECTOR? (ADMIN USE)], "Approved")</f>
        <v>0</v>
      </c>
      <c r="C6" s="32">
        <f>SUMIFS(Table_ASU2[TOTAL BUDGET REQUESTED], Table_ASU2[FUND (ADMIN USE)], "E + G 10000", Table_ASU2[BUDGET APPROVED BY DIRECTOR? (ADMIN USE)], "Approved")</f>
        <v>0</v>
      </c>
      <c r="D6" s="32">
        <f>SUMIFS(Table_AU[TOTAL BUDGET REQUESTED], Table_AU[FUND (ADMIN USE)], "E + G 10000", Table_AU[BUDGET APPROVED BY DIRECTOR? (ADMIN USE)], "Approved")</f>
        <v>0</v>
      </c>
      <c r="E6" s="32">
        <f>SUMIFS(Table_CMU[TOTAL BUDGET REQUESTED], Table_CMU[FUND (ADMIN USE)], "E + G 10000", Table_CMU[BUDGET APPROVED BY DIRECTOR? (ADMIN USE)], "Approved")</f>
        <v>0</v>
      </c>
      <c r="F6" s="32">
        <f>SUMIFS(Table_E[TOTAL BUDGET REQUESTED], Table_E[FUND (ADMIN USE)], "E + G 10000", Table_E[BUDGET APPROVED BY DIRECTOR? (ADMIN USE)], "Approved")</f>
        <v>0</v>
      </c>
      <c r="G6" s="32">
        <f>SUMIFS(Table_HCA[TOTAL BUDGET REQUESTED], Table_HCA[FUND (ADMIN USE)], "E + G 10000", Table_HCA[BUDGET APPROVED BY DIRECTOR? (ADMIN USE)], "Approved")</f>
        <v>0</v>
      </c>
      <c r="H6" s="32">
        <f>SUMIFS(Table_PT[TOTAL BUDGET REQUESTED], Table_PT[FUND (ADMIN USE)], "E + G 10000", Table_PT[BUDGET APPROVED BY DIRECTOR? (ADMIN USE)], "Approved")</f>
        <v>0</v>
      </c>
      <c r="I6" s="32">
        <f>SUMIFS(Table_REU[TOTAL BUDGET REQUESTED], Table_REU[FUND (ADMIN USE)], "E + G 10000", Table_REU[BUDGET APPROVED BY DIRECTOR? (ADMIN USE)], "Approved")</f>
        <v>0</v>
      </c>
      <c r="J6" s="32">
        <f>SUMIFS(Table_SU[TOTAL BUDGET REQUESTED], Table_SU[FUND (ADMIN USE)], "E + G 10000", Table_SU[BUDGET APPROVED BY DIRECTOR? (ADMIN USE)], "Approved")</f>
        <v>0</v>
      </c>
      <c r="K6" s="14">
        <f>SUM(Table_Totals[[#This Row],[Access Services Unit - Shimberg]:[Systems Unit]])</f>
        <v>0</v>
      </c>
      <c r="P6" s="23" t="s">
        <v>127</v>
      </c>
    </row>
    <row r="7" spans="1:16" ht="60" customHeight="1">
      <c r="A7" s="29" t="s">
        <v>126</v>
      </c>
      <c r="B7" s="32">
        <f>SUMIFS(Table_ASU[TOTAL BUDGET REQUESTED], Table_ASU[FUND (ADMIN USE)], "CFWD 10009", Table_ASU[BUDGET APPROVED BY DIRECTOR? (ADMIN USE)], "Approved")</f>
        <v>0</v>
      </c>
      <c r="C7" s="32">
        <f>SUMIFS(Table_ASU2[TOTAL BUDGET REQUESTED], Table_ASU2[FUND (ADMIN USE)], "CFWD 10009", Table_ASU2[BUDGET APPROVED BY DIRECTOR? (ADMIN USE)], "Approved")</f>
        <v>0</v>
      </c>
      <c r="D7" s="32">
        <f>SUMIFS(Table_AU[TOTAL BUDGET REQUESTED], Table_AU[FUND (ADMIN USE)], "CFWD 10009", Table_AU[BUDGET APPROVED BY DIRECTOR? (ADMIN USE)], "Approved")</f>
        <v>0</v>
      </c>
      <c r="E7" s="32">
        <f>SUMIFS(Table_CMU[TOTAL BUDGET REQUESTED], Table_CMU[FUND (ADMIN USE)], "CFWD 10009", Table_CMU[BUDGET APPROVED BY DIRECTOR? (ADMIN USE)], "Approved")</f>
        <v>0</v>
      </c>
      <c r="F7" s="32">
        <f>SUMIFS(Table_E[TOTAL BUDGET REQUESTED], Table_E[FUND (ADMIN USE)], "CFWD 10009", Table_E[BUDGET APPROVED BY DIRECTOR? (ADMIN USE)], "Approved")</f>
        <v>0</v>
      </c>
      <c r="G7" s="32">
        <f>SUMIFS(Table_HCA[TOTAL BUDGET REQUESTED], Table_HCA[FUND (ADMIN USE)], "CFWD 10009", Table_HCA[BUDGET APPROVED BY DIRECTOR? (ADMIN USE)], "Approved")</f>
        <v>0</v>
      </c>
      <c r="H7" s="32">
        <f>SUMIFS(Table_PT[TOTAL BUDGET REQUESTED], Table_PT[FUND (ADMIN USE)], "CFWD 10009", Table_PT[BUDGET APPROVED BY DIRECTOR? (ADMIN USE)], "Approved")</f>
        <v>0</v>
      </c>
      <c r="I7" s="32">
        <f>SUMIFS(Table_REU[TOTAL BUDGET REQUESTED], Table_REU[FUND (ADMIN USE)], "CFWD 10009", Table_REU[BUDGET APPROVED BY DIRECTOR? (ADMIN USE)], "Approved")</f>
        <v>0</v>
      </c>
      <c r="J7" s="32">
        <f>SUMIFS(Table_SU[TOTAL BUDGET REQUESTED], Table_SU[FUND (ADMIN USE)], "CFWD 10009", Table_SU[BUDGET APPROVED BY DIRECTOR? (ADMIN USE)], "Approved")</f>
        <v>0</v>
      </c>
      <c r="K7" s="14">
        <f>SUM(Table_Totals[[#This Row],[Access Services Unit - Shimberg]:[Systems Unit]])</f>
        <v>0</v>
      </c>
      <c r="P7" s="23" t="s">
        <v>123</v>
      </c>
    </row>
    <row r="8" spans="1:16" ht="60" customHeight="1">
      <c r="A8" s="29" t="s">
        <v>128</v>
      </c>
      <c r="B8" s="32">
        <f>SUMIFS(Table_ASU[TOTAL BUDGET REQUESTED], Table_ASU[FUND (ADMIN USE)], "E + G MEDDTN 12000", Table_ASU[BUDGET APPROVED BY DIRECTOR? (ADMIN USE)], "Approved")</f>
        <v>0</v>
      </c>
      <c r="C8" s="32">
        <f>SUMIFS(Table_ASU2[TOTAL BUDGET REQUESTED], Table_ASU2[FUND (ADMIN USE)], "E + G MEDDTN 12000", Table_ASU2[BUDGET APPROVED BY DIRECTOR? (ADMIN USE)], "Approved")</f>
        <v>0</v>
      </c>
      <c r="D8" s="32">
        <f>SUMIFS(Table_AU[TOTAL BUDGET REQUESTED], Table_AU[FUND (ADMIN USE)], "E + G MEDDTN 12000", Table_AU[BUDGET APPROVED BY DIRECTOR? (ADMIN USE)], "Approved")</f>
        <v>0</v>
      </c>
      <c r="E8" s="32">
        <f>SUMIFS(Table_CMU[TOTAL BUDGET REQUESTED], Table_CMU[FUND (ADMIN USE)], "E + G MEDDTN 12000", Table_CMU[BUDGET APPROVED BY DIRECTOR? (ADMIN USE)], "Approved")</f>
        <v>0</v>
      </c>
      <c r="F8" s="32">
        <f>SUMIFS(Table_E[TOTAL BUDGET REQUESTED], Table_E[FUND (ADMIN USE)], "E + G MEDDTN 12000", Table_E[BUDGET APPROVED BY DIRECTOR? (ADMIN USE)], "Approved")</f>
        <v>0</v>
      </c>
      <c r="G8" s="32">
        <f>SUMIFS(Table_HCA[TOTAL BUDGET REQUESTED], Table_HCA[FUND (ADMIN USE)], "E + G MEDDTN 12000", Table_HCA[BUDGET APPROVED BY DIRECTOR? (ADMIN USE)], "Approved")</f>
        <v>0</v>
      </c>
      <c r="H8" s="32">
        <f>SUMIFS(Table_PT[TOTAL BUDGET REQUESTED], Table_PT[FUND (ADMIN USE)], "E + G MEDDTN 12000", Table_PT[BUDGET APPROVED BY DIRECTOR? (ADMIN USE)], "Approved")</f>
        <v>0</v>
      </c>
      <c r="I8" s="32">
        <f>SUMIFS(Table_REU[TOTAL BUDGET REQUESTED], Table_REU[FUND (ADMIN USE)], "E + G MEDDTN 12000", Table_REU[BUDGET APPROVED BY DIRECTOR? (ADMIN USE)], "Approved")</f>
        <v>0</v>
      </c>
      <c r="J8" s="32">
        <f>SUMIFS(Table_SU[TOTAL BUDGET REQUESTED], Table_SU[FUND (ADMIN USE)], "E + G MEDDTN 12000", Table_SU[BUDGET APPROVED BY DIRECTOR? (ADMIN USE)], "Approved")</f>
        <v>0</v>
      </c>
      <c r="K8" s="14">
        <f>SUM(Table_Totals[[#This Row],[Access Services Unit - Shimberg]:[Systems Unit]])</f>
        <v>0</v>
      </c>
      <c r="P8" s="23" t="s">
        <v>168</v>
      </c>
    </row>
    <row r="9" spans="1:16" ht="60" customHeight="1">
      <c r="A9" s="29" t="s">
        <v>133</v>
      </c>
      <c r="B9" s="32">
        <f>SUMIFS(Table_ASU[TOTAL BUDGET REQUESTED], Table_ASU[FUND (ADMIN USE)], "RIA 18300", Table_ASU[BUDGET APPROVED BY DIRECTOR? (ADMIN USE)], "Approved")</f>
        <v>0</v>
      </c>
      <c r="C9" s="32">
        <f>SUMIFS(Table_ASU2[TOTAL BUDGET REQUESTED], Table_ASU2[FUND (ADMIN USE)], "RIA 18300", Table_ASU2[BUDGET APPROVED BY DIRECTOR? (ADMIN USE)], "Approved")</f>
        <v>0</v>
      </c>
      <c r="D9" s="32">
        <f>SUMIFS(Table_AU[TOTAL BUDGET REQUESTED], Table_AU[FUND (ADMIN USE)], "RIA 18300", Table_AU[BUDGET APPROVED BY DIRECTOR? (ADMIN USE)], "Approved")</f>
        <v>0</v>
      </c>
      <c r="E9" s="32">
        <f>SUMIFS(Table_CMU[TOTAL BUDGET REQUESTED], Table_CMU[FUND (ADMIN USE)], "RIA 18300", Table_CMU[BUDGET APPROVED BY DIRECTOR? (ADMIN USE)], "Approved")</f>
        <v>0</v>
      </c>
      <c r="F9" s="32">
        <f>SUMIFS(Table_E[TOTAL BUDGET REQUESTED], Table_E[FUND (ADMIN USE)], "RIA 18300", Table_E[BUDGET APPROVED BY DIRECTOR? (ADMIN USE)], "Approved")</f>
        <v>0</v>
      </c>
      <c r="G9" s="32">
        <f>SUMIFS(Table_HCA[TOTAL BUDGET REQUESTED], Table_HCA[FUND (ADMIN USE)], "RIA 18300", Table_HCA[BUDGET APPROVED BY DIRECTOR? (ADMIN USE)], "Approved")</f>
        <v>0</v>
      </c>
      <c r="H9" s="32">
        <f>SUMIFS(Table_PT[TOTAL BUDGET REQUESTED], Table_PT[FUND (ADMIN USE)], "RIA 18300", Table_PT[BUDGET APPROVED BY DIRECTOR? (ADMIN USE)], "Approved")</f>
        <v>0</v>
      </c>
      <c r="I9" s="32">
        <f>SUMIFS(Table_REU[TOTAL BUDGET REQUESTED], Table_REU[FUND (ADMIN USE)], "RIA 18300", Table_REU[BUDGET APPROVED BY DIRECTOR? (ADMIN USE)], "Approved")</f>
        <v>0</v>
      </c>
      <c r="J9" s="32">
        <f>SUMIFS(Table_SU[TOTAL BUDGET REQUESTED], Table_SU[FUND (ADMIN USE)], "RIA 18300", Table_SU[BUDGET APPROVED BY DIRECTOR? (ADMIN USE)], "Approved")</f>
        <v>0</v>
      </c>
      <c r="K9" s="14">
        <f>SUM(Table_Totals[[#This Row],[Access Services Unit - Shimberg]:[Systems Unit]])</f>
        <v>0</v>
      </c>
    </row>
    <row r="10" spans="1:16" ht="60" customHeight="1">
      <c r="A10" s="29" t="s">
        <v>135</v>
      </c>
      <c r="B10" s="32">
        <f>SUMIFS(Table_ASU[TOTAL BUDGET REQUESTED], Table_ASU[FUND (ADMIN USE)], "FWS 28000", Table_ASU[BUDGET APPROVED BY DIRECTOR? (ADMIN USE)], "Approved")</f>
        <v>0</v>
      </c>
      <c r="C10" s="32">
        <f>SUMIFS(Table_ASU2[TOTAL BUDGET REQUESTED], Table_ASU2[FUND (ADMIN USE)], "FWS 28000", Table_ASU2[BUDGET APPROVED BY DIRECTOR? (ADMIN USE)], "Approved")</f>
        <v>0</v>
      </c>
      <c r="D10" s="32">
        <f>SUMIFS(Table_AU[TOTAL BUDGET REQUESTED], Table_AU[FUND (ADMIN USE)], "FWS 28000", Table_AU[BUDGET APPROVED BY DIRECTOR? (ADMIN USE)], "Approved")</f>
        <v>0</v>
      </c>
      <c r="E10" s="32">
        <f>SUMIFS(Table_CMU[TOTAL BUDGET REQUESTED], Table_CMU[FUND (ADMIN USE)], "FWS 28000", Table_CMU[BUDGET APPROVED BY DIRECTOR? (ADMIN USE)], "Approved")</f>
        <v>0</v>
      </c>
      <c r="F10" s="32">
        <f>SUMIFS(Table_E[TOTAL BUDGET REQUESTED], Table_E[FUND (ADMIN USE)], "FWS 28000", Table_E[BUDGET APPROVED BY DIRECTOR? (ADMIN USE)], "Approved")</f>
        <v>0</v>
      </c>
      <c r="G10" s="32">
        <f>SUMIFS(Table_HCA[TOTAL BUDGET REQUESTED], Table_HCA[FUND (ADMIN USE)], "FWS 28000", Table_HCA[BUDGET APPROVED BY DIRECTOR? (ADMIN USE)], "Approved")</f>
        <v>0</v>
      </c>
      <c r="H10" s="32">
        <f>SUMIFS(Table_PT[TOTAL BUDGET REQUESTED], Table_PT[FUND (ADMIN USE)], "FWS 28000", Table_PT[BUDGET APPROVED BY DIRECTOR? (ADMIN USE)], "Approved")</f>
        <v>0</v>
      </c>
      <c r="I10" s="32">
        <f>SUMIFS(Table_REU[TOTAL BUDGET REQUESTED], Table_REU[FUND (ADMIN USE)], "FWS 28000", Table_REU[BUDGET APPROVED BY DIRECTOR? (ADMIN USE)], "Approved")</f>
        <v>0</v>
      </c>
      <c r="J10" s="32">
        <f>SUMIFS(Table_SU[TOTAL BUDGET REQUESTED], Table_SU[FUND (ADMIN USE)], "FWS 28000", Table_SU[BUDGET APPROVED BY DIRECTOR? (ADMIN USE)], "Approved")</f>
        <v>0</v>
      </c>
      <c r="K10" s="14">
        <f>SUM(Table_Totals[[#This Row],[Access Services Unit - Shimberg]:[Systems Unit]])</f>
        <v>0</v>
      </c>
    </row>
    <row r="11" spans="1:16" ht="60" customHeight="1">
      <c r="A11" s="29" t="s">
        <v>136</v>
      </c>
      <c r="B11" s="32">
        <f>SUMIFS(Table_ASU[TOTAL BUDGET REQUESTED], Table_ASU[FUND (ADMIN USE)], "FOUNDATION", Table_ASU[BUDGET APPROVED BY DIRECTOR? (ADMIN USE)], "Approved")</f>
        <v>0</v>
      </c>
      <c r="C11" s="32">
        <f>SUMIFS(Table_ASU2[TOTAL BUDGET REQUESTED], Table_ASU2[FUND (ADMIN USE)], "FOUNDATION", Table_ASU2[BUDGET APPROVED BY DIRECTOR? (ADMIN USE)], "Approved")</f>
        <v>0</v>
      </c>
      <c r="D11" s="32">
        <f>SUMIFS(Table_AU[TOTAL BUDGET REQUESTED], Table_AU[FUND (ADMIN USE)], "FOUNDATION", Table_AU[BUDGET APPROVED BY DIRECTOR? (ADMIN USE)], "Approved")</f>
        <v>0</v>
      </c>
      <c r="E11" s="32">
        <f>SUMIFS(Table_CMU[TOTAL BUDGET REQUESTED], Table_CMU[FUND (ADMIN USE)], "FOUNDATION", Table_CMU[BUDGET APPROVED BY DIRECTOR? (ADMIN USE)], "Approved")</f>
        <v>0</v>
      </c>
      <c r="F11" s="32">
        <f>SUMIFS(Table_E[TOTAL BUDGET REQUESTED], Table_E[FUND (ADMIN USE)], "FOUNDATION", Table_E[BUDGET APPROVED BY DIRECTOR? (ADMIN USE)], "Approved")</f>
        <v>0</v>
      </c>
      <c r="G11" s="32">
        <f>SUMIFS(Table_HCA[TOTAL BUDGET REQUESTED], Table_HCA[FUND (ADMIN USE)], "FOUNDATION", Table_HCA[BUDGET APPROVED BY DIRECTOR? (ADMIN USE)], "Approved")</f>
        <v>0</v>
      </c>
      <c r="H11" s="32">
        <f>SUMIFS(Table_PT[TOTAL BUDGET REQUESTED], Table_PT[FUND (ADMIN USE)], "FOUNDATION", Table_PT[BUDGET APPROVED BY DIRECTOR? (ADMIN USE)], "Approved")</f>
        <v>0</v>
      </c>
      <c r="I11" s="32">
        <f>SUMIFS(Table_REU[TOTAL BUDGET REQUESTED], Table_REU[FUND (ADMIN USE)], "FOUNDATION", Table_REU[BUDGET APPROVED BY DIRECTOR? (ADMIN USE)], "Approved")</f>
        <v>0</v>
      </c>
      <c r="J11" s="32">
        <f>SUMIFS(Table_SU[TOTAL BUDGET REQUESTED], Table_SU[FUND (ADMIN USE)], "FOUNDATION", Table_SU[BUDGET APPROVED BY DIRECTOR? (ADMIN USE)], "Approved")</f>
        <v>0</v>
      </c>
      <c r="K11" s="14">
        <f>SUM(Table_Totals[[#This Row],[Access Services Unit - Shimberg]:[Systems Unit]])</f>
        <v>0</v>
      </c>
    </row>
    <row r="12" spans="1:16" ht="60" customHeight="1">
      <c r="A12" s="29" t="s">
        <v>155</v>
      </c>
      <c r="B12" s="41"/>
      <c r="C12" s="32"/>
      <c r="D12" s="32"/>
      <c r="E12" s="32">
        <f>SUMIFS(Table_CMU[TOTAL BUDGET REQUESTED], Table_CMU[FUND (ADMIN USE)], "HCA", Table_CMU[BUDGET APPROVED BY DIRECTOR? (ADMIN USE)], "Approved")</f>
        <v>0</v>
      </c>
      <c r="F12" s="32"/>
      <c r="G12" s="32">
        <f>SUMIFS(Table_HCA[TOTAL BUDGET REQUESTED], Table_HCA[FUND (ADMIN USE)], "HCA", Table_HCA[BUDGET APPROVED BY DIRECTOR? (ADMIN USE)], "Approved")</f>
        <v>0</v>
      </c>
      <c r="H12" s="32"/>
      <c r="I12" s="32"/>
      <c r="J12" s="32"/>
      <c r="K12" s="14">
        <f>SUM(Table_Totals[[#This Row],[Access Services Unit - Shimberg]:[Systems Unit]])</f>
        <v>0</v>
      </c>
    </row>
    <row r="13" spans="1:16" ht="60" customHeight="1">
      <c r="A13" s="29" t="s">
        <v>156</v>
      </c>
      <c r="B13" s="41"/>
      <c r="C13" s="32"/>
      <c r="D13" s="32"/>
      <c r="E13" s="32">
        <f>SUMIFS(Table_CMU[TOTAL BUDGET REQUESTED], Table_CMU[FUND (ADMIN USE)], "TCOP", Table_CMU[BUDGET APPROVED BY DIRECTOR? (ADMIN USE)], "Approved")</f>
        <v>0</v>
      </c>
      <c r="F13" s="32"/>
      <c r="G13" s="32"/>
      <c r="H13" s="32"/>
      <c r="I13" s="32"/>
      <c r="J13" s="32"/>
      <c r="K13" s="14">
        <f>SUM(Table_Totals[[#This Row],[Access Services Unit - Shimberg]:[Systems Unit]])</f>
        <v>0</v>
      </c>
    </row>
    <row r="14" spans="1:16" ht="60" customHeight="1">
      <c r="A14" s="29" t="s">
        <v>169</v>
      </c>
      <c r="B14" s="31">
        <f>SUM(B3:B13)</f>
        <v>0</v>
      </c>
      <c r="C14" s="31">
        <f t="shared" ref="C14:J14" si="0">SUM(C3:C13)</f>
        <v>0</v>
      </c>
      <c r="D14" s="31">
        <f t="shared" si="0"/>
        <v>0</v>
      </c>
      <c r="E14" s="31">
        <f t="shared" si="0"/>
        <v>0</v>
      </c>
      <c r="F14" s="31">
        <f t="shared" si="0"/>
        <v>0</v>
      </c>
      <c r="G14" s="31">
        <f t="shared" si="0"/>
        <v>0</v>
      </c>
      <c r="H14" s="31">
        <f t="shared" si="0"/>
        <v>0</v>
      </c>
      <c r="I14" s="31">
        <f t="shared" si="0"/>
        <v>0</v>
      </c>
      <c r="J14" s="31">
        <f t="shared" si="0"/>
        <v>0</v>
      </c>
      <c r="K14" s="14">
        <f>SUM(K3:K13)</f>
        <v>0</v>
      </c>
    </row>
    <row r="15" spans="1:16" ht="60" customHeight="1">
      <c r="K15" s="47"/>
    </row>
    <row r="16" spans="1:16" ht="60" customHeight="1">
      <c r="K16" s="47"/>
    </row>
    <row r="17" spans="1:11" ht="60" customHeight="1">
      <c r="A17" s="55" t="s">
        <v>157</v>
      </c>
      <c r="B17" s="56"/>
      <c r="C17" s="56"/>
      <c r="D17" s="56"/>
      <c r="E17" s="56"/>
      <c r="F17" s="56"/>
      <c r="G17" s="56"/>
      <c r="H17" s="56"/>
      <c r="I17" s="56"/>
      <c r="J17" s="56"/>
      <c r="K17" s="56"/>
    </row>
    <row r="18" spans="1:11" ht="60" customHeight="1">
      <c r="A18" s="25" t="s">
        <v>236</v>
      </c>
      <c r="B18" s="49" t="s">
        <v>225</v>
      </c>
      <c r="C18" s="49" t="s">
        <v>226</v>
      </c>
      <c r="D18" s="49" t="s">
        <v>227</v>
      </c>
      <c r="E18" s="49" t="s">
        <v>228</v>
      </c>
      <c r="F18" s="49" t="s">
        <v>229</v>
      </c>
      <c r="G18" s="49" t="s">
        <v>230</v>
      </c>
      <c r="H18" s="49" t="s">
        <v>231</v>
      </c>
      <c r="I18" s="49" t="s">
        <v>232</v>
      </c>
      <c r="J18" s="49" t="s">
        <v>233</v>
      </c>
      <c r="K18" s="50" t="s">
        <v>143</v>
      </c>
    </row>
    <row r="19" spans="1:11" ht="60" customHeight="1">
      <c r="A19" s="29" t="s">
        <v>109</v>
      </c>
      <c r="B19" s="32">
        <f>SUM(
    SUMIFS(Table_ASU[TOTAL BUDGET REQUESTED], Table_ASU[FUND (ADMIN USE)], $A19, Table_ASU[BUDGET APPROVED BY DIRECTOR? (ADMIN USE)], "Approved", Table_ASU[BUDGET ACCOUNT Number (AUTOFILLS)], B$18),
    SUMIFS(Table_ASU2[TOTAL BUDGET REQUESTED], Table_ASU2[FUND (ADMIN USE)], $A19, Table_ASU2[BUDGET APPROVED BY DIRECTOR? (ADMIN USE)], "Approved", Table_ASU2[BUDGET ACCOUNT NUMBER (AUTOFILLS)], B$18),
    SUMIFS(Table_AU[TOTAL BUDGET REQUESTED], Table_AU[FUND (ADMIN USE)], $A19, Table_AU[BUDGET APPROVED BY DIRECTOR? (ADMIN USE)], "Approved", Table_AU[BUDGET ACCOUNT NUMBER (AUTOFILLS)], B$18),
    SUMIFS(Table_CMU[TOTAL BUDGET REQUESTED], Table_CMU[FUND (ADMIN USE)], $A19, Table_CMU[BUDGET APPROVED BY DIRECTOR? (ADMIN USE)], "Approved", Table_CMU[BUDGET ACCOUNT NUMBER (AUTOFILLS)], B$18),
    SUMIFS(Table_E[TOTAL BUDGET REQUESTED], Table_E[FUND (ADMIN USE)], $A19, Table_E[BUDGET APPROVED BY DIRECTOR? (ADMIN USE)], "Approved", Table_E[BUDGET ACCOUNT NUMBER (AUTOFILLS)], B$18),
    SUMIFS(Table_HCA[TOTAL BUDGET REQUESTED], Table_HCA[FUND (ADMIN USE)], $A19, Table_HCA[BUDGET APPROVED BY DIRECTOR? (ADMIN USE)], "Approved", Table_HCA[BUDGET ACCOUNT Number (AUTOFILLS)], B$18),
    SUMIFS(Table_PT[TOTAL BUDGET REQUESTED], Table_PT[FUND (ADMIN USE)], $A19, Table_PT[BUDGET APPROVED BY DIRECTOR? (ADMIN USE)], "Approved", Table_PT[BUDGET ACCOUNT NUMBER (AUTOFILLS)], B$18),
    SUMIFS(Table_REU[TOTAL BUDGET REQUESTED], Table_REU[FUND (ADMIN USE)], $A19, Table_REU[BUDGET APPROVED BY DIRECTOR? (ADMIN USE)], "Approved", Table_REU[BUDGET ACCOUNT NUMBER (AUTOFILLS)], B$18),
    SUMIFS(Table_SU[TOTAL BUDGET REQUESTED], Table_SU[FUND (ADMIN USE)], $A19, Table_SU[BUDGET APPROVED BY DIRECTOR? (ADMIN USE)], "Approved", Table_SU[BUDGET ACCOUNT NUMBER (AUTOFILLS)], B$18)
)</f>
        <v>0</v>
      </c>
      <c r="C19" s="32">
        <f>SUM(
    SUMIFS(Table_ASU[TOTAL BUDGET REQUESTED], Table_ASU[FUND (ADMIN USE)], $A19, Table_ASU[BUDGET APPROVED BY DIRECTOR? (ADMIN USE)], "Approved", Table_ASU[BUDGET ACCOUNT Number (AUTOFILLS)], C$18),
    SUMIFS(Table_ASU2[TOTAL BUDGET REQUESTED], Table_ASU2[FUND (ADMIN USE)], $A19, Table_ASU2[BUDGET APPROVED BY DIRECTOR? (ADMIN USE)], "Approved", Table_ASU2[BUDGET ACCOUNT NUMBER (AUTOFILLS)], C$18),
    SUMIFS(Table_AU[TOTAL BUDGET REQUESTED], Table_AU[FUND (ADMIN USE)], $A19, Table_AU[BUDGET APPROVED BY DIRECTOR? (ADMIN USE)], "Approved", Table_AU[BUDGET ACCOUNT NUMBER (AUTOFILLS)], C$18),
    SUMIFS(Table_CMU[TOTAL BUDGET REQUESTED], Table_CMU[FUND (ADMIN USE)], $A19, Table_CMU[BUDGET APPROVED BY DIRECTOR? (ADMIN USE)], "Approved", Table_CMU[BUDGET ACCOUNT NUMBER (AUTOFILLS)], C$18),
    SUMIFS(Table_E[TOTAL BUDGET REQUESTED], Table_E[FUND (ADMIN USE)], $A19, Table_E[BUDGET APPROVED BY DIRECTOR? (ADMIN USE)], "Approved", Table_E[BUDGET ACCOUNT NUMBER (AUTOFILLS)], C$18),
    SUMIFS(Table_HCA[TOTAL BUDGET REQUESTED], Table_HCA[FUND (ADMIN USE)], $A19, Table_HCA[BUDGET APPROVED BY DIRECTOR? (ADMIN USE)], "Approved", Table_HCA[BUDGET ACCOUNT Number (AUTOFILLS)], C$18),
    SUMIFS(Table_PT[TOTAL BUDGET REQUESTED], Table_PT[FUND (ADMIN USE)], $A19, Table_PT[BUDGET APPROVED BY DIRECTOR? (ADMIN USE)], "Approved", Table_PT[BUDGET ACCOUNT NUMBER (AUTOFILLS)], C$18),
    SUMIFS(Table_REU[TOTAL BUDGET REQUESTED], Table_REU[FUND (ADMIN USE)], $A19, Table_REU[BUDGET APPROVED BY DIRECTOR? (ADMIN USE)], "Approved", Table_REU[BUDGET ACCOUNT NUMBER (AUTOFILLS)], C$18),
    SUMIFS(Table_SU[TOTAL BUDGET REQUESTED], Table_SU[FUND (ADMIN USE)], $A19, Table_SU[BUDGET APPROVED BY DIRECTOR? (ADMIN USE)], "Approved", Table_SU[BUDGET ACCOUNT NUMBER (AUTOFILLS)], C$18)
)</f>
        <v>0</v>
      </c>
      <c r="D19" s="32">
        <f>SUM(
    SUMIFS(Table_ASU[TOTAL BUDGET REQUESTED], Table_ASU[FUND (ADMIN USE)], $A19, Table_ASU[BUDGET APPROVED BY DIRECTOR? (ADMIN USE)], "Approved", Table_ASU[BUDGET ACCOUNT Number (AUTOFILLS)], D$18),
    SUMIFS(Table_ASU2[TOTAL BUDGET REQUESTED], Table_ASU2[FUND (ADMIN USE)], $A19, Table_ASU2[BUDGET APPROVED BY DIRECTOR? (ADMIN USE)], "Approved", Table_ASU2[BUDGET ACCOUNT NUMBER (AUTOFILLS)], D$18),
    SUMIFS(Table_AU[TOTAL BUDGET REQUESTED], Table_AU[FUND (ADMIN USE)], $A19, Table_AU[BUDGET APPROVED BY DIRECTOR? (ADMIN USE)], "Approved", Table_AU[BUDGET ACCOUNT NUMBER (AUTOFILLS)], D$18),
    SUMIFS(Table_CMU[TOTAL BUDGET REQUESTED], Table_CMU[FUND (ADMIN USE)], $A19, Table_CMU[BUDGET APPROVED BY DIRECTOR? (ADMIN USE)], "Approved", Table_CMU[BUDGET ACCOUNT NUMBER (AUTOFILLS)], D$18),
    SUMIFS(Table_E[TOTAL BUDGET REQUESTED], Table_E[FUND (ADMIN USE)], $A19, Table_E[BUDGET APPROVED BY DIRECTOR? (ADMIN USE)], "Approved", Table_E[BUDGET ACCOUNT NUMBER (AUTOFILLS)], D$18),
    SUMIFS(Table_HCA[TOTAL BUDGET REQUESTED], Table_HCA[FUND (ADMIN USE)], $A19, Table_HCA[BUDGET APPROVED BY DIRECTOR? (ADMIN USE)], "Approved", Table_HCA[BUDGET ACCOUNT Number (AUTOFILLS)], D$18),
    SUMIFS(Table_PT[TOTAL BUDGET REQUESTED], Table_PT[FUND (ADMIN USE)], $A19, Table_PT[BUDGET APPROVED BY DIRECTOR? (ADMIN USE)], "Approved", Table_PT[BUDGET ACCOUNT NUMBER (AUTOFILLS)], D$18),
    SUMIFS(Table_REU[TOTAL BUDGET REQUESTED], Table_REU[FUND (ADMIN USE)], $A19, Table_REU[BUDGET APPROVED BY DIRECTOR? (ADMIN USE)], "Approved", Table_REU[BUDGET ACCOUNT NUMBER (AUTOFILLS)], D$18),
    SUMIFS(Table_SU[TOTAL BUDGET REQUESTED], Table_SU[FUND (ADMIN USE)], $A19, Table_SU[BUDGET APPROVED BY DIRECTOR? (ADMIN USE)], "Approved", Table_SU[BUDGET ACCOUNT NUMBER (AUTOFILLS)], D$18)
)</f>
        <v>0</v>
      </c>
      <c r="E19" s="32">
        <f>SUM(
    SUMIFS(Table_ASU[TOTAL BUDGET REQUESTED], Table_ASU[FUND (ADMIN USE)], $A19, Table_ASU[BUDGET APPROVED BY DIRECTOR? (ADMIN USE)], "Approved", Table_ASU[BUDGET ACCOUNT Number (AUTOFILLS)], E$18),
    SUMIFS(Table_ASU2[TOTAL BUDGET REQUESTED], Table_ASU2[FUND (ADMIN USE)], $A19, Table_ASU2[BUDGET APPROVED BY DIRECTOR? (ADMIN USE)], "Approved", Table_ASU2[BUDGET ACCOUNT NUMBER (AUTOFILLS)], E$18),
    SUMIFS(Table_AU[TOTAL BUDGET REQUESTED], Table_AU[FUND (ADMIN USE)], $A19, Table_AU[BUDGET APPROVED BY DIRECTOR? (ADMIN USE)], "Approved", Table_AU[BUDGET ACCOUNT NUMBER (AUTOFILLS)], E$18),
    SUMIFS(Table_CMU[TOTAL BUDGET REQUESTED], Table_CMU[FUND (ADMIN USE)], $A19, Table_CMU[BUDGET APPROVED BY DIRECTOR? (ADMIN USE)], "Approved", Table_CMU[BUDGET ACCOUNT NUMBER (AUTOFILLS)], E$18),
    SUMIFS(Table_E[TOTAL BUDGET REQUESTED], Table_E[FUND (ADMIN USE)], $A19, Table_E[BUDGET APPROVED BY DIRECTOR? (ADMIN USE)], "Approved", Table_E[BUDGET ACCOUNT NUMBER (AUTOFILLS)], E$18),
    SUMIFS(Table_HCA[TOTAL BUDGET REQUESTED], Table_HCA[FUND (ADMIN USE)], $A19, Table_HCA[BUDGET APPROVED BY DIRECTOR? (ADMIN USE)], "Approved", Table_HCA[BUDGET ACCOUNT Number (AUTOFILLS)], E$18),
    SUMIFS(Table_PT[TOTAL BUDGET REQUESTED], Table_PT[FUND (ADMIN USE)], $A19, Table_PT[BUDGET APPROVED BY DIRECTOR? (ADMIN USE)], "Approved", Table_PT[BUDGET ACCOUNT NUMBER (AUTOFILLS)], E$18),
    SUMIFS(Table_REU[TOTAL BUDGET REQUESTED], Table_REU[FUND (ADMIN USE)], $A19, Table_REU[BUDGET APPROVED BY DIRECTOR? (ADMIN USE)], "Approved", Table_REU[BUDGET ACCOUNT NUMBER (AUTOFILLS)], E$18),
    SUMIFS(Table_SU[TOTAL BUDGET REQUESTED], Table_SU[FUND (ADMIN USE)], $A19, Table_SU[BUDGET APPROVED BY DIRECTOR? (ADMIN USE)], "Approved", Table_SU[BUDGET ACCOUNT NUMBER (AUTOFILLS)], E$18)
)</f>
        <v>0</v>
      </c>
      <c r="F19" s="32">
        <f>SUM(
    SUMIFS(Table_ASU[TOTAL BUDGET REQUESTED], Table_ASU[FUND (ADMIN USE)], $A19, Table_ASU[BUDGET APPROVED BY DIRECTOR? (ADMIN USE)], "Approved", Table_ASU[BUDGET ACCOUNT Number (AUTOFILLS)], F$18),
    SUMIFS(Table_ASU2[TOTAL BUDGET REQUESTED], Table_ASU2[FUND (ADMIN USE)], $A19, Table_ASU2[BUDGET APPROVED BY DIRECTOR? (ADMIN USE)], "Approved", Table_ASU2[BUDGET ACCOUNT NUMBER (AUTOFILLS)], F$18),
    SUMIFS(Table_AU[TOTAL BUDGET REQUESTED], Table_AU[FUND (ADMIN USE)], $A19, Table_AU[BUDGET APPROVED BY DIRECTOR? (ADMIN USE)], "Approved", Table_AU[BUDGET ACCOUNT NUMBER (AUTOFILLS)], F$18),
    SUMIFS(Table_CMU[TOTAL BUDGET REQUESTED], Table_CMU[FUND (ADMIN USE)], $A19, Table_CMU[BUDGET APPROVED BY DIRECTOR? (ADMIN USE)], "Approved", Table_CMU[BUDGET ACCOUNT NUMBER (AUTOFILLS)], F$18),
    SUMIFS(Table_E[TOTAL BUDGET REQUESTED], Table_E[FUND (ADMIN USE)], $A19, Table_E[BUDGET APPROVED BY DIRECTOR? (ADMIN USE)], "Approved", Table_E[BUDGET ACCOUNT NUMBER (AUTOFILLS)], F$18),
    SUMIFS(Table_HCA[TOTAL BUDGET REQUESTED], Table_HCA[FUND (ADMIN USE)], $A19, Table_HCA[BUDGET APPROVED BY DIRECTOR? (ADMIN USE)], "Approved", Table_HCA[BUDGET ACCOUNT Number (AUTOFILLS)], F$18),
    SUMIFS(Table_PT[TOTAL BUDGET REQUESTED], Table_PT[FUND (ADMIN USE)], $A19, Table_PT[BUDGET APPROVED BY DIRECTOR? (ADMIN USE)], "Approved", Table_PT[BUDGET ACCOUNT NUMBER (AUTOFILLS)], F$18),
    SUMIFS(Table_REU[TOTAL BUDGET REQUESTED], Table_REU[FUND (ADMIN USE)], $A19, Table_REU[BUDGET APPROVED BY DIRECTOR? (ADMIN USE)], "Approved", Table_REU[BUDGET ACCOUNT NUMBER (AUTOFILLS)], F$18),
    SUMIFS(Table_SU[TOTAL BUDGET REQUESTED], Table_SU[FUND (ADMIN USE)], $A19, Table_SU[BUDGET APPROVED BY DIRECTOR? (ADMIN USE)], "Approved", Table_SU[BUDGET ACCOUNT NUMBER (AUTOFILLS)], F$18)
)</f>
        <v>0</v>
      </c>
      <c r="G19" s="32">
        <f>SUM(
    SUMIFS(Table_ASU[TOTAL BUDGET REQUESTED], Table_ASU[FUND (ADMIN USE)], $A19, Table_ASU[BUDGET APPROVED BY DIRECTOR? (ADMIN USE)], "Approved", Table_ASU[BUDGET ACCOUNT Number (AUTOFILLS)], G$18),
    SUMIFS(Table_ASU2[TOTAL BUDGET REQUESTED], Table_ASU2[FUND (ADMIN USE)], $A19, Table_ASU2[BUDGET APPROVED BY DIRECTOR? (ADMIN USE)], "Approved", Table_ASU2[BUDGET ACCOUNT NUMBER (AUTOFILLS)], G$18),
    SUMIFS(Table_AU[TOTAL BUDGET REQUESTED], Table_AU[FUND (ADMIN USE)], $A19, Table_AU[BUDGET APPROVED BY DIRECTOR? (ADMIN USE)], "Approved", Table_AU[BUDGET ACCOUNT NUMBER (AUTOFILLS)], G$18),
    SUMIFS(Table_CMU[TOTAL BUDGET REQUESTED], Table_CMU[FUND (ADMIN USE)], $A19, Table_CMU[BUDGET APPROVED BY DIRECTOR? (ADMIN USE)], "Approved", Table_CMU[BUDGET ACCOUNT NUMBER (AUTOFILLS)], G$18),
    SUMIFS(Table_E[TOTAL BUDGET REQUESTED], Table_E[FUND (ADMIN USE)], $A19, Table_E[BUDGET APPROVED BY DIRECTOR? (ADMIN USE)], "Approved", Table_E[BUDGET ACCOUNT NUMBER (AUTOFILLS)], G$18),
    SUMIFS(Table_HCA[TOTAL BUDGET REQUESTED], Table_HCA[FUND (ADMIN USE)], $A19, Table_HCA[BUDGET APPROVED BY DIRECTOR? (ADMIN USE)], "Approved", Table_HCA[BUDGET ACCOUNT Number (AUTOFILLS)], G$18),
    SUMIFS(Table_PT[TOTAL BUDGET REQUESTED], Table_PT[FUND (ADMIN USE)], $A19, Table_PT[BUDGET APPROVED BY DIRECTOR? (ADMIN USE)], "Approved", Table_PT[BUDGET ACCOUNT NUMBER (AUTOFILLS)], G$18),
    SUMIFS(Table_REU[TOTAL BUDGET REQUESTED], Table_REU[FUND (ADMIN USE)], $A19, Table_REU[BUDGET APPROVED BY DIRECTOR? (ADMIN USE)], "Approved", Table_REU[BUDGET ACCOUNT NUMBER (AUTOFILLS)], G$18),
    SUMIFS(Table_SU[TOTAL BUDGET REQUESTED], Table_SU[FUND (ADMIN USE)], $A19, Table_SU[BUDGET APPROVED BY DIRECTOR? (ADMIN USE)], "Approved", Table_SU[BUDGET ACCOUNT NUMBER (AUTOFILLS)], G$18)
)</f>
        <v>0</v>
      </c>
      <c r="H19" s="32">
        <f>SUM(
    SUMIFS(Table_ASU[TOTAL BUDGET REQUESTED], Table_ASU[FUND (ADMIN USE)], $A19, Table_ASU[BUDGET APPROVED BY DIRECTOR? (ADMIN USE)], "Approved", Table_ASU[BUDGET ACCOUNT Number (AUTOFILLS)], H$18),
    SUMIFS(Table_ASU2[TOTAL BUDGET REQUESTED], Table_ASU2[FUND (ADMIN USE)], $A19, Table_ASU2[BUDGET APPROVED BY DIRECTOR? (ADMIN USE)], "Approved", Table_ASU2[BUDGET ACCOUNT NUMBER (AUTOFILLS)], H$18),
    SUMIFS(Table_AU[TOTAL BUDGET REQUESTED], Table_AU[FUND (ADMIN USE)], $A19, Table_AU[BUDGET APPROVED BY DIRECTOR? (ADMIN USE)], "Approved", Table_AU[BUDGET ACCOUNT NUMBER (AUTOFILLS)], H$18),
    SUMIFS(Table_CMU[TOTAL BUDGET REQUESTED], Table_CMU[FUND (ADMIN USE)], $A19, Table_CMU[BUDGET APPROVED BY DIRECTOR? (ADMIN USE)], "Approved", Table_CMU[BUDGET ACCOUNT NUMBER (AUTOFILLS)], H$18),
    SUMIFS(Table_E[TOTAL BUDGET REQUESTED], Table_E[FUND (ADMIN USE)], $A19, Table_E[BUDGET APPROVED BY DIRECTOR? (ADMIN USE)], "Approved", Table_E[BUDGET ACCOUNT NUMBER (AUTOFILLS)], H$18),
    SUMIFS(Table_HCA[TOTAL BUDGET REQUESTED], Table_HCA[FUND (ADMIN USE)], $A19, Table_HCA[BUDGET APPROVED BY DIRECTOR? (ADMIN USE)], "Approved", Table_HCA[BUDGET ACCOUNT Number (AUTOFILLS)], H$18),
    SUMIFS(Table_PT[TOTAL BUDGET REQUESTED], Table_PT[FUND (ADMIN USE)], $A19, Table_PT[BUDGET APPROVED BY DIRECTOR? (ADMIN USE)], "Approved", Table_PT[BUDGET ACCOUNT NUMBER (AUTOFILLS)], H$18),
    SUMIFS(Table_REU[TOTAL BUDGET REQUESTED], Table_REU[FUND (ADMIN USE)], $A19, Table_REU[BUDGET APPROVED BY DIRECTOR? (ADMIN USE)], "Approved", Table_REU[BUDGET ACCOUNT NUMBER (AUTOFILLS)], H$18),
    SUMIFS(Table_SU[TOTAL BUDGET REQUESTED], Table_SU[FUND (ADMIN USE)], $A19, Table_SU[BUDGET APPROVED BY DIRECTOR? (ADMIN USE)], "Approved", Table_SU[BUDGET ACCOUNT NUMBER (AUTOFILLS)], H$18)
)</f>
        <v>0</v>
      </c>
      <c r="I19" s="32">
        <f>SUM(
    SUMIFS(Table_ASU[TOTAL BUDGET REQUESTED], Table_ASU[FUND (ADMIN USE)], $A19, Table_ASU[BUDGET APPROVED BY DIRECTOR? (ADMIN USE)], "Approved", Table_ASU[BUDGET ACCOUNT Number (AUTOFILLS)], I$18),
    SUMIFS(Table_ASU2[TOTAL BUDGET REQUESTED], Table_ASU2[FUND (ADMIN USE)], $A19, Table_ASU2[BUDGET APPROVED BY DIRECTOR? (ADMIN USE)], "Approved", Table_ASU2[BUDGET ACCOUNT NUMBER (AUTOFILLS)], I$18),
    SUMIFS(Table_AU[TOTAL BUDGET REQUESTED], Table_AU[FUND (ADMIN USE)], $A19, Table_AU[BUDGET APPROVED BY DIRECTOR? (ADMIN USE)], "Approved", Table_AU[BUDGET ACCOUNT NUMBER (AUTOFILLS)], I$18),
    SUMIFS(Table_CMU[TOTAL BUDGET REQUESTED], Table_CMU[FUND (ADMIN USE)], $A19, Table_CMU[BUDGET APPROVED BY DIRECTOR? (ADMIN USE)], "Approved", Table_CMU[BUDGET ACCOUNT NUMBER (AUTOFILLS)], I$18),
    SUMIFS(Table_E[TOTAL BUDGET REQUESTED], Table_E[FUND (ADMIN USE)], $A19, Table_E[BUDGET APPROVED BY DIRECTOR? (ADMIN USE)], "Approved", Table_E[BUDGET ACCOUNT NUMBER (AUTOFILLS)], I$18),
    SUMIFS(Table_HCA[TOTAL BUDGET REQUESTED], Table_HCA[FUND (ADMIN USE)], $A19, Table_HCA[BUDGET APPROVED BY DIRECTOR? (ADMIN USE)], "Approved", Table_HCA[BUDGET ACCOUNT Number (AUTOFILLS)], I$18),
    SUMIFS(Table_PT[TOTAL BUDGET REQUESTED], Table_PT[FUND (ADMIN USE)], $A19, Table_PT[BUDGET APPROVED BY DIRECTOR? (ADMIN USE)], "Approved", Table_PT[BUDGET ACCOUNT NUMBER (AUTOFILLS)], I$18),
    SUMIFS(Table_REU[TOTAL BUDGET REQUESTED], Table_REU[FUND (ADMIN USE)], $A19, Table_REU[BUDGET APPROVED BY DIRECTOR? (ADMIN USE)], "Approved", Table_REU[BUDGET ACCOUNT NUMBER (AUTOFILLS)], I$18),
    SUMIFS(Table_SU[TOTAL BUDGET REQUESTED], Table_SU[FUND (ADMIN USE)], $A19, Table_SU[BUDGET APPROVED BY DIRECTOR? (ADMIN USE)], "Approved", Table_SU[BUDGET ACCOUNT NUMBER (AUTOFILLS)], I$18)
)</f>
        <v>0</v>
      </c>
      <c r="J19" s="32">
        <f>SUM(
    SUMIFS(Table_ASU[TOTAL BUDGET REQUESTED], Table_ASU[FUND (ADMIN USE)], $A19, Table_ASU[BUDGET APPROVED BY DIRECTOR? (ADMIN USE)], "Approved", Table_ASU[BUDGET ACCOUNT Number (AUTOFILLS)], J$18),
    SUMIFS(Table_ASU2[TOTAL BUDGET REQUESTED], Table_ASU2[FUND (ADMIN USE)], $A19, Table_ASU2[BUDGET APPROVED BY DIRECTOR? (ADMIN USE)], "Approved", Table_ASU2[BUDGET ACCOUNT NUMBER (AUTOFILLS)], J$18),
    SUMIFS(Table_AU[TOTAL BUDGET REQUESTED], Table_AU[FUND (ADMIN USE)], $A19, Table_AU[BUDGET APPROVED BY DIRECTOR? (ADMIN USE)], "Approved", Table_AU[BUDGET ACCOUNT NUMBER (AUTOFILLS)], J$18),
    SUMIFS(Table_CMU[TOTAL BUDGET REQUESTED], Table_CMU[FUND (ADMIN USE)], $A19, Table_CMU[BUDGET APPROVED BY DIRECTOR? (ADMIN USE)], "Approved", Table_CMU[BUDGET ACCOUNT NUMBER (AUTOFILLS)], J$18),
    SUMIFS(Table_E[TOTAL BUDGET REQUESTED], Table_E[FUND (ADMIN USE)], $A19, Table_E[BUDGET APPROVED BY DIRECTOR? (ADMIN USE)], "Approved", Table_E[BUDGET ACCOUNT NUMBER (AUTOFILLS)], J$18),
    SUMIFS(Table_HCA[TOTAL BUDGET REQUESTED], Table_HCA[FUND (ADMIN USE)], $A19, Table_HCA[BUDGET APPROVED BY DIRECTOR? (ADMIN USE)], "Approved", Table_HCA[BUDGET ACCOUNT Number (AUTOFILLS)], J$18),
    SUMIFS(Table_PT[TOTAL BUDGET REQUESTED], Table_PT[FUND (ADMIN USE)], $A19, Table_PT[BUDGET APPROVED BY DIRECTOR? (ADMIN USE)], "Approved", Table_PT[BUDGET ACCOUNT NUMBER (AUTOFILLS)], J$18),
    SUMIFS(Table_REU[TOTAL BUDGET REQUESTED], Table_REU[FUND (ADMIN USE)], $A19, Table_REU[BUDGET APPROVED BY DIRECTOR? (ADMIN USE)], "Approved", Table_REU[BUDGET ACCOUNT NUMBER (AUTOFILLS)], J$18),
    SUMIFS(Table_SU[TOTAL BUDGET REQUESTED], Table_SU[FUND (ADMIN USE)], $A19, Table_SU[BUDGET APPROVED BY DIRECTOR? (ADMIN USE)], "Approved", Table_SU[BUDGET ACCOUNT NUMBER (AUTOFILLS)], J$18)
)</f>
        <v>0</v>
      </c>
      <c r="K19" s="14">
        <f>SUM(Table_Totals25[[#This Row],[88100]:[88800]])</f>
        <v>0</v>
      </c>
    </row>
    <row r="20" spans="1:11" ht="60" customHeight="1">
      <c r="A20" s="29" t="s">
        <v>235</v>
      </c>
      <c r="B20" s="32">
        <f>SUM(
    SUMIFS(Table_ASU[TOTAL BUDGET REQUESTED], Table_ASU[FUND (ADMIN USE)], $A20, Table_ASU[BUDGET APPROVED BY DIRECTOR? (ADMIN USE)], "Approved", Table_ASU[BUDGET ACCOUNT Number (AUTOFILLS)], B$18),
    SUMIFS(Table_ASU2[TOTAL BUDGET REQUESTED], Table_ASU2[FUND (ADMIN USE)], $A20, Table_ASU2[BUDGET APPROVED BY DIRECTOR? (ADMIN USE)], "Approved", Table_ASU2[BUDGET ACCOUNT NUMBER (AUTOFILLS)], B$18),
    SUMIFS(Table_AU[TOTAL BUDGET REQUESTED], Table_AU[FUND (ADMIN USE)], $A20, Table_AU[BUDGET APPROVED BY DIRECTOR? (ADMIN USE)], "Approved", Table_AU[BUDGET ACCOUNT NUMBER (AUTOFILLS)], B$18),
    SUMIFS(Table_CMU[TOTAL BUDGET REQUESTED], Table_CMU[FUND (ADMIN USE)], $A20, Table_CMU[BUDGET APPROVED BY DIRECTOR? (ADMIN USE)], "Approved", Table_CMU[BUDGET ACCOUNT NUMBER (AUTOFILLS)], B$18),
    SUMIFS(Table_E[TOTAL BUDGET REQUESTED], Table_E[FUND (ADMIN USE)], $A20, Table_E[BUDGET APPROVED BY DIRECTOR? (ADMIN USE)], "Approved", Table_E[BUDGET ACCOUNT NUMBER (AUTOFILLS)], B$18),
    SUMIFS(Table_HCA[TOTAL BUDGET REQUESTED], Table_HCA[FUND (ADMIN USE)], $A20, Table_HCA[BUDGET APPROVED BY DIRECTOR? (ADMIN USE)], "Approved", Table_HCA[BUDGET ACCOUNT Number (AUTOFILLS)], B$18),
    SUMIFS(Table_PT[TOTAL BUDGET REQUESTED], Table_PT[FUND (ADMIN USE)], $A20, Table_PT[BUDGET APPROVED BY DIRECTOR? (ADMIN USE)], "Approved", Table_PT[BUDGET ACCOUNT NUMBER (AUTOFILLS)], B$18),
    SUMIFS(Table_REU[TOTAL BUDGET REQUESTED], Table_REU[FUND (ADMIN USE)], $A20, Table_REU[BUDGET APPROVED BY DIRECTOR? (ADMIN USE)], "Approved", Table_REU[BUDGET ACCOUNT NUMBER (AUTOFILLS)], B$18),
    SUMIFS(Table_SU[TOTAL BUDGET REQUESTED], Table_SU[FUND (ADMIN USE)], $A20, Table_SU[BUDGET APPROVED BY DIRECTOR? (ADMIN USE)], "Approved", Table_SU[BUDGET ACCOUNT NUMBER (AUTOFILLS)], B$18)
)</f>
        <v>0</v>
      </c>
      <c r="C20" s="32">
        <f>SUM(
    SUMIFS(Table_ASU[TOTAL BUDGET REQUESTED], Table_ASU[FUND (ADMIN USE)], $A20, Table_ASU[BUDGET APPROVED BY DIRECTOR? (ADMIN USE)], "Approved", Table_ASU[BUDGET ACCOUNT Number (AUTOFILLS)], C$18),
    SUMIFS(Table_ASU2[TOTAL BUDGET REQUESTED], Table_ASU2[FUND (ADMIN USE)], $A20, Table_ASU2[BUDGET APPROVED BY DIRECTOR? (ADMIN USE)], "Approved", Table_ASU2[BUDGET ACCOUNT NUMBER (AUTOFILLS)], C$18),
    SUMIFS(Table_AU[TOTAL BUDGET REQUESTED], Table_AU[FUND (ADMIN USE)], $A20, Table_AU[BUDGET APPROVED BY DIRECTOR? (ADMIN USE)], "Approved", Table_AU[BUDGET ACCOUNT NUMBER (AUTOFILLS)], C$18),
    SUMIFS(Table_CMU[TOTAL BUDGET REQUESTED], Table_CMU[FUND (ADMIN USE)], $A20, Table_CMU[BUDGET APPROVED BY DIRECTOR? (ADMIN USE)], "Approved", Table_CMU[BUDGET ACCOUNT NUMBER (AUTOFILLS)], C$18),
    SUMIFS(Table_E[TOTAL BUDGET REQUESTED], Table_E[FUND (ADMIN USE)], $A20, Table_E[BUDGET APPROVED BY DIRECTOR? (ADMIN USE)], "Approved", Table_E[BUDGET ACCOUNT NUMBER (AUTOFILLS)], C$18),
    SUMIFS(Table_HCA[TOTAL BUDGET REQUESTED], Table_HCA[FUND (ADMIN USE)], $A20, Table_HCA[BUDGET APPROVED BY DIRECTOR? (ADMIN USE)], "Approved", Table_HCA[BUDGET ACCOUNT Number (AUTOFILLS)], C$18),
    SUMIFS(Table_PT[TOTAL BUDGET REQUESTED], Table_PT[FUND (ADMIN USE)], $A20, Table_PT[BUDGET APPROVED BY DIRECTOR? (ADMIN USE)], "Approved", Table_PT[BUDGET ACCOUNT NUMBER (AUTOFILLS)], C$18),
    SUMIFS(Table_REU[TOTAL BUDGET REQUESTED], Table_REU[FUND (ADMIN USE)], $A20, Table_REU[BUDGET APPROVED BY DIRECTOR? (ADMIN USE)], "Approved", Table_REU[BUDGET ACCOUNT NUMBER (AUTOFILLS)], C$18),
    SUMIFS(Table_SU[TOTAL BUDGET REQUESTED], Table_SU[FUND (ADMIN USE)], $A20, Table_SU[BUDGET APPROVED BY DIRECTOR? (ADMIN USE)], "Approved", Table_SU[BUDGET ACCOUNT NUMBER (AUTOFILLS)], C$18)
)</f>
        <v>0</v>
      </c>
      <c r="D20" s="32">
        <f>SUM(
    SUMIFS(Table_ASU[TOTAL BUDGET REQUESTED], Table_ASU[FUND (ADMIN USE)], $A20, Table_ASU[BUDGET APPROVED BY DIRECTOR? (ADMIN USE)], "Approved", Table_ASU[BUDGET ACCOUNT Number (AUTOFILLS)], D$18),
    SUMIFS(Table_ASU2[TOTAL BUDGET REQUESTED], Table_ASU2[FUND (ADMIN USE)], $A20, Table_ASU2[BUDGET APPROVED BY DIRECTOR? (ADMIN USE)], "Approved", Table_ASU2[BUDGET ACCOUNT NUMBER (AUTOFILLS)], D$18),
    SUMIFS(Table_AU[TOTAL BUDGET REQUESTED], Table_AU[FUND (ADMIN USE)], $A20, Table_AU[BUDGET APPROVED BY DIRECTOR? (ADMIN USE)], "Approved", Table_AU[BUDGET ACCOUNT NUMBER (AUTOFILLS)], D$18),
    SUMIFS(Table_CMU[TOTAL BUDGET REQUESTED], Table_CMU[FUND (ADMIN USE)], $A20, Table_CMU[BUDGET APPROVED BY DIRECTOR? (ADMIN USE)], "Approved", Table_CMU[BUDGET ACCOUNT NUMBER (AUTOFILLS)], D$18),
    SUMIFS(Table_E[TOTAL BUDGET REQUESTED], Table_E[FUND (ADMIN USE)], $A20, Table_E[BUDGET APPROVED BY DIRECTOR? (ADMIN USE)], "Approved", Table_E[BUDGET ACCOUNT NUMBER (AUTOFILLS)], D$18),
    SUMIFS(Table_HCA[TOTAL BUDGET REQUESTED], Table_HCA[FUND (ADMIN USE)], $A20, Table_HCA[BUDGET APPROVED BY DIRECTOR? (ADMIN USE)], "Approved", Table_HCA[BUDGET ACCOUNT Number (AUTOFILLS)], D$18),
    SUMIFS(Table_PT[TOTAL BUDGET REQUESTED], Table_PT[FUND (ADMIN USE)], $A20, Table_PT[BUDGET APPROVED BY DIRECTOR? (ADMIN USE)], "Approved", Table_PT[BUDGET ACCOUNT NUMBER (AUTOFILLS)], D$18),
    SUMIFS(Table_REU[TOTAL BUDGET REQUESTED], Table_REU[FUND (ADMIN USE)], $A20, Table_REU[BUDGET APPROVED BY DIRECTOR? (ADMIN USE)], "Approved", Table_REU[BUDGET ACCOUNT NUMBER (AUTOFILLS)], D$18),
    SUMIFS(Table_SU[TOTAL BUDGET REQUESTED], Table_SU[FUND (ADMIN USE)], $A20, Table_SU[BUDGET APPROVED BY DIRECTOR? (ADMIN USE)], "Approved", Table_SU[BUDGET ACCOUNT NUMBER (AUTOFILLS)], D$18)
)</f>
        <v>0</v>
      </c>
      <c r="E20" s="32">
        <f>SUM(
    SUMIFS(Table_ASU[TOTAL BUDGET REQUESTED], Table_ASU[FUND (ADMIN USE)], $A20, Table_ASU[BUDGET APPROVED BY DIRECTOR? (ADMIN USE)], "Approved", Table_ASU[BUDGET ACCOUNT Number (AUTOFILLS)], E$18),
    SUMIFS(Table_ASU2[TOTAL BUDGET REQUESTED], Table_ASU2[FUND (ADMIN USE)], $A20, Table_ASU2[BUDGET APPROVED BY DIRECTOR? (ADMIN USE)], "Approved", Table_ASU2[BUDGET ACCOUNT NUMBER (AUTOFILLS)], E$18),
    SUMIFS(Table_AU[TOTAL BUDGET REQUESTED], Table_AU[FUND (ADMIN USE)], $A20, Table_AU[BUDGET APPROVED BY DIRECTOR? (ADMIN USE)], "Approved", Table_AU[BUDGET ACCOUNT NUMBER (AUTOFILLS)], E$18),
    SUMIFS(Table_CMU[TOTAL BUDGET REQUESTED], Table_CMU[FUND (ADMIN USE)], $A20, Table_CMU[BUDGET APPROVED BY DIRECTOR? (ADMIN USE)], "Approved", Table_CMU[BUDGET ACCOUNT NUMBER (AUTOFILLS)], E$18),
    SUMIFS(Table_E[TOTAL BUDGET REQUESTED], Table_E[FUND (ADMIN USE)], $A20, Table_E[BUDGET APPROVED BY DIRECTOR? (ADMIN USE)], "Approved", Table_E[BUDGET ACCOUNT NUMBER (AUTOFILLS)], E$18),
    SUMIFS(Table_HCA[TOTAL BUDGET REQUESTED], Table_HCA[FUND (ADMIN USE)], $A20, Table_HCA[BUDGET APPROVED BY DIRECTOR? (ADMIN USE)], "Approved", Table_HCA[BUDGET ACCOUNT Number (AUTOFILLS)], E$18),
    SUMIFS(Table_PT[TOTAL BUDGET REQUESTED], Table_PT[FUND (ADMIN USE)], $A20, Table_PT[BUDGET APPROVED BY DIRECTOR? (ADMIN USE)], "Approved", Table_PT[BUDGET ACCOUNT NUMBER (AUTOFILLS)], E$18),
    SUMIFS(Table_REU[TOTAL BUDGET REQUESTED], Table_REU[FUND (ADMIN USE)], $A20, Table_REU[BUDGET APPROVED BY DIRECTOR? (ADMIN USE)], "Approved", Table_REU[BUDGET ACCOUNT NUMBER (AUTOFILLS)], E$18),
    SUMIFS(Table_SU[TOTAL BUDGET REQUESTED], Table_SU[FUND (ADMIN USE)], $A20, Table_SU[BUDGET APPROVED BY DIRECTOR? (ADMIN USE)], "Approved", Table_SU[BUDGET ACCOUNT NUMBER (AUTOFILLS)], E$18)
)</f>
        <v>0</v>
      </c>
      <c r="F20" s="32">
        <f>SUM(
    SUMIFS(Table_ASU[TOTAL BUDGET REQUESTED], Table_ASU[FUND (ADMIN USE)], $A20, Table_ASU[BUDGET APPROVED BY DIRECTOR? (ADMIN USE)], "Approved", Table_ASU[BUDGET ACCOUNT Number (AUTOFILLS)], F$18),
    SUMIFS(Table_ASU2[TOTAL BUDGET REQUESTED], Table_ASU2[FUND (ADMIN USE)], $A20, Table_ASU2[BUDGET APPROVED BY DIRECTOR? (ADMIN USE)], "Approved", Table_ASU2[BUDGET ACCOUNT NUMBER (AUTOFILLS)], F$18),
    SUMIFS(Table_AU[TOTAL BUDGET REQUESTED], Table_AU[FUND (ADMIN USE)], $A20, Table_AU[BUDGET APPROVED BY DIRECTOR? (ADMIN USE)], "Approved", Table_AU[BUDGET ACCOUNT NUMBER (AUTOFILLS)], F$18),
    SUMIFS(Table_CMU[TOTAL BUDGET REQUESTED], Table_CMU[FUND (ADMIN USE)], $A20, Table_CMU[BUDGET APPROVED BY DIRECTOR? (ADMIN USE)], "Approved", Table_CMU[BUDGET ACCOUNT NUMBER (AUTOFILLS)], F$18),
    SUMIFS(Table_E[TOTAL BUDGET REQUESTED], Table_E[FUND (ADMIN USE)], $A20, Table_E[BUDGET APPROVED BY DIRECTOR? (ADMIN USE)], "Approved", Table_E[BUDGET ACCOUNT NUMBER (AUTOFILLS)], F$18),
    SUMIFS(Table_HCA[TOTAL BUDGET REQUESTED], Table_HCA[FUND (ADMIN USE)], $A20, Table_HCA[BUDGET APPROVED BY DIRECTOR? (ADMIN USE)], "Approved", Table_HCA[BUDGET ACCOUNT Number (AUTOFILLS)], F$18),
    SUMIFS(Table_PT[TOTAL BUDGET REQUESTED], Table_PT[FUND (ADMIN USE)], $A20, Table_PT[BUDGET APPROVED BY DIRECTOR? (ADMIN USE)], "Approved", Table_PT[BUDGET ACCOUNT NUMBER (AUTOFILLS)], F$18),
    SUMIFS(Table_REU[TOTAL BUDGET REQUESTED], Table_REU[FUND (ADMIN USE)], $A20, Table_REU[BUDGET APPROVED BY DIRECTOR? (ADMIN USE)], "Approved", Table_REU[BUDGET ACCOUNT NUMBER (AUTOFILLS)], F$18),
    SUMIFS(Table_SU[TOTAL BUDGET REQUESTED], Table_SU[FUND (ADMIN USE)], $A20, Table_SU[BUDGET APPROVED BY DIRECTOR? (ADMIN USE)], "Approved", Table_SU[BUDGET ACCOUNT NUMBER (AUTOFILLS)], F$18)
)</f>
        <v>0</v>
      </c>
      <c r="G20" s="32">
        <f>SUM(
    SUMIFS(Table_ASU[TOTAL BUDGET REQUESTED], Table_ASU[FUND (ADMIN USE)], $A20, Table_ASU[BUDGET APPROVED BY DIRECTOR? (ADMIN USE)], "Approved", Table_ASU[BUDGET ACCOUNT Number (AUTOFILLS)], G$18),
    SUMIFS(Table_ASU2[TOTAL BUDGET REQUESTED], Table_ASU2[FUND (ADMIN USE)], $A20, Table_ASU2[BUDGET APPROVED BY DIRECTOR? (ADMIN USE)], "Approved", Table_ASU2[BUDGET ACCOUNT NUMBER (AUTOFILLS)], G$18),
    SUMIFS(Table_AU[TOTAL BUDGET REQUESTED], Table_AU[FUND (ADMIN USE)], $A20, Table_AU[BUDGET APPROVED BY DIRECTOR? (ADMIN USE)], "Approved", Table_AU[BUDGET ACCOUNT NUMBER (AUTOFILLS)], G$18),
    SUMIFS(Table_CMU[TOTAL BUDGET REQUESTED], Table_CMU[FUND (ADMIN USE)], $A20, Table_CMU[BUDGET APPROVED BY DIRECTOR? (ADMIN USE)], "Approved", Table_CMU[BUDGET ACCOUNT NUMBER (AUTOFILLS)], G$18),
    SUMIFS(Table_E[TOTAL BUDGET REQUESTED], Table_E[FUND (ADMIN USE)], $A20, Table_E[BUDGET APPROVED BY DIRECTOR? (ADMIN USE)], "Approved", Table_E[BUDGET ACCOUNT NUMBER (AUTOFILLS)], G$18),
    SUMIFS(Table_HCA[TOTAL BUDGET REQUESTED], Table_HCA[FUND (ADMIN USE)], $A20, Table_HCA[BUDGET APPROVED BY DIRECTOR? (ADMIN USE)], "Approved", Table_HCA[BUDGET ACCOUNT Number (AUTOFILLS)], G$18),
    SUMIFS(Table_PT[TOTAL BUDGET REQUESTED], Table_PT[FUND (ADMIN USE)], $A20, Table_PT[BUDGET APPROVED BY DIRECTOR? (ADMIN USE)], "Approved", Table_PT[BUDGET ACCOUNT NUMBER (AUTOFILLS)], G$18),
    SUMIFS(Table_REU[TOTAL BUDGET REQUESTED], Table_REU[FUND (ADMIN USE)], $A20, Table_REU[BUDGET APPROVED BY DIRECTOR? (ADMIN USE)], "Approved", Table_REU[BUDGET ACCOUNT NUMBER (AUTOFILLS)], G$18),
    SUMIFS(Table_SU[TOTAL BUDGET REQUESTED], Table_SU[FUND (ADMIN USE)], $A20, Table_SU[BUDGET APPROVED BY DIRECTOR? (ADMIN USE)], "Approved", Table_SU[BUDGET ACCOUNT NUMBER (AUTOFILLS)], G$18)
)</f>
        <v>0</v>
      </c>
      <c r="H20" s="32">
        <f>SUM(
    SUMIFS(Table_ASU[TOTAL BUDGET REQUESTED], Table_ASU[FUND (ADMIN USE)], $A20, Table_ASU[BUDGET APPROVED BY DIRECTOR? (ADMIN USE)], "Approved", Table_ASU[BUDGET ACCOUNT Number (AUTOFILLS)], H$18),
    SUMIFS(Table_ASU2[TOTAL BUDGET REQUESTED], Table_ASU2[FUND (ADMIN USE)], $A20, Table_ASU2[BUDGET APPROVED BY DIRECTOR? (ADMIN USE)], "Approved", Table_ASU2[BUDGET ACCOUNT NUMBER (AUTOFILLS)], H$18),
    SUMIFS(Table_AU[TOTAL BUDGET REQUESTED], Table_AU[FUND (ADMIN USE)], $A20, Table_AU[BUDGET APPROVED BY DIRECTOR? (ADMIN USE)], "Approved", Table_AU[BUDGET ACCOUNT NUMBER (AUTOFILLS)], H$18),
    SUMIFS(Table_CMU[TOTAL BUDGET REQUESTED], Table_CMU[FUND (ADMIN USE)], $A20, Table_CMU[BUDGET APPROVED BY DIRECTOR? (ADMIN USE)], "Approved", Table_CMU[BUDGET ACCOUNT NUMBER (AUTOFILLS)], H$18),
    SUMIFS(Table_E[TOTAL BUDGET REQUESTED], Table_E[FUND (ADMIN USE)], $A20, Table_E[BUDGET APPROVED BY DIRECTOR? (ADMIN USE)], "Approved", Table_E[BUDGET ACCOUNT NUMBER (AUTOFILLS)], H$18),
    SUMIFS(Table_HCA[TOTAL BUDGET REQUESTED], Table_HCA[FUND (ADMIN USE)], $A20, Table_HCA[BUDGET APPROVED BY DIRECTOR? (ADMIN USE)], "Approved", Table_HCA[BUDGET ACCOUNT Number (AUTOFILLS)], H$18),
    SUMIFS(Table_PT[TOTAL BUDGET REQUESTED], Table_PT[FUND (ADMIN USE)], $A20, Table_PT[BUDGET APPROVED BY DIRECTOR? (ADMIN USE)], "Approved", Table_PT[BUDGET ACCOUNT NUMBER (AUTOFILLS)], H$18),
    SUMIFS(Table_REU[TOTAL BUDGET REQUESTED], Table_REU[FUND (ADMIN USE)], $A20, Table_REU[BUDGET APPROVED BY DIRECTOR? (ADMIN USE)], "Approved", Table_REU[BUDGET ACCOUNT NUMBER (AUTOFILLS)], H$18),
    SUMIFS(Table_SU[TOTAL BUDGET REQUESTED], Table_SU[FUND (ADMIN USE)], $A20, Table_SU[BUDGET APPROVED BY DIRECTOR? (ADMIN USE)], "Approved", Table_SU[BUDGET ACCOUNT NUMBER (AUTOFILLS)], H$18)
)</f>
        <v>0</v>
      </c>
      <c r="I20" s="32">
        <f>SUM(
    SUMIFS(Table_ASU[TOTAL BUDGET REQUESTED], Table_ASU[FUND (ADMIN USE)], $A20, Table_ASU[BUDGET APPROVED BY DIRECTOR? (ADMIN USE)], "Approved", Table_ASU[BUDGET ACCOUNT Number (AUTOFILLS)], I$18),
    SUMIFS(Table_ASU2[TOTAL BUDGET REQUESTED], Table_ASU2[FUND (ADMIN USE)], $A20, Table_ASU2[BUDGET APPROVED BY DIRECTOR? (ADMIN USE)], "Approved", Table_ASU2[BUDGET ACCOUNT NUMBER (AUTOFILLS)], I$18),
    SUMIFS(Table_AU[TOTAL BUDGET REQUESTED], Table_AU[FUND (ADMIN USE)], $A20, Table_AU[BUDGET APPROVED BY DIRECTOR? (ADMIN USE)], "Approved", Table_AU[BUDGET ACCOUNT NUMBER (AUTOFILLS)], I$18),
    SUMIFS(Table_CMU[TOTAL BUDGET REQUESTED], Table_CMU[FUND (ADMIN USE)], $A20, Table_CMU[BUDGET APPROVED BY DIRECTOR? (ADMIN USE)], "Approved", Table_CMU[BUDGET ACCOUNT NUMBER (AUTOFILLS)], I$18),
    SUMIFS(Table_E[TOTAL BUDGET REQUESTED], Table_E[FUND (ADMIN USE)], $A20, Table_E[BUDGET APPROVED BY DIRECTOR? (ADMIN USE)], "Approved", Table_E[BUDGET ACCOUNT NUMBER (AUTOFILLS)], I$18),
    SUMIFS(Table_HCA[TOTAL BUDGET REQUESTED], Table_HCA[FUND (ADMIN USE)], $A20, Table_HCA[BUDGET APPROVED BY DIRECTOR? (ADMIN USE)], "Approved", Table_HCA[BUDGET ACCOUNT Number (AUTOFILLS)], I$18),
    SUMIFS(Table_PT[TOTAL BUDGET REQUESTED], Table_PT[FUND (ADMIN USE)], $A20, Table_PT[BUDGET APPROVED BY DIRECTOR? (ADMIN USE)], "Approved", Table_PT[BUDGET ACCOUNT NUMBER (AUTOFILLS)], I$18),
    SUMIFS(Table_REU[TOTAL BUDGET REQUESTED], Table_REU[FUND (ADMIN USE)], $A20, Table_REU[BUDGET APPROVED BY DIRECTOR? (ADMIN USE)], "Approved", Table_REU[BUDGET ACCOUNT NUMBER (AUTOFILLS)], I$18),
    SUMIFS(Table_SU[TOTAL BUDGET REQUESTED], Table_SU[FUND (ADMIN USE)], $A20, Table_SU[BUDGET APPROVED BY DIRECTOR? (ADMIN USE)], "Approved", Table_SU[BUDGET ACCOUNT NUMBER (AUTOFILLS)], I$18)
)</f>
        <v>0</v>
      </c>
      <c r="J20" s="32">
        <f>SUM(
    SUMIFS(Table_ASU[TOTAL BUDGET REQUESTED], Table_ASU[FUND (ADMIN USE)], $A20, Table_ASU[BUDGET APPROVED BY DIRECTOR? (ADMIN USE)], "Approved", Table_ASU[BUDGET ACCOUNT Number (AUTOFILLS)], J$18),
    SUMIFS(Table_ASU2[TOTAL BUDGET REQUESTED], Table_ASU2[FUND (ADMIN USE)], $A20, Table_ASU2[BUDGET APPROVED BY DIRECTOR? (ADMIN USE)], "Approved", Table_ASU2[BUDGET ACCOUNT NUMBER (AUTOFILLS)], J$18),
    SUMIFS(Table_AU[TOTAL BUDGET REQUESTED], Table_AU[FUND (ADMIN USE)], $A20, Table_AU[BUDGET APPROVED BY DIRECTOR? (ADMIN USE)], "Approved", Table_AU[BUDGET ACCOUNT NUMBER (AUTOFILLS)], J$18),
    SUMIFS(Table_CMU[TOTAL BUDGET REQUESTED], Table_CMU[FUND (ADMIN USE)], $A20, Table_CMU[BUDGET APPROVED BY DIRECTOR? (ADMIN USE)], "Approved", Table_CMU[BUDGET ACCOUNT NUMBER (AUTOFILLS)], J$18),
    SUMIFS(Table_E[TOTAL BUDGET REQUESTED], Table_E[FUND (ADMIN USE)], $A20, Table_E[BUDGET APPROVED BY DIRECTOR? (ADMIN USE)], "Approved", Table_E[BUDGET ACCOUNT NUMBER (AUTOFILLS)], J$18),
    SUMIFS(Table_HCA[TOTAL BUDGET REQUESTED], Table_HCA[FUND (ADMIN USE)], $A20, Table_HCA[BUDGET APPROVED BY DIRECTOR? (ADMIN USE)], "Approved", Table_HCA[BUDGET ACCOUNT Number (AUTOFILLS)], J$18),
    SUMIFS(Table_PT[TOTAL BUDGET REQUESTED], Table_PT[FUND (ADMIN USE)], $A20, Table_PT[BUDGET APPROVED BY DIRECTOR? (ADMIN USE)], "Approved", Table_PT[BUDGET ACCOUNT NUMBER (AUTOFILLS)], J$18),
    SUMIFS(Table_REU[TOTAL BUDGET REQUESTED], Table_REU[FUND (ADMIN USE)], $A20, Table_REU[BUDGET APPROVED BY DIRECTOR? (ADMIN USE)], "Approved", Table_REU[BUDGET ACCOUNT NUMBER (AUTOFILLS)], J$18),
    SUMIFS(Table_SU[TOTAL BUDGET REQUESTED], Table_SU[FUND (ADMIN USE)], $A20, Table_SU[BUDGET APPROVED BY DIRECTOR? (ADMIN USE)], "Approved", Table_SU[BUDGET ACCOUNT NUMBER (AUTOFILLS)], J$18)
)</f>
        <v>0</v>
      </c>
      <c r="K20" s="14">
        <f>SUM(Table_Totals25[[#This Row],[88100]:[88800]])</f>
        <v>0</v>
      </c>
    </row>
    <row r="21" spans="1:11" ht="60" customHeight="1">
      <c r="A21" s="29" t="s">
        <v>118</v>
      </c>
      <c r="B21" s="32">
        <f>SUM(
    SUMIFS(Table_ASU[TOTAL BUDGET REQUESTED], Table_ASU[FUND (ADMIN USE)], $A21, Table_ASU[BUDGET APPROVED BY DIRECTOR? (ADMIN USE)], "Approved", Table_ASU[BUDGET ACCOUNT Number (AUTOFILLS)], B$18),
    SUMIFS(Table_ASU2[TOTAL BUDGET REQUESTED], Table_ASU2[FUND (ADMIN USE)], $A21, Table_ASU2[BUDGET APPROVED BY DIRECTOR? (ADMIN USE)], "Approved", Table_ASU2[BUDGET ACCOUNT NUMBER (AUTOFILLS)], B$18),
    SUMIFS(Table_AU[TOTAL BUDGET REQUESTED], Table_AU[FUND (ADMIN USE)], $A21, Table_AU[BUDGET APPROVED BY DIRECTOR? (ADMIN USE)], "Approved", Table_AU[BUDGET ACCOUNT NUMBER (AUTOFILLS)], B$18),
    SUMIFS(Table_CMU[TOTAL BUDGET REQUESTED], Table_CMU[FUND (ADMIN USE)], $A21, Table_CMU[BUDGET APPROVED BY DIRECTOR? (ADMIN USE)], "Approved", Table_CMU[BUDGET ACCOUNT NUMBER (AUTOFILLS)], B$18),
    SUMIFS(Table_E[TOTAL BUDGET REQUESTED], Table_E[FUND (ADMIN USE)], $A21, Table_E[BUDGET APPROVED BY DIRECTOR? (ADMIN USE)], "Approved", Table_E[BUDGET ACCOUNT NUMBER (AUTOFILLS)], B$18),
    SUMIFS(Table_HCA[TOTAL BUDGET REQUESTED], Table_HCA[FUND (ADMIN USE)], $A21, Table_HCA[BUDGET APPROVED BY DIRECTOR? (ADMIN USE)], "Approved", Table_HCA[BUDGET ACCOUNT Number (AUTOFILLS)], B$18),
    SUMIFS(Table_PT[TOTAL BUDGET REQUESTED], Table_PT[FUND (ADMIN USE)], $A21, Table_PT[BUDGET APPROVED BY DIRECTOR? (ADMIN USE)], "Approved", Table_PT[BUDGET ACCOUNT NUMBER (AUTOFILLS)], B$18),
    SUMIFS(Table_REU[TOTAL BUDGET REQUESTED], Table_REU[FUND (ADMIN USE)], $A21, Table_REU[BUDGET APPROVED BY DIRECTOR? (ADMIN USE)], "Approved", Table_REU[BUDGET ACCOUNT NUMBER (AUTOFILLS)], B$18),
    SUMIFS(Table_SU[TOTAL BUDGET REQUESTED], Table_SU[FUND (ADMIN USE)], $A21, Table_SU[BUDGET APPROVED BY DIRECTOR? (ADMIN USE)], "Approved", Table_SU[BUDGET ACCOUNT NUMBER (AUTOFILLS)], B$18)
)</f>
        <v>0</v>
      </c>
      <c r="C21" s="32">
        <f>SUM(
    SUMIFS(Table_ASU[TOTAL BUDGET REQUESTED], Table_ASU[FUND (ADMIN USE)], $A21, Table_ASU[BUDGET APPROVED BY DIRECTOR? (ADMIN USE)], "Approved", Table_ASU[BUDGET ACCOUNT Number (AUTOFILLS)], C$18),
    SUMIFS(Table_ASU2[TOTAL BUDGET REQUESTED], Table_ASU2[FUND (ADMIN USE)], $A21, Table_ASU2[BUDGET APPROVED BY DIRECTOR? (ADMIN USE)], "Approved", Table_ASU2[BUDGET ACCOUNT NUMBER (AUTOFILLS)], C$18),
    SUMIFS(Table_AU[TOTAL BUDGET REQUESTED], Table_AU[FUND (ADMIN USE)], $A21, Table_AU[BUDGET APPROVED BY DIRECTOR? (ADMIN USE)], "Approved", Table_AU[BUDGET ACCOUNT NUMBER (AUTOFILLS)], C$18),
    SUMIFS(Table_CMU[TOTAL BUDGET REQUESTED], Table_CMU[FUND (ADMIN USE)], $A21, Table_CMU[BUDGET APPROVED BY DIRECTOR? (ADMIN USE)], "Approved", Table_CMU[BUDGET ACCOUNT NUMBER (AUTOFILLS)], C$18),
    SUMIFS(Table_E[TOTAL BUDGET REQUESTED], Table_E[FUND (ADMIN USE)], $A21, Table_E[BUDGET APPROVED BY DIRECTOR? (ADMIN USE)], "Approved", Table_E[BUDGET ACCOUNT NUMBER (AUTOFILLS)], C$18),
    SUMIFS(Table_HCA[TOTAL BUDGET REQUESTED], Table_HCA[FUND (ADMIN USE)], $A21, Table_HCA[BUDGET APPROVED BY DIRECTOR? (ADMIN USE)], "Approved", Table_HCA[BUDGET ACCOUNT Number (AUTOFILLS)], C$18),
    SUMIFS(Table_PT[TOTAL BUDGET REQUESTED], Table_PT[FUND (ADMIN USE)], $A21, Table_PT[BUDGET APPROVED BY DIRECTOR? (ADMIN USE)], "Approved", Table_PT[BUDGET ACCOUNT NUMBER (AUTOFILLS)], C$18),
    SUMIFS(Table_REU[TOTAL BUDGET REQUESTED], Table_REU[FUND (ADMIN USE)], $A21, Table_REU[BUDGET APPROVED BY DIRECTOR? (ADMIN USE)], "Approved", Table_REU[BUDGET ACCOUNT NUMBER (AUTOFILLS)], C$18),
    SUMIFS(Table_SU[TOTAL BUDGET REQUESTED], Table_SU[FUND (ADMIN USE)], $A21, Table_SU[BUDGET APPROVED BY DIRECTOR? (ADMIN USE)], "Approved", Table_SU[BUDGET ACCOUNT NUMBER (AUTOFILLS)], C$18)
)</f>
        <v>0</v>
      </c>
      <c r="D21" s="32">
        <f>SUM(
    SUMIFS(Table_ASU[TOTAL BUDGET REQUESTED], Table_ASU[FUND (ADMIN USE)], $A21, Table_ASU[BUDGET APPROVED BY DIRECTOR? (ADMIN USE)], "Approved", Table_ASU[BUDGET ACCOUNT Number (AUTOFILLS)], D$18),
    SUMIFS(Table_ASU2[TOTAL BUDGET REQUESTED], Table_ASU2[FUND (ADMIN USE)], $A21, Table_ASU2[BUDGET APPROVED BY DIRECTOR? (ADMIN USE)], "Approved", Table_ASU2[BUDGET ACCOUNT NUMBER (AUTOFILLS)], D$18),
    SUMIFS(Table_AU[TOTAL BUDGET REQUESTED], Table_AU[FUND (ADMIN USE)], $A21, Table_AU[BUDGET APPROVED BY DIRECTOR? (ADMIN USE)], "Approved", Table_AU[BUDGET ACCOUNT NUMBER (AUTOFILLS)], D$18),
    SUMIFS(Table_CMU[TOTAL BUDGET REQUESTED], Table_CMU[FUND (ADMIN USE)], $A21, Table_CMU[BUDGET APPROVED BY DIRECTOR? (ADMIN USE)], "Approved", Table_CMU[BUDGET ACCOUNT NUMBER (AUTOFILLS)], D$18),
    SUMIFS(Table_E[TOTAL BUDGET REQUESTED], Table_E[FUND (ADMIN USE)], $A21, Table_E[BUDGET APPROVED BY DIRECTOR? (ADMIN USE)], "Approved", Table_E[BUDGET ACCOUNT NUMBER (AUTOFILLS)], D$18),
    SUMIFS(Table_HCA[TOTAL BUDGET REQUESTED], Table_HCA[FUND (ADMIN USE)], $A21, Table_HCA[BUDGET APPROVED BY DIRECTOR? (ADMIN USE)], "Approved", Table_HCA[BUDGET ACCOUNT Number (AUTOFILLS)], D$18),
    SUMIFS(Table_PT[TOTAL BUDGET REQUESTED], Table_PT[FUND (ADMIN USE)], $A21, Table_PT[BUDGET APPROVED BY DIRECTOR? (ADMIN USE)], "Approved", Table_PT[BUDGET ACCOUNT NUMBER (AUTOFILLS)], D$18),
    SUMIFS(Table_REU[TOTAL BUDGET REQUESTED], Table_REU[FUND (ADMIN USE)], $A21, Table_REU[BUDGET APPROVED BY DIRECTOR? (ADMIN USE)], "Approved", Table_REU[BUDGET ACCOUNT NUMBER (AUTOFILLS)], D$18),
    SUMIFS(Table_SU[TOTAL BUDGET REQUESTED], Table_SU[FUND (ADMIN USE)], $A21, Table_SU[BUDGET APPROVED BY DIRECTOR? (ADMIN USE)], "Approved", Table_SU[BUDGET ACCOUNT NUMBER (AUTOFILLS)], D$18)
)</f>
        <v>0</v>
      </c>
      <c r="E21" s="32">
        <f>SUM(
    SUMIFS(Table_ASU[TOTAL BUDGET REQUESTED], Table_ASU[FUND (ADMIN USE)], $A21, Table_ASU[BUDGET APPROVED BY DIRECTOR? (ADMIN USE)], "Approved", Table_ASU[BUDGET ACCOUNT Number (AUTOFILLS)], E$18),
    SUMIFS(Table_ASU2[TOTAL BUDGET REQUESTED], Table_ASU2[FUND (ADMIN USE)], $A21, Table_ASU2[BUDGET APPROVED BY DIRECTOR? (ADMIN USE)], "Approved", Table_ASU2[BUDGET ACCOUNT NUMBER (AUTOFILLS)], E$18),
    SUMIFS(Table_AU[TOTAL BUDGET REQUESTED], Table_AU[FUND (ADMIN USE)], $A21, Table_AU[BUDGET APPROVED BY DIRECTOR? (ADMIN USE)], "Approved", Table_AU[BUDGET ACCOUNT NUMBER (AUTOFILLS)], E$18),
    SUMIFS(Table_CMU[TOTAL BUDGET REQUESTED], Table_CMU[FUND (ADMIN USE)], $A21, Table_CMU[BUDGET APPROVED BY DIRECTOR? (ADMIN USE)], "Approved", Table_CMU[BUDGET ACCOUNT NUMBER (AUTOFILLS)], E$18),
    SUMIFS(Table_E[TOTAL BUDGET REQUESTED], Table_E[FUND (ADMIN USE)], $A21, Table_E[BUDGET APPROVED BY DIRECTOR? (ADMIN USE)], "Approved", Table_E[BUDGET ACCOUNT NUMBER (AUTOFILLS)], E$18),
    SUMIFS(Table_HCA[TOTAL BUDGET REQUESTED], Table_HCA[FUND (ADMIN USE)], $A21, Table_HCA[BUDGET APPROVED BY DIRECTOR? (ADMIN USE)], "Approved", Table_HCA[BUDGET ACCOUNT Number (AUTOFILLS)], E$18),
    SUMIFS(Table_PT[TOTAL BUDGET REQUESTED], Table_PT[FUND (ADMIN USE)], $A21, Table_PT[BUDGET APPROVED BY DIRECTOR? (ADMIN USE)], "Approved", Table_PT[BUDGET ACCOUNT NUMBER (AUTOFILLS)], E$18),
    SUMIFS(Table_REU[TOTAL BUDGET REQUESTED], Table_REU[FUND (ADMIN USE)], $A21, Table_REU[BUDGET APPROVED BY DIRECTOR? (ADMIN USE)], "Approved", Table_REU[BUDGET ACCOUNT NUMBER (AUTOFILLS)], E$18),
    SUMIFS(Table_SU[TOTAL BUDGET REQUESTED], Table_SU[FUND (ADMIN USE)], $A21, Table_SU[BUDGET APPROVED BY DIRECTOR? (ADMIN USE)], "Approved", Table_SU[BUDGET ACCOUNT NUMBER (AUTOFILLS)], E$18)
)</f>
        <v>0</v>
      </c>
      <c r="F21" s="32">
        <f>SUM(
    SUMIFS(Table_ASU[TOTAL BUDGET REQUESTED], Table_ASU[FUND (ADMIN USE)], $A21, Table_ASU[BUDGET APPROVED BY DIRECTOR? (ADMIN USE)], "Approved", Table_ASU[BUDGET ACCOUNT Number (AUTOFILLS)], F$18),
    SUMIFS(Table_ASU2[TOTAL BUDGET REQUESTED], Table_ASU2[FUND (ADMIN USE)], $A21, Table_ASU2[BUDGET APPROVED BY DIRECTOR? (ADMIN USE)], "Approved", Table_ASU2[BUDGET ACCOUNT NUMBER (AUTOFILLS)], F$18),
    SUMIFS(Table_AU[TOTAL BUDGET REQUESTED], Table_AU[FUND (ADMIN USE)], $A21, Table_AU[BUDGET APPROVED BY DIRECTOR? (ADMIN USE)], "Approved", Table_AU[BUDGET ACCOUNT NUMBER (AUTOFILLS)], F$18),
    SUMIFS(Table_CMU[TOTAL BUDGET REQUESTED], Table_CMU[FUND (ADMIN USE)], $A21, Table_CMU[BUDGET APPROVED BY DIRECTOR? (ADMIN USE)], "Approved", Table_CMU[BUDGET ACCOUNT NUMBER (AUTOFILLS)], F$18),
    SUMIFS(Table_E[TOTAL BUDGET REQUESTED], Table_E[FUND (ADMIN USE)], $A21, Table_E[BUDGET APPROVED BY DIRECTOR? (ADMIN USE)], "Approved", Table_E[BUDGET ACCOUNT NUMBER (AUTOFILLS)], F$18),
    SUMIFS(Table_HCA[TOTAL BUDGET REQUESTED], Table_HCA[FUND (ADMIN USE)], $A21, Table_HCA[BUDGET APPROVED BY DIRECTOR? (ADMIN USE)], "Approved", Table_HCA[BUDGET ACCOUNT Number (AUTOFILLS)], F$18),
    SUMIFS(Table_PT[TOTAL BUDGET REQUESTED], Table_PT[FUND (ADMIN USE)], $A21, Table_PT[BUDGET APPROVED BY DIRECTOR? (ADMIN USE)], "Approved", Table_PT[BUDGET ACCOUNT NUMBER (AUTOFILLS)], F$18),
    SUMIFS(Table_REU[TOTAL BUDGET REQUESTED], Table_REU[FUND (ADMIN USE)], $A21, Table_REU[BUDGET APPROVED BY DIRECTOR? (ADMIN USE)], "Approved", Table_REU[BUDGET ACCOUNT NUMBER (AUTOFILLS)], F$18),
    SUMIFS(Table_SU[TOTAL BUDGET REQUESTED], Table_SU[FUND (ADMIN USE)], $A21, Table_SU[BUDGET APPROVED BY DIRECTOR? (ADMIN USE)], "Approved", Table_SU[BUDGET ACCOUNT NUMBER (AUTOFILLS)], F$18)
)</f>
        <v>0</v>
      </c>
      <c r="G21" s="32">
        <f>SUM(
    SUMIFS(Table_ASU[TOTAL BUDGET REQUESTED], Table_ASU[FUND (ADMIN USE)], $A21, Table_ASU[BUDGET APPROVED BY DIRECTOR? (ADMIN USE)], "Approved", Table_ASU[BUDGET ACCOUNT Number (AUTOFILLS)], G$18),
    SUMIFS(Table_ASU2[TOTAL BUDGET REQUESTED], Table_ASU2[FUND (ADMIN USE)], $A21, Table_ASU2[BUDGET APPROVED BY DIRECTOR? (ADMIN USE)], "Approved", Table_ASU2[BUDGET ACCOUNT NUMBER (AUTOFILLS)], G$18),
    SUMIFS(Table_AU[TOTAL BUDGET REQUESTED], Table_AU[FUND (ADMIN USE)], $A21, Table_AU[BUDGET APPROVED BY DIRECTOR? (ADMIN USE)], "Approved", Table_AU[BUDGET ACCOUNT NUMBER (AUTOFILLS)], G$18),
    SUMIFS(Table_CMU[TOTAL BUDGET REQUESTED], Table_CMU[FUND (ADMIN USE)], $A21, Table_CMU[BUDGET APPROVED BY DIRECTOR? (ADMIN USE)], "Approved", Table_CMU[BUDGET ACCOUNT NUMBER (AUTOFILLS)], G$18),
    SUMIFS(Table_E[TOTAL BUDGET REQUESTED], Table_E[FUND (ADMIN USE)], $A21, Table_E[BUDGET APPROVED BY DIRECTOR? (ADMIN USE)], "Approved", Table_E[BUDGET ACCOUNT NUMBER (AUTOFILLS)], G$18),
    SUMIFS(Table_HCA[TOTAL BUDGET REQUESTED], Table_HCA[FUND (ADMIN USE)], $A21, Table_HCA[BUDGET APPROVED BY DIRECTOR? (ADMIN USE)], "Approved", Table_HCA[BUDGET ACCOUNT Number (AUTOFILLS)], G$18),
    SUMIFS(Table_PT[TOTAL BUDGET REQUESTED], Table_PT[FUND (ADMIN USE)], $A21, Table_PT[BUDGET APPROVED BY DIRECTOR? (ADMIN USE)], "Approved", Table_PT[BUDGET ACCOUNT NUMBER (AUTOFILLS)], G$18),
    SUMIFS(Table_REU[TOTAL BUDGET REQUESTED], Table_REU[FUND (ADMIN USE)], $A21, Table_REU[BUDGET APPROVED BY DIRECTOR? (ADMIN USE)], "Approved", Table_REU[BUDGET ACCOUNT NUMBER (AUTOFILLS)], G$18),
    SUMIFS(Table_SU[TOTAL BUDGET REQUESTED], Table_SU[FUND (ADMIN USE)], $A21, Table_SU[BUDGET APPROVED BY DIRECTOR? (ADMIN USE)], "Approved", Table_SU[BUDGET ACCOUNT NUMBER (AUTOFILLS)], G$18)
)</f>
        <v>0</v>
      </c>
      <c r="H21" s="32">
        <f>SUM(
    SUMIFS(Table_ASU[TOTAL BUDGET REQUESTED], Table_ASU[FUND (ADMIN USE)], $A21, Table_ASU[BUDGET APPROVED BY DIRECTOR? (ADMIN USE)], "Approved", Table_ASU[BUDGET ACCOUNT Number (AUTOFILLS)], H$18),
    SUMIFS(Table_ASU2[TOTAL BUDGET REQUESTED], Table_ASU2[FUND (ADMIN USE)], $A21, Table_ASU2[BUDGET APPROVED BY DIRECTOR? (ADMIN USE)], "Approved", Table_ASU2[BUDGET ACCOUNT NUMBER (AUTOFILLS)], H$18),
    SUMIFS(Table_AU[TOTAL BUDGET REQUESTED], Table_AU[FUND (ADMIN USE)], $A21, Table_AU[BUDGET APPROVED BY DIRECTOR? (ADMIN USE)], "Approved", Table_AU[BUDGET ACCOUNT NUMBER (AUTOFILLS)], H$18),
    SUMIFS(Table_CMU[TOTAL BUDGET REQUESTED], Table_CMU[FUND (ADMIN USE)], $A21, Table_CMU[BUDGET APPROVED BY DIRECTOR? (ADMIN USE)], "Approved", Table_CMU[BUDGET ACCOUNT NUMBER (AUTOFILLS)], H$18),
    SUMIFS(Table_E[TOTAL BUDGET REQUESTED], Table_E[FUND (ADMIN USE)], $A21, Table_E[BUDGET APPROVED BY DIRECTOR? (ADMIN USE)], "Approved", Table_E[BUDGET ACCOUNT NUMBER (AUTOFILLS)], H$18),
    SUMIFS(Table_HCA[TOTAL BUDGET REQUESTED], Table_HCA[FUND (ADMIN USE)], $A21, Table_HCA[BUDGET APPROVED BY DIRECTOR? (ADMIN USE)], "Approved", Table_HCA[BUDGET ACCOUNT Number (AUTOFILLS)], H$18),
    SUMIFS(Table_PT[TOTAL BUDGET REQUESTED], Table_PT[FUND (ADMIN USE)], $A21, Table_PT[BUDGET APPROVED BY DIRECTOR? (ADMIN USE)], "Approved", Table_PT[BUDGET ACCOUNT NUMBER (AUTOFILLS)], H$18),
    SUMIFS(Table_REU[TOTAL BUDGET REQUESTED], Table_REU[FUND (ADMIN USE)], $A21, Table_REU[BUDGET APPROVED BY DIRECTOR? (ADMIN USE)], "Approved", Table_REU[BUDGET ACCOUNT NUMBER (AUTOFILLS)], H$18),
    SUMIFS(Table_SU[TOTAL BUDGET REQUESTED], Table_SU[FUND (ADMIN USE)], $A21, Table_SU[BUDGET APPROVED BY DIRECTOR? (ADMIN USE)], "Approved", Table_SU[BUDGET ACCOUNT NUMBER (AUTOFILLS)], H$18)
)</f>
        <v>0</v>
      </c>
      <c r="I21" s="32">
        <f>SUM(
    SUMIFS(Table_ASU[TOTAL BUDGET REQUESTED], Table_ASU[FUND (ADMIN USE)], $A21, Table_ASU[BUDGET APPROVED BY DIRECTOR? (ADMIN USE)], "Approved", Table_ASU[BUDGET ACCOUNT Number (AUTOFILLS)], I$18),
    SUMIFS(Table_ASU2[TOTAL BUDGET REQUESTED], Table_ASU2[FUND (ADMIN USE)], $A21, Table_ASU2[BUDGET APPROVED BY DIRECTOR? (ADMIN USE)], "Approved", Table_ASU2[BUDGET ACCOUNT NUMBER (AUTOFILLS)], I$18),
    SUMIFS(Table_AU[TOTAL BUDGET REQUESTED], Table_AU[FUND (ADMIN USE)], $A21, Table_AU[BUDGET APPROVED BY DIRECTOR? (ADMIN USE)], "Approved", Table_AU[BUDGET ACCOUNT NUMBER (AUTOFILLS)], I$18),
    SUMIFS(Table_CMU[TOTAL BUDGET REQUESTED], Table_CMU[FUND (ADMIN USE)], $A21, Table_CMU[BUDGET APPROVED BY DIRECTOR? (ADMIN USE)], "Approved", Table_CMU[BUDGET ACCOUNT NUMBER (AUTOFILLS)], I$18),
    SUMIFS(Table_E[TOTAL BUDGET REQUESTED], Table_E[FUND (ADMIN USE)], $A21, Table_E[BUDGET APPROVED BY DIRECTOR? (ADMIN USE)], "Approved", Table_E[BUDGET ACCOUNT NUMBER (AUTOFILLS)], I$18),
    SUMIFS(Table_HCA[TOTAL BUDGET REQUESTED], Table_HCA[FUND (ADMIN USE)], $A21, Table_HCA[BUDGET APPROVED BY DIRECTOR? (ADMIN USE)], "Approved", Table_HCA[BUDGET ACCOUNT Number (AUTOFILLS)], I$18),
    SUMIFS(Table_PT[TOTAL BUDGET REQUESTED], Table_PT[FUND (ADMIN USE)], $A21, Table_PT[BUDGET APPROVED BY DIRECTOR? (ADMIN USE)], "Approved", Table_PT[BUDGET ACCOUNT NUMBER (AUTOFILLS)], I$18),
    SUMIFS(Table_REU[TOTAL BUDGET REQUESTED], Table_REU[FUND (ADMIN USE)], $A21, Table_REU[BUDGET APPROVED BY DIRECTOR? (ADMIN USE)], "Approved", Table_REU[BUDGET ACCOUNT NUMBER (AUTOFILLS)], I$18),
    SUMIFS(Table_SU[TOTAL BUDGET REQUESTED], Table_SU[FUND (ADMIN USE)], $A21, Table_SU[BUDGET APPROVED BY DIRECTOR? (ADMIN USE)], "Approved", Table_SU[BUDGET ACCOUNT NUMBER (AUTOFILLS)], I$18)
)</f>
        <v>0</v>
      </c>
      <c r="J21" s="32">
        <f>SUM(
    SUMIFS(Table_ASU[TOTAL BUDGET REQUESTED], Table_ASU[FUND (ADMIN USE)], $A21, Table_ASU[BUDGET APPROVED BY DIRECTOR? (ADMIN USE)], "Approved", Table_ASU[BUDGET ACCOUNT Number (AUTOFILLS)], J$18),
    SUMIFS(Table_ASU2[TOTAL BUDGET REQUESTED], Table_ASU2[FUND (ADMIN USE)], $A21, Table_ASU2[BUDGET APPROVED BY DIRECTOR? (ADMIN USE)], "Approved", Table_ASU2[BUDGET ACCOUNT NUMBER (AUTOFILLS)], J$18),
    SUMIFS(Table_AU[TOTAL BUDGET REQUESTED], Table_AU[FUND (ADMIN USE)], $A21, Table_AU[BUDGET APPROVED BY DIRECTOR? (ADMIN USE)], "Approved", Table_AU[BUDGET ACCOUNT NUMBER (AUTOFILLS)], J$18),
    SUMIFS(Table_CMU[TOTAL BUDGET REQUESTED], Table_CMU[FUND (ADMIN USE)], $A21, Table_CMU[BUDGET APPROVED BY DIRECTOR? (ADMIN USE)], "Approved", Table_CMU[BUDGET ACCOUNT NUMBER (AUTOFILLS)], J$18),
    SUMIFS(Table_E[TOTAL BUDGET REQUESTED], Table_E[FUND (ADMIN USE)], $A21, Table_E[BUDGET APPROVED BY DIRECTOR? (ADMIN USE)], "Approved", Table_E[BUDGET ACCOUNT NUMBER (AUTOFILLS)], J$18),
    SUMIFS(Table_HCA[TOTAL BUDGET REQUESTED], Table_HCA[FUND (ADMIN USE)], $A21, Table_HCA[BUDGET APPROVED BY DIRECTOR? (ADMIN USE)], "Approved", Table_HCA[BUDGET ACCOUNT Number (AUTOFILLS)], J$18),
    SUMIFS(Table_PT[TOTAL BUDGET REQUESTED], Table_PT[FUND (ADMIN USE)], $A21, Table_PT[BUDGET APPROVED BY DIRECTOR? (ADMIN USE)], "Approved", Table_PT[BUDGET ACCOUNT NUMBER (AUTOFILLS)], J$18),
    SUMIFS(Table_REU[TOTAL BUDGET REQUESTED], Table_REU[FUND (ADMIN USE)], $A21, Table_REU[BUDGET APPROVED BY DIRECTOR? (ADMIN USE)], "Approved", Table_REU[BUDGET ACCOUNT NUMBER (AUTOFILLS)], J$18),
    SUMIFS(Table_SU[TOTAL BUDGET REQUESTED], Table_SU[FUND (ADMIN USE)], $A21, Table_SU[BUDGET APPROVED BY DIRECTOR? (ADMIN USE)], "Approved", Table_SU[BUDGET ACCOUNT NUMBER (AUTOFILLS)], J$18)
)</f>
        <v>0</v>
      </c>
      <c r="K21" s="14">
        <f>SUM(Table_Totals25[[#This Row],[88100]:[88800]])</f>
        <v>0</v>
      </c>
    </row>
    <row r="22" spans="1:11" ht="60" customHeight="1">
      <c r="A22" s="29" t="s">
        <v>122</v>
      </c>
      <c r="B22" s="32">
        <f>SUM(
    SUMIFS(Table_ASU[TOTAL BUDGET REQUESTED], Table_ASU[FUND (ADMIN USE)], $A22, Table_ASU[BUDGET APPROVED BY DIRECTOR? (ADMIN USE)], "Approved", Table_ASU[BUDGET ACCOUNT Number (AUTOFILLS)], B$18),
    SUMIFS(Table_ASU2[TOTAL BUDGET REQUESTED], Table_ASU2[FUND (ADMIN USE)], $A22, Table_ASU2[BUDGET APPROVED BY DIRECTOR? (ADMIN USE)], "Approved", Table_ASU2[BUDGET ACCOUNT NUMBER (AUTOFILLS)], B$18),
    SUMIFS(Table_AU[TOTAL BUDGET REQUESTED], Table_AU[FUND (ADMIN USE)], $A22, Table_AU[BUDGET APPROVED BY DIRECTOR? (ADMIN USE)], "Approved", Table_AU[BUDGET ACCOUNT NUMBER (AUTOFILLS)], B$18),
    SUMIFS(Table_CMU[TOTAL BUDGET REQUESTED], Table_CMU[FUND (ADMIN USE)], $A22, Table_CMU[BUDGET APPROVED BY DIRECTOR? (ADMIN USE)], "Approved", Table_CMU[BUDGET ACCOUNT NUMBER (AUTOFILLS)], B$18),
    SUMIFS(Table_E[TOTAL BUDGET REQUESTED], Table_E[FUND (ADMIN USE)], $A22, Table_E[BUDGET APPROVED BY DIRECTOR? (ADMIN USE)], "Approved", Table_E[BUDGET ACCOUNT NUMBER (AUTOFILLS)], B$18),
    SUMIFS(Table_HCA[TOTAL BUDGET REQUESTED], Table_HCA[FUND (ADMIN USE)], $A22, Table_HCA[BUDGET APPROVED BY DIRECTOR? (ADMIN USE)], "Approved", Table_HCA[BUDGET ACCOUNT Number (AUTOFILLS)], B$18),
    SUMIFS(Table_PT[TOTAL BUDGET REQUESTED], Table_PT[FUND (ADMIN USE)], $A22, Table_PT[BUDGET APPROVED BY DIRECTOR? (ADMIN USE)], "Approved", Table_PT[BUDGET ACCOUNT NUMBER (AUTOFILLS)], B$18),
    SUMIFS(Table_REU[TOTAL BUDGET REQUESTED], Table_REU[FUND (ADMIN USE)], $A22, Table_REU[BUDGET APPROVED BY DIRECTOR? (ADMIN USE)], "Approved", Table_REU[BUDGET ACCOUNT NUMBER (AUTOFILLS)], B$18),
    SUMIFS(Table_SU[TOTAL BUDGET REQUESTED], Table_SU[FUND (ADMIN USE)], $A22, Table_SU[BUDGET APPROVED BY DIRECTOR? (ADMIN USE)], "Approved", Table_SU[BUDGET ACCOUNT NUMBER (AUTOFILLS)], B$18)
)</f>
        <v>0</v>
      </c>
      <c r="C22" s="32">
        <f>SUM(
    SUMIFS(Table_ASU[TOTAL BUDGET REQUESTED], Table_ASU[FUND (ADMIN USE)], $A22, Table_ASU[BUDGET APPROVED BY DIRECTOR? (ADMIN USE)], "Approved", Table_ASU[BUDGET ACCOUNT Number (AUTOFILLS)], C$18),
    SUMIFS(Table_ASU2[TOTAL BUDGET REQUESTED], Table_ASU2[FUND (ADMIN USE)], $A22, Table_ASU2[BUDGET APPROVED BY DIRECTOR? (ADMIN USE)], "Approved", Table_ASU2[BUDGET ACCOUNT NUMBER (AUTOFILLS)], C$18),
    SUMIFS(Table_AU[TOTAL BUDGET REQUESTED], Table_AU[FUND (ADMIN USE)], $A22, Table_AU[BUDGET APPROVED BY DIRECTOR? (ADMIN USE)], "Approved", Table_AU[BUDGET ACCOUNT NUMBER (AUTOFILLS)], C$18),
    SUMIFS(Table_CMU[TOTAL BUDGET REQUESTED], Table_CMU[FUND (ADMIN USE)], $A22, Table_CMU[BUDGET APPROVED BY DIRECTOR? (ADMIN USE)], "Approved", Table_CMU[BUDGET ACCOUNT NUMBER (AUTOFILLS)], C$18),
    SUMIFS(Table_E[TOTAL BUDGET REQUESTED], Table_E[FUND (ADMIN USE)], $A22, Table_E[BUDGET APPROVED BY DIRECTOR? (ADMIN USE)], "Approved", Table_E[BUDGET ACCOUNT NUMBER (AUTOFILLS)], C$18),
    SUMIFS(Table_HCA[TOTAL BUDGET REQUESTED], Table_HCA[FUND (ADMIN USE)], $A22, Table_HCA[BUDGET APPROVED BY DIRECTOR? (ADMIN USE)], "Approved", Table_HCA[BUDGET ACCOUNT Number (AUTOFILLS)], C$18),
    SUMIFS(Table_PT[TOTAL BUDGET REQUESTED], Table_PT[FUND (ADMIN USE)], $A22, Table_PT[BUDGET APPROVED BY DIRECTOR? (ADMIN USE)], "Approved", Table_PT[BUDGET ACCOUNT NUMBER (AUTOFILLS)], C$18),
    SUMIFS(Table_REU[TOTAL BUDGET REQUESTED], Table_REU[FUND (ADMIN USE)], $A22, Table_REU[BUDGET APPROVED BY DIRECTOR? (ADMIN USE)], "Approved", Table_REU[BUDGET ACCOUNT NUMBER (AUTOFILLS)], C$18),
    SUMIFS(Table_SU[TOTAL BUDGET REQUESTED], Table_SU[FUND (ADMIN USE)], $A22, Table_SU[BUDGET APPROVED BY DIRECTOR? (ADMIN USE)], "Approved", Table_SU[BUDGET ACCOUNT NUMBER (AUTOFILLS)], C$18)
)</f>
        <v>0</v>
      </c>
      <c r="D22" s="32">
        <f>SUM(
    SUMIFS(Table_ASU[TOTAL BUDGET REQUESTED], Table_ASU[FUND (ADMIN USE)], $A22, Table_ASU[BUDGET APPROVED BY DIRECTOR? (ADMIN USE)], "Approved", Table_ASU[BUDGET ACCOUNT Number (AUTOFILLS)], D$18),
    SUMIFS(Table_ASU2[TOTAL BUDGET REQUESTED], Table_ASU2[FUND (ADMIN USE)], $A22, Table_ASU2[BUDGET APPROVED BY DIRECTOR? (ADMIN USE)], "Approved", Table_ASU2[BUDGET ACCOUNT NUMBER (AUTOFILLS)], D$18),
    SUMIFS(Table_AU[TOTAL BUDGET REQUESTED], Table_AU[FUND (ADMIN USE)], $A22, Table_AU[BUDGET APPROVED BY DIRECTOR? (ADMIN USE)], "Approved", Table_AU[BUDGET ACCOUNT NUMBER (AUTOFILLS)], D$18),
    SUMIFS(Table_CMU[TOTAL BUDGET REQUESTED], Table_CMU[FUND (ADMIN USE)], $A22, Table_CMU[BUDGET APPROVED BY DIRECTOR? (ADMIN USE)], "Approved", Table_CMU[BUDGET ACCOUNT NUMBER (AUTOFILLS)], D$18),
    SUMIFS(Table_E[TOTAL BUDGET REQUESTED], Table_E[FUND (ADMIN USE)], $A22, Table_E[BUDGET APPROVED BY DIRECTOR? (ADMIN USE)], "Approved", Table_E[BUDGET ACCOUNT NUMBER (AUTOFILLS)], D$18),
    SUMIFS(Table_HCA[TOTAL BUDGET REQUESTED], Table_HCA[FUND (ADMIN USE)], $A22, Table_HCA[BUDGET APPROVED BY DIRECTOR? (ADMIN USE)], "Approved", Table_HCA[BUDGET ACCOUNT Number (AUTOFILLS)], D$18),
    SUMIFS(Table_PT[TOTAL BUDGET REQUESTED], Table_PT[FUND (ADMIN USE)], $A22, Table_PT[BUDGET APPROVED BY DIRECTOR? (ADMIN USE)], "Approved", Table_PT[BUDGET ACCOUNT NUMBER (AUTOFILLS)], D$18),
    SUMIFS(Table_REU[TOTAL BUDGET REQUESTED], Table_REU[FUND (ADMIN USE)], $A22, Table_REU[BUDGET APPROVED BY DIRECTOR? (ADMIN USE)], "Approved", Table_REU[BUDGET ACCOUNT NUMBER (AUTOFILLS)], D$18),
    SUMIFS(Table_SU[TOTAL BUDGET REQUESTED], Table_SU[FUND (ADMIN USE)], $A22, Table_SU[BUDGET APPROVED BY DIRECTOR? (ADMIN USE)], "Approved", Table_SU[BUDGET ACCOUNT NUMBER (AUTOFILLS)], D$18)
)</f>
        <v>0</v>
      </c>
      <c r="E22" s="32">
        <f>SUM(
    SUMIFS(Table_ASU[TOTAL BUDGET REQUESTED], Table_ASU[FUND (ADMIN USE)], $A22, Table_ASU[BUDGET APPROVED BY DIRECTOR? (ADMIN USE)], "Approved", Table_ASU[BUDGET ACCOUNT Number (AUTOFILLS)], E$18),
    SUMIFS(Table_ASU2[TOTAL BUDGET REQUESTED], Table_ASU2[FUND (ADMIN USE)], $A22, Table_ASU2[BUDGET APPROVED BY DIRECTOR? (ADMIN USE)], "Approved", Table_ASU2[BUDGET ACCOUNT NUMBER (AUTOFILLS)], E$18),
    SUMIFS(Table_AU[TOTAL BUDGET REQUESTED], Table_AU[FUND (ADMIN USE)], $A22, Table_AU[BUDGET APPROVED BY DIRECTOR? (ADMIN USE)], "Approved", Table_AU[BUDGET ACCOUNT NUMBER (AUTOFILLS)], E$18),
    SUMIFS(Table_CMU[TOTAL BUDGET REQUESTED], Table_CMU[FUND (ADMIN USE)], $A22, Table_CMU[BUDGET APPROVED BY DIRECTOR? (ADMIN USE)], "Approved", Table_CMU[BUDGET ACCOUNT NUMBER (AUTOFILLS)], E$18),
    SUMIFS(Table_E[TOTAL BUDGET REQUESTED], Table_E[FUND (ADMIN USE)], $A22, Table_E[BUDGET APPROVED BY DIRECTOR? (ADMIN USE)], "Approved", Table_E[BUDGET ACCOUNT NUMBER (AUTOFILLS)], E$18),
    SUMIFS(Table_HCA[TOTAL BUDGET REQUESTED], Table_HCA[FUND (ADMIN USE)], $A22, Table_HCA[BUDGET APPROVED BY DIRECTOR? (ADMIN USE)], "Approved", Table_HCA[BUDGET ACCOUNT Number (AUTOFILLS)], E$18),
    SUMIFS(Table_PT[TOTAL BUDGET REQUESTED], Table_PT[FUND (ADMIN USE)], $A22, Table_PT[BUDGET APPROVED BY DIRECTOR? (ADMIN USE)], "Approved", Table_PT[BUDGET ACCOUNT NUMBER (AUTOFILLS)], E$18),
    SUMIFS(Table_REU[TOTAL BUDGET REQUESTED], Table_REU[FUND (ADMIN USE)], $A22, Table_REU[BUDGET APPROVED BY DIRECTOR? (ADMIN USE)], "Approved", Table_REU[BUDGET ACCOUNT NUMBER (AUTOFILLS)], E$18),
    SUMIFS(Table_SU[TOTAL BUDGET REQUESTED], Table_SU[FUND (ADMIN USE)], $A22, Table_SU[BUDGET APPROVED BY DIRECTOR? (ADMIN USE)], "Approved", Table_SU[BUDGET ACCOUNT NUMBER (AUTOFILLS)], E$18)
)</f>
        <v>0</v>
      </c>
      <c r="F22" s="32">
        <f>SUM(
    SUMIFS(Table_ASU[TOTAL BUDGET REQUESTED], Table_ASU[FUND (ADMIN USE)], $A22, Table_ASU[BUDGET APPROVED BY DIRECTOR? (ADMIN USE)], "Approved", Table_ASU[BUDGET ACCOUNT Number (AUTOFILLS)], F$18),
    SUMIFS(Table_ASU2[TOTAL BUDGET REQUESTED], Table_ASU2[FUND (ADMIN USE)], $A22, Table_ASU2[BUDGET APPROVED BY DIRECTOR? (ADMIN USE)], "Approved", Table_ASU2[BUDGET ACCOUNT NUMBER (AUTOFILLS)], F$18),
    SUMIFS(Table_AU[TOTAL BUDGET REQUESTED], Table_AU[FUND (ADMIN USE)], $A22, Table_AU[BUDGET APPROVED BY DIRECTOR? (ADMIN USE)], "Approved", Table_AU[BUDGET ACCOUNT NUMBER (AUTOFILLS)], F$18),
    SUMIFS(Table_CMU[TOTAL BUDGET REQUESTED], Table_CMU[FUND (ADMIN USE)], $A22, Table_CMU[BUDGET APPROVED BY DIRECTOR? (ADMIN USE)], "Approved", Table_CMU[BUDGET ACCOUNT NUMBER (AUTOFILLS)], F$18),
    SUMIFS(Table_E[TOTAL BUDGET REQUESTED], Table_E[FUND (ADMIN USE)], $A22, Table_E[BUDGET APPROVED BY DIRECTOR? (ADMIN USE)], "Approved", Table_E[BUDGET ACCOUNT NUMBER (AUTOFILLS)], F$18),
    SUMIFS(Table_HCA[TOTAL BUDGET REQUESTED], Table_HCA[FUND (ADMIN USE)], $A22, Table_HCA[BUDGET APPROVED BY DIRECTOR? (ADMIN USE)], "Approved", Table_HCA[BUDGET ACCOUNT Number (AUTOFILLS)], F$18),
    SUMIFS(Table_PT[TOTAL BUDGET REQUESTED], Table_PT[FUND (ADMIN USE)], $A22, Table_PT[BUDGET APPROVED BY DIRECTOR? (ADMIN USE)], "Approved", Table_PT[BUDGET ACCOUNT NUMBER (AUTOFILLS)], F$18),
    SUMIFS(Table_REU[TOTAL BUDGET REQUESTED], Table_REU[FUND (ADMIN USE)], $A22, Table_REU[BUDGET APPROVED BY DIRECTOR? (ADMIN USE)], "Approved", Table_REU[BUDGET ACCOUNT NUMBER (AUTOFILLS)], F$18),
    SUMIFS(Table_SU[TOTAL BUDGET REQUESTED], Table_SU[FUND (ADMIN USE)], $A22, Table_SU[BUDGET APPROVED BY DIRECTOR? (ADMIN USE)], "Approved", Table_SU[BUDGET ACCOUNT NUMBER (AUTOFILLS)], F$18)
)</f>
        <v>0</v>
      </c>
      <c r="G22" s="32">
        <f>SUM(
    SUMIFS(Table_ASU[TOTAL BUDGET REQUESTED], Table_ASU[FUND (ADMIN USE)], $A22, Table_ASU[BUDGET APPROVED BY DIRECTOR? (ADMIN USE)], "Approved", Table_ASU[BUDGET ACCOUNT Number (AUTOFILLS)], G$18),
    SUMIFS(Table_ASU2[TOTAL BUDGET REQUESTED], Table_ASU2[FUND (ADMIN USE)], $A22, Table_ASU2[BUDGET APPROVED BY DIRECTOR? (ADMIN USE)], "Approved", Table_ASU2[BUDGET ACCOUNT NUMBER (AUTOFILLS)], G$18),
    SUMIFS(Table_AU[TOTAL BUDGET REQUESTED], Table_AU[FUND (ADMIN USE)], $A22, Table_AU[BUDGET APPROVED BY DIRECTOR? (ADMIN USE)], "Approved", Table_AU[BUDGET ACCOUNT NUMBER (AUTOFILLS)], G$18),
    SUMIFS(Table_CMU[TOTAL BUDGET REQUESTED], Table_CMU[FUND (ADMIN USE)], $A22, Table_CMU[BUDGET APPROVED BY DIRECTOR? (ADMIN USE)], "Approved", Table_CMU[BUDGET ACCOUNT NUMBER (AUTOFILLS)], G$18),
    SUMIFS(Table_E[TOTAL BUDGET REQUESTED], Table_E[FUND (ADMIN USE)], $A22, Table_E[BUDGET APPROVED BY DIRECTOR? (ADMIN USE)], "Approved", Table_E[BUDGET ACCOUNT NUMBER (AUTOFILLS)], G$18),
    SUMIFS(Table_HCA[TOTAL BUDGET REQUESTED], Table_HCA[FUND (ADMIN USE)], $A22, Table_HCA[BUDGET APPROVED BY DIRECTOR? (ADMIN USE)], "Approved", Table_HCA[BUDGET ACCOUNT Number (AUTOFILLS)], G$18),
    SUMIFS(Table_PT[TOTAL BUDGET REQUESTED], Table_PT[FUND (ADMIN USE)], $A22, Table_PT[BUDGET APPROVED BY DIRECTOR? (ADMIN USE)], "Approved", Table_PT[BUDGET ACCOUNT NUMBER (AUTOFILLS)], G$18),
    SUMIFS(Table_REU[TOTAL BUDGET REQUESTED], Table_REU[FUND (ADMIN USE)], $A22, Table_REU[BUDGET APPROVED BY DIRECTOR? (ADMIN USE)], "Approved", Table_REU[BUDGET ACCOUNT NUMBER (AUTOFILLS)], G$18),
    SUMIFS(Table_SU[TOTAL BUDGET REQUESTED], Table_SU[FUND (ADMIN USE)], $A22, Table_SU[BUDGET APPROVED BY DIRECTOR? (ADMIN USE)], "Approved", Table_SU[BUDGET ACCOUNT NUMBER (AUTOFILLS)], G$18)
)</f>
        <v>0</v>
      </c>
      <c r="H22" s="32">
        <f>SUM(
    SUMIFS(Table_ASU[TOTAL BUDGET REQUESTED], Table_ASU[FUND (ADMIN USE)], $A22, Table_ASU[BUDGET APPROVED BY DIRECTOR? (ADMIN USE)], "Approved", Table_ASU[BUDGET ACCOUNT Number (AUTOFILLS)], H$18),
    SUMIFS(Table_ASU2[TOTAL BUDGET REQUESTED], Table_ASU2[FUND (ADMIN USE)], $A22, Table_ASU2[BUDGET APPROVED BY DIRECTOR? (ADMIN USE)], "Approved", Table_ASU2[BUDGET ACCOUNT NUMBER (AUTOFILLS)], H$18),
    SUMIFS(Table_AU[TOTAL BUDGET REQUESTED], Table_AU[FUND (ADMIN USE)], $A22, Table_AU[BUDGET APPROVED BY DIRECTOR? (ADMIN USE)], "Approved", Table_AU[BUDGET ACCOUNT NUMBER (AUTOFILLS)], H$18),
    SUMIFS(Table_CMU[TOTAL BUDGET REQUESTED], Table_CMU[FUND (ADMIN USE)], $A22, Table_CMU[BUDGET APPROVED BY DIRECTOR? (ADMIN USE)], "Approved", Table_CMU[BUDGET ACCOUNT NUMBER (AUTOFILLS)], H$18),
    SUMIFS(Table_E[TOTAL BUDGET REQUESTED], Table_E[FUND (ADMIN USE)], $A22, Table_E[BUDGET APPROVED BY DIRECTOR? (ADMIN USE)], "Approved", Table_E[BUDGET ACCOUNT NUMBER (AUTOFILLS)], H$18),
    SUMIFS(Table_HCA[TOTAL BUDGET REQUESTED], Table_HCA[FUND (ADMIN USE)], $A22, Table_HCA[BUDGET APPROVED BY DIRECTOR? (ADMIN USE)], "Approved", Table_HCA[BUDGET ACCOUNT Number (AUTOFILLS)], H$18),
    SUMIFS(Table_PT[TOTAL BUDGET REQUESTED], Table_PT[FUND (ADMIN USE)], $A22, Table_PT[BUDGET APPROVED BY DIRECTOR? (ADMIN USE)], "Approved", Table_PT[BUDGET ACCOUNT NUMBER (AUTOFILLS)], H$18),
    SUMIFS(Table_REU[TOTAL BUDGET REQUESTED], Table_REU[FUND (ADMIN USE)], $A22, Table_REU[BUDGET APPROVED BY DIRECTOR? (ADMIN USE)], "Approved", Table_REU[BUDGET ACCOUNT NUMBER (AUTOFILLS)], H$18),
    SUMIFS(Table_SU[TOTAL BUDGET REQUESTED], Table_SU[FUND (ADMIN USE)], $A22, Table_SU[BUDGET APPROVED BY DIRECTOR? (ADMIN USE)], "Approved", Table_SU[BUDGET ACCOUNT NUMBER (AUTOFILLS)], H$18)
)</f>
        <v>0</v>
      </c>
      <c r="I22" s="32">
        <f>SUM(
    SUMIFS(Table_ASU[TOTAL BUDGET REQUESTED], Table_ASU[FUND (ADMIN USE)], $A22, Table_ASU[BUDGET APPROVED BY DIRECTOR? (ADMIN USE)], "Approved", Table_ASU[BUDGET ACCOUNT Number (AUTOFILLS)], I$18),
    SUMIFS(Table_ASU2[TOTAL BUDGET REQUESTED], Table_ASU2[FUND (ADMIN USE)], $A22, Table_ASU2[BUDGET APPROVED BY DIRECTOR? (ADMIN USE)], "Approved", Table_ASU2[BUDGET ACCOUNT NUMBER (AUTOFILLS)], I$18),
    SUMIFS(Table_AU[TOTAL BUDGET REQUESTED], Table_AU[FUND (ADMIN USE)], $A22, Table_AU[BUDGET APPROVED BY DIRECTOR? (ADMIN USE)], "Approved", Table_AU[BUDGET ACCOUNT NUMBER (AUTOFILLS)], I$18),
    SUMIFS(Table_CMU[TOTAL BUDGET REQUESTED], Table_CMU[FUND (ADMIN USE)], $A22, Table_CMU[BUDGET APPROVED BY DIRECTOR? (ADMIN USE)], "Approved", Table_CMU[BUDGET ACCOUNT NUMBER (AUTOFILLS)], I$18),
    SUMIFS(Table_E[TOTAL BUDGET REQUESTED], Table_E[FUND (ADMIN USE)], $A22, Table_E[BUDGET APPROVED BY DIRECTOR? (ADMIN USE)], "Approved", Table_E[BUDGET ACCOUNT NUMBER (AUTOFILLS)], I$18),
    SUMIFS(Table_HCA[TOTAL BUDGET REQUESTED], Table_HCA[FUND (ADMIN USE)], $A22, Table_HCA[BUDGET APPROVED BY DIRECTOR? (ADMIN USE)], "Approved", Table_HCA[BUDGET ACCOUNT Number (AUTOFILLS)], I$18),
    SUMIFS(Table_PT[TOTAL BUDGET REQUESTED], Table_PT[FUND (ADMIN USE)], $A22, Table_PT[BUDGET APPROVED BY DIRECTOR? (ADMIN USE)], "Approved", Table_PT[BUDGET ACCOUNT NUMBER (AUTOFILLS)], I$18),
    SUMIFS(Table_REU[TOTAL BUDGET REQUESTED], Table_REU[FUND (ADMIN USE)], $A22, Table_REU[BUDGET APPROVED BY DIRECTOR? (ADMIN USE)], "Approved", Table_REU[BUDGET ACCOUNT NUMBER (AUTOFILLS)], I$18),
    SUMIFS(Table_SU[TOTAL BUDGET REQUESTED], Table_SU[FUND (ADMIN USE)], $A22, Table_SU[BUDGET APPROVED BY DIRECTOR? (ADMIN USE)], "Approved", Table_SU[BUDGET ACCOUNT NUMBER (AUTOFILLS)], I$18)
)</f>
        <v>0</v>
      </c>
      <c r="J22" s="32">
        <f>SUM(
    SUMIFS(Table_ASU[TOTAL BUDGET REQUESTED], Table_ASU[FUND (ADMIN USE)], $A22, Table_ASU[BUDGET APPROVED BY DIRECTOR? (ADMIN USE)], "Approved", Table_ASU[BUDGET ACCOUNT Number (AUTOFILLS)], J$18),
    SUMIFS(Table_ASU2[TOTAL BUDGET REQUESTED], Table_ASU2[FUND (ADMIN USE)], $A22, Table_ASU2[BUDGET APPROVED BY DIRECTOR? (ADMIN USE)], "Approved", Table_ASU2[BUDGET ACCOUNT NUMBER (AUTOFILLS)], J$18),
    SUMIFS(Table_AU[TOTAL BUDGET REQUESTED], Table_AU[FUND (ADMIN USE)], $A22, Table_AU[BUDGET APPROVED BY DIRECTOR? (ADMIN USE)], "Approved", Table_AU[BUDGET ACCOUNT NUMBER (AUTOFILLS)], J$18),
    SUMIFS(Table_CMU[TOTAL BUDGET REQUESTED], Table_CMU[FUND (ADMIN USE)], $A22, Table_CMU[BUDGET APPROVED BY DIRECTOR? (ADMIN USE)], "Approved", Table_CMU[BUDGET ACCOUNT NUMBER (AUTOFILLS)], J$18),
    SUMIFS(Table_E[TOTAL BUDGET REQUESTED], Table_E[FUND (ADMIN USE)], $A22, Table_E[BUDGET APPROVED BY DIRECTOR? (ADMIN USE)], "Approved", Table_E[BUDGET ACCOUNT NUMBER (AUTOFILLS)], J$18),
    SUMIFS(Table_HCA[TOTAL BUDGET REQUESTED], Table_HCA[FUND (ADMIN USE)], $A22, Table_HCA[BUDGET APPROVED BY DIRECTOR? (ADMIN USE)], "Approved", Table_HCA[BUDGET ACCOUNT Number (AUTOFILLS)], J$18),
    SUMIFS(Table_PT[TOTAL BUDGET REQUESTED], Table_PT[FUND (ADMIN USE)], $A22, Table_PT[BUDGET APPROVED BY DIRECTOR? (ADMIN USE)], "Approved", Table_PT[BUDGET ACCOUNT NUMBER (AUTOFILLS)], J$18),
    SUMIFS(Table_REU[TOTAL BUDGET REQUESTED], Table_REU[FUND (ADMIN USE)], $A22, Table_REU[BUDGET APPROVED BY DIRECTOR? (ADMIN USE)], "Approved", Table_REU[BUDGET ACCOUNT NUMBER (AUTOFILLS)], J$18),
    SUMIFS(Table_SU[TOTAL BUDGET REQUESTED], Table_SU[FUND (ADMIN USE)], $A22, Table_SU[BUDGET APPROVED BY DIRECTOR? (ADMIN USE)], "Approved", Table_SU[BUDGET ACCOUNT NUMBER (AUTOFILLS)], J$18)
)</f>
        <v>0</v>
      </c>
      <c r="K22" s="14">
        <f>SUM(Table_Totals25[[#This Row],[88100]:[88800]])</f>
        <v>0</v>
      </c>
    </row>
    <row r="23" spans="1:11" ht="60" customHeight="1">
      <c r="A23" s="29" t="s">
        <v>126</v>
      </c>
      <c r="B23" s="32">
        <f>SUM(
    SUMIFS(Table_ASU[TOTAL BUDGET REQUESTED], Table_ASU[FUND (ADMIN USE)], $A23, Table_ASU[BUDGET APPROVED BY DIRECTOR? (ADMIN USE)], "Approved", Table_ASU[BUDGET ACCOUNT Number (AUTOFILLS)], B$18),
    SUMIFS(Table_ASU2[TOTAL BUDGET REQUESTED], Table_ASU2[FUND (ADMIN USE)], $A23, Table_ASU2[BUDGET APPROVED BY DIRECTOR? (ADMIN USE)], "Approved", Table_ASU2[BUDGET ACCOUNT NUMBER (AUTOFILLS)], B$18),
    SUMIFS(Table_AU[TOTAL BUDGET REQUESTED], Table_AU[FUND (ADMIN USE)], $A23, Table_AU[BUDGET APPROVED BY DIRECTOR? (ADMIN USE)], "Approved", Table_AU[BUDGET ACCOUNT NUMBER (AUTOFILLS)], B$18),
    SUMIFS(Table_CMU[TOTAL BUDGET REQUESTED], Table_CMU[FUND (ADMIN USE)], $A23, Table_CMU[BUDGET APPROVED BY DIRECTOR? (ADMIN USE)], "Approved", Table_CMU[BUDGET ACCOUNT NUMBER (AUTOFILLS)], B$18),
    SUMIFS(Table_E[TOTAL BUDGET REQUESTED], Table_E[FUND (ADMIN USE)], $A23, Table_E[BUDGET APPROVED BY DIRECTOR? (ADMIN USE)], "Approved", Table_E[BUDGET ACCOUNT NUMBER (AUTOFILLS)], B$18),
    SUMIFS(Table_HCA[TOTAL BUDGET REQUESTED], Table_HCA[FUND (ADMIN USE)], $A23, Table_HCA[BUDGET APPROVED BY DIRECTOR? (ADMIN USE)], "Approved", Table_HCA[BUDGET ACCOUNT Number (AUTOFILLS)], B$18),
    SUMIFS(Table_PT[TOTAL BUDGET REQUESTED], Table_PT[FUND (ADMIN USE)], $A23, Table_PT[BUDGET APPROVED BY DIRECTOR? (ADMIN USE)], "Approved", Table_PT[BUDGET ACCOUNT NUMBER (AUTOFILLS)], B$18),
    SUMIFS(Table_REU[TOTAL BUDGET REQUESTED], Table_REU[FUND (ADMIN USE)], $A23, Table_REU[BUDGET APPROVED BY DIRECTOR? (ADMIN USE)], "Approved", Table_REU[BUDGET ACCOUNT NUMBER (AUTOFILLS)], B$18),
    SUMIFS(Table_SU[TOTAL BUDGET REQUESTED], Table_SU[FUND (ADMIN USE)], $A23, Table_SU[BUDGET APPROVED BY DIRECTOR? (ADMIN USE)], "Approved", Table_SU[BUDGET ACCOUNT NUMBER (AUTOFILLS)], B$18)
)</f>
        <v>0</v>
      </c>
      <c r="C23" s="32">
        <f>SUM(
    SUMIFS(Table_ASU[TOTAL BUDGET REQUESTED], Table_ASU[FUND (ADMIN USE)], $A23, Table_ASU[BUDGET APPROVED BY DIRECTOR? (ADMIN USE)], "Approved", Table_ASU[BUDGET ACCOUNT Number (AUTOFILLS)], C$18),
    SUMIFS(Table_ASU2[TOTAL BUDGET REQUESTED], Table_ASU2[FUND (ADMIN USE)], $A23, Table_ASU2[BUDGET APPROVED BY DIRECTOR? (ADMIN USE)], "Approved", Table_ASU2[BUDGET ACCOUNT NUMBER (AUTOFILLS)], C$18),
    SUMIFS(Table_AU[TOTAL BUDGET REQUESTED], Table_AU[FUND (ADMIN USE)], $A23, Table_AU[BUDGET APPROVED BY DIRECTOR? (ADMIN USE)], "Approved", Table_AU[BUDGET ACCOUNT NUMBER (AUTOFILLS)], C$18),
    SUMIFS(Table_CMU[TOTAL BUDGET REQUESTED], Table_CMU[FUND (ADMIN USE)], $A23, Table_CMU[BUDGET APPROVED BY DIRECTOR? (ADMIN USE)], "Approved", Table_CMU[BUDGET ACCOUNT NUMBER (AUTOFILLS)], C$18),
    SUMIFS(Table_E[TOTAL BUDGET REQUESTED], Table_E[FUND (ADMIN USE)], $A23, Table_E[BUDGET APPROVED BY DIRECTOR? (ADMIN USE)], "Approved", Table_E[BUDGET ACCOUNT NUMBER (AUTOFILLS)], C$18),
    SUMIFS(Table_HCA[TOTAL BUDGET REQUESTED], Table_HCA[FUND (ADMIN USE)], $A23, Table_HCA[BUDGET APPROVED BY DIRECTOR? (ADMIN USE)], "Approved", Table_HCA[BUDGET ACCOUNT Number (AUTOFILLS)], C$18),
    SUMIFS(Table_PT[TOTAL BUDGET REQUESTED], Table_PT[FUND (ADMIN USE)], $A23, Table_PT[BUDGET APPROVED BY DIRECTOR? (ADMIN USE)], "Approved", Table_PT[BUDGET ACCOUNT NUMBER (AUTOFILLS)], C$18),
    SUMIFS(Table_REU[TOTAL BUDGET REQUESTED], Table_REU[FUND (ADMIN USE)], $A23, Table_REU[BUDGET APPROVED BY DIRECTOR? (ADMIN USE)], "Approved", Table_REU[BUDGET ACCOUNT NUMBER (AUTOFILLS)], C$18),
    SUMIFS(Table_SU[TOTAL BUDGET REQUESTED], Table_SU[FUND (ADMIN USE)], $A23, Table_SU[BUDGET APPROVED BY DIRECTOR? (ADMIN USE)], "Approved", Table_SU[BUDGET ACCOUNT NUMBER (AUTOFILLS)], C$18)
)</f>
        <v>0</v>
      </c>
      <c r="D23" s="32">
        <f>SUM(
    SUMIFS(Table_ASU[TOTAL BUDGET REQUESTED], Table_ASU[FUND (ADMIN USE)], $A23, Table_ASU[BUDGET APPROVED BY DIRECTOR? (ADMIN USE)], "Approved", Table_ASU[BUDGET ACCOUNT Number (AUTOFILLS)], D$18),
    SUMIFS(Table_ASU2[TOTAL BUDGET REQUESTED], Table_ASU2[FUND (ADMIN USE)], $A23, Table_ASU2[BUDGET APPROVED BY DIRECTOR? (ADMIN USE)], "Approved", Table_ASU2[BUDGET ACCOUNT NUMBER (AUTOFILLS)], D$18),
    SUMIFS(Table_AU[TOTAL BUDGET REQUESTED], Table_AU[FUND (ADMIN USE)], $A23, Table_AU[BUDGET APPROVED BY DIRECTOR? (ADMIN USE)], "Approved", Table_AU[BUDGET ACCOUNT NUMBER (AUTOFILLS)], D$18),
    SUMIFS(Table_CMU[TOTAL BUDGET REQUESTED], Table_CMU[FUND (ADMIN USE)], $A23, Table_CMU[BUDGET APPROVED BY DIRECTOR? (ADMIN USE)], "Approved", Table_CMU[BUDGET ACCOUNT NUMBER (AUTOFILLS)], D$18),
    SUMIFS(Table_E[TOTAL BUDGET REQUESTED], Table_E[FUND (ADMIN USE)], $A23, Table_E[BUDGET APPROVED BY DIRECTOR? (ADMIN USE)], "Approved", Table_E[BUDGET ACCOUNT NUMBER (AUTOFILLS)], D$18),
    SUMIFS(Table_HCA[TOTAL BUDGET REQUESTED], Table_HCA[FUND (ADMIN USE)], $A23, Table_HCA[BUDGET APPROVED BY DIRECTOR? (ADMIN USE)], "Approved", Table_HCA[BUDGET ACCOUNT Number (AUTOFILLS)], D$18),
    SUMIFS(Table_PT[TOTAL BUDGET REQUESTED], Table_PT[FUND (ADMIN USE)], $A23, Table_PT[BUDGET APPROVED BY DIRECTOR? (ADMIN USE)], "Approved", Table_PT[BUDGET ACCOUNT NUMBER (AUTOFILLS)], D$18),
    SUMIFS(Table_REU[TOTAL BUDGET REQUESTED], Table_REU[FUND (ADMIN USE)], $A23, Table_REU[BUDGET APPROVED BY DIRECTOR? (ADMIN USE)], "Approved", Table_REU[BUDGET ACCOUNT NUMBER (AUTOFILLS)], D$18),
    SUMIFS(Table_SU[TOTAL BUDGET REQUESTED], Table_SU[FUND (ADMIN USE)], $A23, Table_SU[BUDGET APPROVED BY DIRECTOR? (ADMIN USE)], "Approved", Table_SU[BUDGET ACCOUNT NUMBER (AUTOFILLS)], D$18)
)</f>
        <v>0</v>
      </c>
      <c r="E23" s="32">
        <f>SUM(
    SUMIFS(Table_ASU[TOTAL BUDGET REQUESTED], Table_ASU[FUND (ADMIN USE)], $A23, Table_ASU[BUDGET APPROVED BY DIRECTOR? (ADMIN USE)], "Approved", Table_ASU[BUDGET ACCOUNT Number (AUTOFILLS)], E$18),
    SUMIFS(Table_ASU2[TOTAL BUDGET REQUESTED], Table_ASU2[FUND (ADMIN USE)], $A23, Table_ASU2[BUDGET APPROVED BY DIRECTOR? (ADMIN USE)], "Approved", Table_ASU2[BUDGET ACCOUNT NUMBER (AUTOFILLS)], E$18),
    SUMIFS(Table_AU[TOTAL BUDGET REQUESTED], Table_AU[FUND (ADMIN USE)], $A23, Table_AU[BUDGET APPROVED BY DIRECTOR? (ADMIN USE)], "Approved", Table_AU[BUDGET ACCOUNT NUMBER (AUTOFILLS)], E$18),
    SUMIFS(Table_CMU[TOTAL BUDGET REQUESTED], Table_CMU[FUND (ADMIN USE)], $A23, Table_CMU[BUDGET APPROVED BY DIRECTOR? (ADMIN USE)], "Approved", Table_CMU[BUDGET ACCOUNT NUMBER (AUTOFILLS)], E$18),
    SUMIFS(Table_E[TOTAL BUDGET REQUESTED], Table_E[FUND (ADMIN USE)], $A23, Table_E[BUDGET APPROVED BY DIRECTOR? (ADMIN USE)], "Approved", Table_E[BUDGET ACCOUNT NUMBER (AUTOFILLS)], E$18),
    SUMIFS(Table_HCA[TOTAL BUDGET REQUESTED], Table_HCA[FUND (ADMIN USE)], $A23, Table_HCA[BUDGET APPROVED BY DIRECTOR? (ADMIN USE)], "Approved", Table_HCA[BUDGET ACCOUNT Number (AUTOFILLS)], E$18),
    SUMIFS(Table_PT[TOTAL BUDGET REQUESTED], Table_PT[FUND (ADMIN USE)], $A23, Table_PT[BUDGET APPROVED BY DIRECTOR? (ADMIN USE)], "Approved", Table_PT[BUDGET ACCOUNT NUMBER (AUTOFILLS)], E$18),
    SUMIFS(Table_REU[TOTAL BUDGET REQUESTED], Table_REU[FUND (ADMIN USE)], $A23, Table_REU[BUDGET APPROVED BY DIRECTOR? (ADMIN USE)], "Approved", Table_REU[BUDGET ACCOUNT NUMBER (AUTOFILLS)], E$18),
    SUMIFS(Table_SU[TOTAL BUDGET REQUESTED], Table_SU[FUND (ADMIN USE)], $A23, Table_SU[BUDGET APPROVED BY DIRECTOR? (ADMIN USE)], "Approved", Table_SU[BUDGET ACCOUNT NUMBER (AUTOFILLS)], E$18)
)</f>
        <v>0</v>
      </c>
      <c r="F23" s="32">
        <f>SUM(
    SUMIFS(Table_ASU[TOTAL BUDGET REQUESTED], Table_ASU[FUND (ADMIN USE)], $A23, Table_ASU[BUDGET APPROVED BY DIRECTOR? (ADMIN USE)], "Approved", Table_ASU[BUDGET ACCOUNT Number (AUTOFILLS)], F$18),
    SUMIFS(Table_ASU2[TOTAL BUDGET REQUESTED], Table_ASU2[FUND (ADMIN USE)], $A23, Table_ASU2[BUDGET APPROVED BY DIRECTOR? (ADMIN USE)], "Approved", Table_ASU2[BUDGET ACCOUNT NUMBER (AUTOFILLS)], F$18),
    SUMIFS(Table_AU[TOTAL BUDGET REQUESTED], Table_AU[FUND (ADMIN USE)], $A23, Table_AU[BUDGET APPROVED BY DIRECTOR? (ADMIN USE)], "Approved", Table_AU[BUDGET ACCOUNT NUMBER (AUTOFILLS)], F$18),
    SUMIFS(Table_CMU[TOTAL BUDGET REQUESTED], Table_CMU[FUND (ADMIN USE)], $A23, Table_CMU[BUDGET APPROVED BY DIRECTOR? (ADMIN USE)], "Approved", Table_CMU[BUDGET ACCOUNT NUMBER (AUTOFILLS)], F$18),
    SUMIFS(Table_E[TOTAL BUDGET REQUESTED], Table_E[FUND (ADMIN USE)], $A23, Table_E[BUDGET APPROVED BY DIRECTOR? (ADMIN USE)], "Approved", Table_E[BUDGET ACCOUNT NUMBER (AUTOFILLS)], F$18),
    SUMIFS(Table_HCA[TOTAL BUDGET REQUESTED], Table_HCA[FUND (ADMIN USE)], $A23, Table_HCA[BUDGET APPROVED BY DIRECTOR? (ADMIN USE)], "Approved", Table_HCA[BUDGET ACCOUNT Number (AUTOFILLS)], F$18),
    SUMIFS(Table_PT[TOTAL BUDGET REQUESTED], Table_PT[FUND (ADMIN USE)], $A23, Table_PT[BUDGET APPROVED BY DIRECTOR? (ADMIN USE)], "Approved", Table_PT[BUDGET ACCOUNT NUMBER (AUTOFILLS)], F$18),
    SUMIFS(Table_REU[TOTAL BUDGET REQUESTED], Table_REU[FUND (ADMIN USE)], $A23, Table_REU[BUDGET APPROVED BY DIRECTOR? (ADMIN USE)], "Approved", Table_REU[BUDGET ACCOUNT NUMBER (AUTOFILLS)], F$18),
    SUMIFS(Table_SU[TOTAL BUDGET REQUESTED], Table_SU[FUND (ADMIN USE)], $A23, Table_SU[BUDGET APPROVED BY DIRECTOR? (ADMIN USE)], "Approved", Table_SU[BUDGET ACCOUNT NUMBER (AUTOFILLS)], F$18)
)</f>
        <v>0</v>
      </c>
      <c r="G23" s="32">
        <f>SUM(
    SUMIFS(Table_ASU[TOTAL BUDGET REQUESTED], Table_ASU[FUND (ADMIN USE)], $A23, Table_ASU[BUDGET APPROVED BY DIRECTOR? (ADMIN USE)], "Approved", Table_ASU[BUDGET ACCOUNT Number (AUTOFILLS)], G$18),
    SUMIFS(Table_ASU2[TOTAL BUDGET REQUESTED], Table_ASU2[FUND (ADMIN USE)], $A23, Table_ASU2[BUDGET APPROVED BY DIRECTOR? (ADMIN USE)], "Approved", Table_ASU2[BUDGET ACCOUNT NUMBER (AUTOFILLS)], G$18),
    SUMIFS(Table_AU[TOTAL BUDGET REQUESTED], Table_AU[FUND (ADMIN USE)], $A23, Table_AU[BUDGET APPROVED BY DIRECTOR? (ADMIN USE)], "Approved", Table_AU[BUDGET ACCOUNT NUMBER (AUTOFILLS)], G$18),
    SUMIFS(Table_CMU[TOTAL BUDGET REQUESTED], Table_CMU[FUND (ADMIN USE)], $A23, Table_CMU[BUDGET APPROVED BY DIRECTOR? (ADMIN USE)], "Approved", Table_CMU[BUDGET ACCOUNT NUMBER (AUTOFILLS)], G$18),
    SUMIFS(Table_E[TOTAL BUDGET REQUESTED], Table_E[FUND (ADMIN USE)], $A23, Table_E[BUDGET APPROVED BY DIRECTOR? (ADMIN USE)], "Approved", Table_E[BUDGET ACCOUNT NUMBER (AUTOFILLS)], G$18),
    SUMIFS(Table_HCA[TOTAL BUDGET REQUESTED], Table_HCA[FUND (ADMIN USE)], $A23, Table_HCA[BUDGET APPROVED BY DIRECTOR? (ADMIN USE)], "Approved", Table_HCA[BUDGET ACCOUNT Number (AUTOFILLS)], G$18),
    SUMIFS(Table_PT[TOTAL BUDGET REQUESTED], Table_PT[FUND (ADMIN USE)], $A23, Table_PT[BUDGET APPROVED BY DIRECTOR? (ADMIN USE)], "Approved", Table_PT[BUDGET ACCOUNT NUMBER (AUTOFILLS)], G$18),
    SUMIFS(Table_REU[TOTAL BUDGET REQUESTED], Table_REU[FUND (ADMIN USE)], $A23, Table_REU[BUDGET APPROVED BY DIRECTOR? (ADMIN USE)], "Approved", Table_REU[BUDGET ACCOUNT NUMBER (AUTOFILLS)], G$18),
    SUMIFS(Table_SU[TOTAL BUDGET REQUESTED], Table_SU[FUND (ADMIN USE)], $A23, Table_SU[BUDGET APPROVED BY DIRECTOR? (ADMIN USE)], "Approved", Table_SU[BUDGET ACCOUNT NUMBER (AUTOFILLS)], G$18)
)</f>
        <v>0</v>
      </c>
      <c r="H23" s="32">
        <f>SUM(
    SUMIFS(Table_ASU[TOTAL BUDGET REQUESTED], Table_ASU[FUND (ADMIN USE)], $A23, Table_ASU[BUDGET APPROVED BY DIRECTOR? (ADMIN USE)], "Approved", Table_ASU[BUDGET ACCOUNT Number (AUTOFILLS)], H$18),
    SUMIFS(Table_ASU2[TOTAL BUDGET REQUESTED], Table_ASU2[FUND (ADMIN USE)], $A23, Table_ASU2[BUDGET APPROVED BY DIRECTOR? (ADMIN USE)], "Approved", Table_ASU2[BUDGET ACCOUNT NUMBER (AUTOFILLS)], H$18),
    SUMIFS(Table_AU[TOTAL BUDGET REQUESTED], Table_AU[FUND (ADMIN USE)], $A23, Table_AU[BUDGET APPROVED BY DIRECTOR? (ADMIN USE)], "Approved", Table_AU[BUDGET ACCOUNT NUMBER (AUTOFILLS)], H$18),
    SUMIFS(Table_CMU[TOTAL BUDGET REQUESTED], Table_CMU[FUND (ADMIN USE)], $A23, Table_CMU[BUDGET APPROVED BY DIRECTOR? (ADMIN USE)], "Approved", Table_CMU[BUDGET ACCOUNT NUMBER (AUTOFILLS)], H$18),
    SUMIFS(Table_E[TOTAL BUDGET REQUESTED], Table_E[FUND (ADMIN USE)], $A23, Table_E[BUDGET APPROVED BY DIRECTOR? (ADMIN USE)], "Approved", Table_E[BUDGET ACCOUNT NUMBER (AUTOFILLS)], H$18),
    SUMIFS(Table_HCA[TOTAL BUDGET REQUESTED], Table_HCA[FUND (ADMIN USE)], $A23, Table_HCA[BUDGET APPROVED BY DIRECTOR? (ADMIN USE)], "Approved", Table_HCA[BUDGET ACCOUNT Number (AUTOFILLS)], H$18),
    SUMIFS(Table_PT[TOTAL BUDGET REQUESTED], Table_PT[FUND (ADMIN USE)], $A23, Table_PT[BUDGET APPROVED BY DIRECTOR? (ADMIN USE)], "Approved", Table_PT[BUDGET ACCOUNT NUMBER (AUTOFILLS)], H$18),
    SUMIFS(Table_REU[TOTAL BUDGET REQUESTED], Table_REU[FUND (ADMIN USE)], $A23, Table_REU[BUDGET APPROVED BY DIRECTOR? (ADMIN USE)], "Approved", Table_REU[BUDGET ACCOUNT NUMBER (AUTOFILLS)], H$18),
    SUMIFS(Table_SU[TOTAL BUDGET REQUESTED], Table_SU[FUND (ADMIN USE)], $A23, Table_SU[BUDGET APPROVED BY DIRECTOR? (ADMIN USE)], "Approved", Table_SU[BUDGET ACCOUNT NUMBER (AUTOFILLS)], H$18)
)</f>
        <v>0</v>
      </c>
      <c r="I23" s="32">
        <f>SUM(
    SUMIFS(Table_ASU[TOTAL BUDGET REQUESTED], Table_ASU[FUND (ADMIN USE)], $A23, Table_ASU[BUDGET APPROVED BY DIRECTOR? (ADMIN USE)], "Approved", Table_ASU[BUDGET ACCOUNT Number (AUTOFILLS)], I$18),
    SUMIFS(Table_ASU2[TOTAL BUDGET REQUESTED], Table_ASU2[FUND (ADMIN USE)], $A23, Table_ASU2[BUDGET APPROVED BY DIRECTOR? (ADMIN USE)], "Approved", Table_ASU2[BUDGET ACCOUNT NUMBER (AUTOFILLS)], I$18),
    SUMIFS(Table_AU[TOTAL BUDGET REQUESTED], Table_AU[FUND (ADMIN USE)], $A23, Table_AU[BUDGET APPROVED BY DIRECTOR? (ADMIN USE)], "Approved", Table_AU[BUDGET ACCOUNT NUMBER (AUTOFILLS)], I$18),
    SUMIFS(Table_CMU[TOTAL BUDGET REQUESTED], Table_CMU[FUND (ADMIN USE)], $A23, Table_CMU[BUDGET APPROVED BY DIRECTOR? (ADMIN USE)], "Approved", Table_CMU[BUDGET ACCOUNT NUMBER (AUTOFILLS)], I$18),
    SUMIFS(Table_E[TOTAL BUDGET REQUESTED], Table_E[FUND (ADMIN USE)], $A23, Table_E[BUDGET APPROVED BY DIRECTOR? (ADMIN USE)], "Approved", Table_E[BUDGET ACCOUNT NUMBER (AUTOFILLS)], I$18),
    SUMIFS(Table_HCA[TOTAL BUDGET REQUESTED], Table_HCA[FUND (ADMIN USE)], $A23, Table_HCA[BUDGET APPROVED BY DIRECTOR? (ADMIN USE)], "Approved", Table_HCA[BUDGET ACCOUNT Number (AUTOFILLS)], I$18),
    SUMIFS(Table_PT[TOTAL BUDGET REQUESTED], Table_PT[FUND (ADMIN USE)], $A23, Table_PT[BUDGET APPROVED BY DIRECTOR? (ADMIN USE)], "Approved", Table_PT[BUDGET ACCOUNT NUMBER (AUTOFILLS)], I$18),
    SUMIFS(Table_REU[TOTAL BUDGET REQUESTED], Table_REU[FUND (ADMIN USE)], $A23, Table_REU[BUDGET APPROVED BY DIRECTOR? (ADMIN USE)], "Approved", Table_REU[BUDGET ACCOUNT NUMBER (AUTOFILLS)], I$18),
    SUMIFS(Table_SU[TOTAL BUDGET REQUESTED], Table_SU[FUND (ADMIN USE)], $A23, Table_SU[BUDGET APPROVED BY DIRECTOR? (ADMIN USE)], "Approved", Table_SU[BUDGET ACCOUNT NUMBER (AUTOFILLS)], I$18)
)</f>
        <v>0</v>
      </c>
      <c r="J23" s="32">
        <f>SUM(
    SUMIFS(Table_ASU[TOTAL BUDGET REQUESTED], Table_ASU[FUND (ADMIN USE)], $A23, Table_ASU[BUDGET APPROVED BY DIRECTOR? (ADMIN USE)], "Approved", Table_ASU[BUDGET ACCOUNT Number (AUTOFILLS)], J$18),
    SUMIFS(Table_ASU2[TOTAL BUDGET REQUESTED], Table_ASU2[FUND (ADMIN USE)], $A23, Table_ASU2[BUDGET APPROVED BY DIRECTOR? (ADMIN USE)], "Approved", Table_ASU2[BUDGET ACCOUNT NUMBER (AUTOFILLS)], J$18),
    SUMIFS(Table_AU[TOTAL BUDGET REQUESTED], Table_AU[FUND (ADMIN USE)], $A23, Table_AU[BUDGET APPROVED BY DIRECTOR? (ADMIN USE)], "Approved", Table_AU[BUDGET ACCOUNT NUMBER (AUTOFILLS)], J$18),
    SUMIFS(Table_CMU[TOTAL BUDGET REQUESTED], Table_CMU[FUND (ADMIN USE)], $A23, Table_CMU[BUDGET APPROVED BY DIRECTOR? (ADMIN USE)], "Approved", Table_CMU[BUDGET ACCOUNT NUMBER (AUTOFILLS)], J$18),
    SUMIFS(Table_E[TOTAL BUDGET REQUESTED], Table_E[FUND (ADMIN USE)], $A23, Table_E[BUDGET APPROVED BY DIRECTOR? (ADMIN USE)], "Approved", Table_E[BUDGET ACCOUNT NUMBER (AUTOFILLS)], J$18),
    SUMIFS(Table_HCA[TOTAL BUDGET REQUESTED], Table_HCA[FUND (ADMIN USE)], $A23, Table_HCA[BUDGET APPROVED BY DIRECTOR? (ADMIN USE)], "Approved", Table_HCA[BUDGET ACCOUNT Number (AUTOFILLS)], J$18),
    SUMIFS(Table_PT[TOTAL BUDGET REQUESTED], Table_PT[FUND (ADMIN USE)], $A23, Table_PT[BUDGET APPROVED BY DIRECTOR? (ADMIN USE)], "Approved", Table_PT[BUDGET ACCOUNT NUMBER (AUTOFILLS)], J$18),
    SUMIFS(Table_REU[TOTAL BUDGET REQUESTED], Table_REU[FUND (ADMIN USE)], $A23, Table_REU[BUDGET APPROVED BY DIRECTOR? (ADMIN USE)], "Approved", Table_REU[BUDGET ACCOUNT NUMBER (AUTOFILLS)], J$18),
    SUMIFS(Table_SU[TOTAL BUDGET REQUESTED], Table_SU[FUND (ADMIN USE)], $A23, Table_SU[BUDGET APPROVED BY DIRECTOR? (ADMIN USE)], "Approved", Table_SU[BUDGET ACCOUNT NUMBER (AUTOFILLS)], J$18)
)</f>
        <v>0</v>
      </c>
      <c r="K23" s="14">
        <f>SUM(Table_Totals25[[#This Row],[88100]:[88800]])</f>
        <v>0</v>
      </c>
    </row>
    <row r="24" spans="1:11" ht="60" customHeight="1">
      <c r="A24" s="29" t="s">
        <v>128</v>
      </c>
      <c r="B24" s="32">
        <f>SUM(
    SUMIFS(Table_ASU[TOTAL BUDGET REQUESTED], Table_ASU[FUND (ADMIN USE)], $A24, Table_ASU[BUDGET APPROVED BY DIRECTOR? (ADMIN USE)], "Approved", Table_ASU[BUDGET ACCOUNT Number (AUTOFILLS)], B$18),
    SUMIFS(Table_ASU2[TOTAL BUDGET REQUESTED], Table_ASU2[FUND (ADMIN USE)], $A24, Table_ASU2[BUDGET APPROVED BY DIRECTOR? (ADMIN USE)], "Approved", Table_ASU2[BUDGET ACCOUNT NUMBER (AUTOFILLS)], B$18),
    SUMIFS(Table_AU[TOTAL BUDGET REQUESTED], Table_AU[FUND (ADMIN USE)], $A24, Table_AU[BUDGET APPROVED BY DIRECTOR? (ADMIN USE)], "Approved", Table_AU[BUDGET ACCOUNT NUMBER (AUTOFILLS)], B$18),
    SUMIFS(Table_CMU[TOTAL BUDGET REQUESTED], Table_CMU[FUND (ADMIN USE)], $A24, Table_CMU[BUDGET APPROVED BY DIRECTOR? (ADMIN USE)], "Approved", Table_CMU[BUDGET ACCOUNT NUMBER (AUTOFILLS)], B$18),
    SUMIFS(Table_E[TOTAL BUDGET REQUESTED], Table_E[FUND (ADMIN USE)], $A24, Table_E[BUDGET APPROVED BY DIRECTOR? (ADMIN USE)], "Approved", Table_E[BUDGET ACCOUNT NUMBER (AUTOFILLS)], B$18),
    SUMIFS(Table_HCA[TOTAL BUDGET REQUESTED], Table_HCA[FUND (ADMIN USE)], $A24, Table_HCA[BUDGET APPROVED BY DIRECTOR? (ADMIN USE)], "Approved", Table_HCA[BUDGET ACCOUNT Number (AUTOFILLS)], B$18),
    SUMIFS(Table_PT[TOTAL BUDGET REQUESTED], Table_PT[FUND (ADMIN USE)], $A24, Table_PT[BUDGET APPROVED BY DIRECTOR? (ADMIN USE)], "Approved", Table_PT[BUDGET ACCOUNT NUMBER (AUTOFILLS)], B$18),
    SUMIFS(Table_REU[TOTAL BUDGET REQUESTED], Table_REU[FUND (ADMIN USE)], $A24, Table_REU[BUDGET APPROVED BY DIRECTOR? (ADMIN USE)], "Approved", Table_REU[BUDGET ACCOUNT NUMBER (AUTOFILLS)], B$18),
    SUMIFS(Table_SU[TOTAL BUDGET REQUESTED], Table_SU[FUND (ADMIN USE)], $A24, Table_SU[BUDGET APPROVED BY DIRECTOR? (ADMIN USE)], "Approved", Table_SU[BUDGET ACCOUNT NUMBER (AUTOFILLS)], B$18)
)</f>
        <v>0</v>
      </c>
      <c r="C24" s="32">
        <f>SUM(
    SUMIFS(Table_ASU[TOTAL BUDGET REQUESTED], Table_ASU[FUND (ADMIN USE)], $A24, Table_ASU[BUDGET APPROVED BY DIRECTOR? (ADMIN USE)], "Approved", Table_ASU[BUDGET ACCOUNT Number (AUTOFILLS)], C$18),
    SUMIFS(Table_ASU2[TOTAL BUDGET REQUESTED], Table_ASU2[FUND (ADMIN USE)], $A24, Table_ASU2[BUDGET APPROVED BY DIRECTOR? (ADMIN USE)], "Approved", Table_ASU2[BUDGET ACCOUNT NUMBER (AUTOFILLS)], C$18),
    SUMIFS(Table_AU[TOTAL BUDGET REQUESTED], Table_AU[FUND (ADMIN USE)], $A24, Table_AU[BUDGET APPROVED BY DIRECTOR? (ADMIN USE)], "Approved", Table_AU[BUDGET ACCOUNT NUMBER (AUTOFILLS)], C$18),
    SUMIFS(Table_CMU[TOTAL BUDGET REQUESTED], Table_CMU[FUND (ADMIN USE)], $A24, Table_CMU[BUDGET APPROVED BY DIRECTOR? (ADMIN USE)], "Approved", Table_CMU[BUDGET ACCOUNT NUMBER (AUTOFILLS)], C$18),
    SUMIFS(Table_E[TOTAL BUDGET REQUESTED], Table_E[FUND (ADMIN USE)], $A24, Table_E[BUDGET APPROVED BY DIRECTOR? (ADMIN USE)], "Approved", Table_E[BUDGET ACCOUNT NUMBER (AUTOFILLS)], C$18),
    SUMIFS(Table_HCA[TOTAL BUDGET REQUESTED], Table_HCA[FUND (ADMIN USE)], $A24, Table_HCA[BUDGET APPROVED BY DIRECTOR? (ADMIN USE)], "Approved", Table_HCA[BUDGET ACCOUNT Number (AUTOFILLS)], C$18),
    SUMIFS(Table_PT[TOTAL BUDGET REQUESTED], Table_PT[FUND (ADMIN USE)], $A24, Table_PT[BUDGET APPROVED BY DIRECTOR? (ADMIN USE)], "Approved", Table_PT[BUDGET ACCOUNT NUMBER (AUTOFILLS)], C$18),
    SUMIFS(Table_REU[TOTAL BUDGET REQUESTED], Table_REU[FUND (ADMIN USE)], $A24, Table_REU[BUDGET APPROVED BY DIRECTOR? (ADMIN USE)], "Approved", Table_REU[BUDGET ACCOUNT NUMBER (AUTOFILLS)], C$18),
    SUMIFS(Table_SU[TOTAL BUDGET REQUESTED], Table_SU[FUND (ADMIN USE)], $A24, Table_SU[BUDGET APPROVED BY DIRECTOR? (ADMIN USE)], "Approved", Table_SU[BUDGET ACCOUNT NUMBER (AUTOFILLS)], C$18)
)</f>
        <v>0</v>
      </c>
      <c r="D24" s="32">
        <f>SUM(
    SUMIFS(Table_ASU[TOTAL BUDGET REQUESTED], Table_ASU[FUND (ADMIN USE)], $A24, Table_ASU[BUDGET APPROVED BY DIRECTOR? (ADMIN USE)], "Approved", Table_ASU[BUDGET ACCOUNT Number (AUTOFILLS)], D$18),
    SUMIFS(Table_ASU2[TOTAL BUDGET REQUESTED], Table_ASU2[FUND (ADMIN USE)], $A24, Table_ASU2[BUDGET APPROVED BY DIRECTOR? (ADMIN USE)], "Approved", Table_ASU2[BUDGET ACCOUNT NUMBER (AUTOFILLS)], D$18),
    SUMIFS(Table_AU[TOTAL BUDGET REQUESTED], Table_AU[FUND (ADMIN USE)], $A24, Table_AU[BUDGET APPROVED BY DIRECTOR? (ADMIN USE)], "Approved", Table_AU[BUDGET ACCOUNT NUMBER (AUTOFILLS)], D$18),
    SUMIFS(Table_CMU[TOTAL BUDGET REQUESTED], Table_CMU[FUND (ADMIN USE)], $A24, Table_CMU[BUDGET APPROVED BY DIRECTOR? (ADMIN USE)], "Approved", Table_CMU[BUDGET ACCOUNT NUMBER (AUTOFILLS)], D$18),
    SUMIFS(Table_E[TOTAL BUDGET REQUESTED], Table_E[FUND (ADMIN USE)], $A24, Table_E[BUDGET APPROVED BY DIRECTOR? (ADMIN USE)], "Approved", Table_E[BUDGET ACCOUNT NUMBER (AUTOFILLS)], D$18),
    SUMIFS(Table_HCA[TOTAL BUDGET REQUESTED], Table_HCA[FUND (ADMIN USE)], $A24, Table_HCA[BUDGET APPROVED BY DIRECTOR? (ADMIN USE)], "Approved", Table_HCA[BUDGET ACCOUNT Number (AUTOFILLS)], D$18),
    SUMIFS(Table_PT[TOTAL BUDGET REQUESTED], Table_PT[FUND (ADMIN USE)], $A24, Table_PT[BUDGET APPROVED BY DIRECTOR? (ADMIN USE)], "Approved", Table_PT[BUDGET ACCOUNT NUMBER (AUTOFILLS)], D$18),
    SUMIFS(Table_REU[TOTAL BUDGET REQUESTED], Table_REU[FUND (ADMIN USE)], $A24, Table_REU[BUDGET APPROVED BY DIRECTOR? (ADMIN USE)], "Approved", Table_REU[BUDGET ACCOUNT NUMBER (AUTOFILLS)], D$18),
    SUMIFS(Table_SU[TOTAL BUDGET REQUESTED], Table_SU[FUND (ADMIN USE)], $A24, Table_SU[BUDGET APPROVED BY DIRECTOR? (ADMIN USE)], "Approved", Table_SU[BUDGET ACCOUNT NUMBER (AUTOFILLS)], D$18)
)</f>
        <v>0</v>
      </c>
      <c r="E24" s="32">
        <f>SUM(
    SUMIFS(Table_ASU[TOTAL BUDGET REQUESTED], Table_ASU[FUND (ADMIN USE)], $A24, Table_ASU[BUDGET APPROVED BY DIRECTOR? (ADMIN USE)], "Approved", Table_ASU[BUDGET ACCOUNT Number (AUTOFILLS)], E$18),
    SUMIFS(Table_ASU2[TOTAL BUDGET REQUESTED], Table_ASU2[FUND (ADMIN USE)], $A24, Table_ASU2[BUDGET APPROVED BY DIRECTOR? (ADMIN USE)], "Approved", Table_ASU2[BUDGET ACCOUNT NUMBER (AUTOFILLS)], E$18),
    SUMIFS(Table_AU[TOTAL BUDGET REQUESTED], Table_AU[FUND (ADMIN USE)], $A24, Table_AU[BUDGET APPROVED BY DIRECTOR? (ADMIN USE)], "Approved", Table_AU[BUDGET ACCOUNT NUMBER (AUTOFILLS)], E$18),
    SUMIFS(Table_CMU[TOTAL BUDGET REQUESTED], Table_CMU[FUND (ADMIN USE)], $A24, Table_CMU[BUDGET APPROVED BY DIRECTOR? (ADMIN USE)], "Approved", Table_CMU[BUDGET ACCOUNT NUMBER (AUTOFILLS)], E$18),
    SUMIFS(Table_E[TOTAL BUDGET REQUESTED], Table_E[FUND (ADMIN USE)], $A24, Table_E[BUDGET APPROVED BY DIRECTOR? (ADMIN USE)], "Approved", Table_E[BUDGET ACCOUNT NUMBER (AUTOFILLS)], E$18),
    SUMIFS(Table_HCA[TOTAL BUDGET REQUESTED], Table_HCA[FUND (ADMIN USE)], $A24, Table_HCA[BUDGET APPROVED BY DIRECTOR? (ADMIN USE)], "Approved", Table_HCA[BUDGET ACCOUNT Number (AUTOFILLS)], E$18),
    SUMIFS(Table_PT[TOTAL BUDGET REQUESTED], Table_PT[FUND (ADMIN USE)], $A24, Table_PT[BUDGET APPROVED BY DIRECTOR? (ADMIN USE)], "Approved", Table_PT[BUDGET ACCOUNT NUMBER (AUTOFILLS)], E$18),
    SUMIFS(Table_REU[TOTAL BUDGET REQUESTED], Table_REU[FUND (ADMIN USE)], $A24, Table_REU[BUDGET APPROVED BY DIRECTOR? (ADMIN USE)], "Approved", Table_REU[BUDGET ACCOUNT NUMBER (AUTOFILLS)], E$18),
    SUMIFS(Table_SU[TOTAL BUDGET REQUESTED], Table_SU[FUND (ADMIN USE)], $A24, Table_SU[BUDGET APPROVED BY DIRECTOR? (ADMIN USE)], "Approved", Table_SU[BUDGET ACCOUNT NUMBER (AUTOFILLS)], E$18)
)</f>
        <v>0</v>
      </c>
      <c r="F24" s="32">
        <f>SUM(
    SUMIFS(Table_ASU[TOTAL BUDGET REQUESTED], Table_ASU[FUND (ADMIN USE)], $A24, Table_ASU[BUDGET APPROVED BY DIRECTOR? (ADMIN USE)], "Approved", Table_ASU[BUDGET ACCOUNT Number (AUTOFILLS)], F$18),
    SUMIFS(Table_ASU2[TOTAL BUDGET REQUESTED], Table_ASU2[FUND (ADMIN USE)], $A24, Table_ASU2[BUDGET APPROVED BY DIRECTOR? (ADMIN USE)], "Approved", Table_ASU2[BUDGET ACCOUNT NUMBER (AUTOFILLS)], F$18),
    SUMIFS(Table_AU[TOTAL BUDGET REQUESTED], Table_AU[FUND (ADMIN USE)], $A24, Table_AU[BUDGET APPROVED BY DIRECTOR? (ADMIN USE)], "Approved", Table_AU[BUDGET ACCOUNT NUMBER (AUTOFILLS)], F$18),
    SUMIFS(Table_CMU[TOTAL BUDGET REQUESTED], Table_CMU[FUND (ADMIN USE)], $A24, Table_CMU[BUDGET APPROVED BY DIRECTOR? (ADMIN USE)], "Approved", Table_CMU[BUDGET ACCOUNT NUMBER (AUTOFILLS)], F$18),
    SUMIFS(Table_E[TOTAL BUDGET REQUESTED], Table_E[FUND (ADMIN USE)], $A24, Table_E[BUDGET APPROVED BY DIRECTOR? (ADMIN USE)], "Approved", Table_E[BUDGET ACCOUNT NUMBER (AUTOFILLS)], F$18),
    SUMIFS(Table_HCA[TOTAL BUDGET REQUESTED], Table_HCA[FUND (ADMIN USE)], $A24, Table_HCA[BUDGET APPROVED BY DIRECTOR? (ADMIN USE)], "Approved", Table_HCA[BUDGET ACCOUNT Number (AUTOFILLS)], F$18),
    SUMIFS(Table_PT[TOTAL BUDGET REQUESTED], Table_PT[FUND (ADMIN USE)], $A24, Table_PT[BUDGET APPROVED BY DIRECTOR? (ADMIN USE)], "Approved", Table_PT[BUDGET ACCOUNT NUMBER (AUTOFILLS)], F$18),
    SUMIFS(Table_REU[TOTAL BUDGET REQUESTED], Table_REU[FUND (ADMIN USE)], $A24, Table_REU[BUDGET APPROVED BY DIRECTOR? (ADMIN USE)], "Approved", Table_REU[BUDGET ACCOUNT NUMBER (AUTOFILLS)], F$18),
    SUMIFS(Table_SU[TOTAL BUDGET REQUESTED], Table_SU[FUND (ADMIN USE)], $A24, Table_SU[BUDGET APPROVED BY DIRECTOR? (ADMIN USE)], "Approved", Table_SU[BUDGET ACCOUNT NUMBER (AUTOFILLS)], F$18)
)</f>
        <v>0</v>
      </c>
      <c r="G24" s="32">
        <f>SUM(
    SUMIFS(Table_ASU[TOTAL BUDGET REQUESTED], Table_ASU[FUND (ADMIN USE)], $A24, Table_ASU[BUDGET APPROVED BY DIRECTOR? (ADMIN USE)], "Approved", Table_ASU[BUDGET ACCOUNT Number (AUTOFILLS)], G$18),
    SUMIFS(Table_ASU2[TOTAL BUDGET REQUESTED], Table_ASU2[FUND (ADMIN USE)], $A24, Table_ASU2[BUDGET APPROVED BY DIRECTOR? (ADMIN USE)], "Approved", Table_ASU2[BUDGET ACCOUNT NUMBER (AUTOFILLS)], G$18),
    SUMIFS(Table_AU[TOTAL BUDGET REQUESTED], Table_AU[FUND (ADMIN USE)], $A24, Table_AU[BUDGET APPROVED BY DIRECTOR? (ADMIN USE)], "Approved", Table_AU[BUDGET ACCOUNT NUMBER (AUTOFILLS)], G$18),
    SUMIFS(Table_CMU[TOTAL BUDGET REQUESTED], Table_CMU[FUND (ADMIN USE)], $A24, Table_CMU[BUDGET APPROVED BY DIRECTOR? (ADMIN USE)], "Approved", Table_CMU[BUDGET ACCOUNT NUMBER (AUTOFILLS)], G$18),
    SUMIFS(Table_E[TOTAL BUDGET REQUESTED], Table_E[FUND (ADMIN USE)], $A24, Table_E[BUDGET APPROVED BY DIRECTOR? (ADMIN USE)], "Approved", Table_E[BUDGET ACCOUNT NUMBER (AUTOFILLS)], G$18),
    SUMIFS(Table_HCA[TOTAL BUDGET REQUESTED], Table_HCA[FUND (ADMIN USE)], $A24, Table_HCA[BUDGET APPROVED BY DIRECTOR? (ADMIN USE)], "Approved", Table_HCA[BUDGET ACCOUNT Number (AUTOFILLS)], G$18),
    SUMIFS(Table_PT[TOTAL BUDGET REQUESTED], Table_PT[FUND (ADMIN USE)], $A24, Table_PT[BUDGET APPROVED BY DIRECTOR? (ADMIN USE)], "Approved", Table_PT[BUDGET ACCOUNT NUMBER (AUTOFILLS)], G$18),
    SUMIFS(Table_REU[TOTAL BUDGET REQUESTED], Table_REU[FUND (ADMIN USE)], $A24, Table_REU[BUDGET APPROVED BY DIRECTOR? (ADMIN USE)], "Approved", Table_REU[BUDGET ACCOUNT NUMBER (AUTOFILLS)], G$18),
    SUMIFS(Table_SU[TOTAL BUDGET REQUESTED], Table_SU[FUND (ADMIN USE)], $A24, Table_SU[BUDGET APPROVED BY DIRECTOR? (ADMIN USE)], "Approved", Table_SU[BUDGET ACCOUNT NUMBER (AUTOFILLS)], G$18)
)</f>
        <v>0</v>
      </c>
      <c r="H24" s="32">
        <f>SUM(
    SUMIFS(Table_ASU[TOTAL BUDGET REQUESTED], Table_ASU[FUND (ADMIN USE)], $A24, Table_ASU[BUDGET APPROVED BY DIRECTOR? (ADMIN USE)], "Approved", Table_ASU[BUDGET ACCOUNT Number (AUTOFILLS)], H$18),
    SUMIFS(Table_ASU2[TOTAL BUDGET REQUESTED], Table_ASU2[FUND (ADMIN USE)], $A24, Table_ASU2[BUDGET APPROVED BY DIRECTOR? (ADMIN USE)], "Approved", Table_ASU2[BUDGET ACCOUNT NUMBER (AUTOFILLS)], H$18),
    SUMIFS(Table_AU[TOTAL BUDGET REQUESTED], Table_AU[FUND (ADMIN USE)], $A24, Table_AU[BUDGET APPROVED BY DIRECTOR? (ADMIN USE)], "Approved", Table_AU[BUDGET ACCOUNT NUMBER (AUTOFILLS)], H$18),
    SUMIFS(Table_CMU[TOTAL BUDGET REQUESTED], Table_CMU[FUND (ADMIN USE)], $A24, Table_CMU[BUDGET APPROVED BY DIRECTOR? (ADMIN USE)], "Approved", Table_CMU[BUDGET ACCOUNT NUMBER (AUTOFILLS)], H$18),
    SUMIFS(Table_E[TOTAL BUDGET REQUESTED], Table_E[FUND (ADMIN USE)], $A24, Table_E[BUDGET APPROVED BY DIRECTOR? (ADMIN USE)], "Approved", Table_E[BUDGET ACCOUNT NUMBER (AUTOFILLS)], H$18),
    SUMIFS(Table_HCA[TOTAL BUDGET REQUESTED], Table_HCA[FUND (ADMIN USE)], $A24, Table_HCA[BUDGET APPROVED BY DIRECTOR? (ADMIN USE)], "Approved", Table_HCA[BUDGET ACCOUNT Number (AUTOFILLS)], H$18),
    SUMIFS(Table_PT[TOTAL BUDGET REQUESTED], Table_PT[FUND (ADMIN USE)], $A24, Table_PT[BUDGET APPROVED BY DIRECTOR? (ADMIN USE)], "Approved", Table_PT[BUDGET ACCOUNT NUMBER (AUTOFILLS)], H$18),
    SUMIFS(Table_REU[TOTAL BUDGET REQUESTED], Table_REU[FUND (ADMIN USE)], $A24, Table_REU[BUDGET APPROVED BY DIRECTOR? (ADMIN USE)], "Approved", Table_REU[BUDGET ACCOUNT NUMBER (AUTOFILLS)], H$18),
    SUMIFS(Table_SU[TOTAL BUDGET REQUESTED], Table_SU[FUND (ADMIN USE)], $A24, Table_SU[BUDGET APPROVED BY DIRECTOR? (ADMIN USE)], "Approved", Table_SU[BUDGET ACCOUNT NUMBER (AUTOFILLS)], H$18)
)</f>
        <v>0</v>
      </c>
      <c r="I24" s="32">
        <f>SUM(
    SUMIFS(Table_ASU[TOTAL BUDGET REQUESTED], Table_ASU[FUND (ADMIN USE)], $A24, Table_ASU[BUDGET APPROVED BY DIRECTOR? (ADMIN USE)], "Approved", Table_ASU[BUDGET ACCOUNT Number (AUTOFILLS)], I$18),
    SUMIFS(Table_ASU2[TOTAL BUDGET REQUESTED], Table_ASU2[FUND (ADMIN USE)], $A24, Table_ASU2[BUDGET APPROVED BY DIRECTOR? (ADMIN USE)], "Approved", Table_ASU2[BUDGET ACCOUNT NUMBER (AUTOFILLS)], I$18),
    SUMIFS(Table_AU[TOTAL BUDGET REQUESTED], Table_AU[FUND (ADMIN USE)], $A24, Table_AU[BUDGET APPROVED BY DIRECTOR? (ADMIN USE)], "Approved", Table_AU[BUDGET ACCOUNT NUMBER (AUTOFILLS)], I$18),
    SUMIFS(Table_CMU[TOTAL BUDGET REQUESTED], Table_CMU[FUND (ADMIN USE)], $A24, Table_CMU[BUDGET APPROVED BY DIRECTOR? (ADMIN USE)], "Approved", Table_CMU[BUDGET ACCOUNT NUMBER (AUTOFILLS)], I$18),
    SUMIFS(Table_E[TOTAL BUDGET REQUESTED], Table_E[FUND (ADMIN USE)], $A24, Table_E[BUDGET APPROVED BY DIRECTOR? (ADMIN USE)], "Approved", Table_E[BUDGET ACCOUNT NUMBER (AUTOFILLS)], I$18),
    SUMIFS(Table_HCA[TOTAL BUDGET REQUESTED], Table_HCA[FUND (ADMIN USE)], $A24, Table_HCA[BUDGET APPROVED BY DIRECTOR? (ADMIN USE)], "Approved", Table_HCA[BUDGET ACCOUNT Number (AUTOFILLS)], I$18),
    SUMIFS(Table_PT[TOTAL BUDGET REQUESTED], Table_PT[FUND (ADMIN USE)], $A24, Table_PT[BUDGET APPROVED BY DIRECTOR? (ADMIN USE)], "Approved", Table_PT[BUDGET ACCOUNT NUMBER (AUTOFILLS)], I$18),
    SUMIFS(Table_REU[TOTAL BUDGET REQUESTED], Table_REU[FUND (ADMIN USE)], $A24, Table_REU[BUDGET APPROVED BY DIRECTOR? (ADMIN USE)], "Approved", Table_REU[BUDGET ACCOUNT NUMBER (AUTOFILLS)], I$18),
    SUMIFS(Table_SU[TOTAL BUDGET REQUESTED], Table_SU[FUND (ADMIN USE)], $A24, Table_SU[BUDGET APPROVED BY DIRECTOR? (ADMIN USE)], "Approved", Table_SU[BUDGET ACCOUNT NUMBER (AUTOFILLS)], I$18)
)</f>
        <v>0</v>
      </c>
      <c r="J24" s="32">
        <f>SUM(
    SUMIFS(Table_ASU[TOTAL BUDGET REQUESTED], Table_ASU[FUND (ADMIN USE)], $A24, Table_ASU[BUDGET APPROVED BY DIRECTOR? (ADMIN USE)], "Approved", Table_ASU[BUDGET ACCOUNT Number (AUTOFILLS)], J$18),
    SUMIFS(Table_ASU2[TOTAL BUDGET REQUESTED], Table_ASU2[FUND (ADMIN USE)], $A24, Table_ASU2[BUDGET APPROVED BY DIRECTOR? (ADMIN USE)], "Approved", Table_ASU2[BUDGET ACCOUNT NUMBER (AUTOFILLS)], J$18),
    SUMIFS(Table_AU[TOTAL BUDGET REQUESTED], Table_AU[FUND (ADMIN USE)], $A24, Table_AU[BUDGET APPROVED BY DIRECTOR? (ADMIN USE)], "Approved", Table_AU[BUDGET ACCOUNT NUMBER (AUTOFILLS)], J$18),
    SUMIFS(Table_CMU[TOTAL BUDGET REQUESTED], Table_CMU[FUND (ADMIN USE)], $A24, Table_CMU[BUDGET APPROVED BY DIRECTOR? (ADMIN USE)], "Approved", Table_CMU[BUDGET ACCOUNT NUMBER (AUTOFILLS)], J$18),
    SUMIFS(Table_E[TOTAL BUDGET REQUESTED], Table_E[FUND (ADMIN USE)], $A24, Table_E[BUDGET APPROVED BY DIRECTOR? (ADMIN USE)], "Approved", Table_E[BUDGET ACCOUNT NUMBER (AUTOFILLS)], J$18),
    SUMIFS(Table_HCA[TOTAL BUDGET REQUESTED], Table_HCA[FUND (ADMIN USE)], $A24, Table_HCA[BUDGET APPROVED BY DIRECTOR? (ADMIN USE)], "Approved", Table_HCA[BUDGET ACCOUNT Number (AUTOFILLS)], J$18),
    SUMIFS(Table_PT[TOTAL BUDGET REQUESTED], Table_PT[FUND (ADMIN USE)], $A24, Table_PT[BUDGET APPROVED BY DIRECTOR? (ADMIN USE)], "Approved", Table_PT[BUDGET ACCOUNT NUMBER (AUTOFILLS)], J$18),
    SUMIFS(Table_REU[TOTAL BUDGET REQUESTED], Table_REU[FUND (ADMIN USE)], $A24, Table_REU[BUDGET APPROVED BY DIRECTOR? (ADMIN USE)], "Approved", Table_REU[BUDGET ACCOUNT NUMBER (AUTOFILLS)], J$18),
    SUMIFS(Table_SU[TOTAL BUDGET REQUESTED], Table_SU[FUND (ADMIN USE)], $A24, Table_SU[BUDGET APPROVED BY DIRECTOR? (ADMIN USE)], "Approved", Table_SU[BUDGET ACCOUNT NUMBER (AUTOFILLS)], J$18)
)</f>
        <v>0</v>
      </c>
      <c r="K24" s="14">
        <f>SUM(Table_Totals25[[#This Row],[88100]:[88800]])</f>
        <v>0</v>
      </c>
    </row>
    <row r="25" spans="1:11" ht="60" customHeight="1">
      <c r="A25" s="29" t="s">
        <v>133</v>
      </c>
      <c r="B25" s="32">
        <f>SUM(
    SUMIFS(Table_ASU[TOTAL BUDGET REQUESTED], Table_ASU[FUND (ADMIN USE)], $A25, Table_ASU[BUDGET APPROVED BY DIRECTOR? (ADMIN USE)], "Approved", Table_ASU[BUDGET ACCOUNT Number (AUTOFILLS)], B$18),
    SUMIFS(Table_ASU2[TOTAL BUDGET REQUESTED], Table_ASU2[FUND (ADMIN USE)], $A25, Table_ASU2[BUDGET APPROVED BY DIRECTOR? (ADMIN USE)], "Approved", Table_ASU2[BUDGET ACCOUNT NUMBER (AUTOFILLS)], B$18),
    SUMIFS(Table_AU[TOTAL BUDGET REQUESTED], Table_AU[FUND (ADMIN USE)], $A25, Table_AU[BUDGET APPROVED BY DIRECTOR? (ADMIN USE)], "Approved", Table_AU[BUDGET ACCOUNT NUMBER (AUTOFILLS)], B$18),
    SUMIFS(Table_CMU[TOTAL BUDGET REQUESTED], Table_CMU[FUND (ADMIN USE)], $A25, Table_CMU[BUDGET APPROVED BY DIRECTOR? (ADMIN USE)], "Approved", Table_CMU[BUDGET ACCOUNT NUMBER (AUTOFILLS)], B$18),
    SUMIFS(Table_E[TOTAL BUDGET REQUESTED], Table_E[FUND (ADMIN USE)], $A25, Table_E[BUDGET APPROVED BY DIRECTOR? (ADMIN USE)], "Approved", Table_E[BUDGET ACCOUNT NUMBER (AUTOFILLS)], B$18),
    SUMIFS(Table_HCA[TOTAL BUDGET REQUESTED], Table_HCA[FUND (ADMIN USE)], $A25, Table_HCA[BUDGET APPROVED BY DIRECTOR? (ADMIN USE)], "Approved", Table_HCA[BUDGET ACCOUNT Number (AUTOFILLS)], B$18),
    SUMIFS(Table_PT[TOTAL BUDGET REQUESTED], Table_PT[FUND (ADMIN USE)], $A25, Table_PT[BUDGET APPROVED BY DIRECTOR? (ADMIN USE)], "Approved", Table_PT[BUDGET ACCOUNT NUMBER (AUTOFILLS)], B$18),
    SUMIFS(Table_REU[TOTAL BUDGET REQUESTED], Table_REU[FUND (ADMIN USE)], $A25, Table_REU[BUDGET APPROVED BY DIRECTOR? (ADMIN USE)], "Approved", Table_REU[BUDGET ACCOUNT NUMBER (AUTOFILLS)], B$18),
    SUMIFS(Table_SU[TOTAL BUDGET REQUESTED], Table_SU[FUND (ADMIN USE)], $A25, Table_SU[BUDGET APPROVED BY DIRECTOR? (ADMIN USE)], "Approved", Table_SU[BUDGET ACCOUNT NUMBER (AUTOFILLS)], B$18)
)</f>
        <v>0</v>
      </c>
      <c r="C25" s="32">
        <f>SUM(
    SUMIFS(Table_ASU[TOTAL BUDGET REQUESTED], Table_ASU[FUND (ADMIN USE)], $A25, Table_ASU[BUDGET APPROVED BY DIRECTOR? (ADMIN USE)], "Approved", Table_ASU[BUDGET ACCOUNT Number (AUTOFILLS)], C$18),
    SUMIFS(Table_ASU2[TOTAL BUDGET REQUESTED], Table_ASU2[FUND (ADMIN USE)], $A25, Table_ASU2[BUDGET APPROVED BY DIRECTOR? (ADMIN USE)], "Approved", Table_ASU2[BUDGET ACCOUNT NUMBER (AUTOFILLS)], C$18),
    SUMIFS(Table_AU[TOTAL BUDGET REQUESTED], Table_AU[FUND (ADMIN USE)], $A25, Table_AU[BUDGET APPROVED BY DIRECTOR? (ADMIN USE)], "Approved", Table_AU[BUDGET ACCOUNT NUMBER (AUTOFILLS)], C$18),
    SUMIFS(Table_CMU[TOTAL BUDGET REQUESTED], Table_CMU[FUND (ADMIN USE)], $A25, Table_CMU[BUDGET APPROVED BY DIRECTOR? (ADMIN USE)], "Approved", Table_CMU[BUDGET ACCOUNT NUMBER (AUTOFILLS)], C$18),
    SUMIFS(Table_E[TOTAL BUDGET REQUESTED], Table_E[FUND (ADMIN USE)], $A25, Table_E[BUDGET APPROVED BY DIRECTOR? (ADMIN USE)], "Approved", Table_E[BUDGET ACCOUNT NUMBER (AUTOFILLS)], C$18),
    SUMIFS(Table_HCA[TOTAL BUDGET REQUESTED], Table_HCA[FUND (ADMIN USE)], $A25, Table_HCA[BUDGET APPROVED BY DIRECTOR? (ADMIN USE)], "Approved", Table_HCA[BUDGET ACCOUNT Number (AUTOFILLS)], C$18),
    SUMIFS(Table_PT[TOTAL BUDGET REQUESTED], Table_PT[FUND (ADMIN USE)], $A25, Table_PT[BUDGET APPROVED BY DIRECTOR? (ADMIN USE)], "Approved", Table_PT[BUDGET ACCOUNT NUMBER (AUTOFILLS)], C$18),
    SUMIFS(Table_REU[TOTAL BUDGET REQUESTED], Table_REU[FUND (ADMIN USE)], $A25, Table_REU[BUDGET APPROVED BY DIRECTOR? (ADMIN USE)], "Approved", Table_REU[BUDGET ACCOUNT NUMBER (AUTOFILLS)], C$18),
    SUMIFS(Table_SU[TOTAL BUDGET REQUESTED], Table_SU[FUND (ADMIN USE)], $A25, Table_SU[BUDGET APPROVED BY DIRECTOR? (ADMIN USE)], "Approved", Table_SU[BUDGET ACCOUNT NUMBER (AUTOFILLS)], C$18)
)</f>
        <v>0</v>
      </c>
      <c r="D25" s="32">
        <f>SUM(
    SUMIFS(Table_ASU[TOTAL BUDGET REQUESTED], Table_ASU[FUND (ADMIN USE)], $A25, Table_ASU[BUDGET APPROVED BY DIRECTOR? (ADMIN USE)], "Approved", Table_ASU[BUDGET ACCOUNT Number (AUTOFILLS)], D$18),
    SUMIFS(Table_ASU2[TOTAL BUDGET REQUESTED], Table_ASU2[FUND (ADMIN USE)], $A25, Table_ASU2[BUDGET APPROVED BY DIRECTOR? (ADMIN USE)], "Approved", Table_ASU2[BUDGET ACCOUNT NUMBER (AUTOFILLS)], D$18),
    SUMIFS(Table_AU[TOTAL BUDGET REQUESTED], Table_AU[FUND (ADMIN USE)], $A25, Table_AU[BUDGET APPROVED BY DIRECTOR? (ADMIN USE)], "Approved", Table_AU[BUDGET ACCOUNT NUMBER (AUTOFILLS)], D$18),
    SUMIFS(Table_CMU[TOTAL BUDGET REQUESTED], Table_CMU[FUND (ADMIN USE)], $A25, Table_CMU[BUDGET APPROVED BY DIRECTOR? (ADMIN USE)], "Approved", Table_CMU[BUDGET ACCOUNT NUMBER (AUTOFILLS)], D$18),
    SUMIFS(Table_E[TOTAL BUDGET REQUESTED], Table_E[FUND (ADMIN USE)], $A25, Table_E[BUDGET APPROVED BY DIRECTOR? (ADMIN USE)], "Approved", Table_E[BUDGET ACCOUNT NUMBER (AUTOFILLS)], D$18),
    SUMIFS(Table_HCA[TOTAL BUDGET REQUESTED], Table_HCA[FUND (ADMIN USE)], $A25, Table_HCA[BUDGET APPROVED BY DIRECTOR? (ADMIN USE)], "Approved", Table_HCA[BUDGET ACCOUNT Number (AUTOFILLS)], D$18),
    SUMIFS(Table_PT[TOTAL BUDGET REQUESTED], Table_PT[FUND (ADMIN USE)], $A25, Table_PT[BUDGET APPROVED BY DIRECTOR? (ADMIN USE)], "Approved", Table_PT[BUDGET ACCOUNT NUMBER (AUTOFILLS)], D$18),
    SUMIFS(Table_REU[TOTAL BUDGET REQUESTED], Table_REU[FUND (ADMIN USE)], $A25, Table_REU[BUDGET APPROVED BY DIRECTOR? (ADMIN USE)], "Approved", Table_REU[BUDGET ACCOUNT NUMBER (AUTOFILLS)], D$18),
    SUMIFS(Table_SU[TOTAL BUDGET REQUESTED], Table_SU[FUND (ADMIN USE)], $A25, Table_SU[BUDGET APPROVED BY DIRECTOR? (ADMIN USE)], "Approved", Table_SU[BUDGET ACCOUNT NUMBER (AUTOFILLS)], D$18)
)</f>
        <v>0</v>
      </c>
      <c r="E25" s="32">
        <f>SUM(
    SUMIFS(Table_ASU[TOTAL BUDGET REQUESTED], Table_ASU[FUND (ADMIN USE)], $A25, Table_ASU[BUDGET APPROVED BY DIRECTOR? (ADMIN USE)], "Approved", Table_ASU[BUDGET ACCOUNT Number (AUTOFILLS)], E$18),
    SUMIFS(Table_ASU2[TOTAL BUDGET REQUESTED], Table_ASU2[FUND (ADMIN USE)], $A25, Table_ASU2[BUDGET APPROVED BY DIRECTOR? (ADMIN USE)], "Approved", Table_ASU2[BUDGET ACCOUNT NUMBER (AUTOFILLS)], E$18),
    SUMIFS(Table_AU[TOTAL BUDGET REQUESTED], Table_AU[FUND (ADMIN USE)], $A25, Table_AU[BUDGET APPROVED BY DIRECTOR? (ADMIN USE)], "Approved", Table_AU[BUDGET ACCOUNT NUMBER (AUTOFILLS)], E$18),
    SUMIFS(Table_CMU[TOTAL BUDGET REQUESTED], Table_CMU[FUND (ADMIN USE)], $A25, Table_CMU[BUDGET APPROVED BY DIRECTOR? (ADMIN USE)], "Approved", Table_CMU[BUDGET ACCOUNT NUMBER (AUTOFILLS)], E$18),
    SUMIFS(Table_E[TOTAL BUDGET REQUESTED], Table_E[FUND (ADMIN USE)], $A25, Table_E[BUDGET APPROVED BY DIRECTOR? (ADMIN USE)], "Approved", Table_E[BUDGET ACCOUNT NUMBER (AUTOFILLS)], E$18),
    SUMIFS(Table_HCA[TOTAL BUDGET REQUESTED], Table_HCA[FUND (ADMIN USE)], $A25, Table_HCA[BUDGET APPROVED BY DIRECTOR? (ADMIN USE)], "Approved", Table_HCA[BUDGET ACCOUNT Number (AUTOFILLS)], E$18),
    SUMIFS(Table_PT[TOTAL BUDGET REQUESTED], Table_PT[FUND (ADMIN USE)], $A25, Table_PT[BUDGET APPROVED BY DIRECTOR? (ADMIN USE)], "Approved", Table_PT[BUDGET ACCOUNT NUMBER (AUTOFILLS)], E$18),
    SUMIFS(Table_REU[TOTAL BUDGET REQUESTED], Table_REU[FUND (ADMIN USE)], $A25, Table_REU[BUDGET APPROVED BY DIRECTOR? (ADMIN USE)], "Approved", Table_REU[BUDGET ACCOUNT NUMBER (AUTOFILLS)], E$18),
    SUMIFS(Table_SU[TOTAL BUDGET REQUESTED], Table_SU[FUND (ADMIN USE)], $A25, Table_SU[BUDGET APPROVED BY DIRECTOR? (ADMIN USE)], "Approved", Table_SU[BUDGET ACCOUNT NUMBER (AUTOFILLS)], E$18)
)</f>
        <v>0</v>
      </c>
      <c r="F25" s="32">
        <f>SUM(
    SUMIFS(Table_ASU[TOTAL BUDGET REQUESTED], Table_ASU[FUND (ADMIN USE)], $A25, Table_ASU[BUDGET APPROVED BY DIRECTOR? (ADMIN USE)], "Approved", Table_ASU[BUDGET ACCOUNT Number (AUTOFILLS)], F$18),
    SUMIFS(Table_ASU2[TOTAL BUDGET REQUESTED], Table_ASU2[FUND (ADMIN USE)], $A25, Table_ASU2[BUDGET APPROVED BY DIRECTOR? (ADMIN USE)], "Approved", Table_ASU2[BUDGET ACCOUNT NUMBER (AUTOFILLS)], F$18),
    SUMIFS(Table_AU[TOTAL BUDGET REQUESTED], Table_AU[FUND (ADMIN USE)], $A25, Table_AU[BUDGET APPROVED BY DIRECTOR? (ADMIN USE)], "Approved", Table_AU[BUDGET ACCOUNT NUMBER (AUTOFILLS)], F$18),
    SUMIFS(Table_CMU[TOTAL BUDGET REQUESTED], Table_CMU[FUND (ADMIN USE)], $A25, Table_CMU[BUDGET APPROVED BY DIRECTOR? (ADMIN USE)], "Approved", Table_CMU[BUDGET ACCOUNT NUMBER (AUTOFILLS)], F$18),
    SUMIFS(Table_E[TOTAL BUDGET REQUESTED], Table_E[FUND (ADMIN USE)], $A25, Table_E[BUDGET APPROVED BY DIRECTOR? (ADMIN USE)], "Approved", Table_E[BUDGET ACCOUNT NUMBER (AUTOFILLS)], F$18),
    SUMIFS(Table_HCA[TOTAL BUDGET REQUESTED], Table_HCA[FUND (ADMIN USE)], $A25, Table_HCA[BUDGET APPROVED BY DIRECTOR? (ADMIN USE)], "Approved", Table_HCA[BUDGET ACCOUNT Number (AUTOFILLS)], F$18),
    SUMIFS(Table_PT[TOTAL BUDGET REQUESTED], Table_PT[FUND (ADMIN USE)], $A25, Table_PT[BUDGET APPROVED BY DIRECTOR? (ADMIN USE)], "Approved", Table_PT[BUDGET ACCOUNT NUMBER (AUTOFILLS)], F$18),
    SUMIFS(Table_REU[TOTAL BUDGET REQUESTED], Table_REU[FUND (ADMIN USE)], $A25, Table_REU[BUDGET APPROVED BY DIRECTOR? (ADMIN USE)], "Approved", Table_REU[BUDGET ACCOUNT NUMBER (AUTOFILLS)], F$18),
    SUMIFS(Table_SU[TOTAL BUDGET REQUESTED], Table_SU[FUND (ADMIN USE)], $A25, Table_SU[BUDGET APPROVED BY DIRECTOR? (ADMIN USE)], "Approved", Table_SU[BUDGET ACCOUNT NUMBER (AUTOFILLS)], F$18)
)</f>
        <v>0</v>
      </c>
      <c r="G25" s="32">
        <f>SUM(
    SUMIFS(Table_ASU[TOTAL BUDGET REQUESTED], Table_ASU[FUND (ADMIN USE)], $A25, Table_ASU[BUDGET APPROVED BY DIRECTOR? (ADMIN USE)], "Approved", Table_ASU[BUDGET ACCOUNT Number (AUTOFILLS)], G$18),
    SUMIFS(Table_ASU2[TOTAL BUDGET REQUESTED], Table_ASU2[FUND (ADMIN USE)], $A25, Table_ASU2[BUDGET APPROVED BY DIRECTOR? (ADMIN USE)], "Approved", Table_ASU2[BUDGET ACCOUNT NUMBER (AUTOFILLS)], G$18),
    SUMIFS(Table_AU[TOTAL BUDGET REQUESTED], Table_AU[FUND (ADMIN USE)], $A25, Table_AU[BUDGET APPROVED BY DIRECTOR? (ADMIN USE)], "Approved", Table_AU[BUDGET ACCOUNT NUMBER (AUTOFILLS)], G$18),
    SUMIFS(Table_CMU[TOTAL BUDGET REQUESTED], Table_CMU[FUND (ADMIN USE)], $A25, Table_CMU[BUDGET APPROVED BY DIRECTOR? (ADMIN USE)], "Approved", Table_CMU[BUDGET ACCOUNT NUMBER (AUTOFILLS)], G$18),
    SUMIFS(Table_E[TOTAL BUDGET REQUESTED], Table_E[FUND (ADMIN USE)], $A25, Table_E[BUDGET APPROVED BY DIRECTOR? (ADMIN USE)], "Approved", Table_E[BUDGET ACCOUNT NUMBER (AUTOFILLS)], G$18),
    SUMIFS(Table_HCA[TOTAL BUDGET REQUESTED], Table_HCA[FUND (ADMIN USE)], $A25, Table_HCA[BUDGET APPROVED BY DIRECTOR? (ADMIN USE)], "Approved", Table_HCA[BUDGET ACCOUNT Number (AUTOFILLS)], G$18),
    SUMIFS(Table_PT[TOTAL BUDGET REQUESTED], Table_PT[FUND (ADMIN USE)], $A25, Table_PT[BUDGET APPROVED BY DIRECTOR? (ADMIN USE)], "Approved", Table_PT[BUDGET ACCOUNT NUMBER (AUTOFILLS)], G$18),
    SUMIFS(Table_REU[TOTAL BUDGET REQUESTED], Table_REU[FUND (ADMIN USE)], $A25, Table_REU[BUDGET APPROVED BY DIRECTOR? (ADMIN USE)], "Approved", Table_REU[BUDGET ACCOUNT NUMBER (AUTOFILLS)], G$18),
    SUMIFS(Table_SU[TOTAL BUDGET REQUESTED], Table_SU[FUND (ADMIN USE)], $A25, Table_SU[BUDGET APPROVED BY DIRECTOR? (ADMIN USE)], "Approved", Table_SU[BUDGET ACCOUNT NUMBER (AUTOFILLS)], G$18)
)</f>
        <v>0</v>
      </c>
      <c r="H25" s="32">
        <f>SUM(
    SUMIFS(Table_ASU[TOTAL BUDGET REQUESTED], Table_ASU[FUND (ADMIN USE)], $A25, Table_ASU[BUDGET APPROVED BY DIRECTOR? (ADMIN USE)], "Approved", Table_ASU[BUDGET ACCOUNT Number (AUTOFILLS)], H$18),
    SUMIFS(Table_ASU2[TOTAL BUDGET REQUESTED], Table_ASU2[FUND (ADMIN USE)], $A25, Table_ASU2[BUDGET APPROVED BY DIRECTOR? (ADMIN USE)], "Approved", Table_ASU2[BUDGET ACCOUNT NUMBER (AUTOFILLS)], H$18),
    SUMIFS(Table_AU[TOTAL BUDGET REQUESTED], Table_AU[FUND (ADMIN USE)], $A25, Table_AU[BUDGET APPROVED BY DIRECTOR? (ADMIN USE)], "Approved", Table_AU[BUDGET ACCOUNT NUMBER (AUTOFILLS)], H$18),
    SUMIFS(Table_CMU[TOTAL BUDGET REQUESTED], Table_CMU[FUND (ADMIN USE)], $A25, Table_CMU[BUDGET APPROVED BY DIRECTOR? (ADMIN USE)], "Approved", Table_CMU[BUDGET ACCOUNT NUMBER (AUTOFILLS)], H$18),
    SUMIFS(Table_E[TOTAL BUDGET REQUESTED], Table_E[FUND (ADMIN USE)], $A25, Table_E[BUDGET APPROVED BY DIRECTOR? (ADMIN USE)], "Approved", Table_E[BUDGET ACCOUNT NUMBER (AUTOFILLS)], H$18),
    SUMIFS(Table_HCA[TOTAL BUDGET REQUESTED], Table_HCA[FUND (ADMIN USE)], $A25, Table_HCA[BUDGET APPROVED BY DIRECTOR? (ADMIN USE)], "Approved", Table_HCA[BUDGET ACCOUNT Number (AUTOFILLS)], H$18),
    SUMIFS(Table_PT[TOTAL BUDGET REQUESTED], Table_PT[FUND (ADMIN USE)], $A25, Table_PT[BUDGET APPROVED BY DIRECTOR? (ADMIN USE)], "Approved", Table_PT[BUDGET ACCOUNT NUMBER (AUTOFILLS)], H$18),
    SUMIFS(Table_REU[TOTAL BUDGET REQUESTED], Table_REU[FUND (ADMIN USE)], $A25, Table_REU[BUDGET APPROVED BY DIRECTOR? (ADMIN USE)], "Approved", Table_REU[BUDGET ACCOUNT NUMBER (AUTOFILLS)], H$18),
    SUMIFS(Table_SU[TOTAL BUDGET REQUESTED], Table_SU[FUND (ADMIN USE)], $A25, Table_SU[BUDGET APPROVED BY DIRECTOR? (ADMIN USE)], "Approved", Table_SU[BUDGET ACCOUNT NUMBER (AUTOFILLS)], H$18)
)</f>
        <v>0</v>
      </c>
      <c r="I25" s="32">
        <f>SUM(
    SUMIFS(Table_ASU[TOTAL BUDGET REQUESTED], Table_ASU[FUND (ADMIN USE)], $A25, Table_ASU[BUDGET APPROVED BY DIRECTOR? (ADMIN USE)], "Approved", Table_ASU[BUDGET ACCOUNT Number (AUTOFILLS)], I$18),
    SUMIFS(Table_ASU2[TOTAL BUDGET REQUESTED], Table_ASU2[FUND (ADMIN USE)], $A25, Table_ASU2[BUDGET APPROVED BY DIRECTOR? (ADMIN USE)], "Approved", Table_ASU2[BUDGET ACCOUNT NUMBER (AUTOFILLS)], I$18),
    SUMIFS(Table_AU[TOTAL BUDGET REQUESTED], Table_AU[FUND (ADMIN USE)], $A25, Table_AU[BUDGET APPROVED BY DIRECTOR? (ADMIN USE)], "Approved", Table_AU[BUDGET ACCOUNT NUMBER (AUTOFILLS)], I$18),
    SUMIFS(Table_CMU[TOTAL BUDGET REQUESTED], Table_CMU[FUND (ADMIN USE)], $A25, Table_CMU[BUDGET APPROVED BY DIRECTOR? (ADMIN USE)], "Approved", Table_CMU[BUDGET ACCOUNT NUMBER (AUTOFILLS)], I$18),
    SUMIFS(Table_E[TOTAL BUDGET REQUESTED], Table_E[FUND (ADMIN USE)], $A25, Table_E[BUDGET APPROVED BY DIRECTOR? (ADMIN USE)], "Approved", Table_E[BUDGET ACCOUNT NUMBER (AUTOFILLS)], I$18),
    SUMIFS(Table_HCA[TOTAL BUDGET REQUESTED], Table_HCA[FUND (ADMIN USE)], $A25, Table_HCA[BUDGET APPROVED BY DIRECTOR? (ADMIN USE)], "Approved", Table_HCA[BUDGET ACCOUNT Number (AUTOFILLS)], I$18),
    SUMIFS(Table_PT[TOTAL BUDGET REQUESTED], Table_PT[FUND (ADMIN USE)], $A25, Table_PT[BUDGET APPROVED BY DIRECTOR? (ADMIN USE)], "Approved", Table_PT[BUDGET ACCOUNT NUMBER (AUTOFILLS)], I$18),
    SUMIFS(Table_REU[TOTAL BUDGET REQUESTED], Table_REU[FUND (ADMIN USE)], $A25, Table_REU[BUDGET APPROVED BY DIRECTOR? (ADMIN USE)], "Approved", Table_REU[BUDGET ACCOUNT NUMBER (AUTOFILLS)], I$18),
    SUMIFS(Table_SU[TOTAL BUDGET REQUESTED], Table_SU[FUND (ADMIN USE)], $A25, Table_SU[BUDGET APPROVED BY DIRECTOR? (ADMIN USE)], "Approved", Table_SU[BUDGET ACCOUNT NUMBER (AUTOFILLS)], I$18)
)</f>
        <v>0</v>
      </c>
      <c r="J25" s="32">
        <f>SUM(
    SUMIFS(Table_ASU[TOTAL BUDGET REQUESTED], Table_ASU[FUND (ADMIN USE)], $A25, Table_ASU[BUDGET APPROVED BY DIRECTOR? (ADMIN USE)], "Approved", Table_ASU[BUDGET ACCOUNT Number (AUTOFILLS)], J$18),
    SUMIFS(Table_ASU2[TOTAL BUDGET REQUESTED], Table_ASU2[FUND (ADMIN USE)], $A25, Table_ASU2[BUDGET APPROVED BY DIRECTOR? (ADMIN USE)], "Approved", Table_ASU2[BUDGET ACCOUNT NUMBER (AUTOFILLS)], J$18),
    SUMIFS(Table_AU[TOTAL BUDGET REQUESTED], Table_AU[FUND (ADMIN USE)], $A25, Table_AU[BUDGET APPROVED BY DIRECTOR? (ADMIN USE)], "Approved", Table_AU[BUDGET ACCOUNT NUMBER (AUTOFILLS)], J$18),
    SUMIFS(Table_CMU[TOTAL BUDGET REQUESTED], Table_CMU[FUND (ADMIN USE)], $A25, Table_CMU[BUDGET APPROVED BY DIRECTOR? (ADMIN USE)], "Approved", Table_CMU[BUDGET ACCOUNT NUMBER (AUTOFILLS)], J$18),
    SUMIFS(Table_E[TOTAL BUDGET REQUESTED], Table_E[FUND (ADMIN USE)], $A25, Table_E[BUDGET APPROVED BY DIRECTOR? (ADMIN USE)], "Approved", Table_E[BUDGET ACCOUNT NUMBER (AUTOFILLS)], J$18),
    SUMIFS(Table_HCA[TOTAL BUDGET REQUESTED], Table_HCA[FUND (ADMIN USE)], $A25, Table_HCA[BUDGET APPROVED BY DIRECTOR? (ADMIN USE)], "Approved", Table_HCA[BUDGET ACCOUNT Number (AUTOFILLS)], J$18),
    SUMIFS(Table_PT[TOTAL BUDGET REQUESTED], Table_PT[FUND (ADMIN USE)], $A25, Table_PT[BUDGET APPROVED BY DIRECTOR? (ADMIN USE)], "Approved", Table_PT[BUDGET ACCOUNT NUMBER (AUTOFILLS)], J$18),
    SUMIFS(Table_REU[TOTAL BUDGET REQUESTED], Table_REU[FUND (ADMIN USE)], $A25, Table_REU[BUDGET APPROVED BY DIRECTOR? (ADMIN USE)], "Approved", Table_REU[BUDGET ACCOUNT NUMBER (AUTOFILLS)], J$18),
    SUMIFS(Table_SU[TOTAL BUDGET REQUESTED], Table_SU[FUND (ADMIN USE)], $A25, Table_SU[BUDGET APPROVED BY DIRECTOR? (ADMIN USE)], "Approved", Table_SU[BUDGET ACCOUNT NUMBER (AUTOFILLS)], J$18)
)</f>
        <v>0</v>
      </c>
      <c r="K25" s="14">
        <f>SUM(Table_Totals25[[#This Row],[88100]:[88800]])</f>
        <v>0</v>
      </c>
    </row>
    <row r="26" spans="1:11" ht="60" customHeight="1">
      <c r="A26" s="29" t="s">
        <v>135</v>
      </c>
      <c r="B26" s="32">
        <f>SUM(
    SUMIFS(Table_ASU[TOTAL BUDGET REQUESTED], Table_ASU[FUND (ADMIN USE)], $A26, Table_ASU[BUDGET APPROVED BY DIRECTOR? (ADMIN USE)], "Approved", Table_ASU[BUDGET ACCOUNT Number (AUTOFILLS)], B$18),
    SUMIFS(Table_ASU2[TOTAL BUDGET REQUESTED], Table_ASU2[FUND (ADMIN USE)], $A26, Table_ASU2[BUDGET APPROVED BY DIRECTOR? (ADMIN USE)], "Approved", Table_ASU2[BUDGET ACCOUNT NUMBER (AUTOFILLS)], B$18),
    SUMIFS(Table_AU[TOTAL BUDGET REQUESTED], Table_AU[FUND (ADMIN USE)], $A26, Table_AU[BUDGET APPROVED BY DIRECTOR? (ADMIN USE)], "Approved", Table_AU[BUDGET ACCOUNT NUMBER (AUTOFILLS)], B$18),
    SUMIFS(Table_CMU[TOTAL BUDGET REQUESTED], Table_CMU[FUND (ADMIN USE)], $A26, Table_CMU[BUDGET APPROVED BY DIRECTOR? (ADMIN USE)], "Approved", Table_CMU[BUDGET ACCOUNT NUMBER (AUTOFILLS)], B$18),
    SUMIFS(Table_E[TOTAL BUDGET REQUESTED], Table_E[FUND (ADMIN USE)], $A26, Table_E[BUDGET APPROVED BY DIRECTOR? (ADMIN USE)], "Approved", Table_E[BUDGET ACCOUNT NUMBER (AUTOFILLS)], B$18),
    SUMIFS(Table_HCA[TOTAL BUDGET REQUESTED], Table_HCA[FUND (ADMIN USE)], $A26, Table_HCA[BUDGET APPROVED BY DIRECTOR? (ADMIN USE)], "Approved", Table_HCA[BUDGET ACCOUNT Number (AUTOFILLS)], B$18),
    SUMIFS(Table_PT[TOTAL BUDGET REQUESTED], Table_PT[FUND (ADMIN USE)], $A26, Table_PT[BUDGET APPROVED BY DIRECTOR? (ADMIN USE)], "Approved", Table_PT[BUDGET ACCOUNT NUMBER (AUTOFILLS)], B$18),
    SUMIFS(Table_REU[TOTAL BUDGET REQUESTED], Table_REU[FUND (ADMIN USE)], $A26, Table_REU[BUDGET APPROVED BY DIRECTOR? (ADMIN USE)], "Approved", Table_REU[BUDGET ACCOUNT NUMBER (AUTOFILLS)], B$18),
    SUMIFS(Table_SU[TOTAL BUDGET REQUESTED], Table_SU[FUND (ADMIN USE)], $A26, Table_SU[BUDGET APPROVED BY DIRECTOR? (ADMIN USE)], "Approved", Table_SU[BUDGET ACCOUNT NUMBER (AUTOFILLS)], B$18)
)</f>
        <v>0</v>
      </c>
      <c r="C26" s="32">
        <f>SUM(
    SUMIFS(Table_ASU[TOTAL BUDGET REQUESTED], Table_ASU[FUND (ADMIN USE)], $A26, Table_ASU[BUDGET APPROVED BY DIRECTOR? (ADMIN USE)], "Approved", Table_ASU[BUDGET ACCOUNT Number (AUTOFILLS)], C$18),
    SUMIFS(Table_ASU2[TOTAL BUDGET REQUESTED], Table_ASU2[FUND (ADMIN USE)], $A26, Table_ASU2[BUDGET APPROVED BY DIRECTOR? (ADMIN USE)], "Approved", Table_ASU2[BUDGET ACCOUNT NUMBER (AUTOFILLS)], C$18),
    SUMIFS(Table_AU[TOTAL BUDGET REQUESTED], Table_AU[FUND (ADMIN USE)], $A26, Table_AU[BUDGET APPROVED BY DIRECTOR? (ADMIN USE)], "Approved", Table_AU[BUDGET ACCOUNT NUMBER (AUTOFILLS)], C$18),
    SUMIFS(Table_CMU[TOTAL BUDGET REQUESTED], Table_CMU[FUND (ADMIN USE)], $A26, Table_CMU[BUDGET APPROVED BY DIRECTOR? (ADMIN USE)], "Approved", Table_CMU[BUDGET ACCOUNT NUMBER (AUTOFILLS)], C$18),
    SUMIFS(Table_E[TOTAL BUDGET REQUESTED], Table_E[FUND (ADMIN USE)], $A26, Table_E[BUDGET APPROVED BY DIRECTOR? (ADMIN USE)], "Approved", Table_E[BUDGET ACCOUNT NUMBER (AUTOFILLS)], C$18),
    SUMIFS(Table_HCA[TOTAL BUDGET REQUESTED], Table_HCA[FUND (ADMIN USE)], $A26, Table_HCA[BUDGET APPROVED BY DIRECTOR? (ADMIN USE)], "Approved", Table_HCA[BUDGET ACCOUNT Number (AUTOFILLS)], C$18),
    SUMIFS(Table_PT[TOTAL BUDGET REQUESTED], Table_PT[FUND (ADMIN USE)], $A26, Table_PT[BUDGET APPROVED BY DIRECTOR? (ADMIN USE)], "Approved", Table_PT[BUDGET ACCOUNT NUMBER (AUTOFILLS)], C$18),
    SUMIFS(Table_REU[TOTAL BUDGET REQUESTED], Table_REU[FUND (ADMIN USE)], $A26, Table_REU[BUDGET APPROVED BY DIRECTOR? (ADMIN USE)], "Approved", Table_REU[BUDGET ACCOUNT NUMBER (AUTOFILLS)], C$18),
    SUMIFS(Table_SU[TOTAL BUDGET REQUESTED], Table_SU[FUND (ADMIN USE)], $A26, Table_SU[BUDGET APPROVED BY DIRECTOR? (ADMIN USE)], "Approved", Table_SU[BUDGET ACCOUNT NUMBER (AUTOFILLS)], C$18)
)</f>
        <v>0</v>
      </c>
      <c r="D26" s="32">
        <f>SUM(
    SUMIFS(Table_ASU[TOTAL BUDGET REQUESTED], Table_ASU[FUND (ADMIN USE)], $A26, Table_ASU[BUDGET APPROVED BY DIRECTOR? (ADMIN USE)], "Approved", Table_ASU[BUDGET ACCOUNT Number (AUTOFILLS)], D$18),
    SUMIFS(Table_ASU2[TOTAL BUDGET REQUESTED], Table_ASU2[FUND (ADMIN USE)], $A26, Table_ASU2[BUDGET APPROVED BY DIRECTOR? (ADMIN USE)], "Approved", Table_ASU2[BUDGET ACCOUNT NUMBER (AUTOFILLS)], D$18),
    SUMIFS(Table_AU[TOTAL BUDGET REQUESTED], Table_AU[FUND (ADMIN USE)], $A26, Table_AU[BUDGET APPROVED BY DIRECTOR? (ADMIN USE)], "Approved", Table_AU[BUDGET ACCOUNT NUMBER (AUTOFILLS)], D$18),
    SUMIFS(Table_CMU[TOTAL BUDGET REQUESTED], Table_CMU[FUND (ADMIN USE)], $A26, Table_CMU[BUDGET APPROVED BY DIRECTOR? (ADMIN USE)], "Approved", Table_CMU[BUDGET ACCOUNT NUMBER (AUTOFILLS)], D$18),
    SUMIFS(Table_E[TOTAL BUDGET REQUESTED], Table_E[FUND (ADMIN USE)], $A26, Table_E[BUDGET APPROVED BY DIRECTOR? (ADMIN USE)], "Approved", Table_E[BUDGET ACCOUNT NUMBER (AUTOFILLS)], D$18),
    SUMIFS(Table_HCA[TOTAL BUDGET REQUESTED], Table_HCA[FUND (ADMIN USE)], $A26, Table_HCA[BUDGET APPROVED BY DIRECTOR? (ADMIN USE)], "Approved", Table_HCA[BUDGET ACCOUNT Number (AUTOFILLS)], D$18),
    SUMIFS(Table_PT[TOTAL BUDGET REQUESTED], Table_PT[FUND (ADMIN USE)], $A26, Table_PT[BUDGET APPROVED BY DIRECTOR? (ADMIN USE)], "Approved", Table_PT[BUDGET ACCOUNT NUMBER (AUTOFILLS)], D$18),
    SUMIFS(Table_REU[TOTAL BUDGET REQUESTED], Table_REU[FUND (ADMIN USE)], $A26, Table_REU[BUDGET APPROVED BY DIRECTOR? (ADMIN USE)], "Approved", Table_REU[BUDGET ACCOUNT NUMBER (AUTOFILLS)], D$18),
    SUMIFS(Table_SU[TOTAL BUDGET REQUESTED], Table_SU[FUND (ADMIN USE)], $A26, Table_SU[BUDGET APPROVED BY DIRECTOR? (ADMIN USE)], "Approved", Table_SU[BUDGET ACCOUNT NUMBER (AUTOFILLS)], D$18)
)</f>
        <v>0</v>
      </c>
      <c r="E26" s="32">
        <f>SUM(
    SUMIFS(Table_ASU[TOTAL BUDGET REQUESTED], Table_ASU[FUND (ADMIN USE)], $A26, Table_ASU[BUDGET APPROVED BY DIRECTOR? (ADMIN USE)], "Approved", Table_ASU[BUDGET ACCOUNT Number (AUTOFILLS)], E$18),
    SUMIFS(Table_ASU2[TOTAL BUDGET REQUESTED], Table_ASU2[FUND (ADMIN USE)], $A26, Table_ASU2[BUDGET APPROVED BY DIRECTOR? (ADMIN USE)], "Approved", Table_ASU2[BUDGET ACCOUNT NUMBER (AUTOFILLS)], E$18),
    SUMIFS(Table_AU[TOTAL BUDGET REQUESTED], Table_AU[FUND (ADMIN USE)], $A26, Table_AU[BUDGET APPROVED BY DIRECTOR? (ADMIN USE)], "Approved", Table_AU[BUDGET ACCOUNT NUMBER (AUTOFILLS)], E$18),
    SUMIFS(Table_CMU[TOTAL BUDGET REQUESTED], Table_CMU[FUND (ADMIN USE)], $A26, Table_CMU[BUDGET APPROVED BY DIRECTOR? (ADMIN USE)], "Approved", Table_CMU[BUDGET ACCOUNT NUMBER (AUTOFILLS)], E$18),
    SUMIFS(Table_E[TOTAL BUDGET REQUESTED], Table_E[FUND (ADMIN USE)], $A26, Table_E[BUDGET APPROVED BY DIRECTOR? (ADMIN USE)], "Approved", Table_E[BUDGET ACCOUNT NUMBER (AUTOFILLS)], E$18),
    SUMIFS(Table_HCA[TOTAL BUDGET REQUESTED], Table_HCA[FUND (ADMIN USE)], $A26, Table_HCA[BUDGET APPROVED BY DIRECTOR? (ADMIN USE)], "Approved", Table_HCA[BUDGET ACCOUNT Number (AUTOFILLS)], E$18),
    SUMIFS(Table_PT[TOTAL BUDGET REQUESTED], Table_PT[FUND (ADMIN USE)], $A26, Table_PT[BUDGET APPROVED BY DIRECTOR? (ADMIN USE)], "Approved", Table_PT[BUDGET ACCOUNT NUMBER (AUTOFILLS)], E$18),
    SUMIFS(Table_REU[TOTAL BUDGET REQUESTED], Table_REU[FUND (ADMIN USE)], $A26, Table_REU[BUDGET APPROVED BY DIRECTOR? (ADMIN USE)], "Approved", Table_REU[BUDGET ACCOUNT NUMBER (AUTOFILLS)], E$18),
    SUMIFS(Table_SU[TOTAL BUDGET REQUESTED], Table_SU[FUND (ADMIN USE)], $A26, Table_SU[BUDGET APPROVED BY DIRECTOR? (ADMIN USE)], "Approved", Table_SU[BUDGET ACCOUNT NUMBER (AUTOFILLS)], E$18)
)</f>
        <v>0</v>
      </c>
      <c r="F26" s="32">
        <f>SUM(
    SUMIFS(Table_ASU[TOTAL BUDGET REQUESTED], Table_ASU[FUND (ADMIN USE)], $A26, Table_ASU[BUDGET APPROVED BY DIRECTOR? (ADMIN USE)], "Approved", Table_ASU[BUDGET ACCOUNT Number (AUTOFILLS)], F$18),
    SUMIFS(Table_ASU2[TOTAL BUDGET REQUESTED], Table_ASU2[FUND (ADMIN USE)], $A26, Table_ASU2[BUDGET APPROVED BY DIRECTOR? (ADMIN USE)], "Approved", Table_ASU2[BUDGET ACCOUNT NUMBER (AUTOFILLS)], F$18),
    SUMIFS(Table_AU[TOTAL BUDGET REQUESTED], Table_AU[FUND (ADMIN USE)], $A26, Table_AU[BUDGET APPROVED BY DIRECTOR? (ADMIN USE)], "Approved", Table_AU[BUDGET ACCOUNT NUMBER (AUTOFILLS)], F$18),
    SUMIFS(Table_CMU[TOTAL BUDGET REQUESTED], Table_CMU[FUND (ADMIN USE)], $A26, Table_CMU[BUDGET APPROVED BY DIRECTOR? (ADMIN USE)], "Approved", Table_CMU[BUDGET ACCOUNT NUMBER (AUTOFILLS)], F$18),
    SUMIFS(Table_E[TOTAL BUDGET REQUESTED], Table_E[FUND (ADMIN USE)], $A26, Table_E[BUDGET APPROVED BY DIRECTOR? (ADMIN USE)], "Approved", Table_E[BUDGET ACCOUNT NUMBER (AUTOFILLS)], F$18),
    SUMIFS(Table_HCA[TOTAL BUDGET REQUESTED], Table_HCA[FUND (ADMIN USE)], $A26, Table_HCA[BUDGET APPROVED BY DIRECTOR? (ADMIN USE)], "Approved", Table_HCA[BUDGET ACCOUNT Number (AUTOFILLS)], F$18),
    SUMIFS(Table_PT[TOTAL BUDGET REQUESTED], Table_PT[FUND (ADMIN USE)], $A26, Table_PT[BUDGET APPROVED BY DIRECTOR? (ADMIN USE)], "Approved", Table_PT[BUDGET ACCOUNT NUMBER (AUTOFILLS)], F$18),
    SUMIFS(Table_REU[TOTAL BUDGET REQUESTED], Table_REU[FUND (ADMIN USE)], $A26, Table_REU[BUDGET APPROVED BY DIRECTOR? (ADMIN USE)], "Approved", Table_REU[BUDGET ACCOUNT NUMBER (AUTOFILLS)], F$18),
    SUMIFS(Table_SU[TOTAL BUDGET REQUESTED], Table_SU[FUND (ADMIN USE)], $A26, Table_SU[BUDGET APPROVED BY DIRECTOR? (ADMIN USE)], "Approved", Table_SU[BUDGET ACCOUNT NUMBER (AUTOFILLS)], F$18)
)</f>
        <v>0</v>
      </c>
      <c r="G26" s="32">
        <f>SUM(
    SUMIFS(Table_ASU[TOTAL BUDGET REQUESTED], Table_ASU[FUND (ADMIN USE)], $A26, Table_ASU[BUDGET APPROVED BY DIRECTOR? (ADMIN USE)], "Approved", Table_ASU[BUDGET ACCOUNT Number (AUTOFILLS)], G$18),
    SUMIFS(Table_ASU2[TOTAL BUDGET REQUESTED], Table_ASU2[FUND (ADMIN USE)], $A26, Table_ASU2[BUDGET APPROVED BY DIRECTOR? (ADMIN USE)], "Approved", Table_ASU2[BUDGET ACCOUNT NUMBER (AUTOFILLS)], G$18),
    SUMIFS(Table_AU[TOTAL BUDGET REQUESTED], Table_AU[FUND (ADMIN USE)], $A26, Table_AU[BUDGET APPROVED BY DIRECTOR? (ADMIN USE)], "Approved", Table_AU[BUDGET ACCOUNT NUMBER (AUTOFILLS)], G$18),
    SUMIFS(Table_CMU[TOTAL BUDGET REQUESTED], Table_CMU[FUND (ADMIN USE)], $A26, Table_CMU[BUDGET APPROVED BY DIRECTOR? (ADMIN USE)], "Approved", Table_CMU[BUDGET ACCOUNT NUMBER (AUTOFILLS)], G$18),
    SUMIFS(Table_E[TOTAL BUDGET REQUESTED], Table_E[FUND (ADMIN USE)], $A26, Table_E[BUDGET APPROVED BY DIRECTOR? (ADMIN USE)], "Approved", Table_E[BUDGET ACCOUNT NUMBER (AUTOFILLS)], G$18),
    SUMIFS(Table_HCA[TOTAL BUDGET REQUESTED], Table_HCA[FUND (ADMIN USE)], $A26, Table_HCA[BUDGET APPROVED BY DIRECTOR? (ADMIN USE)], "Approved", Table_HCA[BUDGET ACCOUNT Number (AUTOFILLS)], G$18),
    SUMIFS(Table_PT[TOTAL BUDGET REQUESTED], Table_PT[FUND (ADMIN USE)], $A26, Table_PT[BUDGET APPROVED BY DIRECTOR? (ADMIN USE)], "Approved", Table_PT[BUDGET ACCOUNT NUMBER (AUTOFILLS)], G$18),
    SUMIFS(Table_REU[TOTAL BUDGET REQUESTED], Table_REU[FUND (ADMIN USE)], $A26, Table_REU[BUDGET APPROVED BY DIRECTOR? (ADMIN USE)], "Approved", Table_REU[BUDGET ACCOUNT NUMBER (AUTOFILLS)], G$18),
    SUMIFS(Table_SU[TOTAL BUDGET REQUESTED], Table_SU[FUND (ADMIN USE)], $A26, Table_SU[BUDGET APPROVED BY DIRECTOR? (ADMIN USE)], "Approved", Table_SU[BUDGET ACCOUNT NUMBER (AUTOFILLS)], G$18)
)</f>
        <v>0</v>
      </c>
      <c r="H26" s="32">
        <f>SUM(
    SUMIFS(Table_ASU[TOTAL BUDGET REQUESTED], Table_ASU[FUND (ADMIN USE)], $A26, Table_ASU[BUDGET APPROVED BY DIRECTOR? (ADMIN USE)], "Approved", Table_ASU[BUDGET ACCOUNT Number (AUTOFILLS)], H$18),
    SUMIFS(Table_ASU2[TOTAL BUDGET REQUESTED], Table_ASU2[FUND (ADMIN USE)], $A26, Table_ASU2[BUDGET APPROVED BY DIRECTOR? (ADMIN USE)], "Approved", Table_ASU2[BUDGET ACCOUNT NUMBER (AUTOFILLS)], H$18),
    SUMIFS(Table_AU[TOTAL BUDGET REQUESTED], Table_AU[FUND (ADMIN USE)], $A26, Table_AU[BUDGET APPROVED BY DIRECTOR? (ADMIN USE)], "Approved", Table_AU[BUDGET ACCOUNT NUMBER (AUTOFILLS)], H$18),
    SUMIFS(Table_CMU[TOTAL BUDGET REQUESTED], Table_CMU[FUND (ADMIN USE)], $A26, Table_CMU[BUDGET APPROVED BY DIRECTOR? (ADMIN USE)], "Approved", Table_CMU[BUDGET ACCOUNT NUMBER (AUTOFILLS)], H$18),
    SUMIFS(Table_E[TOTAL BUDGET REQUESTED], Table_E[FUND (ADMIN USE)], $A26, Table_E[BUDGET APPROVED BY DIRECTOR? (ADMIN USE)], "Approved", Table_E[BUDGET ACCOUNT NUMBER (AUTOFILLS)], H$18),
    SUMIFS(Table_HCA[TOTAL BUDGET REQUESTED], Table_HCA[FUND (ADMIN USE)], $A26, Table_HCA[BUDGET APPROVED BY DIRECTOR? (ADMIN USE)], "Approved", Table_HCA[BUDGET ACCOUNT Number (AUTOFILLS)], H$18),
    SUMIFS(Table_PT[TOTAL BUDGET REQUESTED], Table_PT[FUND (ADMIN USE)], $A26, Table_PT[BUDGET APPROVED BY DIRECTOR? (ADMIN USE)], "Approved", Table_PT[BUDGET ACCOUNT NUMBER (AUTOFILLS)], H$18),
    SUMIFS(Table_REU[TOTAL BUDGET REQUESTED], Table_REU[FUND (ADMIN USE)], $A26, Table_REU[BUDGET APPROVED BY DIRECTOR? (ADMIN USE)], "Approved", Table_REU[BUDGET ACCOUNT NUMBER (AUTOFILLS)], H$18),
    SUMIFS(Table_SU[TOTAL BUDGET REQUESTED], Table_SU[FUND (ADMIN USE)], $A26, Table_SU[BUDGET APPROVED BY DIRECTOR? (ADMIN USE)], "Approved", Table_SU[BUDGET ACCOUNT NUMBER (AUTOFILLS)], H$18)
)</f>
        <v>0</v>
      </c>
      <c r="I26" s="32">
        <f>SUM(
    SUMIFS(Table_ASU[TOTAL BUDGET REQUESTED], Table_ASU[FUND (ADMIN USE)], $A26, Table_ASU[BUDGET APPROVED BY DIRECTOR? (ADMIN USE)], "Approved", Table_ASU[BUDGET ACCOUNT Number (AUTOFILLS)], I$18),
    SUMIFS(Table_ASU2[TOTAL BUDGET REQUESTED], Table_ASU2[FUND (ADMIN USE)], $A26, Table_ASU2[BUDGET APPROVED BY DIRECTOR? (ADMIN USE)], "Approved", Table_ASU2[BUDGET ACCOUNT NUMBER (AUTOFILLS)], I$18),
    SUMIFS(Table_AU[TOTAL BUDGET REQUESTED], Table_AU[FUND (ADMIN USE)], $A26, Table_AU[BUDGET APPROVED BY DIRECTOR? (ADMIN USE)], "Approved", Table_AU[BUDGET ACCOUNT NUMBER (AUTOFILLS)], I$18),
    SUMIFS(Table_CMU[TOTAL BUDGET REQUESTED], Table_CMU[FUND (ADMIN USE)], $A26, Table_CMU[BUDGET APPROVED BY DIRECTOR? (ADMIN USE)], "Approved", Table_CMU[BUDGET ACCOUNT NUMBER (AUTOFILLS)], I$18),
    SUMIFS(Table_E[TOTAL BUDGET REQUESTED], Table_E[FUND (ADMIN USE)], $A26, Table_E[BUDGET APPROVED BY DIRECTOR? (ADMIN USE)], "Approved", Table_E[BUDGET ACCOUNT NUMBER (AUTOFILLS)], I$18),
    SUMIFS(Table_HCA[TOTAL BUDGET REQUESTED], Table_HCA[FUND (ADMIN USE)], $A26, Table_HCA[BUDGET APPROVED BY DIRECTOR? (ADMIN USE)], "Approved", Table_HCA[BUDGET ACCOUNT Number (AUTOFILLS)], I$18),
    SUMIFS(Table_PT[TOTAL BUDGET REQUESTED], Table_PT[FUND (ADMIN USE)], $A26, Table_PT[BUDGET APPROVED BY DIRECTOR? (ADMIN USE)], "Approved", Table_PT[BUDGET ACCOUNT NUMBER (AUTOFILLS)], I$18),
    SUMIFS(Table_REU[TOTAL BUDGET REQUESTED], Table_REU[FUND (ADMIN USE)], $A26, Table_REU[BUDGET APPROVED BY DIRECTOR? (ADMIN USE)], "Approved", Table_REU[BUDGET ACCOUNT NUMBER (AUTOFILLS)], I$18),
    SUMIFS(Table_SU[TOTAL BUDGET REQUESTED], Table_SU[FUND (ADMIN USE)], $A26, Table_SU[BUDGET APPROVED BY DIRECTOR? (ADMIN USE)], "Approved", Table_SU[BUDGET ACCOUNT NUMBER (AUTOFILLS)], I$18)
)</f>
        <v>0</v>
      </c>
      <c r="J26" s="32">
        <f>SUM(
    SUMIFS(Table_ASU[TOTAL BUDGET REQUESTED], Table_ASU[FUND (ADMIN USE)], $A26, Table_ASU[BUDGET APPROVED BY DIRECTOR? (ADMIN USE)], "Approved", Table_ASU[BUDGET ACCOUNT Number (AUTOFILLS)], J$18),
    SUMIFS(Table_ASU2[TOTAL BUDGET REQUESTED], Table_ASU2[FUND (ADMIN USE)], $A26, Table_ASU2[BUDGET APPROVED BY DIRECTOR? (ADMIN USE)], "Approved", Table_ASU2[BUDGET ACCOUNT NUMBER (AUTOFILLS)], J$18),
    SUMIFS(Table_AU[TOTAL BUDGET REQUESTED], Table_AU[FUND (ADMIN USE)], $A26, Table_AU[BUDGET APPROVED BY DIRECTOR? (ADMIN USE)], "Approved", Table_AU[BUDGET ACCOUNT NUMBER (AUTOFILLS)], J$18),
    SUMIFS(Table_CMU[TOTAL BUDGET REQUESTED], Table_CMU[FUND (ADMIN USE)], $A26, Table_CMU[BUDGET APPROVED BY DIRECTOR? (ADMIN USE)], "Approved", Table_CMU[BUDGET ACCOUNT NUMBER (AUTOFILLS)], J$18),
    SUMIFS(Table_E[TOTAL BUDGET REQUESTED], Table_E[FUND (ADMIN USE)], $A26, Table_E[BUDGET APPROVED BY DIRECTOR? (ADMIN USE)], "Approved", Table_E[BUDGET ACCOUNT NUMBER (AUTOFILLS)], J$18),
    SUMIFS(Table_HCA[TOTAL BUDGET REQUESTED], Table_HCA[FUND (ADMIN USE)], $A26, Table_HCA[BUDGET APPROVED BY DIRECTOR? (ADMIN USE)], "Approved", Table_HCA[BUDGET ACCOUNT Number (AUTOFILLS)], J$18),
    SUMIFS(Table_PT[TOTAL BUDGET REQUESTED], Table_PT[FUND (ADMIN USE)], $A26, Table_PT[BUDGET APPROVED BY DIRECTOR? (ADMIN USE)], "Approved", Table_PT[BUDGET ACCOUNT NUMBER (AUTOFILLS)], J$18),
    SUMIFS(Table_REU[TOTAL BUDGET REQUESTED], Table_REU[FUND (ADMIN USE)], $A26, Table_REU[BUDGET APPROVED BY DIRECTOR? (ADMIN USE)], "Approved", Table_REU[BUDGET ACCOUNT NUMBER (AUTOFILLS)], J$18),
    SUMIFS(Table_SU[TOTAL BUDGET REQUESTED], Table_SU[FUND (ADMIN USE)], $A26, Table_SU[BUDGET APPROVED BY DIRECTOR? (ADMIN USE)], "Approved", Table_SU[BUDGET ACCOUNT NUMBER (AUTOFILLS)], J$18)
)</f>
        <v>0</v>
      </c>
      <c r="K26" s="14">
        <f>SUM(Table_Totals25[[#This Row],[88100]:[88800]])</f>
        <v>0</v>
      </c>
    </row>
    <row r="27" spans="1:11" ht="60" customHeight="1">
      <c r="A27" s="29" t="s">
        <v>136</v>
      </c>
      <c r="B27" s="32">
        <f>SUM(
    SUMIFS(Table_ASU[TOTAL BUDGET REQUESTED], Table_ASU[FUND (ADMIN USE)], $A27, Table_ASU[BUDGET APPROVED BY DIRECTOR? (ADMIN USE)], "Approved", Table_ASU[BUDGET ACCOUNT Number (AUTOFILLS)], B$18),
    SUMIFS(Table_ASU2[TOTAL BUDGET REQUESTED], Table_ASU2[FUND (ADMIN USE)], $A27, Table_ASU2[BUDGET APPROVED BY DIRECTOR? (ADMIN USE)], "Approved", Table_ASU2[BUDGET ACCOUNT NUMBER (AUTOFILLS)], B$18),
    SUMIFS(Table_AU[TOTAL BUDGET REQUESTED], Table_AU[FUND (ADMIN USE)], $A27, Table_AU[BUDGET APPROVED BY DIRECTOR? (ADMIN USE)], "Approved", Table_AU[BUDGET ACCOUNT NUMBER (AUTOFILLS)], B$18),
    SUMIFS(Table_CMU[TOTAL BUDGET REQUESTED], Table_CMU[FUND (ADMIN USE)], $A27, Table_CMU[BUDGET APPROVED BY DIRECTOR? (ADMIN USE)], "Approved", Table_CMU[BUDGET ACCOUNT NUMBER (AUTOFILLS)], B$18),
    SUMIFS(Table_E[TOTAL BUDGET REQUESTED], Table_E[FUND (ADMIN USE)], $A27, Table_E[BUDGET APPROVED BY DIRECTOR? (ADMIN USE)], "Approved", Table_E[BUDGET ACCOUNT NUMBER (AUTOFILLS)], B$18),
    SUMIFS(Table_HCA[TOTAL BUDGET REQUESTED], Table_HCA[FUND (ADMIN USE)], $A27, Table_HCA[BUDGET APPROVED BY DIRECTOR? (ADMIN USE)], "Approved", Table_HCA[BUDGET ACCOUNT Number (AUTOFILLS)], B$18),
    SUMIFS(Table_PT[TOTAL BUDGET REQUESTED], Table_PT[FUND (ADMIN USE)], $A27, Table_PT[BUDGET APPROVED BY DIRECTOR? (ADMIN USE)], "Approved", Table_PT[BUDGET ACCOUNT NUMBER (AUTOFILLS)], B$18),
    SUMIFS(Table_REU[TOTAL BUDGET REQUESTED], Table_REU[FUND (ADMIN USE)], $A27, Table_REU[BUDGET APPROVED BY DIRECTOR? (ADMIN USE)], "Approved", Table_REU[BUDGET ACCOUNT NUMBER (AUTOFILLS)], B$18),
    SUMIFS(Table_SU[TOTAL BUDGET REQUESTED], Table_SU[FUND (ADMIN USE)], $A27, Table_SU[BUDGET APPROVED BY DIRECTOR? (ADMIN USE)], "Approved", Table_SU[BUDGET ACCOUNT NUMBER (AUTOFILLS)], B$18)
)</f>
        <v>0</v>
      </c>
      <c r="C27" s="32">
        <f>SUM(
    SUMIFS(Table_ASU[TOTAL BUDGET REQUESTED], Table_ASU[FUND (ADMIN USE)], $A27, Table_ASU[BUDGET APPROVED BY DIRECTOR? (ADMIN USE)], "Approved", Table_ASU[BUDGET ACCOUNT Number (AUTOFILLS)], C$18),
    SUMIFS(Table_ASU2[TOTAL BUDGET REQUESTED], Table_ASU2[FUND (ADMIN USE)], $A27, Table_ASU2[BUDGET APPROVED BY DIRECTOR? (ADMIN USE)], "Approved", Table_ASU2[BUDGET ACCOUNT NUMBER (AUTOFILLS)], C$18),
    SUMIFS(Table_AU[TOTAL BUDGET REQUESTED], Table_AU[FUND (ADMIN USE)], $A27, Table_AU[BUDGET APPROVED BY DIRECTOR? (ADMIN USE)], "Approved", Table_AU[BUDGET ACCOUNT NUMBER (AUTOFILLS)], C$18),
    SUMIFS(Table_CMU[TOTAL BUDGET REQUESTED], Table_CMU[FUND (ADMIN USE)], $A27, Table_CMU[BUDGET APPROVED BY DIRECTOR? (ADMIN USE)], "Approved", Table_CMU[BUDGET ACCOUNT NUMBER (AUTOFILLS)], C$18),
    SUMIFS(Table_E[TOTAL BUDGET REQUESTED], Table_E[FUND (ADMIN USE)], $A27, Table_E[BUDGET APPROVED BY DIRECTOR? (ADMIN USE)], "Approved", Table_E[BUDGET ACCOUNT NUMBER (AUTOFILLS)], C$18),
    SUMIFS(Table_HCA[TOTAL BUDGET REQUESTED], Table_HCA[FUND (ADMIN USE)], $A27, Table_HCA[BUDGET APPROVED BY DIRECTOR? (ADMIN USE)], "Approved", Table_HCA[BUDGET ACCOUNT Number (AUTOFILLS)], C$18),
    SUMIFS(Table_PT[TOTAL BUDGET REQUESTED], Table_PT[FUND (ADMIN USE)], $A27, Table_PT[BUDGET APPROVED BY DIRECTOR? (ADMIN USE)], "Approved", Table_PT[BUDGET ACCOUNT NUMBER (AUTOFILLS)], C$18),
    SUMIFS(Table_REU[TOTAL BUDGET REQUESTED], Table_REU[FUND (ADMIN USE)], $A27, Table_REU[BUDGET APPROVED BY DIRECTOR? (ADMIN USE)], "Approved", Table_REU[BUDGET ACCOUNT NUMBER (AUTOFILLS)], C$18),
    SUMIFS(Table_SU[TOTAL BUDGET REQUESTED], Table_SU[FUND (ADMIN USE)], $A27, Table_SU[BUDGET APPROVED BY DIRECTOR? (ADMIN USE)], "Approved", Table_SU[BUDGET ACCOUNT NUMBER (AUTOFILLS)], C$18)
)</f>
        <v>0</v>
      </c>
      <c r="D27" s="32">
        <f>SUM(
    SUMIFS(Table_ASU[TOTAL BUDGET REQUESTED], Table_ASU[FUND (ADMIN USE)], $A27, Table_ASU[BUDGET APPROVED BY DIRECTOR? (ADMIN USE)], "Approved", Table_ASU[BUDGET ACCOUNT Number (AUTOFILLS)], D$18),
    SUMIFS(Table_ASU2[TOTAL BUDGET REQUESTED], Table_ASU2[FUND (ADMIN USE)], $A27, Table_ASU2[BUDGET APPROVED BY DIRECTOR? (ADMIN USE)], "Approved", Table_ASU2[BUDGET ACCOUNT NUMBER (AUTOFILLS)], D$18),
    SUMIFS(Table_AU[TOTAL BUDGET REQUESTED], Table_AU[FUND (ADMIN USE)], $A27, Table_AU[BUDGET APPROVED BY DIRECTOR? (ADMIN USE)], "Approved", Table_AU[BUDGET ACCOUNT NUMBER (AUTOFILLS)], D$18),
    SUMIFS(Table_CMU[TOTAL BUDGET REQUESTED], Table_CMU[FUND (ADMIN USE)], $A27, Table_CMU[BUDGET APPROVED BY DIRECTOR? (ADMIN USE)], "Approved", Table_CMU[BUDGET ACCOUNT NUMBER (AUTOFILLS)], D$18),
    SUMIFS(Table_E[TOTAL BUDGET REQUESTED], Table_E[FUND (ADMIN USE)], $A27, Table_E[BUDGET APPROVED BY DIRECTOR? (ADMIN USE)], "Approved", Table_E[BUDGET ACCOUNT NUMBER (AUTOFILLS)], D$18),
    SUMIFS(Table_HCA[TOTAL BUDGET REQUESTED], Table_HCA[FUND (ADMIN USE)], $A27, Table_HCA[BUDGET APPROVED BY DIRECTOR? (ADMIN USE)], "Approved", Table_HCA[BUDGET ACCOUNT Number (AUTOFILLS)], D$18),
    SUMIFS(Table_PT[TOTAL BUDGET REQUESTED], Table_PT[FUND (ADMIN USE)], $A27, Table_PT[BUDGET APPROVED BY DIRECTOR? (ADMIN USE)], "Approved", Table_PT[BUDGET ACCOUNT NUMBER (AUTOFILLS)], D$18),
    SUMIFS(Table_REU[TOTAL BUDGET REQUESTED], Table_REU[FUND (ADMIN USE)], $A27, Table_REU[BUDGET APPROVED BY DIRECTOR? (ADMIN USE)], "Approved", Table_REU[BUDGET ACCOUNT NUMBER (AUTOFILLS)], D$18),
    SUMIFS(Table_SU[TOTAL BUDGET REQUESTED], Table_SU[FUND (ADMIN USE)], $A27, Table_SU[BUDGET APPROVED BY DIRECTOR? (ADMIN USE)], "Approved", Table_SU[BUDGET ACCOUNT NUMBER (AUTOFILLS)], D$18)
)</f>
        <v>0</v>
      </c>
      <c r="E27" s="32">
        <f>SUM(
    SUMIFS(Table_ASU[TOTAL BUDGET REQUESTED], Table_ASU[FUND (ADMIN USE)], $A27, Table_ASU[BUDGET APPROVED BY DIRECTOR? (ADMIN USE)], "Approved", Table_ASU[BUDGET ACCOUNT Number (AUTOFILLS)], E$18),
    SUMIFS(Table_ASU2[TOTAL BUDGET REQUESTED], Table_ASU2[FUND (ADMIN USE)], $A27, Table_ASU2[BUDGET APPROVED BY DIRECTOR? (ADMIN USE)], "Approved", Table_ASU2[BUDGET ACCOUNT NUMBER (AUTOFILLS)], E$18),
    SUMIFS(Table_AU[TOTAL BUDGET REQUESTED], Table_AU[FUND (ADMIN USE)], $A27, Table_AU[BUDGET APPROVED BY DIRECTOR? (ADMIN USE)], "Approved", Table_AU[BUDGET ACCOUNT NUMBER (AUTOFILLS)], E$18),
    SUMIFS(Table_CMU[TOTAL BUDGET REQUESTED], Table_CMU[FUND (ADMIN USE)], $A27, Table_CMU[BUDGET APPROVED BY DIRECTOR? (ADMIN USE)], "Approved", Table_CMU[BUDGET ACCOUNT NUMBER (AUTOFILLS)], E$18),
    SUMIFS(Table_E[TOTAL BUDGET REQUESTED], Table_E[FUND (ADMIN USE)], $A27, Table_E[BUDGET APPROVED BY DIRECTOR? (ADMIN USE)], "Approved", Table_E[BUDGET ACCOUNT NUMBER (AUTOFILLS)], E$18),
    SUMIFS(Table_HCA[TOTAL BUDGET REQUESTED], Table_HCA[FUND (ADMIN USE)], $A27, Table_HCA[BUDGET APPROVED BY DIRECTOR? (ADMIN USE)], "Approved", Table_HCA[BUDGET ACCOUNT Number (AUTOFILLS)], E$18),
    SUMIFS(Table_PT[TOTAL BUDGET REQUESTED], Table_PT[FUND (ADMIN USE)], $A27, Table_PT[BUDGET APPROVED BY DIRECTOR? (ADMIN USE)], "Approved", Table_PT[BUDGET ACCOUNT NUMBER (AUTOFILLS)], E$18),
    SUMIFS(Table_REU[TOTAL BUDGET REQUESTED], Table_REU[FUND (ADMIN USE)], $A27, Table_REU[BUDGET APPROVED BY DIRECTOR? (ADMIN USE)], "Approved", Table_REU[BUDGET ACCOUNT NUMBER (AUTOFILLS)], E$18),
    SUMIFS(Table_SU[TOTAL BUDGET REQUESTED], Table_SU[FUND (ADMIN USE)], $A27, Table_SU[BUDGET APPROVED BY DIRECTOR? (ADMIN USE)], "Approved", Table_SU[BUDGET ACCOUNT NUMBER (AUTOFILLS)], E$18)
)</f>
        <v>0</v>
      </c>
      <c r="F27" s="32">
        <f>SUM(
    SUMIFS(Table_ASU[TOTAL BUDGET REQUESTED], Table_ASU[FUND (ADMIN USE)], $A27, Table_ASU[BUDGET APPROVED BY DIRECTOR? (ADMIN USE)], "Approved", Table_ASU[BUDGET ACCOUNT Number (AUTOFILLS)], F$18),
    SUMIFS(Table_ASU2[TOTAL BUDGET REQUESTED], Table_ASU2[FUND (ADMIN USE)], $A27, Table_ASU2[BUDGET APPROVED BY DIRECTOR? (ADMIN USE)], "Approved", Table_ASU2[BUDGET ACCOUNT NUMBER (AUTOFILLS)], F$18),
    SUMIFS(Table_AU[TOTAL BUDGET REQUESTED], Table_AU[FUND (ADMIN USE)], $A27, Table_AU[BUDGET APPROVED BY DIRECTOR? (ADMIN USE)], "Approved", Table_AU[BUDGET ACCOUNT NUMBER (AUTOFILLS)], F$18),
    SUMIFS(Table_CMU[TOTAL BUDGET REQUESTED], Table_CMU[FUND (ADMIN USE)], $A27, Table_CMU[BUDGET APPROVED BY DIRECTOR? (ADMIN USE)], "Approved", Table_CMU[BUDGET ACCOUNT NUMBER (AUTOFILLS)], F$18),
    SUMIFS(Table_E[TOTAL BUDGET REQUESTED], Table_E[FUND (ADMIN USE)], $A27, Table_E[BUDGET APPROVED BY DIRECTOR? (ADMIN USE)], "Approved", Table_E[BUDGET ACCOUNT NUMBER (AUTOFILLS)], F$18),
    SUMIFS(Table_HCA[TOTAL BUDGET REQUESTED], Table_HCA[FUND (ADMIN USE)], $A27, Table_HCA[BUDGET APPROVED BY DIRECTOR? (ADMIN USE)], "Approved", Table_HCA[BUDGET ACCOUNT Number (AUTOFILLS)], F$18),
    SUMIFS(Table_PT[TOTAL BUDGET REQUESTED], Table_PT[FUND (ADMIN USE)], $A27, Table_PT[BUDGET APPROVED BY DIRECTOR? (ADMIN USE)], "Approved", Table_PT[BUDGET ACCOUNT NUMBER (AUTOFILLS)], F$18),
    SUMIFS(Table_REU[TOTAL BUDGET REQUESTED], Table_REU[FUND (ADMIN USE)], $A27, Table_REU[BUDGET APPROVED BY DIRECTOR? (ADMIN USE)], "Approved", Table_REU[BUDGET ACCOUNT NUMBER (AUTOFILLS)], F$18),
    SUMIFS(Table_SU[TOTAL BUDGET REQUESTED], Table_SU[FUND (ADMIN USE)], $A27, Table_SU[BUDGET APPROVED BY DIRECTOR? (ADMIN USE)], "Approved", Table_SU[BUDGET ACCOUNT NUMBER (AUTOFILLS)], F$18)
)</f>
        <v>0</v>
      </c>
      <c r="G27" s="32">
        <f>SUM(
    SUMIFS(Table_ASU[TOTAL BUDGET REQUESTED], Table_ASU[FUND (ADMIN USE)], $A27, Table_ASU[BUDGET APPROVED BY DIRECTOR? (ADMIN USE)], "Approved", Table_ASU[BUDGET ACCOUNT Number (AUTOFILLS)], G$18),
    SUMIFS(Table_ASU2[TOTAL BUDGET REQUESTED], Table_ASU2[FUND (ADMIN USE)], $A27, Table_ASU2[BUDGET APPROVED BY DIRECTOR? (ADMIN USE)], "Approved", Table_ASU2[BUDGET ACCOUNT NUMBER (AUTOFILLS)], G$18),
    SUMIFS(Table_AU[TOTAL BUDGET REQUESTED], Table_AU[FUND (ADMIN USE)], $A27, Table_AU[BUDGET APPROVED BY DIRECTOR? (ADMIN USE)], "Approved", Table_AU[BUDGET ACCOUNT NUMBER (AUTOFILLS)], G$18),
    SUMIFS(Table_CMU[TOTAL BUDGET REQUESTED], Table_CMU[FUND (ADMIN USE)], $A27, Table_CMU[BUDGET APPROVED BY DIRECTOR? (ADMIN USE)], "Approved", Table_CMU[BUDGET ACCOUNT NUMBER (AUTOFILLS)], G$18),
    SUMIFS(Table_E[TOTAL BUDGET REQUESTED], Table_E[FUND (ADMIN USE)], $A27, Table_E[BUDGET APPROVED BY DIRECTOR? (ADMIN USE)], "Approved", Table_E[BUDGET ACCOUNT NUMBER (AUTOFILLS)], G$18),
    SUMIFS(Table_HCA[TOTAL BUDGET REQUESTED], Table_HCA[FUND (ADMIN USE)], $A27, Table_HCA[BUDGET APPROVED BY DIRECTOR? (ADMIN USE)], "Approved", Table_HCA[BUDGET ACCOUNT Number (AUTOFILLS)], G$18),
    SUMIFS(Table_PT[TOTAL BUDGET REQUESTED], Table_PT[FUND (ADMIN USE)], $A27, Table_PT[BUDGET APPROVED BY DIRECTOR? (ADMIN USE)], "Approved", Table_PT[BUDGET ACCOUNT NUMBER (AUTOFILLS)], G$18),
    SUMIFS(Table_REU[TOTAL BUDGET REQUESTED], Table_REU[FUND (ADMIN USE)], $A27, Table_REU[BUDGET APPROVED BY DIRECTOR? (ADMIN USE)], "Approved", Table_REU[BUDGET ACCOUNT NUMBER (AUTOFILLS)], G$18),
    SUMIFS(Table_SU[TOTAL BUDGET REQUESTED], Table_SU[FUND (ADMIN USE)], $A27, Table_SU[BUDGET APPROVED BY DIRECTOR? (ADMIN USE)], "Approved", Table_SU[BUDGET ACCOUNT NUMBER (AUTOFILLS)], G$18)
)</f>
        <v>0</v>
      </c>
      <c r="H27" s="32">
        <f>SUM(
    SUMIFS(Table_ASU[TOTAL BUDGET REQUESTED], Table_ASU[FUND (ADMIN USE)], $A27, Table_ASU[BUDGET APPROVED BY DIRECTOR? (ADMIN USE)], "Approved", Table_ASU[BUDGET ACCOUNT Number (AUTOFILLS)], H$18),
    SUMIFS(Table_ASU2[TOTAL BUDGET REQUESTED], Table_ASU2[FUND (ADMIN USE)], $A27, Table_ASU2[BUDGET APPROVED BY DIRECTOR? (ADMIN USE)], "Approved", Table_ASU2[BUDGET ACCOUNT NUMBER (AUTOFILLS)], H$18),
    SUMIFS(Table_AU[TOTAL BUDGET REQUESTED], Table_AU[FUND (ADMIN USE)], $A27, Table_AU[BUDGET APPROVED BY DIRECTOR? (ADMIN USE)], "Approved", Table_AU[BUDGET ACCOUNT NUMBER (AUTOFILLS)], H$18),
    SUMIFS(Table_CMU[TOTAL BUDGET REQUESTED], Table_CMU[FUND (ADMIN USE)], $A27, Table_CMU[BUDGET APPROVED BY DIRECTOR? (ADMIN USE)], "Approved", Table_CMU[BUDGET ACCOUNT NUMBER (AUTOFILLS)], H$18),
    SUMIFS(Table_E[TOTAL BUDGET REQUESTED], Table_E[FUND (ADMIN USE)], $A27, Table_E[BUDGET APPROVED BY DIRECTOR? (ADMIN USE)], "Approved", Table_E[BUDGET ACCOUNT NUMBER (AUTOFILLS)], H$18),
    SUMIFS(Table_HCA[TOTAL BUDGET REQUESTED], Table_HCA[FUND (ADMIN USE)], $A27, Table_HCA[BUDGET APPROVED BY DIRECTOR? (ADMIN USE)], "Approved", Table_HCA[BUDGET ACCOUNT Number (AUTOFILLS)], H$18),
    SUMIFS(Table_PT[TOTAL BUDGET REQUESTED], Table_PT[FUND (ADMIN USE)], $A27, Table_PT[BUDGET APPROVED BY DIRECTOR? (ADMIN USE)], "Approved", Table_PT[BUDGET ACCOUNT NUMBER (AUTOFILLS)], H$18),
    SUMIFS(Table_REU[TOTAL BUDGET REQUESTED], Table_REU[FUND (ADMIN USE)], $A27, Table_REU[BUDGET APPROVED BY DIRECTOR? (ADMIN USE)], "Approved", Table_REU[BUDGET ACCOUNT NUMBER (AUTOFILLS)], H$18),
    SUMIFS(Table_SU[TOTAL BUDGET REQUESTED], Table_SU[FUND (ADMIN USE)], $A27, Table_SU[BUDGET APPROVED BY DIRECTOR? (ADMIN USE)], "Approved", Table_SU[BUDGET ACCOUNT NUMBER (AUTOFILLS)], H$18)
)</f>
        <v>0</v>
      </c>
      <c r="I27" s="32">
        <f>SUM(
    SUMIFS(Table_ASU[TOTAL BUDGET REQUESTED], Table_ASU[FUND (ADMIN USE)], $A27, Table_ASU[BUDGET APPROVED BY DIRECTOR? (ADMIN USE)], "Approved", Table_ASU[BUDGET ACCOUNT Number (AUTOFILLS)], I$18),
    SUMIFS(Table_ASU2[TOTAL BUDGET REQUESTED], Table_ASU2[FUND (ADMIN USE)], $A27, Table_ASU2[BUDGET APPROVED BY DIRECTOR? (ADMIN USE)], "Approved", Table_ASU2[BUDGET ACCOUNT NUMBER (AUTOFILLS)], I$18),
    SUMIFS(Table_AU[TOTAL BUDGET REQUESTED], Table_AU[FUND (ADMIN USE)], $A27, Table_AU[BUDGET APPROVED BY DIRECTOR? (ADMIN USE)], "Approved", Table_AU[BUDGET ACCOUNT NUMBER (AUTOFILLS)], I$18),
    SUMIFS(Table_CMU[TOTAL BUDGET REQUESTED], Table_CMU[FUND (ADMIN USE)], $A27, Table_CMU[BUDGET APPROVED BY DIRECTOR? (ADMIN USE)], "Approved", Table_CMU[BUDGET ACCOUNT NUMBER (AUTOFILLS)], I$18),
    SUMIFS(Table_E[TOTAL BUDGET REQUESTED], Table_E[FUND (ADMIN USE)], $A27, Table_E[BUDGET APPROVED BY DIRECTOR? (ADMIN USE)], "Approved", Table_E[BUDGET ACCOUNT NUMBER (AUTOFILLS)], I$18),
    SUMIFS(Table_HCA[TOTAL BUDGET REQUESTED], Table_HCA[FUND (ADMIN USE)], $A27, Table_HCA[BUDGET APPROVED BY DIRECTOR? (ADMIN USE)], "Approved", Table_HCA[BUDGET ACCOUNT Number (AUTOFILLS)], I$18),
    SUMIFS(Table_PT[TOTAL BUDGET REQUESTED], Table_PT[FUND (ADMIN USE)], $A27, Table_PT[BUDGET APPROVED BY DIRECTOR? (ADMIN USE)], "Approved", Table_PT[BUDGET ACCOUNT NUMBER (AUTOFILLS)], I$18),
    SUMIFS(Table_REU[TOTAL BUDGET REQUESTED], Table_REU[FUND (ADMIN USE)], $A27, Table_REU[BUDGET APPROVED BY DIRECTOR? (ADMIN USE)], "Approved", Table_REU[BUDGET ACCOUNT NUMBER (AUTOFILLS)], I$18),
    SUMIFS(Table_SU[TOTAL BUDGET REQUESTED], Table_SU[FUND (ADMIN USE)], $A27, Table_SU[BUDGET APPROVED BY DIRECTOR? (ADMIN USE)], "Approved", Table_SU[BUDGET ACCOUNT NUMBER (AUTOFILLS)], I$18)
)</f>
        <v>0</v>
      </c>
      <c r="J27" s="32">
        <f>SUM(
    SUMIFS(Table_ASU[TOTAL BUDGET REQUESTED], Table_ASU[FUND (ADMIN USE)], $A27, Table_ASU[BUDGET APPROVED BY DIRECTOR? (ADMIN USE)], "Approved", Table_ASU[BUDGET ACCOUNT Number (AUTOFILLS)], J$18),
    SUMIFS(Table_ASU2[TOTAL BUDGET REQUESTED], Table_ASU2[FUND (ADMIN USE)], $A27, Table_ASU2[BUDGET APPROVED BY DIRECTOR? (ADMIN USE)], "Approved", Table_ASU2[BUDGET ACCOUNT NUMBER (AUTOFILLS)], J$18),
    SUMIFS(Table_AU[TOTAL BUDGET REQUESTED], Table_AU[FUND (ADMIN USE)], $A27, Table_AU[BUDGET APPROVED BY DIRECTOR? (ADMIN USE)], "Approved", Table_AU[BUDGET ACCOUNT NUMBER (AUTOFILLS)], J$18),
    SUMIFS(Table_CMU[TOTAL BUDGET REQUESTED], Table_CMU[FUND (ADMIN USE)], $A27, Table_CMU[BUDGET APPROVED BY DIRECTOR? (ADMIN USE)], "Approved", Table_CMU[BUDGET ACCOUNT NUMBER (AUTOFILLS)], J$18),
    SUMIFS(Table_E[TOTAL BUDGET REQUESTED], Table_E[FUND (ADMIN USE)], $A27, Table_E[BUDGET APPROVED BY DIRECTOR? (ADMIN USE)], "Approved", Table_E[BUDGET ACCOUNT NUMBER (AUTOFILLS)], J$18),
    SUMIFS(Table_HCA[TOTAL BUDGET REQUESTED], Table_HCA[FUND (ADMIN USE)], $A27, Table_HCA[BUDGET APPROVED BY DIRECTOR? (ADMIN USE)], "Approved", Table_HCA[BUDGET ACCOUNT Number (AUTOFILLS)], J$18),
    SUMIFS(Table_PT[TOTAL BUDGET REQUESTED], Table_PT[FUND (ADMIN USE)], $A27, Table_PT[BUDGET APPROVED BY DIRECTOR? (ADMIN USE)], "Approved", Table_PT[BUDGET ACCOUNT NUMBER (AUTOFILLS)], J$18),
    SUMIFS(Table_REU[TOTAL BUDGET REQUESTED], Table_REU[FUND (ADMIN USE)], $A27, Table_REU[BUDGET APPROVED BY DIRECTOR? (ADMIN USE)], "Approved", Table_REU[BUDGET ACCOUNT NUMBER (AUTOFILLS)], J$18),
    SUMIFS(Table_SU[TOTAL BUDGET REQUESTED], Table_SU[FUND (ADMIN USE)], $A27, Table_SU[BUDGET APPROVED BY DIRECTOR? (ADMIN USE)], "Approved", Table_SU[BUDGET ACCOUNT NUMBER (AUTOFILLS)], J$18)
)</f>
        <v>0</v>
      </c>
      <c r="K27" s="14">
        <f>SUM(Table_Totals25[[#This Row],[88100]:[88800]])</f>
        <v>0</v>
      </c>
    </row>
    <row r="28" spans="1:11" ht="60" customHeight="1">
      <c r="A28" s="29" t="s">
        <v>155</v>
      </c>
      <c r="B28" s="32">
        <f>SUM(
    SUMIFS(Table_ASU[TOTAL BUDGET REQUESTED], Table_ASU[FUND (ADMIN USE)], $A28, Table_ASU[BUDGET APPROVED BY DIRECTOR? (ADMIN USE)], "Approved", Table_ASU[BUDGET ACCOUNT Number (AUTOFILLS)], B$18),
    SUMIFS(Table_ASU2[TOTAL BUDGET REQUESTED], Table_ASU2[FUND (ADMIN USE)], $A28, Table_ASU2[BUDGET APPROVED BY DIRECTOR? (ADMIN USE)], "Approved", Table_ASU2[BUDGET ACCOUNT NUMBER (AUTOFILLS)], B$18),
    SUMIFS(Table_AU[TOTAL BUDGET REQUESTED], Table_AU[FUND (ADMIN USE)], $A28, Table_AU[BUDGET APPROVED BY DIRECTOR? (ADMIN USE)], "Approved", Table_AU[BUDGET ACCOUNT NUMBER (AUTOFILLS)], B$18),
    SUMIFS(Table_CMU[TOTAL BUDGET REQUESTED], Table_CMU[FUND (ADMIN USE)], $A28, Table_CMU[BUDGET APPROVED BY DIRECTOR? (ADMIN USE)], "Approved", Table_CMU[BUDGET ACCOUNT NUMBER (AUTOFILLS)], B$18),
    SUMIFS(Table_E[TOTAL BUDGET REQUESTED], Table_E[FUND (ADMIN USE)], $A28, Table_E[BUDGET APPROVED BY DIRECTOR? (ADMIN USE)], "Approved", Table_E[BUDGET ACCOUNT NUMBER (AUTOFILLS)], B$18),
    SUMIFS(Table_HCA[TOTAL BUDGET REQUESTED], Table_HCA[FUND (ADMIN USE)], $A28, Table_HCA[BUDGET APPROVED BY DIRECTOR? (ADMIN USE)], "Approved", Table_HCA[BUDGET ACCOUNT Number (AUTOFILLS)], B$18),
    SUMIFS(Table_PT[TOTAL BUDGET REQUESTED], Table_PT[FUND (ADMIN USE)], $A28, Table_PT[BUDGET APPROVED BY DIRECTOR? (ADMIN USE)], "Approved", Table_PT[BUDGET ACCOUNT NUMBER (AUTOFILLS)], B$18),
    SUMIFS(Table_REU[TOTAL BUDGET REQUESTED], Table_REU[FUND (ADMIN USE)], $A28, Table_REU[BUDGET APPROVED BY DIRECTOR? (ADMIN USE)], "Approved", Table_REU[BUDGET ACCOUNT NUMBER (AUTOFILLS)], B$18),
    SUMIFS(Table_SU[TOTAL BUDGET REQUESTED], Table_SU[FUND (ADMIN USE)], $A28, Table_SU[BUDGET APPROVED BY DIRECTOR? (ADMIN USE)], "Approved", Table_SU[BUDGET ACCOUNT NUMBER (AUTOFILLS)], B$18)
)</f>
        <v>0</v>
      </c>
      <c r="C28" s="32">
        <f>SUM(
    SUMIFS(Table_ASU[TOTAL BUDGET REQUESTED], Table_ASU[FUND (ADMIN USE)], $A28, Table_ASU[BUDGET APPROVED BY DIRECTOR? (ADMIN USE)], "Approved", Table_ASU[BUDGET ACCOUNT Number (AUTOFILLS)], C$18),
    SUMIFS(Table_ASU2[TOTAL BUDGET REQUESTED], Table_ASU2[FUND (ADMIN USE)], $A28, Table_ASU2[BUDGET APPROVED BY DIRECTOR? (ADMIN USE)], "Approved", Table_ASU2[BUDGET ACCOUNT NUMBER (AUTOFILLS)], C$18),
    SUMIFS(Table_AU[TOTAL BUDGET REQUESTED], Table_AU[FUND (ADMIN USE)], $A28, Table_AU[BUDGET APPROVED BY DIRECTOR? (ADMIN USE)], "Approved", Table_AU[BUDGET ACCOUNT NUMBER (AUTOFILLS)], C$18),
    SUMIFS(Table_CMU[TOTAL BUDGET REQUESTED], Table_CMU[FUND (ADMIN USE)], $A28, Table_CMU[BUDGET APPROVED BY DIRECTOR? (ADMIN USE)], "Approved", Table_CMU[BUDGET ACCOUNT NUMBER (AUTOFILLS)], C$18),
    SUMIFS(Table_E[TOTAL BUDGET REQUESTED], Table_E[FUND (ADMIN USE)], $A28, Table_E[BUDGET APPROVED BY DIRECTOR? (ADMIN USE)], "Approved", Table_E[BUDGET ACCOUNT NUMBER (AUTOFILLS)], C$18),
    SUMIFS(Table_HCA[TOTAL BUDGET REQUESTED], Table_HCA[FUND (ADMIN USE)], $A28, Table_HCA[BUDGET APPROVED BY DIRECTOR? (ADMIN USE)], "Approved", Table_HCA[BUDGET ACCOUNT Number (AUTOFILLS)], C$18),
    SUMIFS(Table_PT[TOTAL BUDGET REQUESTED], Table_PT[FUND (ADMIN USE)], $A28, Table_PT[BUDGET APPROVED BY DIRECTOR? (ADMIN USE)], "Approved", Table_PT[BUDGET ACCOUNT NUMBER (AUTOFILLS)], C$18),
    SUMIFS(Table_REU[TOTAL BUDGET REQUESTED], Table_REU[FUND (ADMIN USE)], $A28, Table_REU[BUDGET APPROVED BY DIRECTOR? (ADMIN USE)], "Approved", Table_REU[BUDGET ACCOUNT NUMBER (AUTOFILLS)], C$18),
    SUMIFS(Table_SU[TOTAL BUDGET REQUESTED], Table_SU[FUND (ADMIN USE)], $A28, Table_SU[BUDGET APPROVED BY DIRECTOR? (ADMIN USE)], "Approved", Table_SU[BUDGET ACCOUNT NUMBER (AUTOFILLS)], C$18)
)</f>
        <v>0</v>
      </c>
      <c r="D28" s="32">
        <f>SUM(
    SUMIFS(Table_ASU[TOTAL BUDGET REQUESTED], Table_ASU[FUND (ADMIN USE)], $A28, Table_ASU[BUDGET APPROVED BY DIRECTOR? (ADMIN USE)], "Approved", Table_ASU[BUDGET ACCOUNT Number (AUTOFILLS)], D$18),
    SUMIFS(Table_ASU2[TOTAL BUDGET REQUESTED], Table_ASU2[FUND (ADMIN USE)], $A28, Table_ASU2[BUDGET APPROVED BY DIRECTOR? (ADMIN USE)], "Approved", Table_ASU2[BUDGET ACCOUNT NUMBER (AUTOFILLS)], D$18),
    SUMIFS(Table_AU[TOTAL BUDGET REQUESTED], Table_AU[FUND (ADMIN USE)], $A28, Table_AU[BUDGET APPROVED BY DIRECTOR? (ADMIN USE)], "Approved", Table_AU[BUDGET ACCOUNT NUMBER (AUTOFILLS)], D$18),
    SUMIFS(Table_CMU[TOTAL BUDGET REQUESTED], Table_CMU[FUND (ADMIN USE)], $A28, Table_CMU[BUDGET APPROVED BY DIRECTOR? (ADMIN USE)], "Approved", Table_CMU[BUDGET ACCOUNT NUMBER (AUTOFILLS)], D$18),
    SUMIFS(Table_E[TOTAL BUDGET REQUESTED], Table_E[FUND (ADMIN USE)], $A28, Table_E[BUDGET APPROVED BY DIRECTOR? (ADMIN USE)], "Approved", Table_E[BUDGET ACCOUNT NUMBER (AUTOFILLS)], D$18),
    SUMIFS(Table_HCA[TOTAL BUDGET REQUESTED], Table_HCA[FUND (ADMIN USE)], $A28, Table_HCA[BUDGET APPROVED BY DIRECTOR? (ADMIN USE)], "Approved", Table_HCA[BUDGET ACCOUNT Number (AUTOFILLS)], D$18),
    SUMIFS(Table_PT[TOTAL BUDGET REQUESTED], Table_PT[FUND (ADMIN USE)], $A28, Table_PT[BUDGET APPROVED BY DIRECTOR? (ADMIN USE)], "Approved", Table_PT[BUDGET ACCOUNT NUMBER (AUTOFILLS)], D$18),
    SUMIFS(Table_REU[TOTAL BUDGET REQUESTED], Table_REU[FUND (ADMIN USE)], $A28, Table_REU[BUDGET APPROVED BY DIRECTOR? (ADMIN USE)], "Approved", Table_REU[BUDGET ACCOUNT NUMBER (AUTOFILLS)], D$18),
    SUMIFS(Table_SU[TOTAL BUDGET REQUESTED], Table_SU[FUND (ADMIN USE)], $A28, Table_SU[BUDGET APPROVED BY DIRECTOR? (ADMIN USE)], "Approved", Table_SU[BUDGET ACCOUNT NUMBER (AUTOFILLS)], D$18)
)</f>
        <v>0</v>
      </c>
      <c r="E28" s="32">
        <f>SUM(
    SUMIFS(Table_ASU[TOTAL BUDGET REQUESTED], Table_ASU[FUND (ADMIN USE)], $A28, Table_ASU[BUDGET APPROVED BY DIRECTOR? (ADMIN USE)], "Approved", Table_ASU[BUDGET ACCOUNT Number (AUTOFILLS)], E$18),
    SUMIFS(Table_ASU2[TOTAL BUDGET REQUESTED], Table_ASU2[FUND (ADMIN USE)], $A28, Table_ASU2[BUDGET APPROVED BY DIRECTOR? (ADMIN USE)], "Approved", Table_ASU2[BUDGET ACCOUNT NUMBER (AUTOFILLS)], E$18),
    SUMIFS(Table_AU[TOTAL BUDGET REQUESTED], Table_AU[FUND (ADMIN USE)], $A28, Table_AU[BUDGET APPROVED BY DIRECTOR? (ADMIN USE)], "Approved", Table_AU[BUDGET ACCOUNT NUMBER (AUTOFILLS)], E$18),
    SUMIFS(Table_CMU[TOTAL BUDGET REQUESTED], Table_CMU[FUND (ADMIN USE)], $A28, Table_CMU[BUDGET APPROVED BY DIRECTOR? (ADMIN USE)], "Approved", Table_CMU[BUDGET ACCOUNT NUMBER (AUTOFILLS)], E$18),
    SUMIFS(Table_E[TOTAL BUDGET REQUESTED], Table_E[FUND (ADMIN USE)], $A28, Table_E[BUDGET APPROVED BY DIRECTOR? (ADMIN USE)], "Approved", Table_E[BUDGET ACCOUNT NUMBER (AUTOFILLS)], E$18),
    SUMIFS(Table_HCA[TOTAL BUDGET REQUESTED], Table_HCA[FUND (ADMIN USE)], $A28, Table_HCA[BUDGET APPROVED BY DIRECTOR? (ADMIN USE)], "Approved", Table_HCA[BUDGET ACCOUNT Number (AUTOFILLS)], E$18),
    SUMIFS(Table_PT[TOTAL BUDGET REQUESTED], Table_PT[FUND (ADMIN USE)], $A28, Table_PT[BUDGET APPROVED BY DIRECTOR? (ADMIN USE)], "Approved", Table_PT[BUDGET ACCOUNT NUMBER (AUTOFILLS)], E$18),
    SUMIFS(Table_REU[TOTAL BUDGET REQUESTED], Table_REU[FUND (ADMIN USE)], $A28, Table_REU[BUDGET APPROVED BY DIRECTOR? (ADMIN USE)], "Approved", Table_REU[BUDGET ACCOUNT NUMBER (AUTOFILLS)], E$18),
    SUMIFS(Table_SU[TOTAL BUDGET REQUESTED], Table_SU[FUND (ADMIN USE)], $A28, Table_SU[BUDGET APPROVED BY DIRECTOR? (ADMIN USE)], "Approved", Table_SU[BUDGET ACCOUNT NUMBER (AUTOFILLS)], E$18)
)</f>
        <v>0</v>
      </c>
      <c r="F28" s="32">
        <f>SUM(
    SUMIFS(Table_ASU[TOTAL BUDGET REQUESTED], Table_ASU[FUND (ADMIN USE)], $A28, Table_ASU[BUDGET APPROVED BY DIRECTOR? (ADMIN USE)], "Approved", Table_ASU[BUDGET ACCOUNT Number (AUTOFILLS)], F$18),
    SUMIFS(Table_ASU2[TOTAL BUDGET REQUESTED], Table_ASU2[FUND (ADMIN USE)], $A28, Table_ASU2[BUDGET APPROVED BY DIRECTOR? (ADMIN USE)], "Approved", Table_ASU2[BUDGET ACCOUNT NUMBER (AUTOFILLS)], F$18),
    SUMIFS(Table_AU[TOTAL BUDGET REQUESTED], Table_AU[FUND (ADMIN USE)], $A28, Table_AU[BUDGET APPROVED BY DIRECTOR? (ADMIN USE)], "Approved", Table_AU[BUDGET ACCOUNT NUMBER (AUTOFILLS)], F$18),
    SUMIFS(Table_CMU[TOTAL BUDGET REQUESTED], Table_CMU[FUND (ADMIN USE)], $A28, Table_CMU[BUDGET APPROVED BY DIRECTOR? (ADMIN USE)], "Approved", Table_CMU[BUDGET ACCOUNT NUMBER (AUTOFILLS)], F$18),
    SUMIFS(Table_E[TOTAL BUDGET REQUESTED], Table_E[FUND (ADMIN USE)], $A28, Table_E[BUDGET APPROVED BY DIRECTOR? (ADMIN USE)], "Approved", Table_E[BUDGET ACCOUNT NUMBER (AUTOFILLS)], F$18),
    SUMIFS(Table_HCA[TOTAL BUDGET REQUESTED], Table_HCA[FUND (ADMIN USE)], $A28, Table_HCA[BUDGET APPROVED BY DIRECTOR? (ADMIN USE)], "Approved", Table_HCA[BUDGET ACCOUNT Number (AUTOFILLS)], F$18),
    SUMIFS(Table_PT[TOTAL BUDGET REQUESTED], Table_PT[FUND (ADMIN USE)], $A28, Table_PT[BUDGET APPROVED BY DIRECTOR? (ADMIN USE)], "Approved", Table_PT[BUDGET ACCOUNT NUMBER (AUTOFILLS)], F$18),
    SUMIFS(Table_REU[TOTAL BUDGET REQUESTED], Table_REU[FUND (ADMIN USE)], $A28, Table_REU[BUDGET APPROVED BY DIRECTOR? (ADMIN USE)], "Approved", Table_REU[BUDGET ACCOUNT NUMBER (AUTOFILLS)], F$18),
    SUMIFS(Table_SU[TOTAL BUDGET REQUESTED], Table_SU[FUND (ADMIN USE)], $A28, Table_SU[BUDGET APPROVED BY DIRECTOR? (ADMIN USE)], "Approved", Table_SU[BUDGET ACCOUNT NUMBER (AUTOFILLS)], F$18)
)</f>
        <v>0</v>
      </c>
      <c r="G28" s="32">
        <f>SUM(
    SUMIFS(Table_ASU[TOTAL BUDGET REQUESTED], Table_ASU[FUND (ADMIN USE)], $A28, Table_ASU[BUDGET APPROVED BY DIRECTOR? (ADMIN USE)], "Approved", Table_ASU[BUDGET ACCOUNT Number (AUTOFILLS)], G$18),
    SUMIFS(Table_ASU2[TOTAL BUDGET REQUESTED], Table_ASU2[FUND (ADMIN USE)], $A28, Table_ASU2[BUDGET APPROVED BY DIRECTOR? (ADMIN USE)], "Approved", Table_ASU2[BUDGET ACCOUNT NUMBER (AUTOFILLS)], G$18),
    SUMIFS(Table_AU[TOTAL BUDGET REQUESTED], Table_AU[FUND (ADMIN USE)], $A28, Table_AU[BUDGET APPROVED BY DIRECTOR? (ADMIN USE)], "Approved", Table_AU[BUDGET ACCOUNT NUMBER (AUTOFILLS)], G$18),
    SUMIFS(Table_CMU[TOTAL BUDGET REQUESTED], Table_CMU[FUND (ADMIN USE)], $A28, Table_CMU[BUDGET APPROVED BY DIRECTOR? (ADMIN USE)], "Approved", Table_CMU[BUDGET ACCOUNT NUMBER (AUTOFILLS)], G$18),
    SUMIFS(Table_E[TOTAL BUDGET REQUESTED], Table_E[FUND (ADMIN USE)], $A28, Table_E[BUDGET APPROVED BY DIRECTOR? (ADMIN USE)], "Approved", Table_E[BUDGET ACCOUNT NUMBER (AUTOFILLS)], G$18),
    SUMIFS(Table_HCA[TOTAL BUDGET REQUESTED], Table_HCA[FUND (ADMIN USE)], $A28, Table_HCA[BUDGET APPROVED BY DIRECTOR? (ADMIN USE)], "Approved", Table_HCA[BUDGET ACCOUNT Number (AUTOFILLS)], G$18),
    SUMIFS(Table_PT[TOTAL BUDGET REQUESTED], Table_PT[FUND (ADMIN USE)], $A28, Table_PT[BUDGET APPROVED BY DIRECTOR? (ADMIN USE)], "Approved", Table_PT[BUDGET ACCOUNT NUMBER (AUTOFILLS)], G$18),
    SUMIFS(Table_REU[TOTAL BUDGET REQUESTED], Table_REU[FUND (ADMIN USE)], $A28, Table_REU[BUDGET APPROVED BY DIRECTOR? (ADMIN USE)], "Approved", Table_REU[BUDGET ACCOUNT NUMBER (AUTOFILLS)], G$18),
    SUMIFS(Table_SU[TOTAL BUDGET REQUESTED], Table_SU[FUND (ADMIN USE)], $A28, Table_SU[BUDGET APPROVED BY DIRECTOR? (ADMIN USE)], "Approved", Table_SU[BUDGET ACCOUNT NUMBER (AUTOFILLS)], G$18)
)</f>
        <v>0</v>
      </c>
      <c r="H28" s="32">
        <f>SUM(
    SUMIFS(Table_ASU[TOTAL BUDGET REQUESTED], Table_ASU[FUND (ADMIN USE)], $A28, Table_ASU[BUDGET APPROVED BY DIRECTOR? (ADMIN USE)], "Approved", Table_ASU[BUDGET ACCOUNT Number (AUTOFILLS)], H$18),
    SUMIFS(Table_ASU2[TOTAL BUDGET REQUESTED], Table_ASU2[FUND (ADMIN USE)], $A28, Table_ASU2[BUDGET APPROVED BY DIRECTOR? (ADMIN USE)], "Approved", Table_ASU2[BUDGET ACCOUNT NUMBER (AUTOFILLS)], H$18),
    SUMIFS(Table_AU[TOTAL BUDGET REQUESTED], Table_AU[FUND (ADMIN USE)], $A28, Table_AU[BUDGET APPROVED BY DIRECTOR? (ADMIN USE)], "Approved", Table_AU[BUDGET ACCOUNT NUMBER (AUTOFILLS)], H$18),
    SUMIFS(Table_CMU[TOTAL BUDGET REQUESTED], Table_CMU[FUND (ADMIN USE)], $A28, Table_CMU[BUDGET APPROVED BY DIRECTOR? (ADMIN USE)], "Approved", Table_CMU[BUDGET ACCOUNT NUMBER (AUTOFILLS)], H$18),
    SUMIFS(Table_E[TOTAL BUDGET REQUESTED], Table_E[FUND (ADMIN USE)], $A28, Table_E[BUDGET APPROVED BY DIRECTOR? (ADMIN USE)], "Approved", Table_E[BUDGET ACCOUNT NUMBER (AUTOFILLS)], H$18),
    SUMIFS(Table_HCA[TOTAL BUDGET REQUESTED], Table_HCA[FUND (ADMIN USE)], $A28, Table_HCA[BUDGET APPROVED BY DIRECTOR? (ADMIN USE)], "Approved", Table_HCA[BUDGET ACCOUNT Number (AUTOFILLS)], H$18),
    SUMIFS(Table_PT[TOTAL BUDGET REQUESTED], Table_PT[FUND (ADMIN USE)], $A28, Table_PT[BUDGET APPROVED BY DIRECTOR? (ADMIN USE)], "Approved", Table_PT[BUDGET ACCOUNT NUMBER (AUTOFILLS)], H$18),
    SUMIFS(Table_REU[TOTAL BUDGET REQUESTED], Table_REU[FUND (ADMIN USE)], $A28, Table_REU[BUDGET APPROVED BY DIRECTOR? (ADMIN USE)], "Approved", Table_REU[BUDGET ACCOUNT NUMBER (AUTOFILLS)], H$18),
    SUMIFS(Table_SU[TOTAL BUDGET REQUESTED], Table_SU[FUND (ADMIN USE)], $A28, Table_SU[BUDGET APPROVED BY DIRECTOR? (ADMIN USE)], "Approved", Table_SU[BUDGET ACCOUNT NUMBER (AUTOFILLS)], H$18)
)</f>
        <v>0</v>
      </c>
      <c r="I28" s="32">
        <f>SUM(
    SUMIFS(Table_ASU[TOTAL BUDGET REQUESTED], Table_ASU[FUND (ADMIN USE)], $A28, Table_ASU[BUDGET APPROVED BY DIRECTOR? (ADMIN USE)], "Approved", Table_ASU[BUDGET ACCOUNT Number (AUTOFILLS)], I$18),
    SUMIFS(Table_ASU2[TOTAL BUDGET REQUESTED], Table_ASU2[FUND (ADMIN USE)], $A28, Table_ASU2[BUDGET APPROVED BY DIRECTOR? (ADMIN USE)], "Approved", Table_ASU2[BUDGET ACCOUNT NUMBER (AUTOFILLS)], I$18),
    SUMIFS(Table_AU[TOTAL BUDGET REQUESTED], Table_AU[FUND (ADMIN USE)], $A28, Table_AU[BUDGET APPROVED BY DIRECTOR? (ADMIN USE)], "Approved", Table_AU[BUDGET ACCOUNT NUMBER (AUTOFILLS)], I$18),
    SUMIFS(Table_CMU[TOTAL BUDGET REQUESTED], Table_CMU[FUND (ADMIN USE)], $A28, Table_CMU[BUDGET APPROVED BY DIRECTOR? (ADMIN USE)], "Approved", Table_CMU[BUDGET ACCOUNT NUMBER (AUTOFILLS)], I$18),
    SUMIFS(Table_E[TOTAL BUDGET REQUESTED], Table_E[FUND (ADMIN USE)], $A28, Table_E[BUDGET APPROVED BY DIRECTOR? (ADMIN USE)], "Approved", Table_E[BUDGET ACCOUNT NUMBER (AUTOFILLS)], I$18),
    SUMIFS(Table_HCA[TOTAL BUDGET REQUESTED], Table_HCA[FUND (ADMIN USE)], $A28, Table_HCA[BUDGET APPROVED BY DIRECTOR? (ADMIN USE)], "Approved", Table_HCA[BUDGET ACCOUNT Number (AUTOFILLS)], I$18),
    SUMIFS(Table_PT[TOTAL BUDGET REQUESTED], Table_PT[FUND (ADMIN USE)], $A28, Table_PT[BUDGET APPROVED BY DIRECTOR? (ADMIN USE)], "Approved", Table_PT[BUDGET ACCOUNT NUMBER (AUTOFILLS)], I$18),
    SUMIFS(Table_REU[TOTAL BUDGET REQUESTED], Table_REU[FUND (ADMIN USE)], $A28, Table_REU[BUDGET APPROVED BY DIRECTOR? (ADMIN USE)], "Approved", Table_REU[BUDGET ACCOUNT NUMBER (AUTOFILLS)], I$18),
    SUMIFS(Table_SU[TOTAL BUDGET REQUESTED], Table_SU[FUND (ADMIN USE)], $A28, Table_SU[BUDGET APPROVED BY DIRECTOR? (ADMIN USE)], "Approved", Table_SU[BUDGET ACCOUNT NUMBER (AUTOFILLS)], I$18)
)</f>
        <v>0</v>
      </c>
      <c r="J28" s="32">
        <f>SUM(
    SUMIFS(Table_ASU[TOTAL BUDGET REQUESTED], Table_ASU[FUND (ADMIN USE)], $A28, Table_ASU[BUDGET APPROVED BY DIRECTOR? (ADMIN USE)], "Approved", Table_ASU[BUDGET ACCOUNT Number (AUTOFILLS)], J$18),
    SUMIFS(Table_ASU2[TOTAL BUDGET REQUESTED], Table_ASU2[FUND (ADMIN USE)], $A28, Table_ASU2[BUDGET APPROVED BY DIRECTOR? (ADMIN USE)], "Approved", Table_ASU2[BUDGET ACCOUNT NUMBER (AUTOFILLS)], J$18),
    SUMIFS(Table_AU[TOTAL BUDGET REQUESTED], Table_AU[FUND (ADMIN USE)], $A28, Table_AU[BUDGET APPROVED BY DIRECTOR? (ADMIN USE)], "Approved", Table_AU[BUDGET ACCOUNT NUMBER (AUTOFILLS)], J$18),
    SUMIFS(Table_CMU[TOTAL BUDGET REQUESTED], Table_CMU[FUND (ADMIN USE)], $A28, Table_CMU[BUDGET APPROVED BY DIRECTOR? (ADMIN USE)], "Approved", Table_CMU[BUDGET ACCOUNT NUMBER (AUTOFILLS)], J$18),
    SUMIFS(Table_E[TOTAL BUDGET REQUESTED], Table_E[FUND (ADMIN USE)], $A28, Table_E[BUDGET APPROVED BY DIRECTOR? (ADMIN USE)], "Approved", Table_E[BUDGET ACCOUNT NUMBER (AUTOFILLS)], J$18),
    SUMIFS(Table_HCA[TOTAL BUDGET REQUESTED], Table_HCA[FUND (ADMIN USE)], $A28, Table_HCA[BUDGET APPROVED BY DIRECTOR? (ADMIN USE)], "Approved", Table_HCA[BUDGET ACCOUNT Number (AUTOFILLS)], J$18),
    SUMIFS(Table_PT[TOTAL BUDGET REQUESTED], Table_PT[FUND (ADMIN USE)], $A28, Table_PT[BUDGET APPROVED BY DIRECTOR? (ADMIN USE)], "Approved", Table_PT[BUDGET ACCOUNT NUMBER (AUTOFILLS)], J$18),
    SUMIFS(Table_REU[TOTAL BUDGET REQUESTED], Table_REU[FUND (ADMIN USE)], $A28, Table_REU[BUDGET APPROVED BY DIRECTOR? (ADMIN USE)], "Approved", Table_REU[BUDGET ACCOUNT NUMBER (AUTOFILLS)], J$18),
    SUMIFS(Table_SU[TOTAL BUDGET REQUESTED], Table_SU[FUND (ADMIN USE)], $A28, Table_SU[BUDGET APPROVED BY DIRECTOR? (ADMIN USE)], "Approved", Table_SU[BUDGET ACCOUNT NUMBER (AUTOFILLS)], J$18)
)</f>
        <v>0</v>
      </c>
      <c r="K28" s="14">
        <f>SUM(Table_Totals25[[#This Row],[88100]:[88800]])</f>
        <v>0</v>
      </c>
    </row>
    <row r="29" spans="1:11" ht="60" customHeight="1">
      <c r="A29" s="29" t="s">
        <v>156</v>
      </c>
      <c r="B29" s="32">
        <f>SUM(
    SUMIFS(Table_ASU[TOTAL BUDGET REQUESTED], Table_ASU[FUND (ADMIN USE)], $A29, Table_ASU[BUDGET APPROVED BY DIRECTOR? (ADMIN USE)], "Approved", Table_ASU[BUDGET ACCOUNT Number (AUTOFILLS)], B$18),
    SUMIFS(Table_ASU2[TOTAL BUDGET REQUESTED], Table_ASU2[FUND (ADMIN USE)], $A29, Table_ASU2[BUDGET APPROVED BY DIRECTOR? (ADMIN USE)], "Approved", Table_ASU2[BUDGET ACCOUNT NUMBER (AUTOFILLS)], B$18),
    SUMIFS(Table_AU[TOTAL BUDGET REQUESTED], Table_AU[FUND (ADMIN USE)], $A29, Table_AU[BUDGET APPROVED BY DIRECTOR? (ADMIN USE)], "Approved", Table_AU[BUDGET ACCOUNT NUMBER (AUTOFILLS)], B$18),
    SUMIFS(Table_CMU[TOTAL BUDGET REQUESTED], Table_CMU[FUND (ADMIN USE)], $A29, Table_CMU[BUDGET APPROVED BY DIRECTOR? (ADMIN USE)], "Approved", Table_CMU[BUDGET ACCOUNT NUMBER (AUTOFILLS)], B$18),
    SUMIFS(Table_E[TOTAL BUDGET REQUESTED], Table_E[FUND (ADMIN USE)], $A29, Table_E[BUDGET APPROVED BY DIRECTOR? (ADMIN USE)], "Approved", Table_E[BUDGET ACCOUNT NUMBER (AUTOFILLS)], B$18),
    SUMIFS(Table_HCA[TOTAL BUDGET REQUESTED], Table_HCA[FUND (ADMIN USE)], $A29, Table_HCA[BUDGET APPROVED BY DIRECTOR? (ADMIN USE)], "Approved", Table_HCA[BUDGET ACCOUNT Number (AUTOFILLS)], B$18),
    SUMIFS(Table_PT[TOTAL BUDGET REQUESTED], Table_PT[FUND (ADMIN USE)], $A29, Table_PT[BUDGET APPROVED BY DIRECTOR? (ADMIN USE)], "Approved", Table_PT[BUDGET ACCOUNT NUMBER (AUTOFILLS)], B$18),
    SUMIFS(Table_REU[TOTAL BUDGET REQUESTED], Table_REU[FUND (ADMIN USE)], $A29, Table_REU[BUDGET APPROVED BY DIRECTOR? (ADMIN USE)], "Approved", Table_REU[BUDGET ACCOUNT NUMBER (AUTOFILLS)], B$18),
    SUMIFS(Table_SU[TOTAL BUDGET REQUESTED], Table_SU[FUND (ADMIN USE)], $A29, Table_SU[BUDGET APPROVED BY DIRECTOR? (ADMIN USE)], "Approved", Table_SU[BUDGET ACCOUNT NUMBER (AUTOFILLS)], B$18)
)</f>
        <v>0</v>
      </c>
      <c r="C29" s="32">
        <f>SUM(
    SUMIFS(Table_ASU[TOTAL BUDGET REQUESTED], Table_ASU[FUND (ADMIN USE)], $A29, Table_ASU[BUDGET APPROVED BY DIRECTOR? (ADMIN USE)], "Approved", Table_ASU[BUDGET ACCOUNT Number (AUTOFILLS)], C$18),
    SUMIFS(Table_ASU2[TOTAL BUDGET REQUESTED], Table_ASU2[FUND (ADMIN USE)], $A29, Table_ASU2[BUDGET APPROVED BY DIRECTOR? (ADMIN USE)], "Approved", Table_ASU2[BUDGET ACCOUNT NUMBER (AUTOFILLS)], C$18),
    SUMIFS(Table_AU[TOTAL BUDGET REQUESTED], Table_AU[FUND (ADMIN USE)], $A29, Table_AU[BUDGET APPROVED BY DIRECTOR? (ADMIN USE)], "Approved", Table_AU[BUDGET ACCOUNT NUMBER (AUTOFILLS)], C$18),
    SUMIFS(Table_CMU[TOTAL BUDGET REQUESTED], Table_CMU[FUND (ADMIN USE)], $A29, Table_CMU[BUDGET APPROVED BY DIRECTOR? (ADMIN USE)], "Approved", Table_CMU[BUDGET ACCOUNT NUMBER (AUTOFILLS)], C$18),
    SUMIFS(Table_E[TOTAL BUDGET REQUESTED], Table_E[FUND (ADMIN USE)], $A29, Table_E[BUDGET APPROVED BY DIRECTOR? (ADMIN USE)], "Approved", Table_E[BUDGET ACCOUNT NUMBER (AUTOFILLS)], C$18),
    SUMIFS(Table_HCA[TOTAL BUDGET REQUESTED], Table_HCA[FUND (ADMIN USE)], $A29, Table_HCA[BUDGET APPROVED BY DIRECTOR? (ADMIN USE)], "Approved", Table_HCA[BUDGET ACCOUNT Number (AUTOFILLS)], C$18),
    SUMIFS(Table_PT[TOTAL BUDGET REQUESTED], Table_PT[FUND (ADMIN USE)], $A29, Table_PT[BUDGET APPROVED BY DIRECTOR? (ADMIN USE)], "Approved", Table_PT[BUDGET ACCOUNT NUMBER (AUTOFILLS)], C$18),
    SUMIFS(Table_REU[TOTAL BUDGET REQUESTED], Table_REU[FUND (ADMIN USE)], $A29, Table_REU[BUDGET APPROVED BY DIRECTOR? (ADMIN USE)], "Approved", Table_REU[BUDGET ACCOUNT NUMBER (AUTOFILLS)], C$18),
    SUMIFS(Table_SU[TOTAL BUDGET REQUESTED], Table_SU[FUND (ADMIN USE)], $A29, Table_SU[BUDGET APPROVED BY DIRECTOR? (ADMIN USE)], "Approved", Table_SU[BUDGET ACCOUNT NUMBER (AUTOFILLS)], C$18)
)</f>
        <v>0</v>
      </c>
      <c r="D29" s="32">
        <f>SUM(
    SUMIFS(Table_ASU[TOTAL BUDGET REQUESTED], Table_ASU[FUND (ADMIN USE)], $A29, Table_ASU[BUDGET APPROVED BY DIRECTOR? (ADMIN USE)], "Approved", Table_ASU[BUDGET ACCOUNT Number (AUTOFILLS)], D$18),
    SUMIFS(Table_ASU2[TOTAL BUDGET REQUESTED], Table_ASU2[FUND (ADMIN USE)], $A29, Table_ASU2[BUDGET APPROVED BY DIRECTOR? (ADMIN USE)], "Approved", Table_ASU2[BUDGET ACCOUNT NUMBER (AUTOFILLS)], D$18),
    SUMIFS(Table_AU[TOTAL BUDGET REQUESTED], Table_AU[FUND (ADMIN USE)], $A29, Table_AU[BUDGET APPROVED BY DIRECTOR? (ADMIN USE)], "Approved", Table_AU[BUDGET ACCOUNT NUMBER (AUTOFILLS)], D$18),
    SUMIFS(Table_CMU[TOTAL BUDGET REQUESTED], Table_CMU[FUND (ADMIN USE)], $A29, Table_CMU[BUDGET APPROVED BY DIRECTOR? (ADMIN USE)], "Approved", Table_CMU[BUDGET ACCOUNT NUMBER (AUTOFILLS)], D$18),
    SUMIFS(Table_E[TOTAL BUDGET REQUESTED], Table_E[FUND (ADMIN USE)], $A29, Table_E[BUDGET APPROVED BY DIRECTOR? (ADMIN USE)], "Approved", Table_E[BUDGET ACCOUNT NUMBER (AUTOFILLS)], D$18),
    SUMIFS(Table_HCA[TOTAL BUDGET REQUESTED], Table_HCA[FUND (ADMIN USE)], $A29, Table_HCA[BUDGET APPROVED BY DIRECTOR? (ADMIN USE)], "Approved", Table_HCA[BUDGET ACCOUNT Number (AUTOFILLS)], D$18),
    SUMIFS(Table_PT[TOTAL BUDGET REQUESTED], Table_PT[FUND (ADMIN USE)], $A29, Table_PT[BUDGET APPROVED BY DIRECTOR? (ADMIN USE)], "Approved", Table_PT[BUDGET ACCOUNT NUMBER (AUTOFILLS)], D$18),
    SUMIFS(Table_REU[TOTAL BUDGET REQUESTED], Table_REU[FUND (ADMIN USE)], $A29, Table_REU[BUDGET APPROVED BY DIRECTOR? (ADMIN USE)], "Approved", Table_REU[BUDGET ACCOUNT NUMBER (AUTOFILLS)], D$18),
    SUMIFS(Table_SU[TOTAL BUDGET REQUESTED], Table_SU[FUND (ADMIN USE)], $A29, Table_SU[BUDGET APPROVED BY DIRECTOR? (ADMIN USE)], "Approved", Table_SU[BUDGET ACCOUNT NUMBER (AUTOFILLS)], D$18)
)</f>
        <v>0</v>
      </c>
      <c r="E29" s="32">
        <f>SUM(
    SUMIFS(Table_ASU[TOTAL BUDGET REQUESTED], Table_ASU[FUND (ADMIN USE)], $A29, Table_ASU[BUDGET APPROVED BY DIRECTOR? (ADMIN USE)], "Approved", Table_ASU[BUDGET ACCOUNT Number (AUTOFILLS)], E$18),
    SUMIFS(Table_ASU2[TOTAL BUDGET REQUESTED], Table_ASU2[FUND (ADMIN USE)], $A29, Table_ASU2[BUDGET APPROVED BY DIRECTOR? (ADMIN USE)], "Approved", Table_ASU2[BUDGET ACCOUNT NUMBER (AUTOFILLS)], E$18),
    SUMIFS(Table_AU[TOTAL BUDGET REQUESTED], Table_AU[FUND (ADMIN USE)], $A29, Table_AU[BUDGET APPROVED BY DIRECTOR? (ADMIN USE)], "Approved", Table_AU[BUDGET ACCOUNT NUMBER (AUTOFILLS)], E$18),
    SUMIFS(Table_CMU[TOTAL BUDGET REQUESTED], Table_CMU[FUND (ADMIN USE)], $A29, Table_CMU[BUDGET APPROVED BY DIRECTOR? (ADMIN USE)], "Approved", Table_CMU[BUDGET ACCOUNT NUMBER (AUTOFILLS)], E$18),
    SUMIFS(Table_E[TOTAL BUDGET REQUESTED], Table_E[FUND (ADMIN USE)], $A29, Table_E[BUDGET APPROVED BY DIRECTOR? (ADMIN USE)], "Approved", Table_E[BUDGET ACCOUNT NUMBER (AUTOFILLS)], E$18),
    SUMIFS(Table_HCA[TOTAL BUDGET REQUESTED], Table_HCA[FUND (ADMIN USE)], $A29, Table_HCA[BUDGET APPROVED BY DIRECTOR? (ADMIN USE)], "Approved", Table_HCA[BUDGET ACCOUNT Number (AUTOFILLS)], E$18),
    SUMIFS(Table_PT[TOTAL BUDGET REQUESTED], Table_PT[FUND (ADMIN USE)], $A29, Table_PT[BUDGET APPROVED BY DIRECTOR? (ADMIN USE)], "Approved", Table_PT[BUDGET ACCOUNT NUMBER (AUTOFILLS)], E$18),
    SUMIFS(Table_REU[TOTAL BUDGET REQUESTED], Table_REU[FUND (ADMIN USE)], $A29, Table_REU[BUDGET APPROVED BY DIRECTOR? (ADMIN USE)], "Approved", Table_REU[BUDGET ACCOUNT NUMBER (AUTOFILLS)], E$18),
    SUMIFS(Table_SU[TOTAL BUDGET REQUESTED], Table_SU[FUND (ADMIN USE)], $A29, Table_SU[BUDGET APPROVED BY DIRECTOR? (ADMIN USE)], "Approved", Table_SU[BUDGET ACCOUNT NUMBER (AUTOFILLS)], E$18)
)</f>
        <v>0</v>
      </c>
      <c r="F29" s="32">
        <f>SUM(
    SUMIFS(Table_ASU[TOTAL BUDGET REQUESTED], Table_ASU[FUND (ADMIN USE)], $A29, Table_ASU[BUDGET APPROVED BY DIRECTOR? (ADMIN USE)], "Approved", Table_ASU[BUDGET ACCOUNT Number (AUTOFILLS)], F$18),
    SUMIFS(Table_ASU2[TOTAL BUDGET REQUESTED], Table_ASU2[FUND (ADMIN USE)], $A29, Table_ASU2[BUDGET APPROVED BY DIRECTOR? (ADMIN USE)], "Approved", Table_ASU2[BUDGET ACCOUNT NUMBER (AUTOFILLS)], F$18),
    SUMIFS(Table_AU[TOTAL BUDGET REQUESTED], Table_AU[FUND (ADMIN USE)], $A29, Table_AU[BUDGET APPROVED BY DIRECTOR? (ADMIN USE)], "Approved", Table_AU[BUDGET ACCOUNT NUMBER (AUTOFILLS)], F$18),
    SUMIFS(Table_CMU[TOTAL BUDGET REQUESTED], Table_CMU[FUND (ADMIN USE)], $A29, Table_CMU[BUDGET APPROVED BY DIRECTOR? (ADMIN USE)], "Approved", Table_CMU[BUDGET ACCOUNT NUMBER (AUTOFILLS)], F$18),
    SUMIFS(Table_E[TOTAL BUDGET REQUESTED], Table_E[FUND (ADMIN USE)], $A29, Table_E[BUDGET APPROVED BY DIRECTOR? (ADMIN USE)], "Approved", Table_E[BUDGET ACCOUNT NUMBER (AUTOFILLS)], F$18),
    SUMIFS(Table_HCA[TOTAL BUDGET REQUESTED], Table_HCA[FUND (ADMIN USE)], $A29, Table_HCA[BUDGET APPROVED BY DIRECTOR? (ADMIN USE)], "Approved", Table_HCA[BUDGET ACCOUNT Number (AUTOFILLS)], F$18),
    SUMIFS(Table_PT[TOTAL BUDGET REQUESTED], Table_PT[FUND (ADMIN USE)], $A29, Table_PT[BUDGET APPROVED BY DIRECTOR? (ADMIN USE)], "Approved", Table_PT[BUDGET ACCOUNT NUMBER (AUTOFILLS)], F$18),
    SUMIFS(Table_REU[TOTAL BUDGET REQUESTED], Table_REU[FUND (ADMIN USE)], $A29, Table_REU[BUDGET APPROVED BY DIRECTOR? (ADMIN USE)], "Approved", Table_REU[BUDGET ACCOUNT NUMBER (AUTOFILLS)], F$18),
    SUMIFS(Table_SU[TOTAL BUDGET REQUESTED], Table_SU[FUND (ADMIN USE)], $A29, Table_SU[BUDGET APPROVED BY DIRECTOR? (ADMIN USE)], "Approved", Table_SU[BUDGET ACCOUNT NUMBER (AUTOFILLS)], F$18)
)</f>
        <v>0</v>
      </c>
      <c r="G29" s="32">
        <f>SUM(
    SUMIFS(Table_ASU[TOTAL BUDGET REQUESTED], Table_ASU[FUND (ADMIN USE)], $A29, Table_ASU[BUDGET APPROVED BY DIRECTOR? (ADMIN USE)], "Approved", Table_ASU[BUDGET ACCOUNT Number (AUTOFILLS)], G$18),
    SUMIFS(Table_ASU2[TOTAL BUDGET REQUESTED], Table_ASU2[FUND (ADMIN USE)], $A29, Table_ASU2[BUDGET APPROVED BY DIRECTOR? (ADMIN USE)], "Approved", Table_ASU2[BUDGET ACCOUNT NUMBER (AUTOFILLS)], G$18),
    SUMIFS(Table_AU[TOTAL BUDGET REQUESTED], Table_AU[FUND (ADMIN USE)], $A29, Table_AU[BUDGET APPROVED BY DIRECTOR? (ADMIN USE)], "Approved", Table_AU[BUDGET ACCOUNT NUMBER (AUTOFILLS)], G$18),
    SUMIFS(Table_CMU[TOTAL BUDGET REQUESTED], Table_CMU[FUND (ADMIN USE)], $A29, Table_CMU[BUDGET APPROVED BY DIRECTOR? (ADMIN USE)], "Approved", Table_CMU[BUDGET ACCOUNT NUMBER (AUTOFILLS)], G$18),
    SUMIFS(Table_E[TOTAL BUDGET REQUESTED], Table_E[FUND (ADMIN USE)], $A29, Table_E[BUDGET APPROVED BY DIRECTOR? (ADMIN USE)], "Approved", Table_E[BUDGET ACCOUNT NUMBER (AUTOFILLS)], G$18),
    SUMIFS(Table_HCA[TOTAL BUDGET REQUESTED], Table_HCA[FUND (ADMIN USE)], $A29, Table_HCA[BUDGET APPROVED BY DIRECTOR? (ADMIN USE)], "Approved", Table_HCA[BUDGET ACCOUNT Number (AUTOFILLS)], G$18),
    SUMIFS(Table_PT[TOTAL BUDGET REQUESTED], Table_PT[FUND (ADMIN USE)], $A29, Table_PT[BUDGET APPROVED BY DIRECTOR? (ADMIN USE)], "Approved", Table_PT[BUDGET ACCOUNT NUMBER (AUTOFILLS)], G$18),
    SUMIFS(Table_REU[TOTAL BUDGET REQUESTED], Table_REU[FUND (ADMIN USE)], $A29, Table_REU[BUDGET APPROVED BY DIRECTOR? (ADMIN USE)], "Approved", Table_REU[BUDGET ACCOUNT NUMBER (AUTOFILLS)], G$18),
    SUMIFS(Table_SU[TOTAL BUDGET REQUESTED], Table_SU[FUND (ADMIN USE)], $A29, Table_SU[BUDGET APPROVED BY DIRECTOR? (ADMIN USE)], "Approved", Table_SU[BUDGET ACCOUNT NUMBER (AUTOFILLS)], G$18)
)</f>
        <v>0</v>
      </c>
      <c r="H29" s="32">
        <f>SUM(
    SUMIFS(Table_ASU[TOTAL BUDGET REQUESTED], Table_ASU[FUND (ADMIN USE)], $A29, Table_ASU[BUDGET APPROVED BY DIRECTOR? (ADMIN USE)], "Approved", Table_ASU[BUDGET ACCOUNT Number (AUTOFILLS)], H$18),
    SUMIFS(Table_ASU2[TOTAL BUDGET REQUESTED], Table_ASU2[FUND (ADMIN USE)], $A29, Table_ASU2[BUDGET APPROVED BY DIRECTOR? (ADMIN USE)], "Approved", Table_ASU2[BUDGET ACCOUNT NUMBER (AUTOFILLS)], H$18),
    SUMIFS(Table_AU[TOTAL BUDGET REQUESTED], Table_AU[FUND (ADMIN USE)], $A29, Table_AU[BUDGET APPROVED BY DIRECTOR? (ADMIN USE)], "Approved", Table_AU[BUDGET ACCOUNT NUMBER (AUTOFILLS)], H$18),
    SUMIFS(Table_CMU[TOTAL BUDGET REQUESTED], Table_CMU[FUND (ADMIN USE)], $A29, Table_CMU[BUDGET APPROVED BY DIRECTOR? (ADMIN USE)], "Approved", Table_CMU[BUDGET ACCOUNT NUMBER (AUTOFILLS)], H$18),
    SUMIFS(Table_E[TOTAL BUDGET REQUESTED], Table_E[FUND (ADMIN USE)], $A29, Table_E[BUDGET APPROVED BY DIRECTOR? (ADMIN USE)], "Approved", Table_E[BUDGET ACCOUNT NUMBER (AUTOFILLS)], H$18),
    SUMIFS(Table_HCA[TOTAL BUDGET REQUESTED], Table_HCA[FUND (ADMIN USE)], $A29, Table_HCA[BUDGET APPROVED BY DIRECTOR? (ADMIN USE)], "Approved", Table_HCA[BUDGET ACCOUNT Number (AUTOFILLS)], H$18),
    SUMIFS(Table_PT[TOTAL BUDGET REQUESTED], Table_PT[FUND (ADMIN USE)], $A29, Table_PT[BUDGET APPROVED BY DIRECTOR? (ADMIN USE)], "Approved", Table_PT[BUDGET ACCOUNT NUMBER (AUTOFILLS)], H$18),
    SUMIFS(Table_REU[TOTAL BUDGET REQUESTED], Table_REU[FUND (ADMIN USE)], $A29, Table_REU[BUDGET APPROVED BY DIRECTOR? (ADMIN USE)], "Approved", Table_REU[BUDGET ACCOUNT NUMBER (AUTOFILLS)], H$18),
    SUMIFS(Table_SU[TOTAL BUDGET REQUESTED], Table_SU[FUND (ADMIN USE)], $A29, Table_SU[BUDGET APPROVED BY DIRECTOR? (ADMIN USE)], "Approved", Table_SU[BUDGET ACCOUNT NUMBER (AUTOFILLS)], H$18)
)</f>
        <v>0</v>
      </c>
      <c r="I29" s="32">
        <f>SUM(
    SUMIFS(Table_ASU[TOTAL BUDGET REQUESTED], Table_ASU[FUND (ADMIN USE)], $A29, Table_ASU[BUDGET APPROVED BY DIRECTOR? (ADMIN USE)], "Approved", Table_ASU[BUDGET ACCOUNT Number (AUTOFILLS)], I$18),
    SUMIFS(Table_ASU2[TOTAL BUDGET REQUESTED], Table_ASU2[FUND (ADMIN USE)], $A29, Table_ASU2[BUDGET APPROVED BY DIRECTOR? (ADMIN USE)], "Approved", Table_ASU2[BUDGET ACCOUNT NUMBER (AUTOFILLS)], I$18),
    SUMIFS(Table_AU[TOTAL BUDGET REQUESTED], Table_AU[FUND (ADMIN USE)], $A29, Table_AU[BUDGET APPROVED BY DIRECTOR? (ADMIN USE)], "Approved", Table_AU[BUDGET ACCOUNT NUMBER (AUTOFILLS)], I$18),
    SUMIFS(Table_CMU[TOTAL BUDGET REQUESTED], Table_CMU[FUND (ADMIN USE)], $A29, Table_CMU[BUDGET APPROVED BY DIRECTOR? (ADMIN USE)], "Approved", Table_CMU[BUDGET ACCOUNT NUMBER (AUTOFILLS)], I$18),
    SUMIFS(Table_E[TOTAL BUDGET REQUESTED], Table_E[FUND (ADMIN USE)], $A29, Table_E[BUDGET APPROVED BY DIRECTOR? (ADMIN USE)], "Approved", Table_E[BUDGET ACCOUNT NUMBER (AUTOFILLS)], I$18),
    SUMIFS(Table_HCA[TOTAL BUDGET REQUESTED], Table_HCA[FUND (ADMIN USE)], $A29, Table_HCA[BUDGET APPROVED BY DIRECTOR? (ADMIN USE)], "Approved", Table_HCA[BUDGET ACCOUNT Number (AUTOFILLS)], I$18),
    SUMIFS(Table_PT[TOTAL BUDGET REQUESTED], Table_PT[FUND (ADMIN USE)], $A29, Table_PT[BUDGET APPROVED BY DIRECTOR? (ADMIN USE)], "Approved", Table_PT[BUDGET ACCOUNT NUMBER (AUTOFILLS)], I$18),
    SUMIFS(Table_REU[TOTAL BUDGET REQUESTED], Table_REU[FUND (ADMIN USE)], $A29, Table_REU[BUDGET APPROVED BY DIRECTOR? (ADMIN USE)], "Approved", Table_REU[BUDGET ACCOUNT NUMBER (AUTOFILLS)], I$18),
    SUMIFS(Table_SU[TOTAL BUDGET REQUESTED], Table_SU[FUND (ADMIN USE)], $A29, Table_SU[BUDGET APPROVED BY DIRECTOR? (ADMIN USE)], "Approved", Table_SU[BUDGET ACCOUNT NUMBER (AUTOFILLS)], I$18)
)</f>
        <v>0</v>
      </c>
      <c r="J29" s="32">
        <f>SUM(
    SUMIFS(Table_ASU[TOTAL BUDGET REQUESTED], Table_ASU[FUND (ADMIN USE)], $A29, Table_ASU[BUDGET APPROVED BY DIRECTOR? (ADMIN USE)], "Approved", Table_ASU[BUDGET ACCOUNT Number (AUTOFILLS)], J$18),
    SUMIFS(Table_ASU2[TOTAL BUDGET REQUESTED], Table_ASU2[FUND (ADMIN USE)], $A29, Table_ASU2[BUDGET APPROVED BY DIRECTOR? (ADMIN USE)], "Approved", Table_ASU2[BUDGET ACCOUNT NUMBER (AUTOFILLS)], J$18),
    SUMIFS(Table_AU[TOTAL BUDGET REQUESTED], Table_AU[FUND (ADMIN USE)], $A29, Table_AU[BUDGET APPROVED BY DIRECTOR? (ADMIN USE)], "Approved", Table_AU[BUDGET ACCOUNT NUMBER (AUTOFILLS)], J$18),
    SUMIFS(Table_CMU[TOTAL BUDGET REQUESTED], Table_CMU[FUND (ADMIN USE)], $A29, Table_CMU[BUDGET APPROVED BY DIRECTOR? (ADMIN USE)], "Approved", Table_CMU[BUDGET ACCOUNT NUMBER (AUTOFILLS)], J$18),
    SUMIFS(Table_E[TOTAL BUDGET REQUESTED], Table_E[FUND (ADMIN USE)], $A29, Table_E[BUDGET APPROVED BY DIRECTOR? (ADMIN USE)], "Approved", Table_E[BUDGET ACCOUNT NUMBER (AUTOFILLS)], J$18),
    SUMIFS(Table_HCA[TOTAL BUDGET REQUESTED], Table_HCA[FUND (ADMIN USE)], $A29, Table_HCA[BUDGET APPROVED BY DIRECTOR? (ADMIN USE)], "Approved", Table_HCA[BUDGET ACCOUNT Number (AUTOFILLS)], J$18),
    SUMIFS(Table_PT[TOTAL BUDGET REQUESTED], Table_PT[FUND (ADMIN USE)], $A29, Table_PT[BUDGET APPROVED BY DIRECTOR? (ADMIN USE)], "Approved", Table_PT[BUDGET ACCOUNT NUMBER (AUTOFILLS)], J$18),
    SUMIFS(Table_REU[TOTAL BUDGET REQUESTED], Table_REU[FUND (ADMIN USE)], $A29, Table_REU[BUDGET APPROVED BY DIRECTOR? (ADMIN USE)], "Approved", Table_REU[BUDGET ACCOUNT NUMBER (AUTOFILLS)], J$18),
    SUMIFS(Table_SU[TOTAL BUDGET REQUESTED], Table_SU[FUND (ADMIN USE)], $A29, Table_SU[BUDGET APPROVED BY DIRECTOR? (ADMIN USE)], "Approved", Table_SU[BUDGET ACCOUNT NUMBER (AUTOFILLS)], J$18)
)</f>
        <v>0</v>
      </c>
      <c r="K29" s="14">
        <f>SUM(Table_Totals25[[#This Row],[88100]:[88800]])</f>
        <v>0</v>
      </c>
    </row>
    <row r="30" spans="1:11" ht="60" customHeight="1">
      <c r="A30" s="29" t="s">
        <v>169</v>
      </c>
      <c r="B30" s="31">
        <f>SUM(B19:B29)</f>
        <v>0</v>
      </c>
      <c r="C30" s="31">
        <f>SUM(C19:C29)</f>
        <v>0</v>
      </c>
      <c r="D30" s="31">
        <f t="shared" ref="D30:J30" si="1">SUM(D19:D29)</f>
        <v>0</v>
      </c>
      <c r="E30" s="31">
        <f>SUM(E19:E29)</f>
        <v>0</v>
      </c>
      <c r="F30" s="31">
        <f t="shared" si="1"/>
        <v>0</v>
      </c>
      <c r="G30" s="31">
        <f t="shared" si="1"/>
        <v>0</v>
      </c>
      <c r="H30" s="31">
        <f t="shared" si="1"/>
        <v>0</v>
      </c>
      <c r="I30" s="31">
        <f t="shared" si="1"/>
        <v>0</v>
      </c>
      <c r="J30" s="31">
        <f t="shared" si="1"/>
        <v>0</v>
      </c>
      <c r="K30" s="14">
        <f>SUM(K19:K29)</f>
        <v>0</v>
      </c>
    </row>
    <row r="31" spans="1:11" ht="60" customHeight="1"/>
    <row r="32" spans="1:11" ht="60" customHeight="1">
      <c r="A32" s="55" t="s">
        <v>238</v>
      </c>
      <c r="B32" s="60"/>
      <c r="C32" s="60"/>
      <c r="D32" s="60"/>
      <c r="E32" s="60"/>
      <c r="F32" s="60"/>
      <c r="G32" s="60"/>
      <c r="H32" s="60"/>
      <c r="I32" s="60"/>
      <c r="J32" s="61"/>
      <c r="K32" s="61"/>
    </row>
    <row r="33" spans="1:9" ht="60" customHeight="1">
      <c r="A33" s="25" t="s">
        <v>236</v>
      </c>
      <c r="B33" s="49" t="s">
        <v>248</v>
      </c>
      <c r="C33" s="49" t="s">
        <v>249</v>
      </c>
      <c r="D33" s="49" t="s">
        <v>250</v>
      </c>
      <c r="E33" s="49" t="s">
        <v>251</v>
      </c>
      <c r="F33" s="49" t="s">
        <v>252</v>
      </c>
      <c r="G33" s="49" t="s">
        <v>253</v>
      </c>
      <c r="H33" s="49" t="s">
        <v>225</v>
      </c>
      <c r="I33" s="50" t="s">
        <v>143</v>
      </c>
    </row>
    <row r="34" spans="1:9" ht="60" customHeight="1">
      <c r="A34" s="29" t="s">
        <v>109</v>
      </c>
      <c r="B34" s="32">
        <f>SUMIFS(Table_OFF[TOTAL BUDGET REQUESTED], Table_OFF[BUDGET APPROVED BY DIRECTOR? (ADMIN USE)], "Approved (Off Cycle)", Table_OFF[FUND (ADMIN USE)], $A34, Table_OFF[BUDGET ACCOUNT NUMBER (AUTOFILLS)], B$33)</f>
        <v>0</v>
      </c>
      <c r="C34" s="32">
        <f>SUMIFS(Table_OFF[TOTAL BUDGET REQUESTED], Table_OFF[BUDGET APPROVED BY DIRECTOR? (ADMIN USE)], "Approved (Off Cycle)", Table_OFF[FUND (ADMIN USE)], $A34, Table_OFF[BUDGET ACCOUNT NUMBER (AUTOFILLS)], C$33)</f>
        <v>0</v>
      </c>
      <c r="D34" s="32">
        <f>SUMIFS(Table_OFF[TOTAL BUDGET REQUESTED], Table_OFF[BUDGET APPROVED BY DIRECTOR? (ADMIN USE)], "Approved (Off Cycle)", Table_OFF[FUND (ADMIN USE)], $A34, Table_OFF[BUDGET ACCOUNT NUMBER (AUTOFILLS)], D$33)</f>
        <v>0</v>
      </c>
      <c r="E34" s="32">
        <f>SUMIFS(Table_OFF[TOTAL BUDGET REQUESTED], Table_OFF[BUDGET APPROVED BY DIRECTOR? (ADMIN USE)], "Approved (Off Cycle)", Table_OFF[FUND (ADMIN USE)], $A34, Table_OFF[BUDGET ACCOUNT NUMBER (AUTOFILLS)], E$33)</f>
        <v>0</v>
      </c>
      <c r="F34" s="32">
        <f>SUMIFS(Table_OFF[TOTAL BUDGET REQUESTED], Table_OFF[BUDGET APPROVED BY DIRECTOR? (ADMIN USE)], "Approved (Off Cycle)", Table_OFF[FUND (ADMIN USE)], $A34, Table_OFF[BUDGET ACCOUNT NUMBER (AUTOFILLS)], F$33)</f>
        <v>0</v>
      </c>
      <c r="G34" s="32">
        <f>SUMIFS(Table_OFF[TOTAL BUDGET REQUESTED], Table_OFF[BUDGET APPROVED BY DIRECTOR? (ADMIN USE)], "Approved (Off Cycle)", Table_OFF[FUND (ADMIN USE)], $A34, Table_OFF[BUDGET ACCOUNT NUMBER (AUTOFILLS)], G$33)</f>
        <v>0</v>
      </c>
      <c r="H34" s="32">
        <f>SUMIFS(Table_OFF[TOTAL BUDGET REQUESTED], Table_OFF[BUDGET APPROVED BY DIRECTOR? (ADMIN USE)], "Approved (Off Cycle)", Table_OFF[FUND (ADMIN USE)], $A34, Table_OFF[BUDGET ACCOUNT NUMBER (AUTOFILLS)], H$33)</f>
        <v>0</v>
      </c>
      <c r="I34" s="14">
        <f>SUM(Table_Totals2527[[#This Row],[88021]:[88100]])</f>
        <v>0</v>
      </c>
    </row>
    <row r="35" spans="1:9" ht="60" customHeight="1">
      <c r="A35" s="29" t="s">
        <v>235</v>
      </c>
      <c r="B35" s="32">
        <f>SUMIFS(Table_OFF[TOTAL BUDGET REQUESTED], Table_OFF[BUDGET APPROVED BY DIRECTOR? (ADMIN USE)], "Approved (Off Cycle)", Table_OFF[FUND (ADMIN USE)], $A35, Table_OFF[BUDGET ACCOUNT NUMBER (AUTOFILLS)], B$33)</f>
        <v>0</v>
      </c>
      <c r="C35" s="32">
        <f>SUMIFS(Table_OFF[TOTAL BUDGET REQUESTED], Table_OFF[BUDGET APPROVED BY DIRECTOR? (ADMIN USE)], "Approved (Off Cycle)", Table_OFF[FUND (ADMIN USE)], $A35, Table_OFF[BUDGET ACCOUNT NUMBER (AUTOFILLS)], C$33)</f>
        <v>0</v>
      </c>
      <c r="D35" s="32">
        <f>SUMIFS(Table_OFF[TOTAL BUDGET REQUESTED], Table_OFF[BUDGET APPROVED BY DIRECTOR? (ADMIN USE)], "Approved (Off Cycle)", Table_OFF[FUND (ADMIN USE)], $A35, Table_OFF[BUDGET ACCOUNT NUMBER (AUTOFILLS)], D$33)</f>
        <v>0</v>
      </c>
      <c r="E35" s="32">
        <f>SUMIFS(Table_OFF[TOTAL BUDGET REQUESTED], Table_OFF[BUDGET APPROVED BY DIRECTOR? (ADMIN USE)], "Approved (Off Cycle)", Table_OFF[FUND (ADMIN USE)], $A35, Table_OFF[BUDGET ACCOUNT NUMBER (AUTOFILLS)], E$33)</f>
        <v>0</v>
      </c>
      <c r="F35" s="32">
        <f>SUMIFS(Table_OFF[TOTAL BUDGET REQUESTED], Table_OFF[BUDGET APPROVED BY DIRECTOR? (ADMIN USE)], "Approved (Off Cycle)", Table_OFF[FUND (ADMIN USE)], $A35, Table_OFF[BUDGET ACCOUNT NUMBER (AUTOFILLS)], F$33)</f>
        <v>0</v>
      </c>
      <c r="G35" s="32">
        <f>SUMIFS(Table_OFF[TOTAL BUDGET REQUESTED], Table_OFF[BUDGET APPROVED BY DIRECTOR? (ADMIN USE)], "Approved (Off Cycle)", Table_OFF[FUND (ADMIN USE)], $A35, Table_OFF[BUDGET ACCOUNT NUMBER (AUTOFILLS)], G$33)</f>
        <v>0</v>
      </c>
      <c r="H35" s="32">
        <f>SUMIFS(Table_OFF[TOTAL BUDGET REQUESTED], Table_OFF[BUDGET APPROVED BY DIRECTOR? (ADMIN USE)], "Approved (Off Cycle)", Table_OFF[FUND (ADMIN USE)], $A35, Table_OFF[BUDGET ACCOUNT NUMBER (AUTOFILLS)], H$33)</f>
        <v>0</v>
      </c>
      <c r="I35" s="14">
        <f>SUM(Table_Totals2527[[#This Row],[88021]:[88100]])</f>
        <v>0</v>
      </c>
    </row>
    <row r="36" spans="1:9" ht="60" customHeight="1">
      <c r="A36" s="29" t="s">
        <v>118</v>
      </c>
      <c r="B36" s="32">
        <f>SUMIFS(Table_OFF[TOTAL BUDGET REQUESTED], Table_OFF[BUDGET APPROVED BY DIRECTOR? (ADMIN USE)], "Approved (Off Cycle)", Table_OFF[FUND (ADMIN USE)], $A36, Table_OFF[BUDGET ACCOUNT NUMBER (AUTOFILLS)], B$33)</f>
        <v>0</v>
      </c>
      <c r="C36" s="32">
        <f>SUMIFS(Table_OFF[TOTAL BUDGET REQUESTED], Table_OFF[BUDGET APPROVED BY DIRECTOR? (ADMIN USE)], "Approved (Off Cycle)", Table_OFF[FUND (ADMIN USE)], $A36, Table_OFF[BUDGET ACCOUNT NUMBER (AUTOFILLS)], C$33)</f>
        <v>0</v>
      </c>
      <c r="D36" s="32">
        <f>SUMIFS(Table_OFF[TOTAL BUDGET REQUESTED], Table_OFF[BUDGET APPROVED BY DIRECTOR? (ADMIN USE)], "Approved (Off Cycle)", Table_OFF[FUND (ADMIN USE)], $A36, Table_OFF[BUDGET ACCOUNT NUMBER (AUTOFILLS)], D$33)</f>
        <v>0</v>
      </c>
      <c r="E36" s="32">
        <f>SUMIFS(Table_OFF[TOTAL BUDGET REQUESTED], Table_OFF[BUDGET APPROVED BY DIRECTOR? (ADMIN USE)], "Approved (Off Cycle)", Table_OFF[FUND (ADMIN USE)], $A36, Table_OFF[BUDGET ACCOUNT NUMBER (AUTOFILLS)], E$33)</f>
        <v>0</v>
      </c>
      <c r="F36" s="32">
        <f>SUMIFS(Table_OFF[TOTAL BUDGET REQUESTED], Table_OFF[BUDGET APPROVED BY DIRECTOR? (ADMIN USE)], "Approved (Off Cycle)", Table_OFF[FUND (ADMIN USE)], $A36, Table_OFF[BUDGET ACCOUNT NUMBER (AUTOFILLS)], F$33)</f>
        <v>0</v>
      </c>
      <c r="G36" s="32">
        <f>SUMIFS(Table_OFF[TOTAL BUDGET REQUESTED], Table_OFF[BUDGET APPROVED BY DIRECTOR? (ADMIN USE)], "Approved (Off Cycle)", Table_OFF[FUND (ADMIN USE)], $A36, Table_OFF[BUDGET ACCOUNT NUMBER (AUTOFILLS)], G$33)</f>
        <v>0</v>
      </c>
      <c r="H36" s="32">
        <f>SUMIFS(Table_OFF[TOTAL BUDGET REQUESTED], Table_OFF[BUDGET APPROVED BY DIRECTOR? (ADMIN USE)], "Approved (Off Cycle)", Table_OFF[FUND (ADMIN USE)], $A36, Table_OFF[BUDGET ACCOUNT NUMBER (AUTOFILLS)], H$33)</f>
        <v>0</v>
      </c>
      <c r="I36" s="14">
        <f>SUM(Table_Totals2527[[#This Row],[88021]:[88100]])</f>
        <v>0</v>
      </c>
    </row>
    <row r="37" spans="1:9" ht="60" customHeight="1">
      <c r="A37" s="29" t="s">
        <v>122</v>
      </c>
      <c r="B37" s="32">
        <f>SUMIFS(Table_OFF[TOTAL BUDGET REQUESTED], Table_OFF[BUDGET APPROVED BY DIRECTOR? (ADMIN USE)], "Approved (Off Cycle)", Table_OFF[FUND (ADMIN USE)], $A37, Table_OFF[BUDGET ACCOUNT NUMBER (AUTOFILLS)], B$33)</f>
        <v>0</v>
      </c>
      <c r="C37" s="32">
        <f>SUMIFS(Table_OFF[TOTAL BUDGET REQUESTED], Table_OFF[BUDGET APPROVED BY DIRECTOR? (ADMIN USE)], "Approved (Off Cycle)", Table_OFF[FUND (ADMIN USE)], $A37, Table_OFF[BUDGET ACCOUNT NUMBER (AUTOFILLS)], C$33)</f>
        <v>0</v>
      </c>
      <c r="D37" s="32">
        <f>SUMIFS(Table_OFF[TOTAL BUDGET REQUESTED], Table_OFF[BUDGET APPROVED BY DIRECTOR? (ADMIN USE)], "Approved (Off Cycle)", Table_OFF[FUND (ADMIN USE)], $A37, Table_OFF[BUDGET ACCOUNT NUMBER (AUTOFILLS)], D$33)</f>
        <v>0</v>
      </c>
      <c r="E37" s="32">
        <f>SUMIFS(Table_OFF[TOTAL BUDGET REQUESTED], Table_OFF[BUDGET APPROVED BY DIRECTOR? (ADMIN USE)], "Approved (Off Cycle)", Table_OFF[FUND (ADMIN USE)], $A37, Table_OFF[BUDGET ACCOUNT NUMBER (AUTOFILLS)], E$33)</f>
        <v>0</v>
      </c>
      <c r="F37" s="32">
        <f>SUMIFS(Table_OFF[TOTAL BUDGET REQUESTED], Table_OFF[BUDGET APPROVED BY DIRECTOR? (ADMIN USE)], "Approved (Off Cycle)", Table_OFF[FUND (ADMIN USE)], $A37, Table_OFF[BUDGET ACCOUNT NUMBER (AUTOFILLS)], F$33)</f>
        <v>0</v>
      </c>
      <c r="G37" s="32">
        <f>SUMIFS(Table_OFF[TOTAL BUDGET REQUESTED], Table_OFF[BUDGET APPROVED BY DIRECTOR? (ADMIN USE)], "Approved (Off Cycle)", Table_OFF[FUND (ADMIN USE)], $A37, Table_OFF[BUDGET ACCOUNT NUMBER (AUTOFILLS)], G$33)</f>
        <v>0</v>
      </c>
      <c r="H37" s="32">
        <f>SUMIFS(Table_OFF[TOTAL BUDGET REQUESTED], Table_OFF[BUDGET APPROVED BY DIRECTOR? (ADMIN USE)], "Approved (Off Cycle)", Table_OFF[FUND (ADMIN USE)], $A37, Table_OFF[BUDGET ACCOUNT NUMBER (AUTOFILLS)], H$33)</f>
        <v>0</v>
      </c>
      <c r="I37" s="14">
        <f>SUM(Table_Totals2527[[#This Row],[88021]:[88100]])</f>
        <v>0</v>
      </c>
    </row>
    <row r="38" spans="1:9" ht="60" customHeight="1">
      <c r="A38" s="29" t="s">
        <v>126</v>
      </c>
      <c r="B38" s="32">
        <f>SUMIFS(Table_OFF[TOTAL BUDGET REQUESTED], Table_OFF[BUDGET APPROVED BY DIRECTOR? (ADMIN USE)], "Approved (Off Cycle)", Table_OFF[FUND (ADMIN USE)], $A38, Table_OFF[BUDGET ACCOUNT NUMBER (AUTOFILLS)], B$33)</f>
        <v>0</v>
      </c>
      <c r="C38" s="32">
        <f>SUMIFS(Table_OFF[TOTAL BUDGET REQUESTED], Table_OFF[BUDGET APPROVED BY DIRECTOR? (ADMIN USE)], "Approved (Off Cycle)", Table_OFF[FUND (ADMIN USE)], $A38, Table_OFF[BUDGET ACCOUNT NUMBER (AUTOFILLS)], C$33)</f>
        <v>0</v>
      </c>
      <c r="D38" s="32">
        <f>SUMIFS(Table_OFF[TOTAL BUDGET REQUESTED], Table_OFF[BUDGET APPROVED BY DIRECTOR? (ADMIN USE)], "Approved (Off Cycle)", Table_OFF[FUND (ADMIN USE)], $A38, Table_OFF[BUDGET ACCOUNT NUMBER (AUTOFILLS)], D$33)</f>
        <v>0</v>
      </c>
      <c r="E38" s="32">
        <f>SUMIFS(Table_OFF[TOTAL BUDGET REQUESTED], Table_OFF[BUDGET APPROVED BY DIRECTOR? (ADMIN USE)], "Approved (Off Cycle)", Table_OFF[FUND (ADMIN USE)], $A38, Table_OFF[BUDGET ACCOUNT NUMBER (AUTOFILLS)], E$33)</f>
        <v>0</v>
      </c>
      <c r="F38" s="32">
        <f>SUMIFS(Table_OFF[TOTAL BUDGET REQUESTED], Table_OFF[BUDGET APPROVED BY DIRECTOR? (ADMIN USE)], "Approved (Off Cycle)", Table_OFF[FUND (ADMIN USE)], $A38, Table_OFF[BUDGET ACCOUNT NUMBER (AUTOFILLS)], F$33)</f>
        <v>0</v>
      </c>
      <c r="G38" s="32">
        <f>SUMIFS(Table_OFF[TOTAL BUDGET REQUESTED], Table_OFF[BUDGET APPROVED BY DIRECTOR? (ADMIN USE)], "Approved (Off Cycle)", Table_OFF[FUND (ADMIN USE)], $A38, Table_OFF[BUDGET ACCOUNT NUMBER (AUTOFILLS)], G$33)</f>
        <v>0</v>
      </c>
      <c r="H38" s="32">
        <f>SUMIFS(Table_OFF[TOTAL BUDGET REQUESTED], Table_OFF[BUDGET APPROVED BY DIRECTOR? (ADMIN USE)], "Approved (Off Cycle)", Table_OFF[FUND (ADMIN USE)], $A38, Table_OFF[BUDGET ACCOUNT NUMBER (AUTOFILLS)], H$33)</f>
        <v>0</v>
      </c>
      <c r="I38" s="14">
        <f>SUM(Table_Totals2527[[#This Row],[88021]:[88100]])</f>
        <v>0</v>
      </c>
    </row>
    <row r="39" spans="1:9" ht="60" customHeight="1">
      <c r="A39" s="29" t="s">
        <v>128</v>
      </c>
      <c r="B39" s="32">
        <f>SUMIFS(Table_OFF[TOTAL BUDGET REQUESTED], Table_OFF[BUDGET APPROVED BY DIRECTOR? (ADMIN USE)], "Approved (Off Cycle)", Table_OFF[FUND (ADMIN USE)], $A39, Table_OFF[BUDGET ACCOUNT NUMBER (AUTOFILLS)], B$33)</f>
        <v>0</v>
      </c>
      <c r="C39" s="32">
        <f>SUMIFS(Table_OFF[TOTAL BUDGET REQUESTED], Table_OFF[BUDGET APPROVED BY DIRECTOR? (ADMIN USE)], "Approved (Off Cycle)", Table_OFF[FUND (ADMIN USE)], $A39, Table_OFF[BUDGET ACCOUNT NUMBER (AUTOFILLS)], C$33)</f>
        <v>0</v>
      </c>
      <c r="D39" s="32">
        <f>SUMIFS(Table_OFF[TOTAL BUDGET REQUESTED], Table_OFF[BUDGET APPROVED BY DIRECTOR? (ADMIN USE)], "Approved (Off Cycle)", Table_OFF[FUND (ADMIN USE)], $A39, Table_OFF[BUDGET ACCOUNT NUMBER (AUTOFILLS)], D$33)</f>
        <v>0</v>
      </c>
      <c r="E39" s="32">
        <f>SUMIFS(Table_OFF[TOTAL BUDGET REQUESTED], Table_OFF[BUDGET APPROVED BY DIRECTOR? (ADMIN USE)], "Approved (Off Cycle)", Table_OFF[FUND (ADMIN USE)], $A39, Table_OFF[BUDGET ACCOUNT NUMBER (AUTOFILLS)], E$33)</f>
        <v>0</v>
      </c>
      <c r="F39" s="32">
        <f>SUMIFS(Table_OFF[TOTAL BUDGET REQUESTED], Table_OFF[BUDGET APPROVED BY DIRECTOR? (ADMIN USE)], "Approved (Off Cycle)", Table_OFF[FUND (ADMIN USE)], $A39, Table_OFF[BUDGET ACCOUNT NUMBER (AUTOFILLS)], F$33)</f>
        <v>0</v>
      </c>
      <c r="G39" s="32">
        <f>SUMIFS(Table_OFF[TOTAL BUDGET REQUESTED], Table_OFF[BUDGET APPROVED BY DIRECTOR? (ADMIN USE)], "Approved (Off Cycle)", Table_OFF[FUND (ADMIN USE)], $A39, Table_OFF[BUDGET ACCOUNT NUMBER (AUTOFILLS)], G$33)</f>
        <v>0</v>
      </c>
      <c r="H39" s="32">
        <f>SUMIFS(Table_OFF[TOTAL BUDGET REQUESTED], Table_OFF[BUDGET APPROVED BY DIRECTOR? (ADMIN USE)], "Approved (Off Cycle)", Table_OFF[FUND (ADMIN USE)], $A39, Table_OFF[BUDGET ACCOUNT NUMBER (AUTOFILLS)], H$33)</f>
        <v>0</v>
      </c>
      <c r="I39" s="14">
        <f>SUM(Table_Totals2527[[#This Row],[88021]:[88100]])</f>
        <v>0</v>
      </c>
    </row>
    <row r="40" spans="1:9" ht="60" customHeight="1">
      <c r="A40" s="29" t="s">
        <v>133</v>
      </c>
      <c r="B40" s="32">
        <f>SUMIFS(Table_OFF[TOTAL BUDGET REQUESTED], Table_OFF[BUDGET APPROVED BY DIRECTOR? (ADMIN USE)], "Approved (Off Cycle)", Table_OFF[FUND (ADMIN USE)], $A40, Table_OFF[BUDGET ACCOUNT NUMBER (AUTOFILLS)], B$33)</f>
        <v>0</v>
      </c>
      <c r="C40" s="32">
        <f>SUMIFS(Table_OFF[TOTAL BUDGET REQUESTED], Table_OFF[BUDGET APPROVED BY DIRECTOR? (ADMIN USE)], "Approved (Off Cycle)", Table_OFF[FUND (ADMIN USE)], $A40, Table_OFF[BUDGET ACCOUNT NUMBER (AUTOFILLS)], C$33)</f>
        <v>0</v>
      </c>
      <c r="D40" s="32">
        <f>SUMIFS(Table_OFF[TOTAL BUDGET REQUESTED], Table_OFF[BUDGET APPROVED BY DIRECTOR? (ADMIN USE)], "Approved (Off Cycle)", Table_OFF[FUND (ADMIN USE)], $A40, Table_OFF[BUDGET ACCOUNT NUMBER (AUTOFILLS)], D$33)</f>
        <v>0</v>
      </c>
      <c r="E40" s="32">
        <f>SUMIFS(Table_OFF[TOTAL BUDGET REQUESTED], Table_OFF[BUDGET APPROVED BY DIRECTOR? (ADMIN USE)], "Approved (Off Cycle)", Table_OFF[FUND (ADMIN USE)], $A40, Table_OFF[BUDGET ACCOUNT NUMBER (AUTOFILLS)], E$33)</f>
        <v>0</v>
      </c>
      <c r="F40" s="32">
        <f>SUMIFS(Table_OFF[TOTAL BUDGET REQUESTED], Table_OFF[BUDGET APPROVED BY DIRECTOR? (ADMIN USE)], "Approved (Off Cycle)", Table_OFF[FUND (ADMIN USE)], $A40, Table_OFF[BUDGET ACCOUNT NUMBER (AUTOFILLS)], F$33)</f>
        <v>0</v>
      </c>
      <c r="G40" s="32">
        <f>SUMIFS(Table_OFF[TOTAL BUDGET REQUESTED], Table_OFF[BUDGET APPROVED BY DIRECTOR? (ADMIN USE)], "Approved (Off Cycle)", Table_OFF[FUND (ADMIN USE)], $A40, Table_OFF[BUDGET ACCOUNT NUMBER (AUTOFILLS)], G$33)</f>
        <v>0</v>
      </c>
      <c r="H40" s="32">
        <f>SUMIFS(Table_OFF[TOTAL BUDGET REQUESTED], Table_OFF[BUDGET APPROVED BY DIRECTOR? (ADMIN USE)], "Approved (Off Cycle)", Table_OFF[FUND (ADMIN USE)], $A40, Table_OFF[BUDGET ACCOUNT NUMBER (AUTOFILLS)], H$33)</f>
        <v>0</v>
      </c>
      <c r="I40" s="14">
        <f>SUM(Table_Totals2527[[#This Row],[88021]:[88100]])</f>
        <v>0</v>
      </c>
    </row>
    <row r="41" spans="1:9" ht="60" customHeight="1">
      <c r="A41" s="29" t="s">
        <v>135</v>
      </c>
      <c r="B41" s="32">
        <f>SUMIFS(Table_OFF[TOTAL BUDGET REQUESTED], Table_OFF[BUDGET APPROVED BY DIRECTOR? (ADMIN USE)], "Approved (Off Cycle)", Table_OFF[FUND (ADMIN USE)], $A41, Table_OFF[BUDGET ACCOUNT NUMBER (AUTOFILLS)], B$33)</f>
        <v>0</v>
      </c>
      <c r="C41" s="32">
        <f>SUMIFS(Table_OFF[TOTAL BUDGET REQUESTED], Table_OFF[BUDGET APPROVED BY DIRECTOR? (ADMIN USE)], "Approved (Off Cycle)", Table_OFF[FUND (ADMIN USE)], $A41, Table_OFF[BUDGET ACCOUNT NUMBER (AUTOFILLS)], C$33)</f>
        <v>0</v>
      </c>
      <c r="D41" s="32">
        <f>SUMIFS(Table_OFF[TOTAL BUDGET REQUESTED], Table_OFF[BUDGET APPROVED BY DIRECTOR? (ADMIN USE)], "Approved (Off Cycle)", Table_OFF[FUND (ADMIN USE)], $A41, Table_OFF[BUDGET ACCOUNT NUMBER (AUTOFILLS)], D$33)</f>
        <v>0</v>
      </c>
      <c r="E41" s="32">
        <f>SUMIFS(Table_OFF[TOTAL BUDGET REQUESTED], Table_OFF[BUDGET APPROVED BY DIRECTOR? (ADMIN USE)], "Approved (Off Cycle)", Table_OFF[FUND (ADMIN USE)], $A41, Table_OFF[BUDGET ACCOUNT NUMBER (AUTOFILLS)], E$33)</f>
        <v>0</v>
      </c>
      <c r="F41" s="32">
        <f>SUMIFS(Table_OFF[TOTAL BUDGET REQUESTED], Table_OFF[BUDGET APPROVED BY DIRECTOR? (ADMIN USE)], "Approved (Off Cycle)", Table_OFF[FUND (ADMIN USE)], $A41, Table_OFF[BUDGET ACCOUNT NUMBER (AUTOFILLS)], F$33)</f>
        <v>0</v>
      </c>
      <c r="G41" s="32">
        <f>SUMIFS(Table_OFF[TOTAL BUDGET REQUESTED], Table_OFF[BUDGET APPROVED BY DIRECTOR? (ADMIN USE)], "Approved (Off Cycle)", Table_OFF[FUND (ADMIN USE)], $A41, Table_OFF[BUDGET ACCOUNT NUMBER (AUTOFILLS)], G$33)</f>
        <v>0</v>
      </c>
      <c r="H41" s="32">
        <f>SUMIFS(Table_OFF[TOTAL BUDGET REQUESTED], Table_OFF[BUDGET APPROVED BY DIRECTOR? (ADMIN USE)], "Approved (Off Cycle)", Table_OFF[FUND (ADMIN USE)], $A41, Table_OFF[BUDGET ACCOUNT NUMBER (AUTOFILLS)], H$33)</f>
        <v>0</v>
      </c>
      <c r="I41" s="14">
        <f>SUM(Table_Totals2527[[#This Row],[88021]:[88100]])</f>
        <v>0</v>
      </c>
    </row>
    <row r="42" spans="1:9" ht="60" customHeight="1">
      <c r="A42" s="29" t="s">
        <v>136</v>
      </c>
      <c r="B42" s="32">
        <f>SUMIFS(Table_OFF[TOTAL BUDGET REQUESTED], Table_OFF[BUDGET APPROVED BY DIRECTOR? (ADMIN USE)], "Approved (Off Cycle)", Table_OFF[FUND (ADMIN USE)], $A42, Table_OFF[BUDGET ACCOUNT NUMBER (AUTOFILLS)], B$33)</f>
        <v>0</v>
      </c>
      <c r="C42" s="32">
        <f>SUMIFS(Table_OFF[TOTAL BUDGET REQUESTED], Table_OFF[BUDGET APPROVED BY DIRECTOR? (ADMIN USE)], "Approved (Off Cycle)", Table_OFF[FUND (ADMIN USE)], $A42, Table_OFF[BUDGET ACCOUNT NUMBER (AUTOFILLS)], C$33)</f>
        <v>0</v>
      </c>
      <c r="D42" s="32">
        <f>SUMIFS(Table_OFF[TOTAL BUDGET REQUESTED], Table_OFF[BUDGET APPROVED BY DIRECTOR? (ADMIN USE)], "Approved (Off Cycle)", Table_OFF[FUND (ADMIN USE)], $A42, Table_OFF[BUDGET ACCOUNT NUMBER (AUTOFILLS)], D$33)</f>
        <v>0</v>
      </c>
      <c r="E42" s="32">
        <f>SUMIFS(Table_OFF[TOTAL BUDGET REQUESTED], Table_OFF[BUDGET APPROVED BY DIRECTOR? (ADMIN USE)], "Approved (Off Cycle)", Table_OFF[FUND (ADMIN USE)], $A42, Table_OFF[BUDGET ACCOUNT NUMBER (AUTOFILLS)], E$33)</f>
        <v>0</v>
      </c>
      <c r="F42" s="32">
        <f>SUMIFS(Table_OFF[TOTAL BUDGET REQUESTED], Table_OFF[BUDGET APPROVED BY DIRECTOR? (ADMIN USE)], "Approved (Off Cycle)", Table_OFF[FUND (ADMIN USE)], $A42, Table_OFF[BUDGET ACCOUNT NUMBER (AUTOFILLS)], F$33)</f>
        <v>0</v>
      </c>
      <c r="G42" s="32">
        <f>SUMIFS(Table_OFF[TOTAL BUDGET REQUESTED], Table_OFF[BUDGET APPROVED BY DIRECTOR? (ADMIN USE)], "Approved (Off Cycle)", Table_OFF[FUND (ADMIN USE)], $A42, Table_OFF[BUDGET ACCOUNT NUMBER (AUTOFILLS)], G$33)</f>
        <v>0</v>
      </c>
      <c r="H42" s="32">
        <f>SUMIFS(Table_OFF[TOTAL BUDGET REQUESTED], Table_OFF[BUDGET APPROVED BY DIRECTOR? (ADMIN USE)], "Approved (Off Cycle)", Table_OFF[FUND (ADMIN USE)], $A42, Table_OFF[BUDGET ACCOUNT NUMBER (AUTOFILLS)], H$33)</f>
        <v>0</v>
      </c>
      <c r="I42" s="14">
        <f>SUM(Table_Totals2527[[#This Row],[88021]:[88100]])</f>
        <v>0</v>
      </c>
    </row>
    <row r="43" spans="1:9" ht="60" customHeight="1">
      <c r="A43" s="29" t="s">
        <v>155</v>
      </c>
      <c r="B43" s="32">
        <f>SUMIFS(Table_OFF[TOTAL BUDGET REQUESTED], Table_OFF[BUDGET APPROVED BY DIRECTOR? (ADMIN USE)], "Approved (Off Cycle)", Table_OFF[FUND (ADMIN USE)], $A43, Table_OFF[BUDGET ACCOUNT NUMBER (AUTOFILLS)], B$33)</f>
        <v>0</v>
      </c>
      <c r="C43" s="32">
        <f>SUMIFS(Table_OFF[TOTAL BUDGET REQUESTED], Table_OFF[BUDGET APPROVED BY DIRECTOR? (ADMIN USE)], "Approved (Off Cycle)", Table_OFF[FUND (ADMIN USE)], $A43, Table_OFF[BUDGET ACCOUNT NUMBER (AUTOFILLS)], C$33)</f>
        <v>0</v>
      </c>
      <c r="D43" s="32">
        <f>SUMIFS(Table_OFF[TOTAL BUDGET REQUESTED], Table_OFF[BUDGET APPROVED BY DIRECTOR? (ADMIN USE)], "Approved (Off Cycle)", Table_OFF[FUND (ADMIN USE)], $A43, Table_OFF[BUDGET ACCOUNT NUMBER (AUTOFILLS)], D$33)</f>
        <v>0</v>
      </c>
      <c r="E43" s="32">
        <f>SUMIFS(Table_OFF[TOTAL BUDGET REQUESTED], Table_OFF[BUDGET APPROVED BY DIRECTOR? (ADMIN USE)], "Approved (Off Cycle)", Table_OFF[FUND (ADMIN USE)], $A43, Table_OFF[BUDGET ACCOUNT NUMBER (AUTOFILLS)], E$33)</f>
        <v>0</v>
      </c>
      <c r="F43" s="32">
        <f>SUMIFS(Table_OFF[TOTAL BUDGET REQUESTED], Table_OFF[BUDGET APPROVED BY DIRECTOR? (ADMIN USE)], "Approved (Off Cycle)", Table_OFF[FUND (ADMIN USE)], $A43, Table_OFF[BUDGET ACCOUNT NUMBER (AUTOFILLS)], F$33)</f>
        <v>0</v>
      </c>
      <c r="G43" s="32">
        <f>SUMIFS(Table_OFF[TOTAL BUDGET REQUESTED], Table_OFF[BUDGET APPROVED BY DIRECTOR? (ADMIN USE)], "Approved (Off Cycle)", Table_OFF[FUND (ADMIN USE)], $A43, Table_OFF[BUDGET ACCOUNT NUMBER (AUTOFILLS)], G$33)</f>
        <v>0</v>
      </c>
      <c r="H43" s="32">
        <f>SUMIFS(Table_OFF[TOTAL BUDGET REQUESTED], Table_OFF[BUDGET APPROVED BY DIRECTOR? (ADMIN USE)], "Approved (Off Cycle)", Table_OFF[FUND (ADMIN USE)], $A43, Table_OFF[BUDGET ACCOUNT NUMBER (AUTOFILLS)], H$33)</f>
        <v>0</v>
      </c>
      <c r="I43" s="14">
        <f>SUM(Table_Totals2527[[#This Row],[88021]:[88100]])</f>
        <v>0</v>
      </c>
    </row>
    <row r="44" spans="1:9" ht="60" customHeight="1">
      <c r="A44" s="29" t="s">
        <v>156</v>
      </c>
      <c r="B44" s="32">
        <f>SUMIFS(Table_OFF[TOTAL BUDGET REQUESTED], Table_OFF[BUDGET APPROVED BY DIRECTOR? (ADMIN USE)], "Approved (Off Cycle)", Table_OFF[FUND (ADMIN USE)], $A44, Table_OFF[BUDGET ACCOUNT NUMBER (AUTOFILLS)], B$33)</f>
        <v>0</v>
      </c>
      <c r="C44" s="32">
        <f>SUMIFS(Table_OFF[TOTAL BUDGET REQUESTED], Table_OFF[BUDGET APPROVED BY DIRECTOR? (ADMIN USE)], "Approved (Off Cycle)", Table_OFF[FUND (ADMIN USE)], $A44, Table_OFF[BUDGET ACCOUNT NUMBER (AUTOFILLS)], C$33)</f>
        <v>0</v>
      </c>
      <c r="D44" s="32">
        <f>SUMIFS(Table_OFF[TOTAL BUDGET REQUESTED], Table_OFF[BUDGET APPROVED BY DIRECTOR? (ADMIN USE)], "Approved (Off Cycle)", Table_OFF[FUND (ADMIN USE)], $A44, Table_OFF[BUDGET ACCOUNT NUMBER (AUTOFILLS)], D$33)</f>
        <v>0</v>
      </c>
      <c r="E44" s="32">
        <f>SUMIFS(Table_OFF[TOTAL BUDGET REQUESTED], Table_OFF[BUDGET APPROVED BY DIRECTOR? (ADMIN USE)], "Approved (Off Cycle)", Table_OFF[FUND (ADMIN USE)], $A44, Table_OFF[BUDGET ACCOUNT NUMBER (AUTOFILLS)], E$33)</f>
        <v>0</v>
      </c>
      <c r="F44" s="32">
        <f>SUMIFS(Table_OFF[TOTAL BUDGET REQUESTED], Table_OFF[BUDGET APPROVED BY DIRECTOR? (ADMIN USE)], "Approved (Off Cycle)", Table_OFF[FUND (ADMIN USE)], $A44, Table_OFF[BUDGET ACCOUNT NUMBER (AUTOFILLS)], F$33)</f>
        <v>0</v>
      </c>
      <c r="G44" s="32">
        <f>SUMIFS(Table_OFF[TOTAL BUDGET REQUESTED], Table_OFF[BUDGET APPROVED BY DIRECTOR? (ADMIN USE)], "Approved (Off Cycle)", Table_OFF[FUND (ADMIN USE)], $A44, Table_OFF[BUDGET ACCOUNT NUMBER (AUTOFILLS)], G$33)</f>
        <v>0</v>
      </c>
      <c r="H44" s="32">
        <f>SUMIFS(Table_OFF[TOTAL BUDGET REQUESTED], Table_OFF[BUDGET APPROVED BY DIRECTOR? (ADMIN USE)], "Approved (Off Cycle)", Table_OFF[FUND (ADMIN USE)], $A44, Table_OFF[BUDGET ACCOUNT NUMBER (AUTOFILLS)], H$33)</f>
        <v>0</v>
      </c>
      <c r="I44" s="14">
        <f>SUM(Table_Totals2527[[#This Row],[88021]:[88100]])</f>
        <v>0</v>
      </c>
    </row>
    <row r="45" spans="1:9" ht="60" customHeight="1">
      <c r="A45" s="29" t="s">
        <v>169</v>
      </c>
      <c r="B45" s="31">
        <f>SUM(B34:B44)</f>
        <v>0</v>
      </c>
      <c r="C45" s="31">
        <f>SUM(C34:C44)</f>
        <v>0</v>
      </c>
      <c r="D45" s="31">
        <f t="shared" ref="D45" si="2">SUM(D34:D44)</f>
        <v>0</v>
      </c>
      <c r="E45" s="31">
        <f>SUM(E34:E44)</f>
        <v>0</v>
      </c>
      <c r="F45" s="31">
        <f t="shared" ref="F45:H45" si="3">SUM(F34:F44)</f>
        <v>0</v>
      </c>
      <c r="G45" s="31">
        <f t="shared" si="3"/>
        <v>0</v>
      </c>
      <c r="H45" s="31">
        <f>SUM(H34:H44)</f>
        <v>0</v>
      </c>
      <c r="I45" s="14">
        <f>SUM(Table_Totals2527[[#This Row],[88021]:[88100]])</f>
        <v>0</v>
      </c>
    </row>
    <row r="46" spans="1:9" ht="60" customHeight="1"/>
    <row r="47" spans="1:9" ht="60" customHeight="1"/>
    <row r="48" spans="1:9" ht="60" customHeight="1"/>
    <row r="49" ht="60" customHeight="1"/>
    <row r="50" ht="60" customHeight="1"/>
    <row r="51" ht="60" customHeight="1"/>
    <row r="52" ht="60" customHeight="1"/>
    <row r="53" ht="60" customHeight="1"/>
    <row r="54" ht="60" customHeight="1"/>
    <row r="55" ht="60" customHeight="1"/>
    <row r="56" ht="60" customHeight="1"/>
    <row r="57" ht="60" customHeight="1"/>
    <row r="58" ht="60" customHeight="1"/>
    <row r="59" ht="60" customHeight="1"/>
    <row r="60" ht="60" customHeight="1"/>
    <row r="61" ht="60" customHeight="1"/>
    <row r="62" ht="60" customHeight="1"/>
    <row r="63" ht="60" customHeight="1"/>
    <row r="64" ht="60" customHeight="1"/>
    <row r="65" ht="60" customHeight="1"/>
    <row r="66" ht="60" customHeight="1"/>
    <row r="67" ht="60" customHeight="1"/>
    <row r="68" ht="60" customHeight="1"/>
    <row r="69" ht="60" customHeight="1"/>
    <row r="70" ht="60" customHeight="1"/>
    <row r="71" ht="60" customHeight="1"/>
    <row r="72" ht="60" customHeight="1"/>
    <row r="73" ht="60" customHeight="1"/>
    <row r="74" ht="60" customHeight="1"/>
    <row r="75" ht="60" customHeight="1"/>
    <row r="76" ht="60" customHeight="1"/>
    <row r="77" ht="60" customHeight="1"/>
    <row r="78" ht="60" customHeight="1"/>
    <row r="79" ht="60" customHeight="1"/>
    <row r="80" ht="60" customHeight="1"/>
    <row r="81" ht="60" customHeight="1"/>
    <row r="82" ht="60" customHeight="1"/>
    <row r="83" ht="60" customHeight="1"/>
    <row r="84" ht="60" customHeight="1"/>
    <row r="85" ht="60" customHeight="1"/>
    <row r="86" ht="60" customHeight="1"/>
    <row r="87" ht="60" customHeight="1"/>
    <row r="88" ht="60" customHeight="1"/>
    <row r="89" ht="60" customHeight="1"/>
    <row r="90" ht="60" customHeight="1"/>
    <row r="91" ht="60" customHeight="1"/>
  </sheetData>
  <mergeCells count="3">
    <mergeCell ref="A1:K1"/>
    <mergeCell ref="A17:K17"/>
    <mergeCell ref="A32:I32"/>
  </mergeCells>
  <phoneticPr fontId="14" type="noConversion"/>
  <conditionalFormatting sqref="K30">
    <cfRule type="cellIs" dxfId="1" priority="2" operator="equal">
      <formula>SUM($B$30:$J$30)</formula>
    </cfRule>
  </conditionalFormatting>
  <pageMargins left="0.7" right="0.7" top="0.75" bottom="0.75" header="0.3" footer="0.3"/>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0474-DBD3-45CA-8267-2CAB2365A231}">
  <dimension ref="A1:K154"/>
  <sheetViews>
    <sheetView zoomScale="90" zoomScaleNormal="90" workbookViewId="0">
      <selection activeCell="A160" sqref="A160"/>
    </sheetView>
  </sheetViews>
  <sheetFormatPr defaultRowHeight="15"/>
  <cols>
    <col min="1" max="1" width="43.85546875" bestFit="1" customWidth="1"/>
    <col min="2" max="4" width="39.140625" bestFit="1" customWidth="1"/>
    <col min="5" max="5" width="11.42578125" bestFit="1" customWidth="1"/>
    <col min="6" max="9" width="39.5703125" bestFit="1" customWidth="1"/>
    <col min="10" max="10" width="11.42578125" bestFit="1" customWidth="1"/>
    <col min="11" max="11" width="10.42578125" bestFit="1" customWidth="1"/>
    <col min="12" max="12" width="10.7109375" bestFit="1" customWidth="1"/>
    <col min="13" max="13" width="10.5703125" bestFit="1" customWidth="1"/>
    <col min="14" max="14" width="22" bestFit="1" customWidth="1"/>
    <col min="15" max="15" width="10.5703125" bestFit="1" customWidth="1"/>
    <col min="16" max="16" width="34.85546875" bestFit="1" customWidth="1"/>
    <col min="17" max="17" width="10.5703125" bestFit="1" customWidth="1"/>
    <col min="18" max="18" width="29.140625" bestFit="1" customWidth="1"/>
    <col min="19" max="19" width="10.5703125" bestFit="1" customWidth="1"/>
    <col min="20" max="20" width="10.42578125" bestFit="1" customWidth="1"/>
  </cols>
  <sheetData>
    <row r="1" spans="1:11" ht="31.5">
      <c r="A1" s="57" t="s">
        <v>170</v>
      </c>
      <c r="B1" s="57"/>
      <c r="C1" s="57"/>
      <c r="D1" s="57"/>
      <c r="E1" s="57"/>
      <c r="F1" s="57"/>
      <c r="G1" s="57"/>
      <c r="H1" s="57"/>
      <c r="I1" s="57"/>
      <c r="J1" s="57"/>
      <c r="K1" s="57"/>
    </row>
    <row r="2" spans="1:11">
      <c r="A2" s="30" t="s">
        <v>144</v>
      </c>
      <c r="B2" t="s">
        <v>114</v>
      </c>
    </row>
    <row r="4" spans="1:11">
      <c r="A4" s="30" t="s">
        <v>171</v>
      </c>
      <c r="B4" s="30" t="s">
        <v>154</v>
      </c>
    </row>
    <row r="5" spans="1:11">
      <c r="A5" s="30" t="s">
        <v>146</v>
      </c>
      <c r="B5">
        <v>88100</v>
      </c>
      <c r="C5">
        <v>88420</v>
      </c>
      <c r="D5">
        <v>88510</v>
      </c>
      <c r="E5" t="s">
        <v>172</v>
      </c>
    </row>
    <row r="6" spans="1:11">
      <c r="A6" t="s">
        <v>122</v>
      </c>
      <c r="B6">
        <v>450</v>
      </c>
      <c r="D6">
        <v>1850</v>
      </c>
      <c r="E6">
        <v>2300</v>
      </c>
      <c r="G6">
        <v>4800</v>
      </c>
    </row>
    <row r="7" spans="1:11">
      <c r="A7" t="s">
        <v>126</v>
      </c>
      <c r="C7">
        <v>800</v>
      </c>
      <c r="E7">
        <v>800</v>
      </c>
    </row>
    <row r="8" spans="1:11">
      <c r="A8" t="s">
        <v>172</v>
      </c>
      <c r="B8">
        <v>450</v>
      </c>
      <c r="C8">
        <v>800</v>
      </c>
      <c r="D8">
        <v>1850</v>
      </c>
      <c r="E8">
        <v>3100</v>
      </c>
    </row>
    <row r="17" spans="1:11" ht="30.75" customHeight="1">
      <c r="A17" s="57" t="s">
        <v>173</v>
      </c>
      <c r="B17" s="57"/>
      <c r="C17" s="57"/>
      <c r="D17" s="57"/>
      <c r="E17" s="57"/>
      <c r="F17" s="57"/>
      <c r="G17" s="57"/>
      <c r="H17" s="57"/>
      <c r="I17" s="57"/>
      <c r="J17" s="57"/>
      <c r="K17" s="57"/>
    </row>
    <row r="18" spans="1:11">
      <c r="A18" s="30" t="s">
        <v>144</v>
      </c>
      <c r="B18" t="s">
        <v>114</v>
      </c>
    </row>
    <row r="20" spans="1:11">
      <c r="A20" s="30" t="s">
        <v>171</v>
      </c>
      <c r="B20" s="30" t="s">
        <v>154</v>
      </c>
    </row>
    <row r="21" spans="1:11">
      <c r="A21" s="30" t="s">
        <v>146</v>
      </c>
      <c r="B21">
        <v>88420</v>
      </c>
      <c r="C21">
        <v>88510</v>
      </c>
      <c r="D21" t="s">
        <v>172</v>
      </c>
    </row>
    <row r="22" spans="1:11">
      <c r="A22" s="39" t="s">
        <v>126</v>
      </c>
      <c r="B22">
        <v>2200</v>
      </c>
      <c r="D22">
        <v>2200</v>
      </c>
    </row>
    <row r="23" spans="1:11">
      <c r="A23" s="39" t="s">
        <v>128</v>
      </c>
      <c r="B23">
        <v>166</v>
      </c>
      <c r="C23">
        <v>100</v>
      </c>
      <c r="D23">
        <v>266</v>
      </c>
    </row>
    <row r="24" spans="1:11">
      <c r="A24" s="39" t="s">
        <v>172</v>
      </c>
      <c r="B24">
        <v>2366</v>
      </c>
      <c r="C24">
        <v>100</v>
      </c>
      <c r="D24">
        <v>2466</v>
      </c>
    </row>
    <row r="33" spans="1:11" ht="31.5">
      <c r="A33" s="57" t="s">
        <v>174</v>
      </c>
      <c r="B33" s="57"/>
      <c r="C33" s="57"/>
      <c r="D33" s="57"/>
      <c r="E33" s="57"/>
      <c r="F33" s="57"/>
      <c r="G33" s="57"/>
      <c r="H33" s="57"/>
      <c r="I33" s="57"/>
      <c r="J33" s="57"/>
      <c r="K33" s="57"/>
    </row>
    <row r="34" spans="1:11">
      <c r="A34" s="30" t="s">
        <v>144</v>
      </c>
      <c r="B34" t="s">
        <v>114</v>
      </c>
    </row>
    <row r="36" spans="1:11">
      <c r="A36" s="30" t="s">
        <v>171</v>
      </c>
      <c r="B36" s="30" t="s">
        <v>140</v>
      </c>
    </row>
    <row r="37" spans="1:11">
      <c r="A37" s="30" t="s">
        <v>146</v>
      </c>
      <c r="B37">
        <v>88100</v>
      </c>
      <c r="C37">
        <v>88200</v>
      </c>
      <c r="D37">
        <v>88400</v>
      </c>
      <c r="E37">
        <v>88420</v>
      </c>
      <c r="F37">
        <v>88500</v>
      </c>
      <c r="G37">
        <v>88510</v>
      </c>
      <c r="H37">
        <v>88800</v>
      </c>
      <c r="I37" t="s">
        <v>175</v>
      </c>
      <c r="J37" t="s">
        <v>172</v>
      </c>
    </row>
    <row r="38" spans="1:11">
      <c r="A38" t="s">
        <v>122</v>
      </c>
      <c r="B38">
        <v>10946</v>
      </c>
      <c r="C38">
        <v>14245</v>
      </c>
      <c r="D38">
        <v>38995</v>
      </c>
      <c r="F38">
        <v>100</v>
      </c>
      <c r="G38">
        <v>650</v>
      </c>
      <c r="H38">
        <v>38996</v>
      </c>
      <c r="J38">
        <v>103932</v>
      </c>
      <c r="K38">
        <v>103932</v>
      </c>
    </row>
    <row r="39" spans="1:11">
      <c r="A39" t="s">
        <v>128</v>
      </c>
      <c r="H39">
        <v>750</v>
      </c>
      <c r="I39">
        <v>3555</v>
      </c>
      <c r="J39">
        <v>4305</v>
      </c>
    </row>
    <row r="40" spans="1:11">
      <c r="A40" t="s">
        <v>136</v>
      </c>
      <c r="I40">
        <v>9200</v>
      </c>
      <c r="J40">
        <v>9200</v>
      </c>
    </row>
    <row r="41" spans="1:11">
      <c r="A41" t="s">
        <v>126</v>
      </c>
      <c r="E41">
        <v>6000</v>
      </c>
      <c r="G41">
        <v>49076</v>
      </c>
      <c r="H41">
        <v>20000</v>
      </c>
      <c r="J41">
        <v>75076</v>
      </c>
    </row>
    <row r="42" spans="1:11">
      <c r="A42" t="s">
        <v>172</v>
      </c>
      <c r="B42">
        <v>10946</v>
      </c>
      <c r="C42">
        <v>14245</v>
      </c>
      <c r="D42">
        <v>38995</v>
      </c>
      <c r="E42">
        <v>6000</v>
      </c>
      <c r="F42">
        <v>100</v>
      </c>
      <c r="G42">
        <v>49726</v>
      </c>
      <c r="H42">
        <v>59746</v>
      </c>
      <c r="I42">
        <v>12755</v>
      </c>
      <c r="J42">
        <v>192513</v>
      </c>
    </row>
    <row r="49" spans="1:11" ht="31.5">
      <c r="A49" s="57" t="s">
        <v>176</v>
      </c>
      <c r="B49" s="57"/>
      <c r="C49" s="57"/>
      <c r="D49" s="57"/>
      <c r="E49" s="57"/>
      <c r="F49" s="57"/>
      <c r="G49" s="57"/>
      <c r="H49" s="57"/>
      <c r="I49" s="57"/>
      <c r="J49" s="57"/>
      <c r="K49" s="57"/>
    </row>
    <row r="50" spans="1:11">
      <c r="A50" s="30" t="s">
        <v>144</v>
      </c>
      <c r="B50" t="s">
        <v>114</v>
      </c>
    </row>
    <row r="52" spans="1:11">
      <c r="A52" s="30" t="s">
        <v>171</v>
      </c>
      <c r="B52" s="30" t="s">
        <v>140</v>
      </c>
    </row>
    <row r="53" spans="1:11">
      <c r="A53" s="30" t="s">
        <v>146</v>
      </c>
      <c r="B53">
        <v>88100</v>
      </c>
      <c r="C53">
        <v>88350</v>
      </c>
      <c r="D53">
        <v>88420</v>
      </c>
      <c r="E53" t="s">
        <v>172</v>
      </c>
    </row>
    <row r="54" spans="1:11">
      <c r="A54" t="s">
        <v>118</v>
      </c>
      <c r="C54">
        <v>40000</v>
      </c>
      <c r="E54">
        <v>40000</v>
      </c>
    </row>
    <row r="55" spans="1:11">
      <c r="A55" t="s">
        <v>122</v>
      </c>
      <c r="B55">
        <v>12800</v>
      </c>
      <c r="C55">
        <v>1209687</v>
      </c>
      <c r="E55">
        <v>1222487</v>
      </c>
      <c r="F55">
        <f>1144582-GETPIVOTDATA("TOTAL BUDGET REQUESTED",$A$52,"BUDGET ACCOUNT NUMBER (AUTOFILLS)",88350,"FUND (ADMIN USE)","E + G 10000")</f>
        <v>-65105</v>
      </c>
    </row>
    <row r="56" spans="1:11">
      <c r="A56" t="s">
        <v>136</v>
      </c>
      <c r="C56">
        <v>61200</v>
      </c>
      <c r="E56">
        <v>61200</v>
      </c>
    </row>
    <row r="57" spans="1:11">
      <c r="A57" t="s">
        <v>133</v>
      </c>
      <c r="C57">
        <v>622771</v>
      </c>
      <c r="E57">
        <v>622771</v>
      </c>
    </row>
    <row r="58" spans="1:11">
      <c r="A58" t="s">
        <v>113</v>
      </c>
      <c r="C58">
        <v>234378</v>
      </c>
      <c r="E58">
        <v>234378</v>
      </c>
    </row>
    <row r="59" spans="1:11">
      <c r="A59" t="s">
        <v>109</v>
      </c>
      <c r="C59">
        <v>12000</v>
      </c>
      <c r="E59">
        <v>12000</v>
      </c>
    </row>
    <row r="60" spans="1:11">
      <c r="A60" t="s">
        <v>126</v>
      </c>
      <c r="C60">
        <v>51000</v>
      </c>
      <c r="D60">
        <v>355</v>
      </c>
      <c r="E60">
        <v>51355</v>
      </c>
    </row>
    <row r="61" spans="1:11">
      <c r="A61" t="s">
        <v>156</v>
      </c>
      <c r="C61">
        <v>97529</v>
      </c>
      <c r="E61">
        <v>97529</v>
      </c>
    </row>
    <row r="62" spans="1:11">
      <c r="A62" t="s">
        <v>155</v>
      </c>
      <c r="C62">
        <v>63630</v>
      </c>
      <c r="E62">
        <v>63630</v>
      </c>
    </row>
    <row r="63" spans="1:11">
      <c r="A63" t="s">
        <v>172</v>
      </c>
      <c r="B63">
        <v>12800</v>
      </c>
      <c r="C63">
        <v>2392195</v>
      </c>
      <c r="D63">
        <v>355</v>
      </c>
      <c r="E63">
        <v>2405350</v>
      </c>
    </row>
    <row r="64" spans="1:11">
      <c r="C64">
        <v>2327090</v>
      </c>
      <c r="D64">
        <f>GETPIVOTDATA("TOTAL BUDGET REQUESTED",$A$52,"BUDGET ACCOUNT NUMBER (AUTOFILLS)",88350)-C64</f>
        <v>65105</v>
      </c>
    </row>
    <row r="65" spans="1:11" ht="31.5">
      <c r="A65" s="57" t="s">
        <v>177</v>
      </c>
      <c r="B65" s="58"/>
      <c r="C65" s="58"/>
      <c r="D65" s="58"/>
      <c r="E65" s="58"/>
      <c r="F65" s="58"/>
      <c r="G65" s="58"/>
      <c r="H65" s="58"/>
      <c r="I65" s="58"/>
      <c r="J65" s="58"/>
      <c r="K65" s="58"/>
    </row>
    <row r="66" spans="1:11">
      <c r="A66" s="30" t="s">
        <v>144</v>
      </c>
      <c r="B66" t="s">
        <v>114</v>
      </c>
    </row>
    <row r="68" spans="1:11">
      <c r="A68" s="30" t="s">
        <v>171</v>
      </c>
      <c r="B68" s="30" t="s">
        <v>140</v>
      </c>
    </row>
    <row r="69" spans="1:11">
      <c r="A69" s="30" t="s">
        <v>146</v>
      </c>
      <c r="B69">
        <v>88420</v>
      </c>
      <c r="C69">
        <v>88800</v>
      </c>
      <c r="D69" t="s">
        <v>175</v>
      </c>
      <c r="E69" t="s">
        <v>172</v>
      </c>
    </row>
    <row r="70" spans="1:11">
      <c r="A70" t="s">
        <v>136</v>
      </c>
      <c r="D70">
        <v>970</v>
      </c>
      <c r="E70">
        <v>970</v>
      </c>
    </row>
    <row r="71" spans="1:11">
      <c r="A71" t="s">
        <v>109</v>
      </c>
      <c r="B71">
        <v>150</v>
      </c>
      <c r="C71">
        <v>1500</v>
      </c>
      <c r="E71">
        <v>1650</v>
      </c>
    </row>
    <row r="72" spans="1:11">
      <c r="A72" t="s">
        <v>172</v>
      </c>
      <c r="B72">
        <v>150</v>
      </c>
      <c r="C72">
        <v>1500</v>
      </c>
      <c r="D72">
        <v>970</v>
      </c>
      <c r="E72">
        <v>2620</v>
      </c>
    </row>
    <row r="81" spans="1:11" ht="30.95" customHeight="1">
      <c r="A81" s="57" t="s">
        <v>155</v>
      </c>
      <c r="B81" s="57"/>
      <c r="C81" s="57"/>
      <c r="D81" s="57"/>
      <c r="E81" s="57"/>
      <c r="F81" s="57"/>
      <c r="G81" s="57"/>
      <c r="H81" s="57"/>
      <c r="I81" s="57"/>
      <c r="J81" s="57"/>
      <c r="K81" s="57"/>
    </row>
    <row r="83" spans="1:11">
      <c r="A83" s="30" t="s">
        <v>144</v>
      </c>
      <c r="B83" t="s">
        <v>114</v>
      </c>
    </row>
    <row r="85" spans="1:11">
      <c r="A85" s="30" t="s">
        <v>171</v>
      </c>
      <c r="B85" s="30" t="s">
        <v>178</v>
      </c>
    </row>
    <row r="86" spans="1:11">
      <c r="A86" s="30" t="s">
        <v>146</v>
      </c>
      <c r="B86">
        <v>88100</v>
      </c>
      <c r="C86">
        <v>88250</v>
      </c>
      <c r="D86">
        <v>88400</v>
      </c>
      <c r="E86" t="s">
        <v>172</v>
      </c>
    </row>
    <row r="87" spans="1:11">
      <c r="A87" s="39" t="s">
        <v>155</v>
      </c>
      <c r="B87">
        <v>6460</v>
      </c>
      <c r="C87">
        <v>300</v>
      </c>
      <c r="D87">
        <v>5308</v>
      </c>
      <c r="E87">
        <v>12068</v>
      </c>
    </row>
    <row r="88" spans="1:11">
      <c r="A88" s="39" t="s">
        <v>172</v>
      </c>
      <c r="B88">
        <v>6460</v>
      </c>
      <c r="C88">
        <v>300</v>
      </c>
      <c r="D88">
        <v>5308</v>
      </c>
      <c r="E88">
        <v>12068</v>
      </c>
    </row>
    <row r="98" spans="1:11" ht="31.5">
      <c r="A98" s="57" t="s">
        <v>179</v>
      </c>
      <c r="B98" s="57"/>
      <c r="C98" s="57"/>
      <c r="D98" s="57"/>
      <c r="E98" s="57"/>
      <c r="F98" s="57"/>
      <c r="G98" s="57"/>
      <c r="H98" s="57"/>
      <c r="I98" s="57"/>
      <c r="J98" s="57"/>
      <c r="K98" s="57"/>
    </row>
    <row r="99" spans="1:11">
      <c r="A99" s="30" t="s">
        <v>144</v>
      </c>
      <c r="B99" t="s">
        <v>114</v>
      </c>
    </row>
    <row r="101" spans="1:11">
      <c r="A101" s="30" t="s">
        <v>171</v>
      </c>
      <c r="B101" s="30" t="s">
        <v>140</v>
      </c>
    </row>
    <row r="102" spans="1:11">
      <c r="A102" s="30" t="s">
        <v>146</v>
      </c>
      <c r="B102">
        <v>88250</v>
      </c>
      <c r="C102">
        <v>88420</v>
      </c>
      <c r="D102">
        <v>88800</v>
      </c>
      <c r="E102" t="s">
        <v>172</v>
      </c>
    </row>
    <row r="103" spans="1:11">
      <c r="A103" t="s">
        <v>118</v>
      </c>
      <c r="B103">
        <v>2000</v>
      </c>
      <c r="C103">
        <v>1276</v>
      </c>
      <c r="D103">
        <v>3025</v>
      </c>
      <c r="E103">
        <v>6301</v>
      </c>
    </row>
    <row r="104" spans="1:11">
      <c r="A104" t="s">
        <v>172</v>
      </c>
      <c r="B104">
        <v>2000</v>
      </c>
      <c r="C104">
        <v>1276</v>
      </c>
      <c r="D104">
        <v>3025</v>
      </c>
      <c r="E104">
        <v>6301</v>
      </c>
    </row>
    <row r="114" spans="1:11" ht="31.5">
      <c r="A114" s="57" t="s">
        <v>180</v>
      </c>
      <c r="B114" s="57"/>
      <c r="C114" s="57"/>
      <c r="D114" s="57"/>
      <c r="E114" s="57"/>
      <c r="F114" s="57"/>
      <c r="G114" s="57"/>
      <c r="H114" s="57"/>
      <c r="I114" s="57"/>
      <c r="J114" s="57"/>
      <c r="K114" s="57"/>
    </row>
    <row r="115" spans="1:11">
      <c r="A115" s="30" t="s">
        <v>144</v>
      </c>
      <c r="B115" t="s">
        <v>114</v>
      </c>
    </row>
    <row r="117" spans="1:11">
      <c r="A117" s="30" t="s">
        <v>171</v>
      </c>
      <c r="B117" s="30" t="s">
        <v>140</v>
      </c>
    </row>
    <row r="118" spans="1:11">
      <c r="A118" s="30" t="s">
        <v>146</v>
      </c>
      <c r="B118">
        <v>88100</v>
      </c>
      <c r="C118">
        <v>88250</v>
      </c>
      <c r="D118" t="s">
        <v>172</v>
      </c>
    </row>
    <row r="119" spans="1:11">
      <c r="A119" t="s">
        <v>122</v>
      </c>
      <c r="B119">
        <v>20118</v>
      </c>
      <c r="C119">
        <v>5050</v>
      </c>
      <c r="D119">
        <v>25168</v>
      </c>
    </row>
    <row r="120" spans="1:11">
      <c r="A120" t="s">
        <v>128</v>
      </c>
      <c r="B120">
        <v>761</v>
      </c>
      <c r="D120">
        <v>761</v>
      </c>
    </row>
    <row r="121" spans="1:11">
      <c r="A121" t="s">
        <v>172</v>
      </c>
      <c r="B121">
        <v>20879</v>
      </c>
      <c r="C121">
        <v>5050</v>
      </c>
      <c r="D121">
        <v>25929</v>
      </c>
    </row>
    <row r="130" spans="1:11" ht="31.5">
      <c r="A130" s="57" t="s">
        <v>181</v>
      </c>
      <c r="B130" s="57"/>
      <c r="C130" s="57"/>
      <c r="D130" s="57"/>
      <c r="E130" s="57"/>
      <c r="F130" s="57"/>
      <c r="G130" s="57"/>
      <c r="H130" s="57"/>
      <c r="I130" s="57"/>
      <c r="J130" s="57"/>
      <c r="K130" s="57"/>
    </row>
    <row r="131" spans="1:11">
      <c r="A131" s="30" t="s">
        <v>144</v>
      </c>
      <c r="B131" t="s">
        <v>114</v>
      </c>
    </row>
    <row r="133" spans="1:11">
      <c r="A133" s="30" t="s">
        <v>171</v>
      </c>
      <c r="B133" s="30" t="s">
        <v>140</v>
      </c>
    </row>
    <row r="134" spans="1:11">
      <c r="A134" s="30" t="s">
        <v>146</v>
      </c>
      <c r="B134">
        <v>88400</v>
      </c>
      <c r="C134" t="s">
        <v>172</v>
      </c>
    </row>
    <row r="135" spans="1:11">
      <c r="A135" t="s">
        <v>122</v>
      </c>
      <c r="B135">
        <v>1364</v>
      </c>
      <c r="C135">
        <v>1364</v>
      </c>
    </row>
    <row r="136" spans="1:11">
      <c r="A136" t="s">
        <v>126</v>
      </c>
      <c r="B136">
        <v>3696</v>
      </c>
      <c r="C136">
        <v>3696</v>
      </c>
    </row>
    <row r="137" spans="1:11">
      <c r="A137" t="s">
        <v>172</v>
      </c>
      <c r="B137">
        <v>5060</v>
      </c>
      <c r="C137">
        <v>5060</v>
      </c>
    </row>
    <row r="138" spans="1:11" ht="30">
      <c r="F138" s="48" t="s">
        <v>212</v>
      </c>
      <c r="G138" s="48" t="s">
        <v>213</v>
      </c>
      <c r="H138" s="48" t="s">
        <v>220</v>
      </c>
      <c r="I138" s="48" t="s">
        <v>214</v>
      </c>
      <c r="J138" s="48" t="s">
        <v>215</v>
      </c>
    </row>
    <row r="139" spans="1:11">
      <c r="F139" s="43"/>
    </row>
    <row r="140" spans="1:11">
      <c r="F140" s="43">
        <v>1290146</v>
      </c>
      <c r="G140" s="46">
        <f>GETPIVOTDATA("TOTAL BUDGET REQUESTED",$A$133,"FUND (ADMIN USE)","E + G 10000")+GETPIVOTDATA("TOTAL BUDGET REQUESTED",$A$117,"FUND (ADMIN USE)","E + G 10000")+GETPIVOTDATA("TOTAL BUDGET REQUESTED",$A$52,"FUND (ADMIN USE)","E + G 10000")+GETPIVOTDATA("TOTAL BUDGET REQUESTED",$A$38,"FUND (ADMIN USE)","E + G 10000")+GETPIVOTDATA("TOTAL BUDGET REQUESTED",$A$4,"FUND (ADMIN USE)","E + G 10000")</f>
        <v>1355251</v>
      </c>
      <c r="H140" s="46"/>
      <c r="I140" s="45">
        <f>F140-G140</f>
        <v>-65105</v>
      </c>
      <c r="J140" t="s">
        <v>217</v>
      </c>
    </row>
    <row r="141" spans="1:11">
      <c r="F141" s="43">
        <f>65000+32529</f>
        <v>97529</v>
      </c>
      <c r="G141" s="46">
        <f>GETPIVOTDATA("TOTAL BUDGET REQUESTED",$A$52,"FUND (ADMIN USE)","TCOP")</f>
        <v>97529</v>
      </c>
      <c r="H141" s="46"/>
      <c r="I141" s="45">
        <f t="shared" ref="I141:I147" si="0">F141-G141</f>
        <v>0</v>
      </c>
      <c r="J141" t="s">
        <v>216</v>
      </c>
    </row>
    <row r="142" spans="1:11">
      <c r="F142" s="43">
        <v>5146</v>
      </c>
      <c r="G142" s="46">
        <f>GETPIVOTDATA("TOTAL BUDGET REQUESTED",$A$117,"FUND (ADMIN USE)","E + G MEDDTN 12000")+GETPIVOTDATA("TOTAL BUDGET REQUESTED",$A$36,"FUND (ADMIN USE)","E + G MEDDTN 12000")+GETPIVOTDATA("TOTAL BUDGET REQUESTED",$A$20,"FUND (ADMIN USE)","E + G MEDDTN 12000")-GETPIVOTDATA("TOTAL BUDGET REQUESTED",$A$36,"BUDGET ACCOUNT NUMBER (AUTOFILLS)","Not Found","FUND (ADMIN USE)","E + G MEDDTN 12000")+3555</f>
        <v>5332</v>
      </c>
      <c r="H142" s="46"/>
      <c r="I142" s="45">
        <f t="shared" si="0"/>
        <v>-186</v>
      </c>
      <c r="J142" t="s">
        <v>218</v>
      </c>
    </row>
    <row r="143" spans="1:11">
      <c r="F143" s="43">
        <v>132827</v>
      </c>
      <c r="G143" s="46">
        <f>GETPIVOTDATA("TOTAL BUDGET REQUESTED",$A$133,"FUND (ADMIN USE)","CFWD 10009")+GETPIVOTDATA("TOTAL BUDGET REQUESTED",$A$52,"FUND (ADMIN USE)","CFWD 10009")+GETPIVOTDATA("TOTAL BUDGET REQUESTED",$A$36,"FUND (ADMIN USE)","CFWD 10009")+GETPIVOTDATA("TOTAL BUDGET REQUESTED",$A$20,"FUND (ADMIN USE)","CFWD 10009")+GETPIVOTDATA("TOTAL BUDGET REQUESTED",$A$4,"FUND (ADMIN USE)","CFWD 10009")</f>
        <v>133127</v>
      </c>
      <c r="H143" s="46"/>
      <c r="I143" s="45">
        <f t="shared" si="0"/>
        <v>-300</v>
      </c>
      <c r="J143" t="s">
        <v>211</v>
      </c>
    </row>
    <row r="144" spans="1:11">
      <c r="F144" s="43">
        <v>75698</v>
      </c>
      <c r="G144" s="46">
        <f>GETPIVOTDATA("TOTAL BUDGET REQUESTED",$A$85,"FUND (ADMIN USE)","HCA")+GETPIVOTDATA("TOTAL BUDGET REQUESTED",$A$52,"FUND (ADMIN USE)","HCA")</f>
        <v>75698</v>
      </c>
      <c r="H144" s="46"/>
      <c r="I144" s="45">
        <f t="shared" si="0"/>
        <v>0</v>
      </c>
      <c r="J144" t="s">
        <v>155</v>
      </c>
    </row>
    <row r="145" spans="5:10">
      <c r="F145" s="43">
        <v>71370</v>
      </c>
      <c r="G145" s="46">
        <f>GETPIVOTDATA("TOTAL BUDGET REQUESTED",$A$68,"FUND (ADMIN USE)","FOUNDATION")+GETPIVOTDATA("TOTAL BUDGET REQUESTED",$A$52,"FUND (ADMIN USE)","FOUNDATION")+GETPIVOTDATA("TOTAL BUDGET REQUESTED",$A$36,"FUND (ADMIN USE)","FOUNDATION")</f>
        <v>71370</v>
      </c>
      <c r="H145" s="46"/>
      <c r="I145" s="45">
        <f t="shared" si="0"/>
        <v>0</v>
      </c>
      <c r="J145" t="s">
        <v>208</v>
      </c>
    </row>
    <row r="146" spans="5:10">
      <c r="F146" s="43">
        <v>622771</v>
      </c>
      <c r="G146" s="46">
        <f>GETPIVOTDATA("TOTAL BUDGET REQUESTED",$A$52,"FUND (ADMIN USE)","RIA 18300")</f>
        <v>622771</v>
      </c>
      <c r="H146" s="46"/>
      <c r="I146" s="45">
        <f t="shared" si="0"/>
        <v>0</v>
      </c>
      <c r="J146" t="s">
        <v>209</v>
      </c>
    </row>
    <row r="147" spans="5:10">
      <c r="F147" s="43">
        <v>234378</v>
      </c>
      <c r="G147" s="46">
        <f>GETPIVOTDATA("TOTAL BUDGET REQUESTED",$A$52,"FUND (ADMIN USE)","VP ADMIN OVERHD 03209")</f>
        <v>234378</v>
      </c>
      <c r="H147" s="46"/>
      <c r="I147" s="45">
        <f t="shared" si="0"/>
        <v>0</v>
      </c>
      <c r="J147" t="s">
        <v>210</v>
      </c>
    </row>
    <row r="148" spans="5:10">
      <c r="F148" s="43">
        <v>16910</v>
      </c>
      <c r="G148" s="46">
        <f>GETPIVOTDATA("TOTAL BUDGET REQUESTED",$A$68,"FUND (ADMIN USE)","AUX LIB 03203")+GETPIVOTDATA("TOTAL BUDGET REQUESTED",$A$52,"FUND (ADMIN USE)","AUX LIB 03203")</f>
        <v>13650</v>
      </c>
      <c r="H148" s="46">
        <v>3074</v>
      </c>
      <c r="I148" s="45">
        <f>F148-G148-H148</f>
        <v>186</v>
      </c>
      <c r="J148" t="s">
        <v>221</v>
      </c>
    </row>
    <row r="149" spans="5:10">
      <c r="F149" s="43">
        <v>52170</v>
      </c>
      <c r="G149" s="46">
        <f>GETPIVOTDATA("TOTAL BUDGET REQUESTED",$A$101,"FUND (ADMIN USE)","AUX PASSPORT 03215")+GETPIVOTDATA("TOTAL BUDGET REQUESTED",$A$52,"FUND (ADMIN USE)","AUX PASSPORT 03215")</f>
        <v>46301</v>
      </c>
      <c r="H149" s="46">
        <v>5869</v>
      </c>
      <c r="I149" s="45">
        <f>F149-G149-H149</f>
        <v>0</v>
      </c>
      <c r="J149" t="s">
        <v>219</v>
      </c>
    </row>
    <row r="150" spans="5:10">
      <c r="E150" s="44"/>
      <c r="F150" s="43">
        <f>SUM(F140:F149)</f>
        <v>2598945</v>
      </c>
      <c r="G150" s="46">
        <f>SUM(G140:G149)</f>
        <v>2655407</v>
      </c>
      <c r="H150" s="46"/>
      <c r="I150" s="45">
        <f>SUM(I140:I149)</f>
        <v>-65405</v>
      </c>
    </row>
    <row r="151" spans="5:10">
      <c r="F151" s="43"/>
      <c r="I151" s="45">
        <f>I150-I141</f>
        <v>-65405</v>
      </c>
    </row>
    <row r="152" spans="5:10">
      <c r="F152" s="43"/>
    </row>
    <row r="153" spans="5:10">
      <c r="F153" s="43"/>
    </row>
    <row r="154" spans="5:10">
      <c r="F154" s="44"/>
    </row>
  </sheetData>
  <mergeCells count="9">
    <mergeCell ref="A114:K114"/>
    <mergeCell ref="A130:K130"/>
    <mergeCell ref="A1:K1"/>
    <mergeCell ref="A33:K33"/>
    <mergeCell ref="A49:K49"/>
    <mergeCell ref="A65:K65"/>
    <mergeCell ref="A98:K98"/>
    <mergeCell ref="A81:K81"/>
    <mergeCell ref="A17:K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9E616-C6CD-41A5-A338-0E5FE0036839}">
  <dimension ref="A1:G50"/>
  <sheetViews>
    <sheetView workbookViewId="0">
      <selection activeCell="B71" sqref="B71"/>
    </sheetView>
  </sheetViews>
  <sheetFormatPr defaultRowHeight="15"/>
  <cols>
    <col min="1" max="6" width="75.7109375" customWidth="1"/>
    <col min="7" max="7" width="80.140625" bestFit="1" customWidth="1"/>
  </cols>
  <sheetData>
    <row r="1" spans="1:7" ht="45" customHeight="1">
      <c r="A1" s="34" t="s">
        <v>182</v>
      </c>
      <c r="B1" s="34" t="s">
        <v>183</v>
      </c>
      <c r="C1" s="34" t="s">
        <v>184</v>
      </c>
      <c r="D1" s="34" t="s">
        <v>185</v>
      </c>
      <c r="E1" s="34" t="s">
        <v>186</v>
      </c>
      <c r="F1" s="33" t="s">
        <v>187</v>
      </c>
      <c r="G1" s="23" t="s">
        <v>188</v>
      </c>
    </row>
    <row r="2" spans="1:7" ht="90" customHeight="1">
      <c r="A2" s="35" t="s">
        <v>189</v>
      </c>
      <c r="B2" s="35" t="s">
        <v>190</v>
      </c>
      <c r="C2" s="35" t="s">
        <v>191</v>
      </c>
      <c r="D2" s="35" t="s">
        <v>192</v>
      </c>
      <c r="E2" s="35" t="s">
        <v>193</v>
      </c>
      <c r="F2" s="36" t="s">
        <v>193</v>
      </c>
      <c r="G2" s="23" t="s">
        <v>194</v>
      </c>
    </row>
    <row r="3" spans="1:7" ht="90" customHeight="1">
      <c r="A3" s="35"/>
      <c r="B3" s="35"/>
      <c r="C3" s="35"/>
      <c r="D3" s="35"/>
      <c r="E3" s="35"/>
      <c r="F3" s="35"/>
      <c r="G3" s="23" t="s">
        <v>195</v>
      </c>
    </row>
    <row r="4" spans="1:7" ht="90" customHeight="1">
      <c r="A4" s="35"/>
      <c r="B4" s="35"/>
      <c r="C4" s="35"/>
      <c r="D4" s="35"/>
      <c r="E4" s="35"/>
      <c r="F4" s="35"/>
      <c r="G4" s="23" t="s">
        <v>196</v>
      </c>
    </row>
    <row r="5" spans="1:7" ht="90" customHeight="1">
      <c r="A5" s="35"/>
      <c r="B5" s="35"/>
      <c r="C5" s="35"/>
      <c r="D5" s="35"/>
      <c r="E5" s="35"/>
      <c r="F5" s="35"/>
      <c r="G5" s="23" t="s">
        <v>159</v>
      </c>
    </row>
    <row r="6" spans="1:7" ht="90" customHeight="1">
      <c r="A6" s="35"/>
      <c r="B6" s="35"/>
      <c r="C6" s="35"/>
      <c r="D6" s="35"/>
      <c r="E6" s="35"/>
      <c r="F6" s="35"/>
      <c r="G6" s="23" t="s">
        <v>160</v>
      </c>
    </row>
    <row r="7" spans="1:7" ht="90" customHeight="1">
      <c r="A7" s="35"/>
      <c r="B7" s="35"/>
      <c r="C7" s="35"/>
      <c r="D7" s="35"/>
      <c r="E7" s="35"/>
      <c r="F7" s="35"/>
      <c r="G7" s="23" t="s">
        <v>161</v>
      </c>
    </row>
    <row r="8" spans="1:7" ht="90" customHeight="1">
      <c r="A8" s="35"/>
      <c r="B8" s="35"/>
      <c r="C8" s="35"/>
      <c r="D8" s="35"/>
      <c r="E8" s="35"/>
      <c r="F8" s="35"/>
      <c r="G8" s="23" t="s">
        <v>162</v>
      </c>
    </row>
    <row r="9" spans="1:7" ht="90" customHeight="1">
      <c r="A9" s="35"/>
      <c r="B9" s="35"/>
      <c r="C9" s="35"/>
      <c r="D9" s="35"/>
      <c r="E9" s="35"/>
      <c r="F9" s="35"/>
      <c r="G9" s="23" t="s">
        <v>163</v>
      </c>
    </row>
    <row r="10" spans="1:7" ht="90" customHeight="1">
      <c r="A10" s="35"/>
      <c r="B10" s="35"/>
      <c r="C10" s="35"/>
      <c r="D10" s="35"/>
      <c r="E10" s="35"/>
      <c r="F10" s="35"/>
      <c r="G10" s="23" t="s">
        <v>155</v>
      </c>
    </row>
    <row r="11" spans="1:7" ht="90" customHeight="1">
      <c r="A11" s="35"/>
      <c r="B11" s="35"/>
      <c r="C11" s="35"/>
      <c r="D11" s="35"/>
      <c r="E11" s="35"/>
      <c r="F11" s="35"/>
      <c r="G11" s="23" t="s">
        <v>164</v>
      </c>
    </row>
    <row r="12" spans="1:7" ht="90" customHeight="1">
      <c r="A12" s="35"/>
      <c r="B12" s="35"/>
      <c r="C12" s="35"/>
      <c r="D12" s="35"/>
      <c r="E12" s="35"/>
      <c r="F12" s="35"/>
      <c r="G12" s="23" t="s">
        <v>197</v>
      </c>
    </row>
    <row r="13" spans="1:7" ht="90" customHeight="1">
      <c r="A13" s="35"/>
      <c r="B13" s="35"/>
      <c r="C13" s="35"/>
      <c r="D13" s="35"/>
      <c r="E13" s="35"/>
      <c r="F13" s="35"/>
      <c r="G13" s="23" t="s">
        <v>166</v>
      </c>
    </row>
    <row r="14" spans="1:7" ht="90" customHeight="1">
      <c r="A14" s="35"/>
      <c r="B14" s="35"/>
      <c r="C14" s="35"/>
      <c r="D14" s="35"/>
      <c r="E14" s="35"/>
      <c r="F14" s="35"/>
      <c r="G14" s="23" t="s">
        <v>198</v>
      </c>
    </row>
    <row r="15" spans="1:7" ht="90" customHeight="1">
      <c r="A15" s="35"/>
      <c r="B15" s="35"/>
      <c r="C15" s="35"/>
      <c r="D15" s="35"/>
      <c r="E15" s="35"/>
      <c r="F15" s="35"/>
      <c r="G15" s="23" t="s">
        <v>199</v>
      </c>
    </row>
    <row r="16" spans="1:7" ht="90" customHeight="1">
      <c r="A16" s="35"/>
      <c r="B16" s="35"/>
      <c r="C16" s="35"/>
      <c r="D16" s="35"/>
      <c r="E16" s="35"/>
      <c r="F16" s="35"/>
      <c r="G16" s="23" t="s">
        <v>200</v>
      </c>
    </row>
    <row r="17" spans="1:7" ht="90" customHeight="1">
      <c r="A17" s="35"/>
      <c r="B17" s="35"/>
      <c r="C17" s="35"/>
      <c r="D17" s="35"/>
      <c r="E17" s="35"/>
      <c r="F17" s="35"/>
      <c r="G17" s="23" t="s">
        <v>201</v>
      </c>
    </row>
    <row r="18" spans="1:7" ht="90" customHeight="1">
      <c r="A18" s="35"/>
      <c r="B18" s="35"/>
      <c r="C18" s="35"/>
      <c r="D18" s="35"/>
      <c r="E18" s="35"/>
      <c r="F18" s="35"/>
      <c r="G18" s="23" t="s">
        <v>202</v>
      </c>
    </row>
    <row r="19" spans="1:7" ht="90" customHeight="1">
      <c r="A19" s="35"/>
      <c r="B19" s="35"/>
      <c r="C19" s="35"/>
      <c r="D19" s="35"/>
      <c r="E19" s="35"/>
      <c r="F19" s="35"/>
      <c r="G19" s="23" t="s">
        <v>203</v>
      </c>
    </row>
    <row r="20" spans="1:7" ht="90" customHeight="1">
      <c r="A20" s="35"/>
      <c r="B20" s="35"/>
      <c r="C20" s="35"/>
      <c r="D20" s="35"/>
      <c r="E20" s="35"/>
      <c r="F20" s="35"/>
      <c r="G20" s="23" t="s">
        <v>204</v>
      </c>
    </row>
    <row r="21" spans="1:7" ht="90" customHeight="1">
      <c r="A21" s="35"/>
      <c r="B21" s="35"/>
      <c r="C21" s="35"/>
      <c r="D21" s="35"/>
      <c r="E21" s="35"/>
      <c r="F21" s="35"/>
      <c r="G21" s="23" t="s">
        <v>205</v>
      </c>
    </row>
    <row r="22" spans="1:7" ht="90" customHeight="1">
      <c r="A22" s="35"/>
      <c r="B22" s="35"/>
      <c r="C22" s="35"/>
      <c r="D22" s="35"/>
      <c r="E22" s="35"/>
      <c r="F22" s="35"/>
      <c r="G22" s="23" t="s">
        <v>206</v>
      </c>
    </row>
    <row r="23" spans="1:7" ht="90" customHeight="1">
      <c r="A23" s="35"/>
      <c r="B23" s="35"/>
      <c r="C23" s="35"/>
      <c r="D23" s="35"/>
      <c r="E23" s="35"/>
      <c r="F23" s="35"/>
      <c r="G23" s="23" t="s">
        <v>207</v>
      </c>
    </row>
    <row r="24" spans="1:7" ht="90" customHeight="1">
      <c r="A24" s="35"/>
      <c r="B24" s="35"/>
      <c r="C24" s="35"/>
      <c r="D24" s="35"/>
      <c r="E24" s="35"/>
      <c r="F24" s="35"/>
      <c r="G24" s="23" t="s">
        <v>190</v>
      </c>
    </row>
    <row r="25" spans="1:7" ht="90" customHeight="1">
      <c r="A25" s="35"/>
      <c r="B25" s="35"/>
      <c r="C25" s="35"/>
      <c r="D25" s="35"/>
      <c r="E25" s="35"/>
      <c r="F25" s="35"/>
    </row>
    <row r="26" spans="1:7" ht="90" customHeight="1">
      <c r="A26" s="35"/>
      <c r="B26" s="35"/>
      <c r="C26" s="35"/>
      <c r="D26" s="35"/>
      <c r="E26" s="35"/>
      <c r="F26" s="35"/>
    </row>
    <row r="27" spans="1:7" ht="90" customHeight="1">
      <c r="A27" s="35"/>
      <c r="B27" s="35"/>
      <c r="C27" s="35"/>
      <c r="D27" s="35"/>
      <c r="E27" s="35"/>
      <c r="F27" s="35"/>
    </row>
    <row r="28" spans="1:7" ht="90" customHeight="1">
      <c r="A28" s="35"/>
      <c r="B28" s="35"/>
      <c r="C28" s="35"/>
      <c r="D28" s="35"/>
      <c r="E28" s="35"/>
      <c r="F28" s="35"/>
    </row>
    <row r="29" spans="1:7" ht="90" customHeight="1">
      <c r="A29" s="35"/>
      <c r="B29" s="35"/>
      <c r="C29" s="35"/>
      <c r="D29" s="35"/>
      <c r="E29" s="35"/>
      <c r="F29" s="35"/>
    </row>
    <row r="30" spans="1:7" ht="90" customHeight="1">
      <c r="A30" s="35"/>
      <c r="B30" s="35"/>
      <c r="C30" s="35"/>
      <c r="D30" s="35"/>
      <c r="E30" s="35"/>
      <c r="F30" s="35"/>
    </row>
    <row r="31" spans="1:7" ht="90" customHeight="1">
      <c r="A31" s="35"/>
      <c r="B31" s="35"/>
      <c r="C31" s="35"/>
      <c r="D31" s="35"/>
      <c r="E31" s="35"/>
      <c r="F31" s="35"/>
    </row>
    <row r="32" spans="1:7" ht="90" customHeight="1">
      <c r="A32" s="35"/>
      <c r="B32" s="35"/>
      <c r="C32" s="35"/>
      <c r="D32" s="35"/>
      <c r="E32" s="35"/>
      <c r="F32" s="35"/>
    </row>
    <row r="33" spans="1:6" ht="90" customHeight="1">
      <c r="A33" s="35"/>
      <c r="B33" s="35"/>
      <c r="C33" s="35"/>
      <c r="D33" s="35"/>
      <c r="E33" s="35"/>
      <c r="F33" s="35"/>
    </row>
    <row r="34" spans="1:6" ht="90" customHeight="1">
      <c r="A34" s="35"/>
      <c r="B34" s="35"/>
      <c r="C34" s="35"/>
      <c r="D34" s="35"/>
      <c r="E34" s="35"/>
      <c r="F34" s="35"/>
    </row>
    <row r="35" spans="1:6" ht="90" customHeight="1">
      <c r="A35" s="35"/>
      <c r="B35" s="35"/>
      <c r="C35" s="35"/>
      <c r="D35" s="35"/>
      <c r="E35" s="35"/>
      <c r="F35" s="35"/>
    </row>
    <row r="36" spans="1:6" ht="90" customHeight="1">
      <c r="A36" s="35"/>
      <c r="B36" s="35"/>
      <c r="C36" s="35"/>
      <c r="D36" s="35"/>
      <c r="E36" s="35"/>
      <c r="F36" s="35"/>
    </row>
    <row r="37" spans="1:6" ht="90" customHeight="1">
      <c r="A37" s="35"/>
      <c r="B37" s="35"/>
      <c r="C37" s="35"/>
      <c r="D37" s="35"/>
      <c r="E37" s="35"/>
      <c r="F37" s="35"/>
    </row>
    <row r="38" spans="1:6" ht="90" customHeight="1">
      <c r="A38" s="35"/>
      <c r="B38" s="35"/>
      <c r="C38" s="35"/>
      <c r="D38" s="35"/>
      <c r="E38" s="35"/>
      <c r="F38" s="35"/>
    </row>
    <row r="39" spans="1:6" ht="90" customHeight="1">
      <c r="A39" s="35"/>
      <c r="B39" s="35"/>
      <c r="C39" s="35"/>
      <c r="D39" s="35"/>
      <c r="E39" s="35"/>
      <c r="F39" s="35"/>
    </row>
    <row r="40" spans="1:6" ht="90" customHeight="1">
      <c r="A40" s="35"/>
      <c r="B40" s="35"/>
      <c r="C40" s="35"/>
      <c r="D40" s="35"/>
      <c r="E40" s="35"/>
      <c r="F40" s="35"/>
    </row>
    <row r="41" spans="1:6" ht="90" customHeight="1">
      <c r="A41" s="35"/>
      <c r="B41" s="35"/>
      <c r="C41" s="35"/>
      <c r="D41" s="35"/>
      <c r="E41" s="35"/>
      <c r="F41" s="35"/>
    </row>
    <row r="42" spans="1:6" ht="90" customHeight="1">
      <c r="A42" s="35"/>
      <c r="B42" s="35"/>
      <c r="C42" s="35"/>
      <c r="D42" s="35"/>
      <c r="E42" s="35"/>
      <c r="F42" s="35"/>
    </row>
    <row r="43" spans="1:6" ht="90" customHeight="1">
      <c r="A43" s="35"/>
      <c r="B43" s="35"/>
      <c r="C43" s="35"/>
      <c r="D43" s="35"/>
      <c r="E43" s="35"/>
      <c r="F43" s="35"/>
    </row>
    <row r="44" spans="1:6" ht="90" customHeight="1">
      <c r="A44" s="35"/>
      <c r="B44" s="35"/>
      <c r="C44" s="35"/>
      <c r="D44" s="35"/>
      <c r="E44" s="35"/>
      <c r="F44" s="35"/>
    </row>
    <row r="45" spans="1:6" ht="90" customHeight="1">
      <c r="A45" s="35"/>
      <c r="B45" s="35"/>
      <c r="C45" s="35"/>
      <c r="D45" s="35"/>
      <c r="E45" s="35"/>
      <c r="F45" s="35"/>
    </row>
    <row r="46" spans="1:6" ht="90" customHeight="1">
      <c r="A46" s="35"/>
      <c r="B46" s="35"/>
      <c r="C46" s="35"/>
      <c r="D46" s="35"/>
      <c r="E46" s="35"/>
      <c r="F46" s="35"/>
    </row>
    <row r="47" spans="1:6" ht="90" customHeight="1">
      <c r="A47" s="35"/>
      <c r="B47" s="35"/>
      <c r="C47" s="35"/>
      <c r="D47" s="35"/>
      <c r="E47" s="35"/>
      <c r="F47" s="35"/>
    </row>
    <row r="48" spans="1:6" ht="90" customHeight="1">
      <c r="A48" s="35"/>
      <c r="B48" s="35"/>
      <c r="C48" s="35"/>
      <c r="D48" s="35"/>
      <c r="E48" s="35"/>
      <c r="F48" s="35"/>
    </row>
    <row r="49" spans="1:6" ht="90" customHeight="1">
      <c r="A49" s="35"/>
      <c r="B49" s="35"/>
      <c r="C49" s="35"/>
      <c r="D49" s="35"/>
      <c r="E49" s="35"/>
      <c r="F49" s="35"/>
    </row>
    <row r="50" spans="1:6" ht="90" customHeight="1">
      <c r="A50" s="37"/>
      <c r="B50" s="37"/>
      <c r="C50" s="37"/>
      <c r="D50" s="37"/>
      <c r="E50" s="37"/>
      <c r="F50" s="37"/>
    </row>
  </sheetData>
  <protectedRanges>
    <protectedRange sqref="A3:E50" name="Feedback"/>
  </protectedRanges>
  <dataValidations count="2">
    <dataValidation type="list" allowBlank="1" showInputMessage="1" showErrorMessage="1" sqref="B2:B50" xr:uid="{9FD43F91-369E-4309-AB85-82EDB8DB86BE}">
      <formula1>$G$17:$G$24</formula1>
    </dataValidation>
    <dataValidation type="list" allowBlank="1" showInputMessage="1" showErrorMessage="1" sqref="A2:A50" xr:uid="{0B7AC5AD-5956-4247-9B58-21E61D97B676}">
      <formula1>$G$2:$G$16</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11591-1BAB-4808-B673-84B87096F858}">
  <dimension ref="A1:H108"/>
  <sheetViews>
    <sheetView zoomScale="90" zoomScaleNormal="90" workbookViewId="0">
      <selection activeCell="F11" sqref="F11"/>
    </sheetView>
  </sheetViews>
  <sheetFormatPr defaultRowHeight="15"/>
  <cols>
    <col min="1" max="1" width="8.140625" bestFit="1" customWidth="1"/>
    <col min="2" max="2" width="42.85546875" bestFit="1" customWidth="1"/>
    <col min="3" max="3" width="5.7109375" customWidth="1"/>
    <col min="4" max="4" width="13.42578125" bestFit="1" customWidth="1"/>
    <col min="5" max="5" width="37.7109375" customWidth="1"/>
    <col min="6" max="6" width="6.42578125" customWidth="1"/>
    <col min="7" max="7" width="28.28515625" bestFit="1" customWidth="1"/>
    <col min="8" max="8" width="37.7109375" bestFit="1" customWidth="1"/>
  </cols>
  <sheetData>
    <row r="1" spans="1:8">
      <c r="A1" t="s">
        <v>0</v>
      </c>
      <c r="B1" t="s">
        <v>1</v>
      </c>
      <c r="D1" t="s">
        <v>2</v>
      </c>
      <c r="E1" t="s">
        <v>1</v>
      </c>
      <c r="G1" t="s">
        <v>3</v>
      </c>
    </row>
    <row r="2" spans="1:8">
      <c r="A2">
        <v>50021</v>
      </c>
      <c r="B2" t="s">
        <v>4</v>
      </c>
      <c r="G2">
        <v>88021</v>
      </c>
      <c r="H2" t="s">
        <v>5</v>
      </c>
    </row>
    <row r="3" spans="1:8">
      <c r="A3">
        <v>50023</v>
      </c>
      <c r="B3" t="s">
        <v>6</v>
      </c>
      <c r="G3">
        <v>88022</v>
      </c>
      <c r="H3" t="s">
        <v>7</v>
      </c>
    </row>
    <row r="4" spans="1:8">
      <c r="D4">
        <v>88021</v>
      </c>
      <c r="E4" t="s">
        <v>5</v>
      </c>
      <c r="G4">
        <v>88027</v>
      </c>
      <c r="H4" t="s">
        <v>8</v>
      </c>
    </row>
    <row r="5" spans="1:8">
      <c r="A5">
        <v>50022</v>
      </c>
      <c r="B5" t="s">
        <v>7</v>
      </c>
      <c r="G5">
        <v>88028</v>
      </c>
      <c r="H5" t="s">
        <v>9</v>
      </c>
    </row>
    <row r="6" spans="1:8">
      <c r="D6">
        <v>88022</v>
      </c>
      <c r="E6" t="s">
        <v>7</v>
      </c>
      <c r="G6">
        <v>88032</v>
      </c>
      <c r="H6" t="s">
        <v>10</v>
      </c>
    </row>
    <row r="7" spans="1:8">
      <c r="A7">
        <v>50623</v>
      </c>
      <c r="B7" t="s">
        <v>11</v>
      </c>
      <c r="G7">
        <v>88100</v>
      </c>
      <c r="H7" t="s">
        <v>12</v>
      </c>
    </row>
    <row r="8" spans="1:8">
      <c r="D8">
        <v>88027</v>
      </c>
      <c r="E8" t="s">
        <v>8</v>
      </c>
      <c r="G8">
        <v>88200</v>
      </c>
      <c r="H8" t="s">
        <v>13</v>
      </c>
    </row>
    <row r="9" spans="1:8">
      <c r="A9">
        <v>50450</v>
      </c>
      <c r="B9" t="s">
        <v>14</v>
      </c>
      <c r="G9">
        <v>88250</v>
      </c>
      <c r="H9" t="s">
        <v>15</v>
      </c>
    </row>
    <row r="10" spans="1:8">
      <c r="A10">
        <v>50668</v>
      </c>
      <c r="B10" t="s">
        <v>8</v>
      </c>
      <c r="G10">
        <v>88350</v>
      </c>
      <c r="H10" t="s">
        <v>16</v>
      </c>
    </row>
    <row r="11" spans="1:8">
      <c r="A11">
        <v>50820</v>
      </c>
      <c r="B11" t="s">
        <v>17</v>
      </c>
      <c r="G11">
        <v>88400</v>
      </c>
      <c r="H11" t="s">
        <v>18</v>
      </c>
    </row>
    <row r="12" spans="1:8">
      <c r="D12">
        <v>88028</v>
      </c>
      <c r="E12" t="s">
        <v>9</v>
      </c>
      <c r="G12">
        <v>88420</v>
      </c>
      <c r="H12" t="s">
        <v>19</v>
      </c>
    </row>
    <row r="13" spans="1:8">
      <c r="A13">
        <v>50040</v>
      </c>
      <c r="B13" t="s">
        <v>20</v>
      </c>
      <c r="G13">
        <v>88500</v>
      </c>
      <c r="H13" t="s">
        <v>21</v>
      </c>
    </row>
    <row r="14" spans="1:8">
      <c r="A14">
        <v>50640</v>
      </c>
      <c r="B14" t="s">
        <v>22</v>
      </c>
      <c r="G14">
        <v>88510</v>
      </c>
      <c r="H14" t="s">
        <v>23</v>
      </c>
    </row>
    <row r="15" spans="1:8">
      <c r="D15">
        <v>88032</v>
      </c>
      <c r="E15" t="s">
        <v>10</v>
      </c>
      <c r="G15">
        <v>88620</v>
      </c>
      <c r="H15" t="s">
        <v>24</v>
      </c>
    </row>
    <row r="16" spans="1:8">
      <c r="A16">
        <v>60000</v>
      </c>
      <c r="B16" t="s">
        <v>25</v>
      </c>
      <c r="G16">
        <v>88800</v>
      </c>
      <c r="H16" t="s">
        <v>26</v>
      </c>
    </row>
    <row r="17" spans="1:8">
      <c r="A17">
        <v>60030</v>
      </c>
      <c r="B17" t="s">
        <v>27</v>
      </c>
      <c r="G17">
        <v>88801</v>
      </c>
      <c r="H17" t="s">
        <v>28</v>
      </c>
    </row>
    <row r="18" spans="1:8">
      <c r="A18">
        <v>60300</v>
      </c>
      <c r="B18" t="s">
        <v>29</v>
      </c>
      <c r="G18">
        <v>88900</v>
      </c>
      <c r="H18" t="s">
        <v>30</v>
      </c>
    </row>
    <row r="19" spans="1:8">
      <c r="A19">
        <v>60330</v>
      </c>
      <c r="B19" t="s">
        <v>31</v>
      </c>
      <c r="G19">
        <v>88999</v>
      </c>
      <c r="H19" t="s">
        <v>32</v>
      </c>
    </row>
    <row r="20" spans="1:8">
      <c r="A20">
        <v>60600</v>
      </c>
      <c r="B20" t="s">
        <v>33</v>
      </c>
    </row>
    <row r="21" spans="1:8">
      <c r="A21">
        <v>62000</v>
      </c>
      <c r="B21" t="s">
        <v>34</v>
      </c>
    </row>
    <row r="22" spans="1:8">
      <c r="D22">
        <v>88100</v>
      </c>
      <c r="E22" t="s">
        <v>12</v>
      </c>
    </row>
    <row r="23" spans="1:8">
      <c r="A23">
        <v>52031</v>
      </c>
      <c r="B23" t="s">
        <v>35</v>
      </c>
    </row>
    <row r="24" spans="1:8">
      <c r="A24">
        <v>52032</v>
      </c>
      <c r="B24" t="s">
        <v>36</v>
      </c>
    </row>
    <row r="25" spans="1:8">
      <c r="A25">
        <v>75700</v>
      </c>
      <c r="B25" t="s">
        <v>37</v>
      </c>
    </row>
    <row r="26" spans="1:8">
      <c r="A26">
        <v>75702</v>
      </c>
      <c r="B26" t="s">
        <v>38</v>
      </c>
    </row>
    <row r="27" spans="1:8">
      <c r="A27">
        <v>75706</v>
      </c>
      <c r="B27" t="s">
        <v>39</v>
      </c>
    </row>
    <row r="28" spans="1:8">
      <c r="D28">
        <v>88200</v>
      </c>
      <c r="E28" t="s">
        <v>13</v>
      </c>
    </row>
    <row r="29" spans="1:8">
      <c r="A29">
        <v>51010</v>
      </c>
      <c r="B29" t="s">
        <v>40</v>
      </c>
    </row>
    <row r="30" spans="1:8">
      <c r="A30">
        <v>51045</v>
      </c>
      <c r="B30" t="s">
        <v>41</v>
      </c>
    </row>
    <row r="31" spans="1:8">
      <c r="A31">
        <v>51050</v>
      </c>
      <c r="B31" t="s">
        <v>42</v>
      </c>
    </row>
    <row r="32" spans="1:8">
      <c r="A32">
        <v>51080</v>
      </c>
      <c r="B32" t="s">
        <v>43</v>
      </c>
    </row>
    <row r="33" spans="1:5">
      <c r="A33">
        <v>51115</v>
      </c>
      <c r="B33" t="s">
        <v>44</v>
      </c>
    </row>
    <row r="34" spans="1:5">
      <c r="A34">
        <v>51125</v>
      </c>
      <c r="B34" t="s">
        <v>45</v>
      </c>
    </row>
    <row r="35" spans="1:5">
      <c r="A35">
        <v>51130</v>
      </c>
      <c r="B35" t="s">
        <v>46</v>
      </c>
    </row>
    <row r="36" spans="1:5">
      <c r="D36">
        <v>88250</v>
      </c>
      <c r="E36" t="s">
        <v>15</v>
      </c>
    </row>
    <row r="37" spans="1:5">
      <c r="A37">
        <v>62310</v>
      </c>
      <c r="B37" t="s">
        <v>47</v>
      </c>
    </row>
    <row r="38" spans="1:5">
      <c r="A38">
        <v>63125</v>
      </c>
      <c r="B38" t="s">
        <v>48</v>
      </c>
    </row>
    <row r="39" spans="1:5">
      <c r="A39">
        <v>63225</v>
      </c>
      <c r="B39" t="s">
        <v>49</v>
      </c>
    </row>
    <row r="40" spans="1:5">
      <c r="D40">
        <v>88350</v>
      </c>
      <c r="E40" t="s">
        <v>16</v>
      </c>
    </row>
    <row r="41" spans="1:5">
      <c r="A41">
        <v>52540</v>
      </c>
      <c r="B41" t="s">
        <v>50</v>
      </c>
    </row>
    <row r="42" spans="1:5">
      <c r="A42">
        <v>52541</v>
      </c>
      <c r="B42" t="s">
        <v>51</v>
      </c>
    </row>
    <row r="43" spans="1:5">
      <c r="A43">
        <v>52542</v>
      </c>
      <c r="B43" t="s">
        <v>52</v>
      </c>
    </row>
    <row r="44" spans="1:5">
      <c r="A44">
        <v>52543</v>
      </c>
      <c r="B44" t="s">
        <v>53</v>
      </c>
    </row>
    <row r="45" spans="1:5">
      <c r="A45">
        <v>53100</v>
      </c>
      <c r="B45" t="s">
        <v>54</v>
      </c>
    </row>
    <row r="46" spans="1:5">
      <c r="A46">
        <v>53200</v>
      </c>
      <c r="B46" t="s">
        <v>55</v>
      </c>
    </row>
    <row r="47" spans="1:5">
      <c r="A47">
        <v>75050</v>
      </c>
      <c r="B47" t="s">
        <v>56</v>
      </c>
    </row>
    <row r="48" spans="1:5">
      <c r="A48">
        <v>75051</v>
      </c>
      <c r="B48" t="s">
        <v>57</v>
      </c>
    </row>
    <row r="49" spans="1:5">
      <c r="A49">
        <v>75053</v>
      </c>
      <c r="B49" t="s">
        <v>58</v>
      </c>
    </row>
    <row r="50" spans="1:5">
      <c r="A50">
        <v>75055</v>
      </c>
      <c r="B50" t="s">
        <v>59</v>
      </c>
    </row>
    <row r="51" spans="1:5">
      <c r="A51">
        <v>75057</v>
      </c>
      <c r="B51" t="s">
        <v>60</v>
      </c>
    </row>
    <row r="52" spans="1:5">
      <c r="D52">
        <v>88400</v>
      </c>
      <c r="E52" t="s">
        <v>18</v>
      </c>
    </row>
    <row r="53" spans="1:5">
      <c r="A53">
        <v>53000</v>
      </c>
      <c r="B53" t="s">
        <v>61</v>
      </c>
    </row>
    <row r="54" spans="1:5">
      <c r="A54">
        <v>53300</v>
      </c>
      <c r="B54" t="s">
        <v>62</v>
      </c>
    </row>
    <row r="55" spans="1:5">
      <c r="A55">
        <v>53302</v>
      </c>
      <c r="B55" t="s">
        <v>63</v>
      </c>
    </row>
    <row r="56" spans="1:5">
      <c r="A56">
        <v>53500</v>
      </c>
      <c r="B56" t="s">
        <v>64</v>
      </c>
    </row>
    <row r="57" spans="1:5">
      <c r="A57">
        <v>53501</v>
      </c>
      <c r="B57" t="s">
        <v>65</v>
      </c>
    </row>
    <row r="58" spans="1:5">
      <c r="A58">
        <v>53600</v>
      </c>
      <c r="B58" t="s">
        <v>66</v>
      </c>
    </row>
    <row r="59" spans="1:5">
      <c r="A59">
        <v>53700</v>
      </c>
      <c r="B59" t="s">
        <v>67</v>
      </c>
    </row>
    <row r="60" spans="1:5">
      <c r="A60">
        <v>53800</v>
      </c>
      <c r="B60" t="s">
        <v>68</v>
      </c>
    </row>
    <row r="61" spans="1:5">
      <c r="A61">
        <v>53801</v>
      </c>
      <c r="B61" t="s">
        <v>69</v>
      </c>
    </row>
    <row r="62" spans="1:5">
      <c r="A62">
        <v>53900</v>
      </c>
      <c r="B62" t="s">
        <v>70</v>
      </c>
    </row>
    <row r="63" spans="1:5">
      <c r="A63">
        <v>75426</v>
      </c>
      <c r="B63" t="s">
        <v>71</v>
      </c>
    </row>
    <row r="64" spans="1:5">
      <c r="D64">
        <v>88420</v>
      </c>
      <c r="E64" t="s">
        <v>19</v>
      </c>
    </row>
    <row r="65" spans="1:5">
      <c r="A65">
        <v>75618</v>
      </c>
      <c r="B65" t="s">
        <v>72</v>
      </c>
    </row>
    <row r="66" spans="1:5">
      <c r="D66">
        <v>88500</v>
      </c>
      <c r="E66" t="s">
        <v>21</v>
      </c>
    </row>
    <row r="67" spans="1:5">
      <c r="A67">
        <v>54000</v>
      </c>
      <c r="B67" t="s">
        <v>73</v>
      </c>
    </row>
    <row r="68" spans="1:5">
      <c r="A68">
        <v>54100</v>
      </c>
      <c r="B68" t="s">
        <v>74</v>
      </c>
    </row>
    <row r="69" spans="1:5">
      <c r="A69">
        <v>54110</v>
      </c>
      <c r="B69" t="s">
        <v>75</v>
      </c>
    </row>
    <row r="70" spans="1:5">
      <c r="A70">
        <v>54300</v>
      </c>
      <c r="B70" t="s">
        <v>76</v>
      </c>
    </row>
    <row r="71" spans="1:5">
      <c r="A71">
        <v>54800</v>
      </c>
      <c r="B71" t="s">
        <v>77</v>
      </c>
    </row>
    <row r="72" spans="1:5">
      <c r="A72">
        <v>54900</v>
      </c>
      <c r="B72" t="s">
        <v>78</v>
      </c>
    </row>
    <row r="73" spans="1:5">
      <c r="A73">
        <v>54950</v>
      </c>
      <c r="B73" t="s">
        <v>79</v>
      </c>
    </row>
    <row r="74" spans="1:5">
      <c r="A74">
        <v>54980</v>
      </c>
      <c r="B74" t="s">
        <v>80</v>
      </c>
    </row>
    <row r="75" spans="1:5">
      <c r="A75">
        <v>75603</v>
      </c>
      <c r="B75" t="s">
        <v>81</v>
      </c>
    </row>
    <row r="76" spans="1:5">
      <c r="A76">
        <v>75604</v>
      </c>
      <c r="B76" t="s">
        <v>82</v>
      </c>
    </row>
    <row r="77" spans="1:5">
      <c r="A77">
        <v>75606</v>
      </c>
      <c r="B77" t="s">
        <v>83</v>
      </c>
    </row>
    <row r="78" spans="1:5">
      <c r="A78">
        <v>75609</v>
      </c>
      <c r="B78" t="s">
        <v>84</v>
      </c>
    </row>
    <row r="79" spans="1:5">
      <c r="A79">
        <v>75627</v>
      </c>
      <c r="B79" t="s">
        <v>85</v>
      </c>
    </row>
    <row r="80" spans="1:5">
      <c r="D80">
        <v>88510</v>
      </c>
      <c r="E80" t="s">
        <v>23</v>
      </c>
    </row>
    <row r="81" spans="1:2">
      <c r="A81">
        <v>52300</v>
      </c>
      <c r="B81" t="s">
        <v>86</v>
      </c>
    </row>
    <row r="82" spans="1:2">
      <c r="A82">
        <v>52310</v>
      </c>
      <c r="B82" t="s">
        <v>87</v>
      </c>
    </row>
    <row r="83" spans="1:2">
      <c r="A83">
        <v>52320</v>
      </c>
      <c r="B83" t="s">
        <v>88</v>
      </c>
    </row>
    <row r="84" spans="1:2">
      <c r="A84">
        <v>56500</v>
      </c>
      <c r="B84" t="s">
        <v>89</v>
      </c>
    </row>
    <row r="85" spans="1:2">
      <c r="A85">
        <v>56900</v>
      </c>
      <c r="B85" t="s">
        <v>90</v>
      </c>
    </row>
    <row r="86" spans="1:2">
      <c r="A86">
        <v>57500</v>
      </c>
      <c r="B86" t="s">
        <v>91</v>
      </c>
    </row>
    <row r="87" spans="1:2">
      <c r="A87">
        <v>61000</v>
      </c>
      <c r="B87" t="s">
        <v>92</v>
      </c>
    </row>
    <row r="88" spans="1:2">
      <c r="A88">
        <v>61500</v>
      </c>
      <c r="B88" t="s">
        <v>93</v>
      </c>
    </row>
    <row r="89" spans="1:2">
      <c r="A89">
        <v>62100</v>
      </c>
      <c r="B89" t="s">
        <v>94</v>
      </c>
    </row>
    <row r="90" spans="1:2">
      <c r="A90">
        <v>62200</v>
      </c>
      <c r="B90" t="s">
        <v>95</v>
      </c>
    </row>
    <row r="91" spans="1:2">
      <c r="A91">
        <v>64500</v>
      </c>
      <c r="B91" t="s">
        <v>96</v>
      </c>
    </row>
    <row r="92" spans="1:2">
      <c r="A92">
        <v>64900</v>
      </c>
      <c r="B92" t="s">
        <v>97</v>
      </c>
    </row>
    <row r="93" spans="1:2">
      <c r="A93">
        <v>75000</v>
      </c>
      <c r="B93" t="s">
        <v>98</v>
      </c>
    </row>
    <row r="94" spans="1:2">
      <c r="A94">
        <v>75100</v>
      </c>
      <c r="B94" t="s">
        <v>99</v>
      </c>
    </row>
    <row r="95" spans="1:2">
      <c r="A95">
        <v>75101</v>
      </c>
      <c r="B95" t="s">
        <v>100</v>
      </c>
    </row>
    <row r="96" spans="1:2">
      <c r="A96">
        <v>75641</v>
      </c>
      <c r="B96" t="s">
        <v>101</v>
      </c>
    </row>
    <row r="97" spans="1:5">
      <c r="A97">
        <v>75649</v>
      </c>
      <c r="B97" t="s">
        <v>102</v>
      </c>
    </row>
    <row r="98" spans="1:5">
      <c r="D98">
        <v>88800</v>
      </c>
      <c r="E98" t="s">
        <v>26</v>
      </c>
    </row>
    <row r="99" spans="1:5">
      <c r="A99">
        <v>75900</v>
      </c>
      <c r="B99" t="s">
        <v>103</v>
      </c>
    </row>
    <row r="100" spans="1:5">
      <c r="A100">
        <v>75912</v>
      </c>
      <c r="B100" t="s">
        <v>104</v>
      </c>
    </row>
    <row r="101" spans="1:5">
      <c r="D101">
        <v>88801</v>
      </c>
      <c r="E101" t="s">
        <v>28</v>
      </c>
    </row>
    <row r="102" spans="1:5">
      <c r="A102">
        <v>63100</v>
      </c>
      <c r="B102" t="s">
        <v>105</v>
      </c>
    </row>
    <row r="103" spans="1:5">
      <c r="A103">
        <v>63120</v>
      </c>
      <c r="B103" t="s">
        <v>106</v>
      </c>
    </row>
    <row r="104" spans="1:5">
      <c r="D104">
        <v>88900</v>
      </c>
      <c r="E104" t="s">
        <v>30</v>
      </c>
    </row>
    <row r="105" spans="1:5">
      <c r="D105">
        <v>88999</v>
      </c>
      <c r="E105" t="s">
        <v>32</v>
      </c>
    </row>
    <row r="107" spans="1:5">
      <c r="A107">
        <v>64060</v>
      </c>
      <c r="B107" t="s">
        <v>107</v>
      </c>
    </row>
    <row r="108" spans="1:5">
      <c r="D108">
        <v>88620</v>
      </c>
      <c r="E10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E610-0E53-4C49-9996-37CFB0264494}">
  <dimension ref="A1:J100"/>
  <sheetViews>
    <sheetView zoomScale="70" zoomScaleNormal="70" workbookViewId="0">
      <pane ySplit="13" topLeftCell="A14" activePane="bottomLeft" state="frozen"/>
      <selection pane="bottomLeft" activeCell="B20" sqref="B20"/>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39.75" customHeight="1">
      <c r="A13" s="7" t="s">
        <v>140</v>
      </c>
      <c r="B13" s="8" t="s">
        <v>141</v>
      </c>
      <c r="C13" s="9" t="s">
        <v>142</v>
      </c>
      <c r="D13" s="9" t="s">
        <v>143</v>
      </c>
      <c r="E13" s="10" t="s">
        <v>144</v>
      </c>
      <c r="F13" s="11" t="s">
        <v>145</v>
      </c>
      <c r="G13" s="25" t="s">
        <v>146</v>
      </c>
    </row>
    <row r="14" spans="1:10" ht="60" customHeight="1">
      <c r="A14" s="4">
        <f>_xlfn.XLOOKUP(Table3[[#This Row],[BUDGET ACCOUNT NAME (DROPDOWN THAT IS USED TO FILL BUDGET ACCOUNT COLUMN)]],Table5[Budget Account Name],Table5[Budget Account Number],"Not Found",0)</f>
        <v>88350</v>
      </c>
      <c r="B14" s="2" t="s">
        <v>16</v>
      </c>
      <c r="C14" s="16" t="s">
        <v>147</v>
      </c>
      <c r="D14" s="38">
        <v>6500</v>
      </c>
      <c r="E14" s="19"/>
      <c r="F14" s="20"/>
      <c r="G14" s="26"/>
    </row>
    <row r="15" spans="1:10" ht="60" customHeight="1">
      <c r="A15" s="4">
        <f>_xlfn.XLOOKUP(Table3[[#This Row],[BUDGET ACCOUNT NAME (DROPDOWN THAT IS USED TO FILL BUDGET ACCOUNT COLUMN)]],Table5[Budget Account Name],Table5[Budget Account Number],"Not Found",0)</f>
        <v>88420</v>
      </c>
      <c r="B15" s="2" t="s">
        <v>19</v>
      </c>
      <c r="C15" s="17" t="s">
        <v>148</v>
      </c>
      <c r="D15" s="38">
        <v>50</v>
      </c>
      <c r="E15" s="19"/>
      <c r="F15" s="20"/>
      <c r="G15" s="26"/>
    </row>
    <row r="16" spans="1:10" ht="60" customHeight="1">
      <c r="A16" s="4">
        <f>_xlfn.XLOOKUP(Table3[[#This Row],[BUDGET ACCOUNT NAME (DROPDOWN THAT IS USED TO FILL BUDGET ACCOUNT COLUMN)]],Table5[Budget Account Name],Table5[Budget Account Number],"Not Found",0)</f>
        <v>88800</v>
      </c>
      <c r="B16" s="2" t="s">
        <v>26</v>
      </c>
      <c r="C16" s="17" t="s">
        <v>149</v>
      </c>
      <c r="D16" s="38">
        <v>150</v>
      </c>
      <c r="E16" s="19"/>
      <c r="F16" s="20"/>
      <c r="G16" s="26"/>
    </row>
    <row r="17" spans="1:7" ht="60" customHeight="1">
      <c r="A17" s="4">
        <f>_xlfn.XLOOKUP(Table3[[#This Row],[BUDGET ACCOUNT NAME (DROPDOWN THAT IS USED TO FILL BUDGET ACCOUNT COLUMN)]],Table5[Budget Account Name],Table5[Budget Account Number],"Not Found",0)</f>
        <v>88800</v>
      </c>
      <c r="B17" s="2" t="s">
        <v>26</v>
      </c>
      <c r="C17" s="17" t="s">
        <v>150</v>
      </c>
      <c r="D17" s="38">
        <v>100</v>
      </c>
      <c r="E17" s="19"/>
      <c r="F17" s="20"/>
      <c r="G17" s="26"/>
    </row>
    <row r="18" spans="1:7" ht="60" customHeight="1">
      <c r="A18" s="4">
        <f>_xlfn.XLOOKUP(Table3[[#This Row],[BUDGET ACCOUNT NAME (DROPDOWN THAT IS USED TO FILL BUDGET ACCOUNT COLUMN)]],Table5[Budget Account Name],Table5[Budget Account Number],"Not Found",0)</f>
        <v>88800</v>
      </c>
      <c r="B18" s="2" t="s">
        <v>26</v>
      </c>
      <c r="C18" s="17" t="s">
        <v>151</v>
      </c>
      <c r="D18" s="38">
        <v>720</v>
      </c>
      <c r="E18" s="19"/>
      <c r="F18" s="20"/>
      <c r="G18" s="26"/>
    </row>
    <row r="19" spans="1:7" ht="60" customHeight="1">
      <c r="A19" s="4">
        <f>_xlfn.XLOOKUP(Table3[[#This Row],[BUDGET ACCOUNT NAME (DROPDOWN THAT IS USED TO FILL BUDGET ACCOUNT COLUMN)]],Table5[Budget Account Name],Table5[Budget Account Number],"Not Found",0)</f>
        <v>88400</v>
      </c>
      <c r="B19" s="2" t="s">
        <v>18</v>
      </c>
      <c r="C19" s="17" t="s">
        <v>152</v>
      </c>
      <c r="D19" s="14">
        <v>2000</v>
      </c>
      <c r="E19" s="19"/>
      <c r="F19" s="20"/>
      <c r="G19" s="26"/>
    </row>
    <row r="20" spans="1:7" ht="60" customHeight="1">
      <c r="A20" s="4">
        <f>_xlfn.XLOOKUP(Table3[[#This Row],[BUDGET ACCOUNT NAME (DROPDOWN THAT IS USED TO FILL BUDGET ACCOUNT COLUMN)]],Table5[Budget Account Name],Table5[Budget Account Number],"Not Found",0)</f>
        <v>88420</v>
      </c>
      <c r="B20" s="2" t="s">
        <v>19</v>
      </c>
      <c r="C20" s="17" t="s">
        <v>153</v>
      </c>
      <c r="D20" s="14">
        <v>500</v>
      </c>
      <c r="E20" s="19"/>
      <c r="F20" s="20"/>
      <c r="G20" s="26"/>
    </row>
    <row r="21" spans="1:7" ht="60" customHeight="1">
      <c r="A21" s="4" t="str">
        <f>_xlfn.XLOOKUP(Table3[[#This Row],[BUDGET ACCOUNT NAME (DROPDOWN THAT IS USED TO FILL BUDGET ACCOUNT COLUMN)]],Table5[Budget Account Name],Table5[Budget Account Number],"Not Found",0)</f>
        <v>Not Found</v>
      </c>
      <c r="B21" s="2"/>
      <c r="C21" s="17"/>
      <c r="D21" s="14"/>
      <c r="E21" s="19"/>
      <c r="F21" s="20"/>
      <c r="G21" s="26"/>
    </row>
    <row r="22" spans="1:7" ht="60" customHeight="1">
      <c r="A22" s="4" t="str">
        <f>_xlfn.XLOOKUP(Table3[[#This Row],[BUDGET ACCOUNT NAME (DROPDOWN THAT IS USED TO FILL BUDGET ACCOUNT COLUMN)]],Table5[Budget Account Name],Table5[Budget Account Number],"Not Found",0)</f>
        <v>Not Found</v>
      </c>
      <c r="B22" s="2"/>
      <c r="C22" s="17"/>
      <c r="D22" s="14"/>
      <c r="E22" s="19"/>
      <c r="F22" s="20"/>
      <c r="G22" s="26"/>
    </row>
    <row r="23" spans="1:7" ht="60" customHeight="1">
      <c r="A23" s="4" t="str">
        <f>_xlfn.XLOOKUP(Table3[[#This Row],[BUDGET ACCOUNT NAME (DROPDOWN THAT IS USED TO FILL BUDGET ACCOUNT COLUMN)]],Table5[Budget Account Name],Table5[Budget Account Number],"Not Found",0)</f>
        <v>Not Found</v>
      </c>
      <c r="B23" s="2"/>
      <c r="C23" s="17"/>
      <c r="D23" s="14"/>
      <c r="E23" s="19"/>
      <c r="F23" s="20"/>
      <c r="G23" s="26"/>
    </row>
    <row r="24" spans="1:7" ht="60" customHeight="1">
      <c r="A24" s="4" t="str">
        <f>_xlfn.XLOOKUP(Table3[[#This Row],[BUDGET ACCOUNT NAME (DROPDOWN THAT IS USED TO FILL BUDGET ACCOUNT COLUMN)]],Table5[Budget Account Name],Table5[Budget Account Number],"Not Found",0)</f>
        <v>Not Found</v>
      </c>
      <c r="B24" s="2"/>
      <c r="C24" s="17"/>
      <c r="D24" s="14"/>
      <c r="E24" s="19"/>
      <c r="F24" s="20"/>
      <c r="G24" s="26"/>
    </row>
    <row r="25" spans="1:7" ht="60" customHeight="1">
      <c r="A25" s="4" t="str">
        <f>_xlfn.XLOOKUP(Table3[[#This Row],[BUDGET ACCOUNT NAME (DROPDOWN THAT IS USED TO FILL BUDGET ACCOUNT COLUMN)]],Table5[Budget Account Name],Table5[Budget Account Number],"Not Found",0)</f>
        <v>Not Found</v>
      </c>
      <c r="B25" s="2"/>
      <c r="C25" s="17"/>
      <c r="D25" s="14"/>
      <c r="E25" s="19"/>
      <c r="F25" s="20"/>
      <c r="G25" s="26"/>
    </row>
    <row r="26" spans="1:7" ht="60" customHeight="1">
      <c r="A26" s="4" t="str">
        <f>_xlfn.XLOOKUP(Table3[[#This Row],[BUDGET ACCOUNT NAME (DROPDOWN THAT IS USED TO FILL BUDGET ACCOUNT COLUMN)]],Table5[Budget Account Name],Table5[Budget Account Number],"Not Found",0)</f>
        <v>Not Found</v>
      </c>
      <c r="B26" s="2"/>
      <c r="C26" s="17"/>
      <c r="D26" s="14"/>
      <c r="E26" s="19"/>
      <c r="F26" s="20"/>
      <c r="G26" s="26"/>
    </row>
    <row r="27" spans="1:7" ht="60" customHeight="1">
      <c r="A27" s="4" t="str">
        <f>_xlfn.XLOOKUP(Table3[[#This Row],[BUDGET ACCOUNT NAME (DROPDOWN THAT IS USED TO FILL BUDGET ACCOUNT COLUMN)]],Table5[Budget Account Name],Table5[Budget Account Number],"Not Found",0)</f>
        <v>Not Found</v>
      </c>
      <c r="B27" s="2"/>
      <c r="C27" s="17"/>
      <c r="D27" s="14"/>
      <c r="E27" s="19"/>
      <c r="F27" s="20"/>
      <c r="G27" s="26"/>
    </row>
    <row r="28" spans="1:7" ht="60" customHeight="1">
      <c r="A28" s="4" t="str">
        <f>_xlfn.XLOOKUP(Table3[[#This Row],[BUDGET ACCOUNT NAME (DROPDOWN THAT IS USED TO FILL BUDGET ACCOUNT COLUMN)]],Table5[Budget Account Name],Table5[Budget Account Number],"Not Found",0)</f>
        <v>Not Found</v>
      </c>
      <c r="B28" s="2"/>
      <c r="C28" s="17"/>
      <c r="D28" s="14"/>
      <c r="E28" s="19"/>
      <c r="F28" s="20"/>
      <c r="G28" s="26"/>
    </row>
    <row r="29" spans="1:7" ht="60" customHeight="1">
      <c r="A29" s="4" t="str">
        <f>_xlfn.XLOOKUP(Table3[[#This Row],[BUDGET ACCOUNT NAME (DROPDOWN THAT IS USED TO FILL BUDGET ACCOUNT COLUMN)]],Table5[Budget Account Name],Table5[Budget Account Number],"Not Found",0)</f>
        <v>Not Found</v>
      </c>
      <c r="B29" s="2"/>
      <c r="C29" s="17"/>
      <c r="D29" s="14"/>
      <c r="E29" s="19"/>
      <c r="F29" s="20"/>
      <c r="G29" s="26"/>
    </row>
    <row r="30" spans="1:7" ht="60" customHeight="1">
      <c r="A30" s="4" t="str">
        <f>_xlfn.XLOOKUP(Table3[[#This Row],[BUDGET ACCOUNT NAME (DROPDOWN THAT IS USED TO FILL BUDGET ACCOUNT COLUMN)]],Table5[Budget Account Name],Table5[Budget Account Number],"Not Found",0)</f>
        <v>Not Found</v>
      </c>
      <c r="B30" s="2"/>
      <c r="C30" s="17"/>
      <c r="D30" s="14"/>
      <c r="E30" s="19"/>
      <c r="F30" s="20"/>
      <c r="G30" s="26"/>
    </row>
    <row r="31" spans="1:7" ht="60" customHeight="1">
      <c r="A31" s="4" t="str">
        <f>_xlfn.XLOOKUP(Table3[[#This Row],[BUDGET ACCOUNT NAME (DROPDOWN THAT IS USED TO FILL BUDGET ACCOUNT COLUMN)]],Table5[Budget Account Name],Table5[Budget Account Number],"Not Found",0)</f>
        <v>Not Found</v>
      </c>
      <c r="B31" s="2"/>
      <c r="C31" s="17"/>
      <c r="D31" s="14"/>
      <c r="E31" s="19"/>
      <c r="F31" s="20"/>
      <c r="G31" s="26"/>
    </row>
    <row r="32" spans="1:7" ht="60" customHeight="1">
      <c r="A32" s="4" t="str">
        <f>_xlfn.XLOOKUP(Table3[[#This Row],[BUDGET ACCOUNT NAME (DROPDOWN THAT IS USED TO FILL BUDGET ACCOUNT COLUMN)]],Table5[Budget Account Name],Table5[Budget Account Number],"Not Found",0)</f>
        <v>Not Found</v>
      </c>
      <c r="B32" s="2"/>
      <c r="C32" s="17"/>
      <c r="D32" s="14"/>
      <c r="E32" s="19"/>
      <c r="F32" s="20"/>
      <c r="G32" s="26"/>
    </row>
    <row r="33" spans="1:7" ht="60" customHeight="1">
      <c r="A33" s="4" t="str">
        <f>_xlfn.XLOOKUP(Table3[[#This Row],[BUDGET ACCOUNT NAME (DROPDOWN THAT IS USED TO FILL BUDGET ACCOUNT COLUMN)]],Table5[Budget Account Name],Table5[Budget Account Number],"Not Found",0)</f>
        <v>Not Found</v>
      </c>
      <c r="B33" s="2"/>
      <c r="C33" s="17"/>
      <c r="D33" s="14"/>
      <c r="E33" s="19"/>
      <c r="F33" s="20"/>
      <c r="G33" s="26"/>
    </row>
    <row r="34" spans="1:7" ht="60" customHeight="1">
      <c r="A34" s="4" t="str">
        <f>_xlfn.XLOOKUP(Table3[[#This Row],[BUDGET ACCOUNT NAME (DROPDOWN THAT IS USED TO FILL BUDGET ACCOUNT COLUMN)]],Table5[Budget Account Name],Table5[Budget Account Number],"Not Found",0)</f>
        <v>Not Found</v>
      </c>
      <c r="B34" s="2"/>
      <c r="C34" s="17"/>
      <c r="D34" s="14"/>
      <c r="E34" s="19"/>
      <c r="F34" s="20"/>
      <c r="G34" s="26"/>
    </row>
    <row r="35" spans="1:7" ht="60" customHeight="1">
      <c r="A35" s="4" t="str">
        <f>_xlfn.XLOOKUP(Table3[[#This Row],[BUDGET ACCOUNT NAME (DROPDOWN THAT IS USED TO FILL BUDGET ACCOUNT COLUMN)]],Table5[Budget Account Name],Table5[Budget Account Number],"Not Found",0)</f>
        <v>Not Found</v>
      </c>
      <c r="B35" s="2"/>
      <c r="C35" s="17"/>
      <c r="D35" s="14"/>
      <c r="E35" s="19"/>
      <c r="F35" s="20"/>
      <c r="G35" s="26"/>
    </row>
    <row r="36" spans="1:7" ht="60" customHeight="1">
      <c r="A36" s="4" t="str">
        <f>_xlfn.XLOOKUP(Table3[[#This Row],[BUDGET ACCOUNT NAME (DROPDOWN THAT IS USED TO FILL BUDGET ACCOUNT COLUMN)]],Table5[Budget Account Name],Table5[Budget Account Number],"Not Found",0)</f>
        <v>Not Found</v>
      </c>
      <c r="B36" s="2"/>
      <c r="C36" s="17"/>
      <c r="D36" s="14"/>
      <c r="E36" s="19"/>
      <c r="F36" s="20"/>
      <c r="G36" s="26"/>
    </row>
    <row r="37" spans="1:7" ht="60" customHeight="1">
      <c r="A37" s="4" t="str">
        <f>_xlfn.XLOOKUP(Table3[[#This Row],[BUDGET ACCOUNT NAME (DROPDOWN THAT IS USED TO FILL BUDGET ACCOUNT COLUMN)]],Table5[Budget Account Name],Table5[Budget Account Number],"Not Found",0)</f>
        <v>Not Found</v>
      </c>
      <c r="B37" s="2"/>
      <c r="C37" s="17"/>
      <c r="D37" s="14"/>
      <c r="E37" s="19"/>
      <c r="F37" s="20"/>
      <c r="G37" s="26"/>
    </row>
    <row r="38" spans="1:7" ht="60" customHeight="1">
      <c r="A38" s="4" t="str">
        <f>_xlfn.XLOOKUP(Table3[[#This Row],[BUDGET ACCOUNT NAME (DROPDOWN THAT IS USED TO FILL BUDGET ACCOUNT COLUMN)]],Table5[Budget Account Name],Table5[Budget Account Number],"Not Found",0)</f>
        <v>Not Found</v>
      </c>
      <c r="B38" s="2"/>
      <c r="C38" s="17"/>
      <c r="D38" s="14"/>
      <c r="E38" s="19"/>
      <c r="F38" s="20"/>
      <c r="G38" s="26"/>
    </row>
    <row r="39" spans="1:7" ht="60" customHeight="1">
      <c r="A39" s="4" t="str">
        <f>_xlfn.XLOOKUP(Table3[[#This Row],[BUDGET ACCOUNT NAME (DROPDOWN THAT IS USED TO FILL BUDGET ACCOUNT COLUMN)]],Table5[Budget Account Name],Table5[Budget Account Number],"Not Found",0)</f>
        <v>Not Found</v>
      </c>
      <c r="B39" s="2"/>
      <c r="C39" s="17"/>
      <c r="D39" s="14"/>
      <c r="E39" s="19"/>
      <c r="F39" s="20"/>
      <c r="G39" s="26"/>
    </row>
    <row r="40" spans="1:7" ht="60" customHeight="1">
      <c r="A40" s="4" t="str">
        <f>_xlfn.XLOOKUP(Table3[[#This Row],[BUDGET ACCOUNT NAME (DROPDOWN THAT IS USED TO FILL BUDGET ACCOUNT COLUMN)]],Table5[Budget Account Name],Table5[Budget Account Number],"Not Found",0)</f>
        <v>Not Found</v>
      </c>
      <c r="B40" s="2"/>
      <c r="C40" s="17"/>
      <c r="D40" s="14"/>
      <c r="E40" s="19"/>
      <c r="F40" s="20"/>
      <c r="G40" s="26"/>
    </row>
    <row r="41" spans="1:7" ht="60" customHeight="1">
      <c r="A41" s="4" t="str">
        <f>_xlfn.XLOOKUP(Table3[[#This Row],[BUDGET ACCOUNT NAME (DROPDOWN THAT IS USED TO FILL BUDGET ACCOUNT COLUMN)]],Table5[Budget Account Name],Table5[Budget Account Number],"Not Found",0)</f>
        <v>Not Found</v>
      </c>
      <c r="B41" s="2"/>
      <c r="C41" s="17"/>
      <c r="D41" s="14"/>
      <c r="E41" s="19"/>
      <c r="F41" s="20"/>
      <c r="G41" s="26"/>
    </row>
    <row r="42" spans="1:7" ht="60" customHeight="1">
      <c r="A42" s="4" t="str">
        <f>_xlfn.XLOOKUP(Table3[[#This Row],[BUDGET ACCOUNT NAME (DROPDOWN THAT IS USED TO FILL BUDGET ACCOUNT COLUMN)]],Table5[Budget Account Name],Table5[Budget Account Number],"Not Found",0)</f>
        <v>Not Found</v>
      </c>
      <c r="B42" s="2"/>
      <c r="C42" s="17"/>
      <c r="D42" s="14"/>
      <c r="E42" s="19"/>
      <c r="F42" s="20"/>
      <c r="G42" s="26"/>
    </row>
    <row r="43" spans="1:7" ht="60" customHeight="1">
      <c r="A43" s="4" t="str">
        <f>_xlfn.XLOOKUP(Table3[[#This Row],[BUDGET ACCOUNT NAME (DROPDOWN THAT IS USED TO FILL BUDGET ACCOUNT COLUMN)]],Table5[Budget Account Name],Table5[Budget Account Number],"Not Found",0)</f>
        <v>Not Found</v>
      </c>
      <c r="B43" s="2"/>
      <c r="C43" s="17"/>
      <c r="D43" s="14"/>
      <c r="E43" s="19"/>
      <c r="F43" s="20"/>
      <c r="G43" s="26"/>
    </row>
    <row r="44" spans="1:7" ht="60" customHeight="1">
      <c r="A44" s="4" t="str">
        <f>_xlfn.XLOOKUP(Table3[[#This Row],[BUDGET ACCOUNT NAME (DROPDOWN THAT IS USED TO FILL BUDGET ACCOUNT COLUMN)]],Table5[Budget Account Name],Table5[Budget Account Number],"Not Found",0)</f>
        <v>Not Found</v>
      </c>
      <c r="B44" s="2"/>
      <c r="C44" s="17"/>
      <c r="D44" s="14"/>
      <c r="E44" s="19"/>
      <c r="F44" s="20"/>
      <c r="G44" s="26"/>
    </row>
    <row r="45" spans="1:7" ht="60" customHeight="1">
      <c r="A45" s="4" t="str">
        <f>_xlfn.XLOOKUP(Table3[[#This Row],[BUDGET ACCOUNT NAME (DROPDOWN THAT IS USED TO FILL BUDGET ACCOUNT COLUMN)]],Table5[Budget Account Name],Table5[Budget Account Number],"Not Found",0)</f>
        <v>Not Found</v>
      </c>
      <c r="B45" s="2"/>
      <c r="C45" s="17"/>
      <c r="D45" s="14"/>
      <c r="E45" s="19"/>
      <c r="F45" s="20"/>
      <c r="G45" s="26"/>
    </row>
    <row r="46" spans="1:7" ht="60" customHeight="1">
      <c r="A46" s="4" t="str">
        <f>_xlfn.XLOOKUP(Table3[[#This Row],[BUDGET ACCOUNT NAME (DROPDOWN THAT IS USED TO FILL BUDGET ACCOUNT COLUMN)]],Table5[Budget Account Name],Table5[Budget Account Number],"Not Found",0)</f>
        <v>Not Found</v>
      </c>
      <c r="B46" s="2"/>
      <c r="C46" s="17"/>
      <c r="D46" s="14"/>
      <c r="E46" s="19"/>
      <c r="F46" s="20"/>
      <c r="G46" s="26"/>
    </row>
    <row r="47" spans="1:7" ht="60" customHeight="1">
      <c r="A47" s="4" t="str">
        <f>_xlfn.XLOOKUP(Table3[[#This Row],[BUDGET ACCOUNT NAME (DROPDOWN THAT IS USED TO FILL BUDGET ACCOUNT COLUMN)]],Table5[Budget Account Name],Table5[Budget Account Number],"Not Found",0)</f>
        <v>Not Found</v>
      </c>
      <c r="B47" s="2"/>
      <c r="C47" s="17"/>
      <c r="D47" s="14"/>
      <c r="E47" s="19"/>
      <c r="F47" s="20"/>
      <c r="G47" s="26"/>
    </row>
    <row r="48" spans="1:7" ht="60" customHeight="1">
      <c r="A48" s="4" t="str">
        <f>_xlfn.XLOOKUP(Table3[[#This Row],[BUDGET ACCOUNT NAME (DROPDOWN THAT IS USED TO FILL BUDGET ACCOUNT COLUMN)]],Table5[Budget Account Name],Table5[Budget Account Number],"Not Found",0)</f>
        <v>Not Found</v>
      </c>
      <c r="B48" s="2"/>
      <c r="C48" s="17"/>
      <c r="D48" s="14"/>
      <c r="E48" s="19"/>
      <c r="F48" s="20"/>
      <c r="G48" s="26"/>
    </row>
    <row r="49" spans="1:7" ht="60" customHeight="1">
      <c r="A49" s="4" t="str">
        <f>_xlfn.XLOOKUP(Table3[[#This Row],[BUDGET ACCOUNT NAME (DROPDOWN THAT IS USED TO FILL BUDGET ACCOUNT COLUMN)]],Table5[Budget Account Name],Table5[Budget Account Number],"Not Found",0)</f>
        <v>Not Found</v>
      </c>
      <c r="B49" s="2"/>
      <c r="C49" s="17"/>
      <c r="D49" s="14"/>
      <c r="E49" s="19"/>
      <c r="F49" s="20"/>
      <c r="G49" s="26"/>
    </row>
    <row r="50" spans="1:7" ht="60" customHeight="1">
      <c r="A50" s="4" t="str">
        <f>_xlfn.XLOOKUP(Table3[[#This Row],[BUDGET ACCOUNT NAME (DROPDOWN THAT IS USED TO FILL BUDGET ACCOUNT COLUMN)]],Table5[Budget Account Name],Table5[Budget Account Number],"Not Found",0)</f>
        <v>Not Found</v>
      </c>
      <c r="B50" s="2"/>
      <c r="C50" s="17"/>
      <c r="D50" s="14"/>
      <c r="E50" s="19"/>
      <c r="F50" s="20"/>
      <c r="G50" s="26"/>
    </row>
    <row r="51" spans="1:7" ht="60" customHeight="1">
      <c r="A51" s="4" t="str">
        <f>_xlfn.XLOOKUP(Table3[[#This Row],[BUDGET ACCOUNT NAME (DROPDOWN THAT IS USED TO FILL BUDGET ACCOUNT COLUMN)]],Table5[Budget Account Name],Table5[Budget Account Number],"Not Found",0)</f>
        <v>Not Found</v>
      </c>
      <c r="B51" s="2"/>
      <c r="C51" s="17"/>
      <c r="D51" s="14"/>
      <c r="E51" s="19"/>
      <c r="F51" s="20"/>
      <c r="G51" s="26"/>
    </row>
    <row r="52" spans="1:7" ht="60" customHeight="1">
      <c r="A52" s="4" t="str">
        <f>_xlfn.XLOOKUP(Table3[[#This Row],[BUDGET ACCOUNT NAME (DROPDOWN THAT IS USED TO FILL BUDGET ACCOUNT COLUMN)]],Table5[Budget Account Name],Table5[Budget Account Number],"Not Found",0)</f>
        <v>Not Found</v>
      </c>
      <c r="B52" s="2"/>
      <c r="C52" s="17"/>
      <c r="D52" s="14"/>
      <c r="E52" s="19"/>
      <c r="F52" s="20"/>
      <c r="G52" s="26"/>
    </row>
    <row r="53" spans="1:7" ht="60" customHeight="1">
      <c r="A53" s="4" t="str">
        <f>_xlfn.XLOOKUP(Table3[[#This Row],[BUDGET ACCOUNT NAME (DROPDOWN THAT IS USED TO FILL BUDGET ACCOUNT COLUMN)]],Table5[Budget Account Name],Table5[Budget Account Number],"Not Found",0)</f>
        <v>Not Found</v>
      </c>
      <c r="B53" s="2"/>
      <c r="C53" s="17"/>
      <c r="D53" s="14"/>
      <c r="E53" s="19"/>
      <c r="F53" s="20"/>
      <c r="G53" s="26"/>
    </row>
    <row r="54" spans="1:7" ht="60" customHeight="1">
      <c r="A54" s="4" t="str">
        <f>_xlfn.XLOOKUP(Table3[[#This Row],[BUDGET ACCOUNT NAME (DROPDOWN THAT IS USED TO FILL BUDGET ACCOUNT COLUMN)]],Table5[Budget Account Name],Table5[Budget Account Number],"Not Found",0)</f>
        <v>Not Found</v>
      </c>
      <c r="B54" s="2"/>
      <c r="C54" s="17"/>
      <c r="D54" s="14"/>
      <c r="E54" s="19"/>
      <c r="F54" s="20"/>
      <c r="G54" s="26"/>
    </row>
    <row r="55" spans="1:7" ht="60" customHeight="1">
      <c r="A55" s="4" t="str">
        <f>_xlfn.XLOOKUP(Table3[[#This Row],[BUDGET ACCOUNT NAME (DROPDOWN THAT IS USED TO FILL BUDGET ACCOUNT COLUMN)]],Table5[Budget Account Name],Table5[Budget Account Number],"Not Found",0)</f>
        <v>Not Found</v>
      </c>
      <c r="B55" s="2"/>
      <c r="C55" s="17"/>
      <c r="D55" s="14"/>
      <c r="E55" s="19"/>
      <c r="F55" s="20"/>
      <c r="G55" s="26"/>
    </row>
    <row r="56" spans="1:7" ht="60" customHeight="1">
      <c r="A56" s="4" t="str">
        <f>_xlfn.XLOOKUP(Table3[[#This Row],[BUDGET ACCOUNT NAME (DROPDOWN THAT IS USED TO FILL BUDGET ACCOUNT COLUMN)]],Table5[Budget Account Name],Table5[Budget Account Number],"Not Found",0)</f>
        <v>Not Found</v>
      </c>
      <c r="B56" s="2"/>
      <c r="C56" s="17"/>
      <c r="D56" s="14"/>
      <c r="E56" s="19"/>
      <c r="F56" s="20"/>
      <c r="G56" s="26"/>
    </row>
    <row r="57" spans="1:7" ht="60" customHeight="1">
      <c r="A57" s="4" t="str">
        <f>_xlfn.XLOOKUP(Table3[[#This Row],[BUDGET ACCOUNT NAME (DROPDOWN THAT IS USED TO FILL BUDGET ACCOUNT COLUMN)]],Table5[Budget Account Name],Table5[Budget Account Number],"Not Found",0)</f>
        <v>Not Found</v>
      </c>
      <c r="B57" s="2"/>
      <c r="C57" s="17"/>
      <c r="D57" s="14"/>
      <c r="E57" s="19"/>
      <c r="F57" s="20"/>
      <c r="G57" s="26"/>
    </row>
    <row r="58" spans="1:7" ht="60" customHeight="1">
      <c r="A58" s="4" t="str">
        <f>_xlfn.XLOOKUP(Table3[[#This Row],[BUDGET ACCOUNT NAME (DROPDOWN THAT IS USED TO FILL BUDGET ACCOUNT COLUMN)]],Table5[Budget Account Name],Table5[Budget Account Number],"Not Found",0)</f>
        <v>Not Found</v>
      </c>
      <c r="B58" s="2"/>
      <c r="C58" s="17"/>
      <c r="D58" s="14"/>
      <c r="E58" s="19"/>
      <c r="F58" s="20"/>
      <c r="G58" s="26"/>
    </row>
    <row r="59" spans="1:7" ht="60" customHeight="1">
      <c r="A59" s="4" t="str">
        <f>_xlfn.XLOOKUP(Table3[[#This Row],[BUDGET ACCOUNT NAME (DROPDOWN THAT IS USED TO FILL BUDGET ACCOUNT COLUMN)]],Table5[Budget Account Name],Table5[Budget Account Number],"Not Found",0)</f>
        <v>Not Found</v>
      </c>
      <c r="B59" s="2"/>
      <c r="C59" s="17"/>
      <c r="D59" s="14"/>
      <c r="E59" s="19"/>
      <c r="F59" s="20"/>
      <c r="G59" s="26"/>
    </row>
    <row r="60" spans="1:7" ht="60" customHeight="1">
      <c r="A60" s="4" t="str">
        <f>_xlfn.XLOOKUP(Table3[[#This Row],[BUDGET ACCOUNT NAME (DROPDOWN THAT IS USED TO FILL BUDGET ACCOUNT COLUMN)]],Table5[Budget Account Name],Table5[Budget Account Number],"Not Found",0)</f>
        <v>Not Found</v>
      </c>
      <c r="B60" s="2"/>
      <c r="C60" s="17"/>
      <c r="D60" s="14"/>
      <c r="E60" s="19"/>
      <c r="F60" s="20"/>
      <c r="G60" s="26"/>
    </row>
    <row r="61" spans="1:7" ht="60" customHeight="1">
      <c r="A61" s="4" t="str">
        <f>_xlfn.XLOOKUP(Table3[[#This Row],[BUDGET ACCOUNT NAME (DROPDOWN THAT IS USED TO FILL BUDGET ACCOUNT COLUMN)]],Table5[Budget Account Name],Table5[Budget Account Number],"Not Found",0)</f>
        <v>Not Found</v>
      </c>
      <c r="B61" s="2"/>
      <c r="C61" s="17"/>
      <c r="D61" s="14"/>
      <c r="E61" s="19"/>
      <c r="F61" s="20"/>
      <c r="G61" s="26"/>
    </row>
    <row r="62" spans="1:7" ht="60" customHeight="1">
      <c r="A62" s="4" t="str">
        <f>_xlfn.XLOOKUP(Table3[[#This Row],[BUDGET ACCOUNT NAME (DROPDOWN THAT IS USED TO FILL BUDGET ACCOUNT COLUMN)]],Table5[Budget Account Name],Table5[Budget Account Number],"Not Found",0)</f>
        <v>Not Found</v>
      </c>
      <c r="B62" s="2"/>
      <c r="C62" s="17"/>
      <c r="D62" s="14"/>
      <c r="E62" s="19"/>
      <c r="F62" s="20"/>
      <c r="G62" s="26"/>
    </row>
    <row r="63" spans="1:7" ht="60" customHeight="1">
      <c r="A63" s="4" t="str">
        <f>_xlfn.XLOOKUP(Table3[[#This Row],[BUDGET ACCOUNT NAME (DROPDOWN THAT IS USED TO FILL BUDGET ACCOUNT COLUMN)]],Table5[Budget Account Name],Table5[Budget Account Number],"Not Found",0)</f>
        <v>Not Found</v>
      </c>
      <c r="B63" s="2"/>
      <c r="C63" s="17"/>
      <c r="D63" s="14"/>
      <c r="E63" s="19"/>
      <c r="F63" s="20"/>
      <c r="G63" s="26"/>
    </row>
    <row r="64" spans="1:7" ht="60" customHeight="1">
      <c r="A64" s="4" t="str">
        <f>_xlfn.XLOOKUP(Table3[[#This Row],[BUDGET ACCOUNT NAME (DROPDOWN THAT IS USED TO FILL BUDGET ACCOUNT COLUMN)]],Table5[Budget Account Name],Table5[Budget Account Number],"Not Found",0)</f>
        <v>Not Found</v>
      </c>
      <c r="B64" s="2"/>
      <c r="C64" s="17"/>
      <c r="D64" s="14"/>
      <c r="E64" s="19"/>
      <c r="F64" s="20"/>
      <c r="G64" s="26"/>
    </row>
    <row r="65" spans="1:7" ht="60" customHeight="1">
      <c r="A65" s="4" t="str">
        <f>_xlfn.XLOOKUP(Table3[[#This Row],[BUDGET ACCOUNT NAME (DROPDOWN THAT IS USED TO FILL BUDGET ACCOUNT COLUMN)]],Table5[Budget Account Name],Table5[Budget Account Number],"Not Found",0)</f>
        <v>Not Found</v>
      </c>
      <c r="B65" s="2"/>
      <c r="C65" s="17"/>
      <c r="D65" s="14"/>
      <c r="E65" s="19"/>
      <c r="F65" s="20"/>
      <c r="G65" s="26"/>
    </row>
    <row r="66" spans="1:7" ht="60" customHeight="1">
      <c r="A66" s="4" t="str">
        <f>_xlfn.XLOOKUP(Table3[[#This Row],[BUDGET ACCOUNT NAME (DROPDOWN THAT IS USED TO FILL BUDGET ACCOUNT COLUMN)]],Table5[Budget Account Name],Table5[Budget Account Number],"Not Found",0)</f>
        <v>Not Found</v>
      </c>
      <c r="B66" s="2"/>
      <c r="C66" s="17"/>
      <c r="D66" s="14"/>
      <c r="E66" s="19"/>
      <c r="F66" s="20"/>
      <c r="G66" s="26"/>
    </row>
    <row r="67" spans="1:7" ht="60" customHeight="1">
      <c r="A67" s="4" t="str">
        <f>_xlfn.XLOOKUP(Table3[[#This Row],[BUDGET ACCOUNT NAME (DROPDOWN THAT IS USED TO FILL BUDGET ACCOUNT COLUMN)]],Table5[Budget Account Name],Table5[Budget Account Number],"Not Found",0)</f>
        <v>Not Found</v>
      </c>
      <c r="B67" s="2"/>
      <c r="C67" s="17"/>
      <c r="D67" s="14"/>
      <c r="E67" s="19"/>
      <c r="F67" s="20"/>
      <c r="G67" s="26"/>
    </row>
    <row r="68" spans="1:7" ht="60" customHeight="1">
      <c r="A68" s="4" t="str">
        <f>_xlfn.XLOOKUP(Table3[[#This Row],[BUDGET ACCOUNT NAME (DROPDOWN THAT IS USED TO FILL BUDGET ACCOUNT COLUMN)]],Table5[Budget Account Name],Table5[Budget Account Number],"Not Found",0)</f>
        <v>Not Found</v>
      </c>
      <c r="B68" s="2"/>
      <c r="C68" s="17"/>
      <c r="D68" s="14"/>
      <c r="E68" s="19"/>
      <c r="F68" s="20"/>
      <c r="G68" s="26"/>
    </row>
    <row r="69" spans="1:7" ht="60" customHeight="1">
      <c r="A69" s="4" t="str">
        <f>_xlfn.XLOOKUP(Table3[[#This Row],[BUDGET ACCOUNT NAME (DROPDOWN THAT IS USED TO FILL BUDGET ACCOUNT COLUMN)]],Table5[Budget Account Name],Table5[Budget Account Number],"Not Found",0)</f>
        <v>Not Found</v>
      </c>
      <c r="B69" s="2"/>
      <c r="C69" s="17"/>
      <c r="D69" s="14"/>
      <c r="E69" s="19"/>
      <c r="F69" s="20"/>
      <c r="G69" s="26"/>
    </row>
    <row r="70" spans="1:7" ht="60" customHeight="1">
      <c r="A70" s="4" t="str">
        <f>_xlfn.XLOOKUP(Table3[[#This Row],[BUDGET ACCOUNT NAME (DROPDOWN THAT IS USED TO FILL BUDGET ACCOUNT COLUMN)]],Table5[Budget Account Name],Table5[Budget Account Number],"Not Found",0)</f>
        <v>Not Found</v>
      </c>
      <c r="B70" s="2"/>
      <c r="C70" s="17"/>
      <c r="D70" s="14"/>
      <c r="E70" s="19"/>
      <c r="F70" s="20"/>
      <c r="G70" s="26"/>
    </row>
    <row r="71" spans="1:7" ht="60" customHeight="1">
      <c r="A71" s="4" t="str">
        <f>_xlfn.XLOOKUP(Table3[[#This Row],[BUDGET ACCOUNT NAME (DROPDOWN THAT IS USED TO FILL BUDGET ACCOUNT COLUMN)]],Table5[Budget Account Name],Table5[Budget Account Number],"Not Found",0)</f>
        <v>Not Found</v>
      </c>
      <c r="B71" s="2"/>
      <c r="C71" s="17"/>
      <c r="D71" s="14"/>
      <c r="E71" s="19"/>
      <c r="F71" s="20"/>
      <c r="G71" s="26"/>
    </row>
    <row r="72" spans="1:7" ht="60" customHeight="1">
      <c r="A72" s="4" t="str">
        <f>_xlfn.XLOOKUP(Table3[[#This Row],[BUDGET ACCOUNT NAME (DROPDOWN THAT IS USED TO FILL BUDGET ACCOUNT COLUMN)]],Table5[Budget Account Name],Table5[Budget Account Number],"Not Found",0)</f>
        <v>Not Found</v>
      </c>
      <c r="B72" s="2"/>
      <c r="C72" s="17"/>
      <c r="D72" s="14"/>
      <c r="E72" s="19"/>
      <c r="F72" s="20"/>
      <c r="G72" s="26"/>
    </row>
    <row r="73" spans="1:7" ht="60" customHeight="1">
      <c r="A73" s="4" t="str">
        <f>_xlfn.XLOOKUP(Table3[[#This Row],[BUDGET ACCOUNT NAME (DROPDOWN THAT IS USED TO FILL BUDGET ACCOUNT COLUMN)]],Table5[Budget Account Name],Table5[Budget Account Number],"Not Found",0)</f>
        <v>Not Found</v>
      </c>
      <c r="B73" s="2"/>
      <c r="C73" s="17"/>
      <c r="D73" s="14"/>
      <c r="E73" s="19"/>
      <c r="F73" s="20"/>
      <c r="G73" s="26"/>
    </row>
    <row r="74" spans="1:7" ht="60" customHeight="1">
      <c r="A74" s="4" t="str">
        <f>_xlfn.XLOOKUP(Table3[[#This Row],[BUDGET ACCOUNT NAME (DROPDOWN THAT IS USED TO FILL BUDGET ACCOUNT COLUMN)]],Table5[Budget Account Name],Table5[Budget Account Number],"Not Found",0)</f>
        <v>Not Found</v>
      </c>
      <c r="B74" s="2"/>
      <c r="C74" s="17"/>
      <c r="D74" s="14"/>
      <c r="E74" s="19"/>
      <c r="F74" s="20"/>
      <c r="G74" s="26"/>
    </row>
    <row r="75" spans="1:7" ht="60" customHeight="1">
      <c r="A75" s="4" t="str">
        <f>_xlfn.XLOOKUP(Table3[[#This Row],[BUDGET ACCOUNT NAME (DROPDOWN THAT IS USED TO FILL BUDGET ACCOUNT COLUMN)]],Table5[Budget Account Name],Table5[Budget Account Number],"Not Found",0)</f>
        <v>Not Found</v>
      </c>
      <c r="B75" s="2"/>
      <c r="C75" s="17"/>
      <c r="D75" s="14"/>
      <c r="E75" s="19"/>
      <c r="F75" s="20"/>
      <c r="G75" s="26"/>
    </row>
    <row r="76" spans="1:7" ht="60" customHeight="1">
      <c r="A76" s="4" t="str">
        <f>_xlfn.XLOOKUP(Table3[[#This Row],[BUDGET ACCOUNT NAME (DROPDOWN THAT IS USED TO FILL BUDGET ACCOUNT COLUMN)]],Table5[Budget Account Name],Table5[Budget Account Number],"Not Found",0)</f>
        <v>Not Found</v>
      </c>
      <c r="B76" s="2"/>
      <c r="C76" s="17"/>
      <c r="D76" s="14"/>
      <c r="E76" s="19"/>
      <c r="F76" s="20"/>
      <c r="G76" s="26"/>
    </row>
    <row r="77" spans="1:7" ht="60" customHeight="1">
      <c r="A77" s="4" t="str">
        <f>_xlfn.XLOOKUP(Table3[[#This Row],[BUDGET ACCOUNT NAME (DROPDOWN THAT IS USED TO FILL BUDGET ACCOUNT COLUMN)]],Table5[Budget Account Name],Table5[Budget Account Number],"Not Found",0)</f>
        <v>Not Found</v>
      </c>
      <c r="B77" s="2"/>
      <c r="C77" s="17"/>
      <c r="D77" s="14"/>
      <c r="E77" s="19"/>
      <c r="F77" s="20"/>
      <c r="G77" s="26"/>
    </row>
    <row r="78" spans="1:7" ht="60" customHeight="1">
      <c r="A78" s="4" t="str">
        <f>_xlfn.XLOOKUP(Table3[[#This Row],[BUDGET ACCOUNT NAME (DROPDOWN THAT IS USED TO FILL BUDGET ACCOUNT COLUMN)]],Table5[Budget Account Name],Table5[Budget Account Number],"Not Found",0)</f>
        <v>Not Found</v>
      </c>
      <c r="B78" s="2"/>
      <c r="C78" s="17"/>
      <c r="D78" s="14"/>
      <c r="E78" s="19"/>
      <c r="F78" s="20"/>
      <c r="G78" s="26"/>
    </row>
    <row r="79" spans="1:7" ht="60" customHeight="1">
      <c r="A79" s="4" t="str">
        <f>_xlfn.XLOOKUP(Table3[[#This Row],[BUDGET ACCOUNT NAME (DROPDOWN THAT IS USED TO FILL BUDGET ACCOUNT COLUMN)]],Table5[Budget Account Name],Table5[Budget Account Number],"Not Found",0)</f>
        <v>Not Found</v>
      </c>
      <c r="B79" s="2"/>
      <c r="C79" s="17"/>
      <c r="D79" s="14"/>
      <c r="E79" s="19"/>
      <c r="F79" s="20"/>
      <c r="G79" s="26"/>
    </row>
    <row r="80" spans="1:7" ht="60" customHeight="1">
      <c r="A80" s="4" t="str">
        <f>_xlfn.XLOOKUP(Table3[[#This Row],[BUDGET ACCOUNT NAME (DROPDOWN THAT IS USED TO FILL BUDGET ACCOUNT COLUMN)]],Table5[Budget Account Name],Table5[Budget Account Number],"Not Found",0)</f>
        <v>Not Found</v>
      </c>
      <c r="B80" s="2"/>
      <c r="C80" s="17"/>
      <c r="D80" s="14"/>
      <c r="E80" s="19"/>
      <c r="F80" s="20"/>
      <c r="G80" s="26"/>
    </row>
    <row r="81" spans="1:7" ht="60" customHeight="1">
      <c r="A81" s="4" t="str">
        <f>_xlfn.XLOOKUP(Table3[[#This Row],[BUDGET ACCOUNT NAME (DROPDOWN THAT IS USED TO FILL BUDGET ACCOUNT COLUMN)]],Table5[Budget Account Name],Table5[Budget Account Number],"Not Found",0)</f>
        <v>Not Found</v>
      </c>
      <c r="B81" s="2"/>
      <c r="C81" s="17"/>
      <c r="D81" s="14"/>
      <c r="E81" s="19"/>
      <c r="F81" s="20"/>
      <c r="G81" s="26"/>
    </row>
    <row r="82" spans="1:7" ht="60" customHeight="1">
      <c r="A82" s="4" t="str">
        <f>_xlfn.XLOOKUP(Table3[[#This Row],[BUDGET ACCOUNT NAME (DROPDOWN THAT IS USED TO FILL BUDGET ACCOUNT COLUMN)]],Table5[Budget Account Name],Table5[Budget Account Number],"Not Found",0)</f>
        <v>Not Found</v>
      </c>
      <c r="B82" s="2"/>
      <c r="C82" s="17"/>
      <c r="D82" s="14"/>
      <c r="E82" s="19"/>
      <c r="F82" s="20"/>
      <c r="G82" s="26"/>
    </row>
    <row r="83" spans="1:7" ht="60" customHeight="1">
      <c r="A83" s="4" t="str">
        <f>_xlfn.XLOOKUP(Table3[[#This Row],[BUDGET ACCOUNT NAME (DROPDOWN THAT IS USED TO FILL BUDGET ACCOUNT COLUMN)]],Table5[Budget Account Name],Table5[Budget Account Number],"Not Found",0)</f>
        <v>Not Found</v>
      </c>
      <c r="B83" s="2"/>
      <c r="C83" s="17"/>
      <c r="D83" s="14"/>
      <c r="E83" s="19"/>
      <c r="F83" s="20"/>
      <c r="G83" s="26"/>
    </row>
    <row r="84" spans="1:7" ht="60" customHeight="1">
      <c r="A84" s="4" t="str">
        <f>_xlfn.XLOOKUP(Table3[[#This Row],[BUDGET ACCOUNT NAME (DROPDOWN THAT IS USED TO FILL BUDGET ACCOUNT COLUMN)]],Table5[Budget Account Name],Table5[Budget Account Number],"Not Found",0)</f>
        <v>Not Found</v>
      </c>
      <c r="B84" s="2"/>
      <c r="C84" s="17"/>
      <c r="D84" s="14"/>
      <c r="E84" s="19"/>
      <c r="F84" s="20"/>
      <c r="G84" s="26"/>
    </row>
    <row r="85" spans="1:7" ht="60" customHeight="1">
      <c r="A85" s="4" t="str">
        <f>_xlfn.XLOOKUP(Table3[[#This Row],[BUDGET ACCOUNT NAME (DROPDOWN THAT IS USED TO FILL BUDGET ACCOUNT COLUMN)]],Table5[Budget Account Name],Table5[Budget Account Number],"Not Found",0)</f>
        <v>Not Found</v>
      </c>
      <c r="B85" s="2"/>
      <c r="C85" s="17"/>
      <c r="D85" s="14"/>
      <c r="E85" s="19"/>
      <c r="F85" s="20"/>
      <c r="G85" s="26"/>
    </row>
    <row r="86" spans="1:7" ht="60" customHeight="1">
      <c r="A86" s="4" t="str">
        <f>_xlfn.XLOOKUP(Table3[[#This Row],[BUDGET ACCOUNT NAME (DROPDOWN THAT IS USED TO FILL BUDGET ACCOUNT COLUMN)]],Table5[Budget Account Name],Table5[Budget Account Number],"Not Found",0)</f>
        <v>Not Found</v>
      </c>
      <c r="B86" s="2"/>
      <c r="C86" s="17"/>
      <c r="D86" s="14"/>
      <c r="E86" s="19"/>
      <c r="F86" s="20"/>
      <c r="G86" s="26"/>
    </row>
    <row r="87" spans="1:7" ht="60" customHeight="1">
      <c r="A87" s="4" t="str">
        <f>_xlfn.XLOOKUP(Table3[[#This Row],[BUDGET ACCOUNT NAME (DROPDOWN THAT IS USED TO FILL BUDGET ACCOUNT COLUMN)]],Table5[Budget Account Name],Table5[Budget Account Number],"Not Found",0)</f>
        <v>Not Found</v>
      </c>
      <c r="B87" s="2"/>
      <c r="C87" s="17"/>
      <c r="D87" s="14"/>
      <c r="E87" s="19"/>
      <c r="F87" s="20"/>
      <c r="G87" s="26"/>
    </row>
    <row r="88" spans="1:7" ht="60" customHeight="1">
      <c r="A88" s="4" t="str">
        <f>_xlfn.XLOOKUP(Table3[[#This Row],[BUDGET ACCOUNT NAME (DROPDOWN THAT IS USED TO FILL BUDGET ACCOUNT COLUMN)]],Table5[Budget Account Name],Table5[Budget Account Number],"Not Found",0)</f>
        <v>Not Found</v>
      </c>
      <c r="B88" s="2"/>
      <c r="C88" s="17"/>
      <c r="D88" s="14"/>
      <c r="E88" s="19"/>
      <c r="F88" s="20"/>
      <c r="G88" s="26"/>
    </row>
    <row r="89" spans="1:7" ht="60" customHeight="1">
      <c r="A89" s="4" t="str">
        <f>_xlfn.XLOOKUP(Table3[[#This Row],[BUDGET ACCOUNT NAME (DROPDOWN THAT IS USED TO FILL BUDGET ACCOUNT COLUMN)]],Table5[Budget Account Name],Table5[Budget Account Number],"Not Found",0)</f>
        <v>Not Found</v>
      </c>
      <c r="B89" s="2"/>
      <c r="C89" s="17"/>
      <c r="D89" s="14"/>
      <c r="E89" s="19"/>
      <c r="F89" s="20"/>
      <c r="G89" s="26"/>
    </row>
    <row r="90" spans="1:7" ht="60" customHeight="1">
      <c r="A90" s="4" t="str">
        <f>_xlfn.XLOOKUP(Table3[[#This Row],[BUDGET ACCOUNT NAME (DROPDOWN THAT IS USED TO FILL BUDGET ACCOUNT COLUMN)]],Table5[Budget Account Name],Table5[Budget Account Number],"Not Found",0)</f>
        <v>Not Found</v>
      </c>
      <c r="B90" s="2"/>
      <c r="C90" s="17"/>
      <c r="D90" s="14"/>
      <c r="E90" s="19"/>
      <c r="F90" s="20"/>
      <c r="G90" s="26"/>
    </row>
    <row r="91" spans="1:7" ht="60" customHeight="1">
      <c r="A91" s="4" t="str">
        <f>_xlfn.XLOOKUP(Table3[[#This Row],[BUDGET ACCOUNT NAME (DROPDOWN THAT IS USED TO FILL BUDGET ACCOUNT COLUMN)]],Table5[Budget Account Name],Table5[Budget Account Number],"Not Found",0)</f>
        <v>Not Found</v>
      </c>
      <c r="B91" s="2"/>
      <c r="C91" s="17"/>
      <c r="D91" s="14"/>
      <c r="E91" s="19"/>
      <c r="F91" s="20"/>
      <c r="G91" s="26"/>
    </row>
    <row r="92" spans="1:7" ht="60" customHeight="1">
      <c r="A92" s="4" t="str">
        <f>_xlfn.XLOOKUP(Table3[[#This Row],[BUDGET ACCOUNT NAME (DROPDOWN THAT IS USED TO FILL BUDGET ACCOUNT COLUMN)]],Table5[Budget Account Name],Table5[Budget Account Number],"Not Found",0)</f>
        <v>Not Found</v>
      </c>
      <c r="B92" s="2"/>
      <c r="C92" s="17"/>
      <c r="D92" s="14"/>
      <c r="E92" s="19"/>
      <c r="F92" s="20"/>
      <c r="G92" s="26"/>
    </row>
    <row r="93" spans="1:7" ht="60" customHeight="1">
      <c r="A93" s="4" t="str">
        <f>_xlfn.XLOOKUP(Table3[[#This Row],[BUDGET ACCOUNT NAME (DROPDOWN THAT IS USED TO FILL BUDGET ACCOUNT COLUMN)]],Table5[Budget Account Name],Table5[Budget Account Number],"Not Found",0)</f>
        <v>Not Found</v>
      </c>
      <c r="B93" s="2"/>
      <c r="C93" s="17"/>
      <c r="D93" s="14"/>
      <c r="E93" s="19"/>
      <c r="F93" s="20"/>
      <c r="G93" s="26"/>
    </row>
    <row r="94" spans="1:7" ht="60" customHeight="1">
      <c r="A94" s="4" t="str">
        <f>_xlfn.XLOOKUP(Table3[[#This Row],[BUDGET ACCOUNT NAME (DROPDOWN THAT IS USED TO FILL BUDGET ACCOUNT COLUMN)]],Table5[Budget Account Name],Table5[Budget Account Number],"Not Found",0)</f>
        <v>Not Found</v>
      </c>
      <c r="B94" s="2"/>
      <c r="C94" s="17"/>
      <c r="D94" s="14"/>
      <c r="E94" s="19"/>
      <c r="F94" s="20"/>
      <c r="G94" s="26"/>
    </row>
    <row r="95" spans="1:7" ht="60" customHeight="1">
      <c r="A95" s="4" t="str">
        <f>_xlfn.XLOOKUP(Table3[[#This Row],[BUDGET ACCOUNT NAME (DROPDOWN THAT IS USED TO FILL BUDGET ACCOUNT COLUMN)]],Table5[Budget Account Name],Table5[Budget Account Number],"Not Found",0)</f>
        <v>Not Found</v>
      </c>
      <c r="B95" s="2"/>
      <c r="C95" s="17"/>
      <c r="D95" s="14"/>
      <c r="E95" s="19"/>
      <c r="F95" s="20"/>
      <c r="G95" s="26"/>
    </row>
    <row r="96" spans="1:7" ht="60" customHeight="1">
      <c r="A96" s="4" t="str">
        <f>_xlfn.XLOOKUP(Table3[[#This Row],[BUDGET ACCOUNT NAME (DROPDOWN THAT IS USED TO FILL BUDGET ACCOUNT COLUMN)]],Table5[Budget Account Name],Table5[Budget Account Number],"Not Found",0)</f>
        <v>Not Found</v>
      </c>
      <c r="B96" s="2"/>
      <c r="C96" s="17"/>
      <c r="D96" s="14"/>
      <c r="E96" s="19"/>
      <c r="F96" s="20"/>
      <c r="G96" s="26"/>
    </row>
    <row r="97" spans="1:7" ht="60" customHeight="1">
      <c r="A97" s="4" t="str">
        <f>_xlfn.XLOOKUP(Table3[[#This Row],[BUDGET ACCOUNT NAME (DROPDOWN THAT IS USED TO FILL BUDGET ACCOUNT COLUMN)]],Table5[Budget Account Name],Table5[Budget Account Number],"Not Found",0)</f>
        <v>Not Found</v>
      </c>
      <c r="B97" s="2"/>
      <c r="C97" s="17"/>
      <c r="D97" s="14"/>
      <c r="E97" s="19"/>
      <c r="F97" s="20"/>
      <c r="G97" s="26"/>
    </row>
    <row r="98" spans="1:7" ht="60" customHeight="1">
      <c r="A98" s="4" t="str">
        <f>_xlfn.XLOOKUP(Table3[[#This Row],[BUDGET ACCOUNT NAME (DROPDOWN THAT IS USED TO FILL BUDGET ACCOUNT COLUMN)]],Table5[Budget Account Name],Table5[Budget Account Number],"Not Found",0)</f>
        <v>Not Found</v>
      </c>
      <c r="B98" s="2"/>
      <c r="C98" s="17"/>
      <c r="D98" s="14"/>
      <c r="E98" s="19"/>
      <c r="F98" s="20"/>
      <c r="G98" s="26"/>
    </row>
    <row r="99" spans="1:7" ht="60" customHeight="1">
      <c r="A99" s="4" t="str">
        <f>_xlfn.XLOOKUP(Table3[[#This Row],[BUDGET ACCOUNT NAME (DROPDOWN THAT IS USED TO FILL BUDGET ACCOUNT COLUMN)]],Table5[Budget Account Name],Table5[Budget Account Number],"Not Found",0)</f>
        <v>Not Found</v>
      </c>
      <c r="B99" s="2"/>
      <c r="C99" s="17"/>
      <c r="D99" s="14"/>
      <c r="E99" s="19"/>
      <c r="F99" s="20"/>
      <c r="G99" s="26"/>
    </row>
    <row r="100" spans="1:7" ht="60" customHeight="1">
      <c r="A100" s="4" t="str">
        <f>_xlfn.XLOOKUP(Table3[[#This Row],[BUDGET ACCOUNT NAME (DROPDOWN THAT IS USED TO FILL BUDGET ACCOUNT COLUMN)]],Table5[Budget Account Name],Table5[Budget Account Number],"Not Found",0)</f>
        <v>Not Found</v>
      </c>
      <c r="B100" s="6"/>
      <c r="C100" s="18"/>
      <c r="D100" s="15"/>
      <c r="E100" s="21"/>
      <c r="F100" s="22"/>
      <c r="G100" s="26"/>
    </row>
  </sheetData>
  <mergeCells count="3">
    <mergeCell ref="A1:F1"/>
    <mergeCell ref="C2:F2"/>
    <mergeCell ref="A12:F12"/>
  </mergeCells>
  <dataValidations count="3">
    <dataValidation type="list" allowBlank="1" showInputMessage="1" showErrorMessage="1" sqref="E14:E100" xr:uid="{AAE8D721-6B2F-4768-BCD5-2D5C9036EC04}">
      <formula1>$H$2:$H$6</formula1>
    </dataValidation>
    <dataValidation type="list" allowBlank="1" showInputMessage="1" showErrorMessage="1" sqref="G14:G100" xr:uid="{1CBB831C-642A-4714-B53F-F0AB17298C3C}">
      <formula1>$G$1:$G$9</formula1>
    </dataValidation>
    <dataValidation type="list" allowBlank="1" showInputMessage="1" showErrorMessage="1" sqref="B20:B100 B14:B18 B19" xr:uid="{D172EC9E-63E8-4FC9-8430-5DCD62E75DB9}">
      <formula1>$B$3:$B$11</formula1>
    </dataValidation>
  </dataValidation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AA3A0-B69C-4831-8F18-3FCBC9F2B526}">
  <dimension ref="A1:J100"/>
  <sheetViews>
    <sheetView topLeftCell="B1" zoomScale="70" zoomScaleNormal="70" workbookViewId="0">
      <pane ySplit="13" topLeftCell="A14" activePane="bottomLeft" state="frozen"/>
      <selection pane="bottomLeft" activeCell="B18" sqref="B18"/>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56.25">
      <c r="A13" s="7" t="s">
        <v>154</v>
      </c>
      <c r="B13" s="8" t="s">
        <v>141</v>
      </c>
      <c r="C13" s="9" t="s">
        <v>142</v>
      </c>
      <c r="D13" s="9" t="s">
        <v>143</v>
      </c>
      <c r="E13" s="10" t="s">
        <v>144</v>
      </c>
      <c r="F13" s="11" t="s">
        <v>145</v>
      </c>
      <c r="G13" s="25" t="s">
        <v>146</v>
      </c>
    </row>
    <row r="14" spans="1:10" ht="60" customHeight="1">
      <c r="A14" s="4" t="str">
        <f>_xlfn.XLOOKUP(Table_ASU[[#This Row],[BUDGET ACCOUNT NAME (DROPDOWN THAT IS USED TO FILL BUDGET ACCOUNT COLUMN)]],Table55[Budget Account Name],Table55[Budget Account Number],"Not Found",0)</f>
        <v>Not Found</v>
      </c>
      <c r="B14" s="2"/>
      <c r="C14" s="16"/>
      <c r="D14" s="14"/>
      <c r="E14" s="19"/>
      <c r="F14" s="20"/>
      <c r="G14" s="26"/>
    </row>
    <row r="15" spans="1:10" ht="60" customHeight="1">
      <c r="A15" s="4" t="str">
        <f>_xlfn.XLOOKUP(Table_ASU[[#This Row],[BUDGET ACCOUNT NAME (DROPDOWN THAT IS USED TO FILL BUDGET ACCOUNT COLUMN)]],Table55[Budget Account Name],Table55[Budget Account Number],"Not Found",0)</f>
        <v>Not Found</v>
      </c>
      <c r="B15" s="2"/>
      <c r="C15" s="17"/>
      <c r="D15" s="14"/>
      <c r="E15" s="19"/>
      <c r="F15" s="20"/>
      <c r="G15" s="26"/>
    </row>
    <row r="16" spans="1:10" ht="60" customHeight="1">
      <c r="A16" s="4" t="str">
        <f>_xlfn.XLOOKUP(Table_ASU[[#This Row],[BUDGET ACCOUNT NAME (DROPDOWN THAT IS USED TO FILL BUDGET ACCOUNT COLUMN)]],Table55[Budget Account Name],Table55[Budget Account Number],"Not Found",0)</f>
        <v>Not Found</v>
      </c>
      <c r="B16" s="2"/>
      <c r="C16" s="17"/>
      <c r="D16" s="14"/>
      <c r="E16" s="19"/>
      <c r="F16" s="20"/>
      <c r="G16" s="26"/>
    </row>
    <row r="17" spans="1:7" ht="60" customHeight="1">
      <c r="A17" s="4" t="str">
        <f>_xlfn.XLOOKUP(Table_ASU[[#This Row],[BUDGET ACCOUNT NAME (DROPDOWN THAT IS USED TO FILL BUDGET ACCOUNT COLUMN)]],Table55[Budget Account Name],Table55[Budget Account Number],"Not Found",0)</f>
        <v>Not Found</v>
      </c>
      <c r="B17" s="2"/>
      <c r="C17" s="17"/>
      <c r="D17" s="14"/>
      <c r="E17" s="19"/>
      <c r="F17" s="20"/>
      <c r="G17" s="26"/>
    </row>
    <row r="18" spans="1:7" ht="60" customHeight="1">
      <c r="A18" s="4" t="str">
        <f>_xlfn.XLOOKUP(Table_ASU[[#This Row],[BUDGET ACCOUNT NAME (DROPDOWN THAT IS USED TO FILL BUDGET ACCOUNT COLUMN)]],Table55[Budget Account Name],Table55[Budget Account Number],"Not Found",0)</f>
        <v>Not Found</v>
      </c>
      <c r="B18" s="2"/>
      <c r="C18" s="17"/>
      <c r="D18" s="14"/>
      <c r="E18" s="19"/>
      <c r="F18" s="20"/>
      <c r="G18" s="26"/>
    </row>
    <row r="19" spans="1:7" ht="60" customHeight="1">
      <c r="A19" s="4" t="str">
        <f>_xlfn.XLOOKUP(Table_ASU[[#This Row],[BUDGET ACCOUNT NAME (DROPDOWN THAT IS USED TO FILL BUDGET ACCOUNT COLUMN)]],Table55[Budget Account Name],Table55[Budget Account Number],"Not Found",0)</f>
        <v>Not Found</v>
      </c>
      <c r="B19" s="2"/>
      <c r="C19" s="17"/>
      <c r="D19" s="14"/>
      <c r="E19" s="19"/>
      <c r="F19" s="20"/>
      <c r="G19" s="26"/>
    </row>
    <row r="20" spans="1:7" ht="60" customHeight="1">
      <c r="A20" s="4" t="str">
        <f>_xlfn.XLOOKUP(Table_ASU[[#This Row],[BUDGET ACCOUNT NAME (DROPDOWN THAT IS USED TO FILL BUDGET ACCOUNT COLUMN)]],Table55[Budget Account Name],Table55[Budget Account Number],"Not Found",0)</f>
        <v>Not Found</v>
      </c>
      <c r="B20" s="2"/>
      <c r="C20" s="17"/>
      <c r="D20" s="14"/>
      <c r="E20" s="19"/>
      <c r="F20" s="20"/>
      <c r="G20" s="26"/>
    </row>
    <row r="21" spans="1:7" ht="60" customHeight="1">
      <c r="A21" s="4" t="str">
        <f>_xlfn.XLOOKUP(Table_ASU[[#This Row],[BUDGET ACCOUNT NAME (DROPDOWN THAT IS USED TO FILL BUDGET ACCOUNT COLUMN)]],Table55[Budget Account Name],Table55[Budget Account Number],"Not Found",0)</f>
        <v>Not Found</v>
      </c>
      <c r="B21" s="2"/>
      <c r="C21" s="17"/>
      <c r="D21" s="14"/>
      <c r="E21" s="19"/>
      <c r="F21" s="20"/>
      <c r="G21" s="26"/>
    </row>
    <row r="22" spans="1:7" ht="60" customHeight="1">
      <c r="A22" s="4" t="str">
        <f>_xlfn.XLOOKUP(Table_ASU[[#This Row],[BUDGET ACCOUNT NAME (DROPDOWN THAT IS USED TO FILL BUDGET ACCOUNT COLUMN)]],Table55[Budget Account Name],Table55[Budget Account Number],"Not Found",0)</f>
        <v>Not Found</v>
      </c>
      <c r="B22" s="2"/>
      <c r="C22" s="17"/>
      <c r="D22" s="14"/>
      <c r="E22" s="19"/>
      <c r="F22" s="20"/>
      <c r="G22" s="26"/>
    </row>
    <row r="23" spans="1:7" ht="60" customHeight="1">
      <c r="A23" s="4" t="str">
        <f>_xlfn.XLOOKUP(Table_ASU[[#This Row],[BUDGET ACCOUNT NAME (DROPDOWN THAT IS USED TO FILL BUDGET ACCOUNT COLUMN)]],Table55[Budget Account Name],Table55[Budget Account Number],"Not Found",0)</f>
        <v>Not Found</v>
      </c>
      <c r="B23" s="2"/>
      <c r="C23" s="17"/>
      <c r="D23" s="14"/>
      <c r="E23" s="19"/>
      <c r="F23" s="20"/>
      <c r="G23" s="26"/>
    </row>
    <row r="24" spans="1:7" ht="60" customHeight="1">
      <c r="A24" s="4" t="str">
        <f>_xlfn.XLOOKUP(Table_ASU[[#This Row],[BUDGET ACCOUNT NAME (DROPDOWN THAT IS USED TO FILL BUDGET ACCOUNT COLUMN)]],Table55[Budget Account Name],Table55[Budget Account Number],"Not Found",0)</f>
        <v>Not Found</v>
      </c>
      <c r="B24" s="2"/>
      <c r="C24" s="17"/>
      <c r="D24" s="14"/>
      <c r="E24" s="19"/>
      <c r="F24" s="20"/>
      <c r="G24" s="26"/>
    </row>
    <row r="25" spans="1:7" ht="60" customHeight="1">
      <c r="A25" s="4" t="str">
        <f>_xlfn.XLOOKUP(Table_ASU[[#This Row],[BUDGET ACCOUNT NAME (DROPDOWN THAT IS USED TO FILL BUDGET ACCOUNT COLUMN)]],Table55[Budget Account Name],Table55[Budget Account Number],"Not Found",0)</f>
        <v>Not Found</v>
      </c>
      <c r="B25" s="2"/>
      <c r="C25" s="17"/>
      <c r="D25" s="14"/>
      <c r="E25" s="19"/>
      <c r="F25" s="20"/>
      <c r="G25" s="26"/>
    </row>
    <row r="26" spans="1:7" ht="60" customHeight="1">
      <c r="A26" s="4" t="str">
        <f>_xlfn.XLOOKUP(Table_ASU[[#This Row],[BUDGET ACCOUNT NAME (DROPDOWN THAT IS USED TO FILL BUDGET ACCOUNT COLUMN)]],Table55[Budget Account Name],Table55[Budget Account Number],"Not Found",0)</f>
        <v>Not Found</v>
      </c>
      <c r="B26" s="2"/>
      <c r="C26" s="17"/>
      <c r="D26" s="14"/>
      <c r="E26" s="19"/>
      <c r="F26" s="20"/>
      <c r="G26" s="26"/>
    </row>
    <row r="27" spans="1:7" ht="60" customHeight="1">
      <c r="A27" s="4" t="str">
        <f>_xlfn.XLOOKUP(Table_ASU[[#This Row],[BUDGET ACCOUNT NAME (DROPDOWN THAT IS USED TO FILL BUDGET ACCOUNT COLUMN)]],Table55[Budget Account Name],Table55[Budget Account Number],"Not Found",0)</f>
        <v>Not Found</v>
      </c>
      <c r="B27" s="2"/>
      <c r="C27" s="17"/>
      <c r="D27" s="14"/>
      <c r="E27" s="19"/>
      <c r="F27" s="20"/>
      <c r="G27" s="26"/>
    </row>
    <row r="28" spans="1:7" ht="60" customHeight="1">
      <c r="A28" s="4" t="str">
        <f>_xlfn.XLOOKUP(Table_ASU[[#This Row],[BUDGET ACCOUNT NAME (DROPDOWN THAT IS USED TO FILL BUDGET ACCOUNT COLUMN)]],Table55[Budget Account Name],Table55[Budget Account Number],"Not Found",0)</f>
        <v>Not Found</v>
      </c>
      <c r="B28" s="2"/>
      <c r="C28" s="17"/>
      <c r="D28" s="14"/>
      <c r="E28" s="19"/>
      <c r="F28" s="20"/>
      <c r="G28" s="26"/>
    </row>
    <row r="29" spans="1:7" ht="60" customHeight="1">
      <c r="A29" s="4" t="str">
        <f>_xlfn.XLOOKUP(Table_ASU[[#This Row],[BUDGET ACCOUNT NAME (DROPDOWN THAT IS USED TO FILL BUDGET ACCOUNT COLUMN)]],Table55[Budget Account Name],Table55[Budget Account Number],"Not Found",0)</f>
        <v>Not Found</v>
      </c>
      <c r="B29" s="2"/>
      <c r="C29" s="17"/>
      <c r="D29" s="14"/>
      <c r="E29" s="19"/>
      <c r="F29" s="20"/>
      <c r="G29" s="26"/>
    </row>
    <row r="30" spans="1:7" ht="60" customHeight="1">
      <c r="A30" s="4" t="str">
        <f>_xlfn.XLOOKUP(Table_ASU[[#This Row],[BUDGET ACCOUNT NAME (DROPDOWN THAT IS USED TO FILL BUDGET ACCOUNT COLUMN)]],Table55[Budget Account Name],Table55[Budget Account Number],"Not Found",0)</f>
        <v>Not Found</v>
      </c>
      <c r="B30" s="2"/>
      <c r="C30" s="17"/>
      <c r="D30" s="14"/>
      <c r="E30" s="19"/>
      <c r="F30" s="20"/>
      <c r="G30" s="26"/>
    </row>
    <row r="31" spans="1:7" ht="60" customHeight="1">
      <c r="A31" s="4" t="str">
        <f>_xlfn.XLOOKUP(Table_ASU[[#This Row],[BUDGET ACCOUNT NAME (DROPDOWN THAT IS USED TO FILL BUDGET ACCOUNT COLUMN)]],Table55[Budget Account Name],Table55[Budget Account Number],"Not Found",0)</f>
        <v>Not Found</v>
      </c>
      <c r="B31" s="2"/>
      <c r="C31" s="17"/>
      <c r="D31" s="14"/>
      <c r="E31" s="19"/>
      <c r="F31" s="20"/>
      <c r="G31" s="26"/>
    </row>
    <row r="32" spans="1:7" ht="60" customHeight="1">
      <c r="A32" s="4" t="str">
        <f>_xlfn.XLOOKUP(Table_ASU[[#This Row],[BUDGET ACCOUNT NAME (DROPDOWN THAT IS USED TO FILL BUDGET ACCOUNT COLUMN)]],Table55[Budget Account Name],Table55[Budget Account Number],"Not Found",0)</f>
        <v>Not Found</v>
      </c>
      <c r="B32" s="2"/>
      <c r="C32" s="17"/>
      <c r="D32" s="14"/>
      <c r="E32" s="19"/>
      <c r="F32" s="20"/>
      <c r="G32" s="26"/>
    </row>
    <row r="33" spans="1:7" ht="60" customHeight="1">
      <c r="A33" s="4" t="str">
        <f>_xlfn.XLOOKUP(Table_ASU[[#This Row],[BUDGET ACCOUNT NAME (DROPDOWN THAT IS USED TO FILL BUDGET ACCOUNT COLUMN)]],Table55[Budget Account Name],Table55[Budget Account Number],"Not Found",0)</f>
        <v>Not Found</v>
      </c>
      <c r="B33" s="2"/>
      <c r="C33" s="17"/>
      <c r="D33" s="14"/>
      <c r="E33" s="19"/>
      <c r="F33" s="20"/>
      <c r="G33" s="26"/>
    </row>
    <row r="34" spans="1:7" ht="60" customHeight="1">
      <c r="A34" s="4" t="str">
        <f>_xlfn.XLOOKUP(Table_ASU[[#This Row],[BUDGET ACCOUNT NAME (DROPDOWN THAT IS USED TO FILL BUDGET ACCOUNT COLUMN)]],Table55[Budget Account Name],Table55[Budget Account Number],"Not Found",0)</f>
        <v>Not Found</v>
      </c>
      <c r="B34" s="2"/>
      <c r="C34" s="17"/>
      <c r="D34" s="14"/>
      <c r="E34" s="19"/>
      <c r="F34" s="20"/>
      <c r="G34" s="26"/>
    </row>
    <row r="35" spans="1:7" ht="60" customHeight="1">
      <c r="A35" s="4" t="str">
        <f>_xlfn.XLOOKUP(Table_ASU[[#This Row],[BUDGET ACCOUNT NAME (DROPDOWN THAT IS USED TO FILL BUDGET ACCOUNT COLUMN)]],Table55[Budget Account Name],Table55[Budget Account Number],"Not Found",0)</f>
        <v>Not Found</v>
      </c>
      <c r="B35" s="2"/>
      <c r="C35" s="17"/>
      <c r="D35" s="14"/>
      <c r="E35" s="19"/>
      <c r="F35" s="20"/>
      <c r="G35" s="26"/>
    </row>
    <row r="36" spans="1:7" ht="60" customHeight="1">
      <c r="A36" s="4" t="str">
        <f>_xlfn.XLOOKUP(Table_ASU[[#This Row],[BUDGET ACCOUNT NAME (DROPDOWN THAT IS USED TO FILL BUDGET ACCOUNT COLUMN)]],Table55[Budget Account Name],Table55[Budget Account Number],"Not Found",0)</f>
        <v>Not Found</v>
      </c>
      <c r="B36" s="2"/>
      <c r="C36" s="17"/>
      <c r="D36" s="14"/>
      <c r="E36" s="19"/>
      <c r="F36" s="20"/>
      <c r="G36" s="26"/>
    </row>
    <row r="37" spans="1:7" ht="60" customHeight="1">
      <c r="A37" s="4" t="str">
        <f>_xlfn.XLOOKUP(Table_ASU[[#This Row],[BUDGET ACCOUNT NAME (DROPDOWN THAT IS USED TO FILL BUDGET ACCOUNT COLUMN)]],Table55[Budget Account Name],Table55[Budget Account Number],"Not Found",0)</f>
        <v>Not Found</v>
      </c>
      <c r="B37" s="2"/>
      <c r="C37" s="17"/>
      <c r="D37" s="14"/>
      <c r="E37" s="19"/>
      <c r="F37" s="20"/>
      <c r="G37" s="26"/>
    </row>
    <row r="38" spans="1:7" ht="60" customHeight="1">
      <c r="A38" s="4" t="str">
        <f>_xlfn.XLOOKUP(Table_ASU[[#This Row],[BUDGET ACCOUNT NAME (DROPDOWN THAT IS USED TO FILL BUDGET ACCOUNT COLUMN)]],Table55[Budget Account Name],Table55[Budget Account Number],"Not Found",0)</f>
        <v>Not Found</v>
      </c>
      <c r="B38" s="2"/>
      <c r="C38" s="17"/>
      <c r="D38" s="14"/>
      <c r="E38" s="19"/>
      <c r="F38" s="20"/>
      <c r="G38" s="26"/>
    </row>
    <row r="39" spans="1:7" ht="60" customHeight="1">
      <c r="A39" s="4" t="str">
        <f>_xlfn.XLOOKUP(Table_ASU[[#This Row],[BUDGET ACCOUNT NAME (DROPDOWN THAT IS USED TO FILL BUDGET ACCOUNT COLUMN)]],Table55[Budget Account Name],Table55[Budget Account Number],"Not Found",0)</f>
        <v>Not Found</v>
      </c>
      <c r="B39" s="2"/>
      <c r="C39" s="17"/>
      <c r="D39" s="14"/>
      <c r="E39" s="19"/>
      <c r="F39" s="20"/>
      <c r="G39" s="26"/>
    </row>
    <row r="40" spans="1:7" ht="60" customHeight="1">
      <c r="A40" s="4" t="str">
        <f>_xlfn.XLOOKUP(Table_ASU[[#This Row],[BUDGET ACCOUNT NAME (DROPDOWN THAT IS USED TO FILL BUDGET ACCOUNT COLUMN)]],Table55[Budget Account Name],Table55[Budget Account Number],"Not Found",0)</f>
        <v>Not Found</v>
      </c>
      <c r="B40" s="2"/>
      <c r="C40" s="17"/>
      <c r="D40" s="14"/>
      <c r="E40" s="19"/>
      <c r="F40" s="20"/>
      <c r="G40" s="26"/>
    </row>
    <row r="41" spans="1:7" ht="60" customHeight="1">
      <c r="A41" s="4" t="str">
        <f>_xlfn.XLOOKUP(Table_ASU[[#This Row],[BUDGET ACCOUNT NAME (DROPDOWN THAT IS USED TO FILL BUDGET ACCOUNT COLUMN)]],Table55[Budget Account Name],Table55[Budget Account Number],"Not Found",0)</f>
        <v>Not Found</v>
      </c>
      <c r="B41" s="2"/>
      <c r="C41" s="17"/>
      <c r="D41" s="14"/>
      <c r="E41" s="19"/>
      <c r="F41" s="20"/>
      <c r="G41" s="26"/>
    </row>
    <row r="42" spans="1:7" ht="60" customHeight="1">
      <c r="A42" s="4" t="str">
        <f>_xlfn.XLOOKUP(Table_ASU[[#This Row],[BUDGET ACCOUNT NAME (DROPDOWN THAT IS USED TO FILL BUDGET ACCOUNT COLUMN)]],Table55[Budget Account Name],Table55[Budget Account Number],"Not Found",0)</f>
        <v>Not Found</v>
      </c>
      <c r="B42" s="2"/>
      <c r="C42" s="17"/>
      <c r="D42" s="14"/>
      <c r="E42" s="19"/>
      <c r="F42" s="20"/>
      <c r="G42" s="26"/>
    </row>
    <row r="43" spans="1:7" ht="60" customHeight="1">
      <c r="A43" s="4" t="str">
        <f>_xlfn.XLOOKUP(Table_ASU[[#This Row],[BUDGET ACCOUNT NAME (DROPDOWN THAT IS USED TO FILL BUDGET ACCOUNT COLUMN)]],Table55[Budget Account Name],Table55[Budget Account Number],"Not Found",0)</f>
        <v>Not Found</v>
      </c>
      <c r="B43" s="2"/>
      <c r="C43" s="17"/>
      <c r="D43" s="14"/>
      <c r="E43" s="19"/>
      <c r="F43" s="20"/>
      <c r="G43" s="26"/>
    </row>
    <row r="44" spans="1:7" ht="60" customHeight="1">
      <c r="A44" s="4" t="str">
        <f>_xlfn.XLOOKUP(Table_ASU[[#This Row],[BUDGET ACCOUNT NAME (DROPDOWN THAT IS USED TO FILL BUDGET ACCOUNT COLUMN)]],Table55[Budget Account Name],Table55[Budget Account Number],"Not Found",0)</f>
        <v>Not Found</v>
      </c>
      <c r="B44" s="2"/>
      <c r="C44" s="17"/>
      <c r="D44" s="14"/>
      <c r="E44" s="19"/>
      <c r="F44" s="20"/>
      <c r="G44" s="26"/>
    </row>
    <row r="45" spans="1:7" ht="60" customHeight="1">
      <c r="A45" s="4" t="str">
        <f>_xlfn.XLOOKUP(Table_ASU[[#This Row],[BUDGET ACCOUNT NAME (DROPDOWN THAT IS USED TO FILL BUDGET ACCOUNT COLUMN)]],Table55[Budget Account Name],Table55[Budget Account Number],"Not Found",0)</f>
        <v>Not Found</v>
      </c>
      <c r="B45" s="2"/>
      <c r="C45" s="17"/>
      <c r="D45" s="14"/>
      <c r="E45" s="19"/>
      <c r="F45" s="20"/>
      <c r="G45" s="26"/>
    </row>
    <row r="46" spans="1:7" ht="60" customHeight="1">
      <c r="A46" s="4" t="str">
        <f>_xlfn.XLOOKUP(Table_ASU[[#This Row],[BUDGET ACCOUNT NAME (DROPDOWN THAT IS USED TO FILL BUDGET ACCOUNT COLUMN)]],Table55[Budget Account Name],Table55[Budget Account Number],"Not Found",0)</f>
        <v>Not Found</v>
      </c>
      <c r="B46" s="2"/>
      <c r="C46" s="17"/>
      <c r="D46" s="14"/>
      <c r="E46" s="19"/>
      <c r="F46" s="20"/>
      <c r="G46" s="26"/>
    </row>
    <row r="47" spans="1:7" ht="60" customHeight="1">
      <c r="A47" s="4" t="str">
        <f>_xlfn.XLOOKUP(Table_ASU[[#This Row],[BUDGET ACCOUNT NAME (DROPDOWN THAT IS USED TO FILL BUDGET ACCOUNT COLUMN)]],Table55[Budget Account Name],Table55[Budget Account Number],"Not Found",0)</f>
        <v>Not Found</v>
      </c>
      <c r="B47" s="2"/>
      <c r="C47" s="17"/>
      <c r="D47" s="14"/>
      <c r="E47" s="19"/>
      <c r="F47" s="20"/>
      <c r="G47" s="26"/>
    </row>
    <row r="48" spans="1:7" ht="60" customHeight="1">
      <c r="A48" s="4" t="str">
        <f>_xlfn.XLOOKUP(Table_ASU[[#This Row],[BUDGET ACCOUNT NAME (DROPDOWN THAT IS USED TO FILL BUDGET ACCOUNT COLUMN)]],Table55[Budget Account Name],Table55[Budget Account Number],"Not Found",0)</f>
        <v>Not Found</v>
      </c>
      <c r="B48" s="2"/>
      <c r="C48" s="17"/>
      <c r="D48" s="14"/>
      <c r="E48" s="19"/>
      <c r="F48" s="20"/>
      <c r="G48" s="26"/>
    </row>
    <row r="49" spans="1:7" ht="60" customHeight="1">
      <c r="A49" s="4" t="str">
        <f>_xlfn.XLOOKUP(Table_ASU[[#This Row],[BUDGET ACCOUNT NAME (DROPDOWN THAT IS USED TO FILL BUDGET ACCOUNT COLUMN)]],Table55[Budget Account Name],Table55[Budget Account Number],"Not Found",0)</f>
        <v>Not Found</v>
      </c>
      <c r="B49" s="2"/>
      <c r="C49" s="17"/>
      <c r="D49" s="14"/>
      <c r="E49" s="19"/>
      <c r="F49" s="20"/>
      <c r="G49" s="26"/>
    </row>
    <row r="50" spans="1:7" ht="60" customHeight="1">
      <c r="A50" s="4" t="str">
        <f>_xlfn.XLOOKUP(Table_ASU[[#This Row],[BUDGET ACCOUNT NAME (DROPDOWN THAT IS USED TO FILL BUDGET ACCOUNT COLUMN)]],Table55[Budget Account Name],Table55[Budget Account Number],"Not Found",0)</f>
        <v>Not Found</v>
      </c>
      <c r="B50" s="2"/>
      <c r="C50" s="17"/>
      <c r="D50" s="14"/>
      <c r="E50" s="19"/>
      <c r="F50" s="20"/>
      <c r="G50" s="26"/>
    </row>
    <row r="51" spans="1:7" ht="60" customHeight="1">
      <c r="A51" s="4" t="str">
        <f>_xlfn.XLOOKUP(Table_ASU[[#This Row],[BUDGET ACCOUNT NAME (DROPDOWN THAT IS USED TO FILL BUDGET ACCOUNT COLUMN)]],Table55[Budget Account Name],Table55[Budget Account Number],"Not Found",0)</f>
        <v>Not Found</v>
      </c>
      <c r="B51" s="2"/>
      <c r="C51" s="17"/>
      <c r="D51" s="14"/>
      <c r="E51" s="19"/>
      <c r="F51" s="20"/>
      <c r="G51" s="26"/>
    </row>
    <row r="52" spans="1:7" ht="60" customHeight="1">
      <c r="A52" s="4" t="str">
        <f>_xlfn.XLOOKUP(Table_ASU[[#This Row],[BUDGET ACCOUNT NAME (DROPDOWN THAT IS USED TO FILL BUDGET ACCOUNT COLUMN)]],Table55[Budget Account Name],Table55[Budget Account Number],"Not Found",0)</f>
        <v>Not Found</v>
      </c>
      <c r="B52" s="2"/>
      <c r="C52" s="17"/>
      <c r="D52" s="14"/>
      <c r="E52" s="19"/>
      <c r="F52" s="20"/>
      <c r="G52" s="26"/>
    </row>
    <row r="53" spans="1:7" ht="60" customHeight="1">
      <c r="A53" s="4" t="str">
        <f>_xlfn.XLOOKUP(Table_ASU[[#This Row],[BUDGET ACCOUNT NAME (DROPDOWN THAT IS USED TO FILL BUDGET ACCOUNT COLUMN)]],Table55[Budget Account Name],Table55[Budget Account Number],"Not Found",0)</f>
        <v>Not Found</v>
      </c>
      <c r="B53" s="2"/>
      <c r="C53" s="17"/>
      <c r="D53" s="14"/>
      <c r="E53" s="19"/>
      <c r="F53" s="20"/>
      <c r="G53" s="26"/>
    </row>
    <row r="54" spans="1:7" ht="60" customHeight="1">
      <c r="A54" s="4" t="str">
        <f>_xlfn.XLOOKUP(Table_ASU[[#This Row],[BUDGET ACCOUNT NAME (DROPDOWN THAT IS USED TO FILL BUDGET ACCOUNT COLUMN)]],Table55[Budget Account Name],Table55[Budget Account Number],"Not Found",0)</f>
        <v>Not Found</v>
      </c>
      <c r="B54" s="2"/>
      <c r="C54" s="17"/>
      <c r="D54" s="14"/>
      <c r="E54" s="19"/>
      <c r="F54" s="20"/>
      <c r="G54" s="26"/>
    </row>
    <row r="55" spans="1:7" ht="60" customHeight="1">
      <c r="A55" s="4" t="str">
        <f>_xlfn.XLOOKUP(Table_ASU[[#This Row],[BUDGET ACCOUNT NAME (DROPDOWN THAT IS USED TO FILL BUDGET ACCOUNT COLUMN)]],Table55[Budget Account Name],Table55[Budget Account Number],"Not Found",0)</f>
        <v>Not Found</v>
      </c>
      <c r="B55" s="2"/>
      <c r="C55" s="17"/>
      <c r="D55" s="14"/>
      <c r="E55" s="19"/>
      <c r="F55" s="20"/>
      <c r="G55" s="26"/>
    </row>
    <row r="56" spans="1:7" ht="60" customHeight="1">
      <c r="A56" s="4" t="str">
        <f>_xlfn.XLOOKUP(Table_ASU[[#This Row],[BUDGET ACCOUNT NAME (DROPDOWN THAT IS USED TO FILL BUDGET ACCOUNT COLUMN)]],Table55[Budget Account Name],Table55[Budget Account Number],"Not Found",0)</f>
        <v>Not Found</v>
      </c>
      <c r="B56" s="2"/>
      <c r="C56" s="17"/>
      <c r="D56" s="14"/>
      <c r="E56" s="19"/>
      <c r="F56" s="20"/>
      <c r="G56" s="26"/>
    </row>
    <row r="57" spans="1:7" ht="60" customHeight="1">
      <c r="A57" s="4" t="str">
        <f>_xlfn.XLOOKUP(Table_ASU[[#This Row],[BUDGET ACCOUNT NAME (DROPDOWN THAT IS USED TO FILL BUDGET ACCOUNT COLUMN)]],Table55[Budget Account Name],Table55[Budget Account Number],"Not Found",0)</f>
        <v>Not Found</v>
      </c>
      <c r="B57" s="2"/>
      <c r="C57" s="17"/>
      <c r="D57" s="14"/>
      <c r="E57" s="19"/>
      <c r="F57" s="20"/>
      <c r="G57" s="26"/>
    </row>
    <row r="58" spans="1:7" ht="60" customHeight="1">
      <c r="A58" s="4" t="str">
        <f>_xlfn.XLOOKUP(Table_ASU[[#This Row],[BUDGET ACCOUNT NAME (DROPDOWN THAT IS USED TO FILL BUDGET ACCOUNT COLUMN)]],Table55[Budget Account Name],Table55[Budget Account Number],"Not Found",0)</f>
        <v>Not Found</v>
      </c>
      <c r="B58" s="2"/>
      <c r="C58" s="17"/>
      <c r="D58" s="14"/>
      <c r="E58" s="19"/>
      <c r="F58" s="20"/>
      <c r="G58" s="26"/>
    </row>
    <row r="59" spans="1:7" ht="60" customHeight="1">
      <c r="A59" s="4" t="str">
        <f>_xlfn.XLOOKUP(Table_ASU[[#This Row],[BUDGET ACCOUNT NAME (DROPDOWN THAT IS USED TO FILL BUDGET ACCOUNT COLUMN)]],Table55[Budget Account Name],Table55[Budget Account Number],"Not Found",0)</f>
        <v>Not Found</v>
      </c>
      <c r="B59" s="2"/>
      <c r="C59" s="17"/>
      <c r="D59" s="14"/>
      <c r="E59" s="19"/>
      <c r="F59" s="20"/>
      <c r="G59" s="26"/>
    </row>
    <row r="60" spans="1:7" ht="60" customHeight="1">
      <c r="A60" s="4" t="str">
        <f>_xlfn.XLOOKUP(Table_ASU[[#This Row],[BUDGET ACCOUNT NAME (DROPDOWN THAT IS USED TO FILL BUDGET ACCOUNT COLUMN)]],Table55[Budget Account Name],Table55[Budget Account Number],"Not Found",0)</f>
        <v>Not Found</v>
      </c>
      <c r="B60" s="2"/>
      <c r="C60" s="17"/>
      <c r="D60" s="14"/>
      <c r="E60" s="19"/>
      <c r="F60" s="20"/>
      <c r="G60" s="26"/>
    </row>
    <row r="61" spans="1:7" ht="60" customHeight="1">
      <c r="A61" s="4" t="str">
        <f>_xlfn.XLOOKUP(Table_ASU[[#This Row],[BUDGET ACCOUNT NAME (DROPDOWN THAT IS USED TO FILL BUDGET ACCOUNT COLUMN)]],Table55[Budget Account Name],Table55[Budget Account Number],"Not Found",0)</f>
        <v>Not Found</v>
      </c>
      <c r="B61" s="2"/>
      <c r="C61" s="17"/>
      <c r="D61" s="14"/>
      <c r="E61" s="19"/>
      <c r="F61" s="20"/>
      <c r="G61" s="26"/>
    </row>
    <row r="62" spans="1:7" ht="60" customHeight="1">
      <c r="A62" s="4" t="str">
        <f>_xlfn.XLOOKUP(Table_ASU[[#This Row],[BUDGET ACCOUNT NAME (DROPDOWN THAT IS USED TO FILL BUDGET ACCOUNT COLUMN)]],Table55[Budget Account Name],Table55[Budget Account Number],"Not Found",0)</f>
        <v>Not Found</v>
      </c>
      <c r="B62" s="2"/>
      <c r="C62" s="17"/>
      <c r="D62" s="14"/>
      <c r="E62" s="19"/>
      <c r="F62" s="20"/>
      <c r="G62" s="26"/>
    </row>
    <row r="63" spans="1:7" ht="60" customHeight="1">
      <c r="A63" s="4" t="str">
        <f>_xlfn.XLOOKUP(Table_ASU[[#This Row],[BUDGET ACCOUNT NAME (DROPDOWN THAT IS USED TO FILL BUDGET ACCOUNT COLUMN)]],Table55[Budget Account Name],Table55[Budget Account Number],"Not Found",0)</f>
        <v>Not Found</v>
      </c>
      <c r="B63" s="2"/>
      <c r="C63" s="17"/>
      <c r="D63" s="14"/>
      <c r="E63" s="19"/>
      <c r="F63" s="20"/>
      <c r="G63" s="26"/>
    </row>
    <row r="64" spans="1:7" ht="60" customHeight="1">
      <c r="A64" s="4" t="str">
        <f>_xlfn.XLOOKUP(Table_ASU[[#This Row],[BUDGET ACCOUNT NAME (DROPDOWN THAT IS USED TO FILL BUDGET ACCOUNT COLUMN)]],Table55[Budget Account Name],Table55[Budget Account Number],"Not Found",0)</f>
        <v>Not Found</v>
      </c>
      <c r="B64" s="2"/>
      <c r="C64" s="17"/>
      <c r="D64" s="14"/>
      <c r="E64" s="19"/>
      <c r="F64" s="20"/>
      <c r="G64" s="26"/>
    </row>
    <row r="65" spans="1:7" ht="60" customHeight="1">
      <c r="A65" s="4" t="str">
        <f>_xlfn.XLOOKUP(Table_ASU[[#This Row],[BUDGET ACCOUNT NAME (DROPDOWN THAT IS USED TO FILL BUDGET ACCOUNT COLUMN)]],Table55[Budget Account Name],Table55[Budget Account Number],"Not Found",0)</f>
        <v>Not Found</v>
      </c>
      <c r="B65" s="2"/>
      <c r="C65" s="17"/>
      <c r="D65" s="14"/>
      <c r="E65" s="19"/>
      <c r="F65" s="20"/>
      <c r="G65" s="26"/>
    </row>
    <row r="66" spans="1:7" ht="60" customHeight="1">
      <c r="A66" s="4" t="str">
        <f>_xlfn.XLOOKUP(Table_ASU[[#This Row],[BUDGET ACCOUNT NAME (DROPDOWN THAT IS USED TO FILL BUDGET ACCOUNT COLUMN)]],Table55[Budget Account Name],Table55[Budget Account Number],"Not Found",0)</f>
        <v>Not Found</v>
      </c>
      <c r="B66" s="2"/>
      <c r="C66" s="17"/>
      <c r="D66" s="14"/>
      <c r="E66" s="19"/>
      <c r="F66" s="20"/>
      <c r="G66" s="26"/>
    </row>
    <row r="67" spans="1:7" ht="60" customHeight="1">
      <c r="A67" s="4" t="str">
        <f>_xlfn.XLOOKUP(Table_ASU[[#This Row],[BUDGET ACCOUNT NAME (DROPDOWN THAT IS USED TO FILL BUDGET ACCOUNT COLUMN)]],Table55[Budget Account Name],Table55[Budget Account Number],"Not Found",0)</f>
        <v>Not Found</v>
      </c>
      <c r="B67" s="2"/>
      <c r="C67" s="17"/>
      <c r="D67" s="14"/>
      <c r="E67" s="19"/>
      <c r="F67" s="20"/>
      <c r="G67" s="26"/>
    </row>
    <row r="68" spans="1:7" ht="60" customHeight="1">
      <c r="A68" s="4" t="str">
        <f>_xlfn.XLOOKUP(Table_ASU[[#This Row],[BUDGET ACCOUNT NAME (DROPDOWN THAT IS USED TO FILL BUDGET ACCOUNT COLUMN)]],Table55[Budget Account Name],Table55[Budget Account Number],"Not Found",0)</f>
        <v>Not Found</v>
      </c>
      <c r="B68" s="2"/>
      <c r="C68" s="17"/>
      <c r="D68" s="14"/>
      <c r="E68" s="19"/>
      <c r="F68" s="20"/>
      <c r="G68" s="26"/>
    </row>
    <row r="69" spans="1:7" ht="60" customHeight="1">
      <c r="A69" s="4" t="str">
        <f>_xlfn.XLOOKUP(Table_ASU[[#This Row],[BUDGET ACCOUNT NAME (DROPDOWN THAT IS USED TO FILL BUDGET ACCOUNT COLUMN)]],Table55[Budget Account Name],Table55[Budget Account Number],"Not Found",0)</f>
        <v>Not Found</v>
      </c>
      <c r="B69" s="2"/>
      <c r="C69" s="17"/>
      <c r="D69" s="14"/>
      <c r="E69" s="19"/>
      <c r="F69" s="20"/>
      <c r="G69" s="26"/>
    </row>
    <row r="70" spans="1:7" ht="60" customHeight="1">
      <c r="A70" s="4" t="str">
        <f>_xlfn.XLOOKUP(Table_ASU[[#This Row],[BUDGET ACCOUNT NAME (DROPDOWN THAT IS USED TO FILL BUDGET ACCOUNT COLUMN)]],Table55[Budget Account Name],Table55[Budget Account Number],"Not Found",0)</f>
        <v>Not Found</v>
      </c>
      <c r="B70" s="2"/>
      <c r="C70" s="17"/>
      <c r="D70" s="14"/>
      <c r="E70" s="19"/>
      <c r="F70" s="20"/>
      <c r="G70" s="26"/>
    </row>
    <row r="71" spans="1:7" ht="60" customHeight="1">
      <c r="A71" s="4" t="str">
        <f>_xlfn.XLOOKUP(Table_ASU[[#This Row],[BUDGET ACCOUNT NAME (DROPDOWN THAT IS USED TO FILL BUDGET ACCOUNT COLUMN)]],Table55[Budget Account Name],Table55[Budget Account Number],"Not Found",0)</f>
        <v>Not Found</v>
      </c>
      <c r="B71" s="2"/>
      <c r="C71" s="17"/>
      <c r="D71" s="14"/>
      <c r="E71" s="19"/>
      <c r="F71" s="20"/>
      <c r="G71" s="26"/>
    </row>
    <row r="72" spans="1:7" ht="60" customHeight="1">
      <c r="A72" s="4" t="str">
        <f>_xlfn.XLOOKUP(Table_ASU[[#This Row],[BUDGET ACCOUNT NAME (DROPDOWN THAT IS USED TO FILL BUDGET ACCOUNT COLUMN)]],Table55[Budget Account Name],Table55[Budget Account Number],"Not Found",0)</f>
        <v>Not Found</v>
      </c>
      <c r="B72" s="2"/>
      <c r="C72" s="17"/>
      <c r="D72" s="14"/>
      <c r="E72" s="19"/>
      <c r="F72" s="20"/>
      <c r="G72" s="26"/>
    </row>
    <row r="73" spans="1:7" ht="60" customHeight="1">
      <c r="A73" s="4" t="str">
        <f>_xlfn.XLOOKUP(Table_ASU[[#This Row],[BUDGET ACCOUNT NAME (DROPDOWN THAT IS USED TO FILL BUDGET ACCOUNT COLUMN)]],Table55[Budget Account Name],Table55[Budget Account Number],"Not Found",0)</f>
        <v>Not Found</v>
      </c>
      <c r="B73" s="2"/>
      <c r="C73" s="17"/>
      <c r="D73" s="14"/>
      <c r="E73" s="19"/>
      <c r="F73" s="20"/>
      <c r="G73" s="26"/>
    </row>
    <row r="74" spans="1:7" ht="60" customHeight="1">
      <c r="A74" s="4" t="str">
        <f>_xlfn.XLOOKUP(Table_ASU[[#This Row],[BUDGET ACCOUNT NAME (DROPDOWN THAT IS USED TO FILL BUDGET ACCOUNT COLUMN)]],Table55[Budget Account Name],Table55[Budget Account Number],"Not Found",0)</f>
        <v>Not Found</v>
      </c>
      <c r="B74" s="2"/>
      <c r="C74" s="17"/>
      <c r="D74" s="14"/>
      <c r="E74" s="19"/>
      <c r="F74" s="20"/>
      <c r="G74" s="26"/>
    </row>
    <row r="75" spans="1:7" ht="60" customHeight="1">
      <c r="A75" s="4" t="str">
        <f>_xlfn.XLOOKUP(Table_ASU[[#This Row],[BUDGET ACCOUNT NAME (DROPDOWN THAT IS USED TO FILL BUDGET ACCOUNT COLUMN)]],Table55[Budget Account Name],Table55[Budget Account Number],"Not Found",0)</f>
        <v>Not Found</v>
      </c>
      <c r="B75" s="2"/>
      <c r="C75" s="17"/>
      <c r="D75" s="14"/>
      <c r="E75" s="19"/>
      <c r="F75" s="20"/>
      <c r="G75" s="26"/>
    </row>
    <row r="76" spans="1:7" ht="60" customHeight="1">
      <c r="A76" s="4" t="str">
        <f>_xlfn.XLOOKUP(Table_ASU[[#This Row],[BUDGET ACCOUNT NAME (DROPDOWN THAT IS USED TO FILL BUDGET ACCOUNT COLUMN)]],Table55[Budget Account Name],Table55[Budget Account Number],"Not Found",0)</f>
        <v>Not Found</v>
      </c>
      <c r="B76" s="2"/>
      <c r="C76" s="17"/>
      <c r="D76" s="14"/>
      <c r="E76" s="19"/>
      <c r="F76" s="20"/>
      <c r="G76" s="26"/>
    </row>
    <row r="77" spans="1:7" ht="60" customHeight="1">
      <c r="A77" s="4" t="str">
        <f>_xlfn.XLOOKUP(Table_ASU[[#This Row],[BUDGET ACCOUNT NAME (DROPDOWN THAT IS USED TO FILL BUDGET ACCOUNT COLUMN)]],Table55[Budget Account Name],Table55[Budget Account Number],"Not Found",0)</f>
        <v>Not Found</v>
      </c>
      <c r="B77" s="2"/>
      <c r="C77" s="17"/>
      <c r="D77" s="14"/>
      <c r="E77" s="19"/>
      <c r="F77" s="20"/>
      <c r="G77" s="26"/>
    </row>
    <row r="78" spans="1:7" ht="60" customHeight="1">
      <c r="A78" s="4" t="str">
        <f>_xlfn.XLOOKUP(Table_ASU[[#This Row],[BUDGET ACCOUNT NAME (DROPDOWN THAT IS USED TO FILL BUDGET ACCOUNT COLUMN)]],Table55[Budget Account Name],Table55[Budget Account Number],"Not Found",0)</f>
        <v>Not Found</v>
      </c>
      <c r="B78" s="2"/>
      <c r="C78" s="17"/>
      <c r="D78" s="14"/>
      <c r="E78" s="19"/>
      <c r="F78" s="20"/>
      <c r="G78" s="26"/>
    </row>
    <row r="79" spans="1:7" ht="60" customHeight="1">
      <c r="A79" s="4" t="str">
        <f>_xlfn.XLOOKUP(Table_ASU[[#This Row],[BUDGET ACCOUNT NAME (DROPDOWN THAT IS USED TO FILL BUDGET ACCOUNT COLUMN)]],Table55[Budget Account Name],Table55[Budget Account Number],"Not Found",0)</f>
        <v>Not Found</v>
      </c>
      <c r="B79" s="2"/>
      <c r="C79" s="17"/>
      <c r="D79" s="14"/>
      <c r="E79" s="19"/>
      <c r="F79" s="20"/>
      <c r="G79" s="26"/>
    </row>
    <row r="80" spans="1:7" ht="60" customHeight="1">
      <c r="A80" s="4" t="str">
        <f>_xlfn.XLOOKUP(Table_ASU[[#This Row],[BUDGET ACCOUNT NAME (DROPDOWN THAT IS USED TO FILL BUDGET ACCOUNT COLUMN)]],Table55[Budget Account Name],Table55[Budget Account Number],"Not Found",0)</f>
        <v>Not Found</v>
      </c>
      <c r="B80" s="2"/>
      <c r="C80" s="17"/>
      <c r="D80" s="14"/>
      <c r="E80" s="19"/>
      <c r="F80" s="20"/>
      <c r="G80" s="26"/>
    </row>
    <row r="81" spans="1:7" ht="60" customHeight="1">
      <c r="A81" s="4" t="str">
        <f>_xlfn.XLOOKUP(Table_ASU[[#This Row],[BUDGET ACCOUNT NAME (DROPDOWN THAT IS USED TO FILL BUDGET ACCOUNT COLUMN)]],Table55[Budget Account Name],Table55[Budget Account Number],"Not Found",0)</f>
        <v>Not Found</v>
      </c>
      <c r="B81" s="2"/>
      <c r="C81" s="17"/>
      <c r="D81" s="14"/>
      <c r="E81" s="19"/>
      <c r="F81" s="20"/>
      <c r="G81" s="26"/>
    </row>
    <row r="82" spans="1:7" ht="60" customHeight="1">
      <c r="A82" s="4" t="str">
        <f>_xlfn.XLOOKUP(Table_ASU[[#This Row],[BUDGET ACCOUNT NAME (DROPDOWN THAT IS USED TO FILL BUDGET ACCOUNT COLUMN)]],Table55[Budget Account Name],Table55[Budget Account Number],"Not Found",0)</f>
        <v>Not Found</v>
      </c>
      <c r="B82" s="2"/>
      <c r="C82" s="17"/>
      <c r="D82" s="14"/>
      <c r="E82" s="19"/>
      <c r="F82" s="20"/>
      <c r="G82" s="26"/>
    </row>
    <row r="83" spans="1:7" ht="60" customHeight="1">
      <c r="A83" s="4" t="str">
        <f>_xlfn.XLOOKUP(Table_ASU[[#This Row],[BUDGET ACCOUNT NAME (DROPDOWN THAT IS USED TO FILL BUDGET ACCOUNT COLUMN)]],Table55[Budget Account Name],Table55[Budget Account Number],"Not Found",0)</f>
        <v>Not Found</v>
      </c>
      <c r="B83" s="2"/>
      <c r="C83" s="17"/>
      <c r="D83" s="14"/>
      <c r="E83" s="19"/>
      <c r="F83" s="20"/>
      <c r="G83" s="26"/>
    </row>
    <row r="84" spans="1:7" ht="60" customHeight="1">
      <c r="A84" s="4" t="str">
        <f>_xlfn.XLOOKUP(Table_ASU[[#This Row],[BUDGET ACCOUNT NAME (DROPDOWN THAT IS USED TO FILL BUDGET ACCOUNT COLUMN)]],Table55[Budget Account Name],Table55[Budget Account Number],"Not Found",0)</f>
        <v>Not Found</v>
      </c>
      <c r="B84" s="2"/>
      <c r="C84" s="17"/>
      <c r="D84" s="14"/>
      <c r="E84" s="19"/>
      <c r="F84" s="20"/>
      <c r="G84" s="26"/>
    </row>
    <row r="85" spans="1:7" ht="60" customHeight="1">
      <c r="A85" s="4" t="str">
        <f>_xlfn.XLOOKUP(Table_ASU[[#This Row],[BUDGET ACCOUNT NAME (DROPDOWN THAT IS USED TO FILL BUDGET ACCOUNT COLUMN)]],Table55[Budget Account Name],Table55[Budget Account Number],"Not Found",0)</f>
        <v>Not Found</v>
      </c>
      <c r="B85" s="2"/>
      <c r="C85" s="17"/>
      <c r="D85" s="14"/>
      <c r="E85" s="19"/>
      <c r="F85" s="20"/>
      <c r="G85" s="26"/>
    </row>
    <row r="86" spans="1:7" ht="60" customHeight="1">
      <c r="A86" s="4" t="str">
        <f>_xlfn.XLOOKUP(Table_ASU[[#This Row],[BUDGET ACCOUNT NAME (DROPDOWN THAT IS USED TO FILL BUDGET ACCOUNT COLUMN)]],Table55[Budget Account Name],Table55[Budget Account Number],"Not Found",0)</f>
        <v>Not Found</v>
      </c>
      <c r="B86" s="2"/>
      <c r="C86" s="17"/>
      <c r="D86" s="14"/>
      <c r="E86" s="19"/>
      <c r="F86" s="20"/>
      <c r="G86" s="26"/>
    </row>
    <row r="87" spans="1:7" ht="60" customHeight="1">
      <c r="A87" s="4" t="str">
        <f>_xlfn.XLOOKUP(Table_ASU[[#This Row],[BUDGET ACCOUNT NAME (DROPDOWN THAT IS USED TO FILL BUDGET ACCOUNT COLUMN)]],Table55[Budget Account Name],Table55[Budget Account Number],"Not Found",0)</f>
        <v>Not Found</v>
      </c>
      <c r="B87" s="2"/>
      <c r="C87" s="17"/>
      <c r="D87" s="14"/>
      <c r="E87" s="19"/>
      <c r="F87" s="20"/>
      <c r="G87" s="26"/>
    </row>
    <row r="88" spans="1:7" ht="60" customHeight="1">
      <c r="A88" s="4" t="str">
        <f>_xlfn.XLOOKUP(Table_ASU[[#This Row],[BUDGET ACCOUNT NAME (DROPDOWN THAT IS USED TO FILL BUDGET ACCOUNT COLUMN)]],Table55[Budget Account Name],Table55[Budget Account Number],"Not Found",0)</f>
        <v>Not Found</v>
      </c>
      <c r="B88" s="2"/>
      <c r="C88" s="17"/>
      <c r="D88" s="14"/>
      <c r="E88" s="19"/>
      <c r="F88" s="20"/>
      <c r="G88" s="26"/>
    </row>
    <row r="89" spans="1:7" ht="60" customHeight="1">
      <c r="A89" s="4" t="str">
        <f>_xlfn.XLOOKUP(Table_ASU[[#This Row],[BUDGET ACCOUNT NAME (DROPDOWN THAT IS USED TO FILL BUDGET ACCOUNT COLUMN)]],Table55[Budget Account Name],Table55[Budget Account Number],"Not Found",0)</f>
        <v>Not Found</v>
      </c>
      <c r="B89" s="2"/>
      <c r="C89" s="17"/>
      <c r="D89" s="14"/>
      <c r="E89" s="19"/>
      <c r="F89" s="20"/>
      <c r="G89" s="26"/>
    </row>
    <row r="90" spans="1:7" ht="60" customHeight="1">
      <c r="A90" s="4" t="str">
        <f>_xlfn.XLOOKUP(Table_ASU[[#This Row],[BUDGET ACCOUNT NAME (DROPDOWN THAT IS USED TO FILL BUDGET ACCOUNT COLUMN)]],Table55[Budget Account Name],Table55[Budget Account Number],"Not Found",0)</f>
        <v>Not Found</v>
      </c>
      <c r="B90" s="2"/>
      <c r="C90" s="17"/>
      <c r="D90" s="14"/>
      <c r="E90" s="19"/>
      <c r="F90" s="20"/>
      <c r="G90" s="26"/>
    </row>
    <row r="91" spans="1:7" ht="60" customHeight="1">
      <c r="A91" s="4" t="str">
        <f>_xlfn.XLOOKUP(Table_ASU[[#This Row],[BUDGET ACCOUNT NAME (DROPDOWN THAT IS USED TO FILL BUDGET ACCOUNT COLUMN)]],Table55[Budget Account Name],Table55[Budget Account Number],"Not Found",0)</f>
        <v>Not Found</v>
      </c>
      <c r="B91" s="2"/>
      <c r="C91" s="17"/>
      <c r="D91" s="14"/>
      <c r="E91" s="19"/>
      <c r="F91" s="20"/>
      <c r="G91" s="26"/>
    </row>
    <row r="92" spans="1:7" ht="60" customHeight="1">
      <c r="A92" s="4" t="str">
        <f>_xlfn.XLOOKUP(Table_ASU[[#This Row],[BUDGET ACCOUNT NAME (DROPDOWN THAT IS USED TO FILL BUDGET ACCOUNT COLUMN)]],Table55[Budget Account Name],Table55[Budget Account Number],"Not Found",0)</f>
        <v>Not Found</v>
      </c>
      <c r="B92" s="2"/>
      <c r="C92" s="17"/>
      <c r="D92" s="14"/>
      <c r="E92" s="19"/>
      <c r="F92" s="20"/>
      <c r="G92" s="26"/>
    </row>
    <row r="93" spans="1:7" ht="60" customHeight="1">
      <c r="A93" s="4" t="str">
        <f>_xlfn.XLOOKUP(Table_ASU[[#This Row],[BUDGET ACCOUNT NAME (DROPDOWN THAT IS USED TO FILL BUDGET ACCOUNT COLUMN)]],Table55[Budget Account Name],Table55[Budget Account Number],"Not Found",0)</f>
        <v>Not Found</v>
      </c>
      <c r="B93" s="2"/>
      <c r="C93" s="17"/>
      <c r="D93" s="14"/>
      <c r="E93" s="19"/>
      <c r="F93" s="20"/>
      <c r="G93" s="26"/>
    </row>
    <row r="94" spans="1:7" ht="60" customHeight="1">
      <c r="A94" s="4" t="str">
        <f>_xlfn.XLOOKUP(Table_ASU[[#This Row],[BUDGET ACCOUNT NAME (DROPDOWN THAT IS USED TO FILL BUDGET ACCOUNT COLUMN)]],Table55[Budget Account Name],Table55[Budget Account Number],"Not Found",0)</f>
        <v>Not Found</v>
      </c>
      <c r="B94" s="2"/>
      <c r="C94" s="17"/>
      <c r="D94" s="14"/>
      <c r="E94" s="19"/>
      <c r="F94" s="20"/>
      <c r="G94" s="26"/>
    </row>
    <row r="95" spans="1:7" ht="60" customHeight="1">
      <c r="A95" s="4" t="str">
        <f>_xlfn.XLOOKUP(Table_ASU[[#This Row],[BUDGET ACCOUNT NAME (DROPDOWN THAT IS USED TO FILL BUDGET ACCOUNT COLUMN)]],Table55[Budget Account Name],Table55[Budget Account Number],"Not Found",0)</f>
        <v>Not Found</v>
      </c>
      <c r="B95" s="2"/>
      <c r="C95" s="17"/>
      <c r="D95" s="14"/>
      <c r="E95" s="19"/>
      <c r="F95" s="20"/>
      <c r="G95" s="26"/>
    </row>
    <row r="96" spans="1:7" ht="60" customHeight="1">
      <c r="A96" s="4" t="str">
        <f>_xlfn.XLOOKUP(Table_ASU[[#This Row],[BUDGET ACCOUNT NAME (DROPDOWN THAT IS USED TO FILL BUDGET ACCOUNT COLUMN)]],Table55[Budget Account Name],Table55[Budget Account Number],"Not Found",0)</f>
        <v>Not Found</v>
      </c>
      <c r="B96" s="2"/>
      <c r="C96" s="17"/>
      <c r="D96" s="14"/>
      <c r="E96" s="19"/>
      <c r="F96" s="20"/>
      <c r="G96" s="26"/>
    </row>
    <row r="97" spans="1:7" ht="60" customHeight="1">
      <c r="A97" s="4" t="str">
        <f>_xlfn.XLOOKUP(Table_ASU[[#This Row],[BUDGET ACCOUNT NAME (DROPDOWN THAT IS USED TO FILL BUDGET ACCOUNT COLUMN)]],Table55[Budget Account Name],Table55[Budget Account Number],"Not Found",0)</f>
        <v>Not Found</v>
      </c>
      <c r="B97" s="2"/>
      <c r="C97" s="17"/>
      <c r="D97" s="14"/>
      <c r="E97" s="19"/>
      <c r="F97" s="20"/>
      <c r="G97" s="26"/>
    </row>
    <row r="98" spans="1:7" ht="60" customHeight="1">
      <c r="A98" s="4" t="str">
        <f>_xlfn.XLOOKUP(Table_ASU[[#This Row],[BUDGET ACCOUNT NAME (DROPDOWN THAT IS USED TO FILL BUDGET ACCOUNT COLUMN)]],Table55[Budget Account Name],Table55[Budget Account Number],"Not Found",0)</f>
        <v>Not Found</v>
      </c>
      <c r="B98" s="2"/>
      <c r="C98" s="17"/>
      <c r="D98" s="14"/>
      <c r="E98" s="19"/>
      <c r="F98" s="20"/>
      <c r="G98" s="26"/>
    </row>
    <row r="99" spans="1:7" ht="60" customHeight="1">
      <c r="A99" s="4" t="str">
        <f>_xlfn.XLOOKUP(Table_ASU[[#This Row],[BUDGET ACCOUNT NAME (DROPDOWN THAT IS USED TO FILL BUDGET ACCOUNT COLUMN)]],Table55[Budget Account Name],Table55[Budget Account Number],"Not Found",0)</f>
        <v>Not Found</v>
      </c>
      <c r="B99" s="2"/>
      <c r="C99" s="17"/>
      <c r="D99" s="14"/>
      <c r="E99" s="19"/>
      <c r="F99" s="20"/>
      <c r="G99" s="26"/>
    </row>
    <row r="100" spans="1:7" ht="60" customHeight="1">
      <c r="A100" s="4" t="str">
        <f>_xlfn.XLOOKUP(Table_ASU[[#This Row],[BUDGET ACCOUNT NAME (DROPDOWN THAT IS USED TO FILL BUDGET ACCOUNT COLUMN)]],Table55[Budget Account Name],Table55[Budget Account Number],"Not Found",0)</f>
        <v>Not Found</v>
      </c>
      <c r="B100" s="6"/>
      <c r="C100" s="18"/>
      <c r="D100" s="15"/>
      <c r="E100" s="21"/>
      <c r="F100" s="22"/>
      <c r="G100" s="26"/>
    </row>
  </sheetData>
  <protectedRanges>
    <protectedRange algorithmName="SHA-512" hashValue="ikJKOr53v/RQ8efSrLcJbscw6KU2TfawE9UQIXzYQAmAcwyguVoO1FaF9nnYotxCRSfdIpTombqfzFTbbVzNlQ==" saltValue="ODNskrtofGXCxQcpHwi3Xw==" spinCount="100000" sqref="B14:D100" name="ASU"/>
  </protectedRanges>
  <mergeCells count="3">
    <mergeCell ref="A1:F1"/>
    <mergeCell ref="C2:F2"/>
    <mergeCell ref="A12:F12"/>
  </mergeCells>
  <dataValidations count="3">
    <dataValidation type="list" allowBlank="1" showInputMessage="1" showErrorMessage="1" sqref="G14:G100" xr:uid="{9C03CF23-F902-4B07-8B44-D14A49A01187}">
      <formula1>$G$1:$G$9</formula1>
    </dataValidation>
    <dataValidation type="list" allowBlank="1" showInputMessage="1" showErrorMessage="1" sqref="E14:E100" xr:uid="{C12369F8-B25F-4331-B916-36905E77D3A3}">
      <formula1>$H$2:$H$6</formula1>
    </dataValidation>
    <dataValidation type="list" allowBlank="1" showInputMessage="1" showErrorMessage="1" sqref="B14:B100" xr:uid="{10266287-08D1-4FD6-BB07-1D12B6C6BF99}">
      <formula1>$B$3:$B$11</formula1>
    </dataValidation>
  </dataValidation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E436-74D4-40B4-ADE7-CDBE19360428}">
  <dimension ref="A1:J100"/>
  <sheetViews>
    <sheetView zoomScale="70" zoomScaleNormal="70" workbookViewId="0">
      <pane ySplit="13" topLeftCell="A14" activePane="bottomLeft" state="frozen"/>
      <selection pane="bottomLeft" activeCell="G4" sqref="G4"/>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56.25">
      <c r="A13" s="7" t="s">
        <v>140</v>
      </c>
      <c r="B13" s="8" t="s">
        <v>141</v>
      </c>
      <c r="C13" s="9" t="s">
        <v>142</v>
      </c>
      <c r="D13" s="9" t="s">
        <v>143</v>
      </c>
      <c r="E13" s="10" t="s">
        <v>144</v>
      </c>
      <c r="F13" s="11" t="s">
        <v>145</v>
      </c>
      <c r="G13" s="25" t="s">
        <v>146</v>
      </c>
    </row>
    <row r="14" spans="1:10" ht="60" customHeight="1">
      <c r="A14" s="4" t="str">
        <f>_xlfn.XLOOKUP(Table_ASU2[[#This Row],[BUDGET ACCOUNT NAME (DROPDOWN THAT IS USED TO FILL BUDGET ACCOUNT COLUMN)]],Table5823[Budget Account Name],Table5823[Budget Account Number],"Not Found",0)</f>
        <v>Not Found</v>
      </c>
      <c r="B14" s="2"/>
      <c r="C14" s="16"/>
      <c r="D14" s="14"/>
      <c r="E14" s="19"/>
      <c r="F14" s="20"/>
      <c r="G14" s="26"/>
    </row>
    <row r="15" spans="1:10" ht="78.75" customHeight="1">
      <c r="A15" s="4" t="str">
        <f>_xlfn.XLOOKUP(Table_ASU2[[#This Row],[BUDGET ACCOUNT NAME (DROPDOWN THAT IS USED TO FILL BUDGET ACCOUNT COLUMN)]],Table5823[Budget Account Name],Table5823[Budget Account Number],"Not Found",0)</f>
        <v>Not Found</v>
      </c>
      <c r="B15" s="2"/>
      <c r="C15" s="17"/>
      <c r="D15" s="14"/>
      <c r="E15" s="19"/>
      <c r="F15" s="20"/>
      <c r="G15" s="26"/>
    </row>
    <row r="16" spans="1:10" ht="60" customHeight="1">
      <c r="A16" s="4" t="str">
        <f>_xlfn.XLOOKUP(Table_ASU2[[#This Row],[BUDGET ACCOUNT NAME (DROPDOWN THAT IS USED TO FILL BUDGET ACCOUNT COLUMN)]],Table5823[Budget Account Name],Table5823[Budget Account Number],"Not Found",0)</f>
        <v>Not Found</v>
      </c>
      <c r="B16" s="2"/>
      <c r="C16" s="17"/>
      <c r="D16" s="14"/>
      <c r="E16" s="19"/>
      <c r="F16" s="20"/>
      <c r="G16" s="26"/>
    </row>
    <row r="17" spans="1:7" ht="60" customHeight="1">
      <c r="A17" s="4" t="str">
        <f>_xlfn.XLOOKUP(Table_ASU2[[#This Row],[BUDGET ACCOUNT NAME (DROPDOWN THAT IS USED TO FILL BUDGET ACCOUNT COLUMN)]],Table5823[Budget Account Name],Table5823[Budget Account Number],"Not Found",0)</f>
        <v>Not Found</v>
      </c>
      <c r="B17" s="2"/>
      <c r="C17" s="17"/>
      <c r="D17" s="14"/>
      <c r="E17" s="19"/>
      <c r="F17" s="20"/>
      <c r="G17" s="26"/>
    </row>
    <row r="18" spans="1:7" ht="60" customHeight="1">
      <c r="A18" s="4" t="str">
        <f>_xlfn.XLOOKUP(Table_ASU2[[#This Row],[BUDGET ACCOUNT NAME (DROPDOWN THAT IS USED TO FILL BUDGET ACCOUNT COLUMN)]],Table5823[Budget Account Name],Table5823[Budget Account Number],"Not Found",0)</f>
        <v>Not Found</v>
      </c>
      <c r="B18" s="2"/>
      <c r="C18" s="17"/>
      <c r="D18" s="14"/>
      <c r="E18" s="19"/>
      <c r="F18" s="20"/>
      <c r="G18" s="26"/>
    </row>
    <row r="19" spans="1:7" ht="60" customHeight="1">
      <c r="A19" s="4" t="str">
        <f>_xlfn.XLOOKUP(Table_ASU2[[#This Row],[BUDGET ACCOUNT NAME (DROPDOWN THAT IS USED TO FILL BUDGET ACCOUNT COLUMN)]],Table5823[Budget Account Name],Table5823[Budget Account Number],"Not Found",0)</f>
        <v>Not Found</v>
      </c>
      <c r="B19" s="2"/>
      <c r="C19" s="17"/>
      <c r="D19" s="14"/>
      <c r="E19" s="19"/>
      <c r="F19" s="20"/>
      <c r="G19" s="26"/>
    </row>
    <row r="20" spans="1:7" ht="60" customHeight="1">
      <c r="A20" s="4" t="str">
        <f>_xlfn.XLOOKUP(Table_ASU2[[#This Row],[BUDGET ACCOUNT NAME (DROPDOWN THAT IS USED TO FILL BUDGET ACCOUNT COLUMN)]],Table5823[Budget Account Name],Table5823[Budget Account Number],"Not Found",0)</f>
        <v>Not Found</v>
      </c>
      <c r="B20" s="2"/>
      <c r="C20" s="17"/>
      <c r="D20" s="14"/>
      <c r="E20" s="19"/>
      <c r="F20" s="20"/>
      <c r="G20" s="26"/>
    </row>
    <row r="21" spans="1:7" ht="60" customHeight="1">
      <c r="A21" s="4" t="str">
        <f>_xlfn.XLOOKUP(Table_ASU2[[#This Row],[BUDGET ACCOUNT NAME (DROPDOWN THAT IS USED TO FILL BUDGET ACCOUNT COLUMN)]],Table5823[Budget Account Name],Table5823[Budget Account Number],"Not Found",0)</f>
        <v>Not Found</v>
      </c>
      <c r="B21" s="2"/>
      <c r="C21" s="17"/>
      <c r="D21" s="14"/>
      <c r="E21" s="19"/>
      <c r="F21" s="20"/>
      <c r="G21" s="26"/>
    </row>
    <row r="22" spans="1:7" ht="60" customHeight="1">
      <c r="A22" s="4" t="str">
        <f>_xlfn.XLOOKUP(Table_ASU2[[#This Row],[BUDGET ACCOUNT NAME (DROPDOWN THAT IS USED TO FILL BUDGET ACCOUNT COLUMN)]],Table5823[Budget Account Name],Table5823[Budget Account Number],"Not Found",0)</f>
        <v>Not Found</v>
      </c>
      <c r="B22" s="2"/>
      <c r="C22" s="17"/>
      <c r="D22" s="14"/>
      <c r="E22" s="19"/>
      <c r="F22" s="20"/>
      <c r="G22" s="26"/>
    </row>
    <row r="23" spans="1:7" ht="60" customHeight="1">
      <c r="A23" s="4" t="str">
        <f>_xlfn.XLOOKUP(Table_ASU2[[#This Row],[BUDGET ACCOUNT NAME (DROPDOWN THAT IS USED TO FILL BUDGET ACCOUNT COLUMN)]],Table5823[Budget Account Name],Table5823[Budget Account Number],"Not Found",0)</f>
        <v>Not Found</v>
      </c>
      <c r="B23" s="2"/>
      <c r="C23" s="17"/>
      <c r="D23" s="14"/>
      <c r="E23" s="19"/>
      <c r="F23" s="20"/>
      <c r="G23" s="26"/>
    </row>
    <row r="24" spans="1:7" ht="60" customHeight="1">
      <c r="A24" s="4" t="str">
        <f>_xlfn.XLOOKUP(Table_ASU2[[#This Row],[BUDGET ACCOUNT NAME (DROPDOWN THAT IS USED TO FILL BUDGET ACCOUNT COLUMN)]],Table5823[Budget Account Name],Table5823[Budget Account Number],"Not Found",0)</f>
        <v>Not Found</v>
      </c>
      <c r="B24" s="2"/>
      <c r="C24" s="17"/>
      <c r="D24" s="14"/>
      <c r="E24" s="19"/>
      <c r="F24" s="20"/>
      <c r="G24" s="26"/>
    </row>
    <row r="25" spans="1:7" ht="60" customHeight="1">
      <c r="A25" s="4" t="str">
        <f>_xlfn.XLOOKUP(Table_ASU2[[#This Row],[BUDGET ACCOUNT NAME (DROPDOWN THAT IS USED TO FILL BUDGET ACCOUNT COLUMN)]],Table5823[Budget Account Name],Table5823[Budget Account Number],"Not Found",0)</f>
        <v>Not Found</v>
      </c>
      <c r="B25" s="2"/>
      <c r="C25" s="17"/>
      <c r="D25" s="14"/>
      <c r="E25" s="19"/>
      <c r="F25" s="20"/>
      <c r="G25" s="26"/>
    </row>
    <row r="26" spans="1:7" ht="60" customHeight="1">
      <c r="A26" s="4" t="str">
        <f>_xlfn.XLOOKUP(Table_ASU2[[#This Row],[BUDGET ACCOUNT NAME (DROPDOWN THAT IS USED TO FILL BUDGET ACCOUNT COLUMN)]],Table5823[Budget Account Name],Table5823[Budget Account Number],"Not Found",0)</f>
        <v>Not Found</v>
      </c>
      <c r="B26" s="2"/>
      <c r="C26" s="17"/>
      <c r="D26" s="14"/>
      <c r="E26" s="19"/>
      <c r="F26" s="20"/>
      <c r="G26" s="26"/>
    </row>
    <row r="27" spans="1:7" ht="60" customHeight="1">
      <c r="A27" s="4" t="str">
        <f>_xlfn.XLOOKUP(Table_ASU2[[#This Row],[BUDGET ACCOUNT NAME (DROPDOWN THAT IS USED TO FILL BUDGET ACCOUNT COLUMN)]],Table5823[Budget Account Name],Table5823[Budget Account Number],"Not Found",0)</f>
        <v>Not Found</v>
      </c>
      <c r="B27" s="2"/>
      <c r="C27" s="17"/>
      <c r="D27" s="14"/>
      <c r="E27" s="19"/>
      <c r="F27" s="20"/>
      <c r="G27" s="26"/>
    </row>
    <row r="28" spans="1:7" ht="60" customHeight="1">
      <c r="A28" s="4" t="str">
        <f>_xlfn.XLOOKUP(Table_ASU2[[#This Row],[BUDGET ACCOUNT NAME (DROPDOWN THAT IS USED TO FILL BUDGET ACCOUNT COLUMN)]],Table5823[Budget Account Name],Table5823[Budget Account Number],"Not Found",0)</f>
        <v>Not Found</v>
      </c>
      <c r="B28" s="2"/>
      <c r="C28" s="17"/>
      <c r="D28" s="14"/>
      <c r="E28" s="19"/>
      <c r="F28" s="20"/>
      <c r="G28" s="26"/>
    </row>
    <row r="29" spans="1:7" ht="60" customHeight="1">
      <c r="A29" s="4" t="str">
        <f>_xlfn.XLOOKUP(Table_ASU2[[#This Row],[BUDGET ACCOUNT NAME (DROPDOWN THAT IS USED TO FILL BUDGET ACCOUNT COLUMN)]],Table5823[Budget Account Name],Table5823[Budget Account Number],"Not Found",0)</f>
        <v>Not Found</v>
      </c>
      <c r="B29" s="2"/>
      <c r="C29" s="17"/>
      <c r="D29" s="14"/>
      <c r="E29" s="19"/>
      <c r="F29" s="20"/>
      <c r="G29" s="26"/>
    </row>
    <row r="30" spans="1:7" ht="60" customHeight="1">
      <c r="A30" s="4" t="str">
        <f>_xlfn.XLOOKUP(Table_ASU2[[#This Row],[BUDGET ACCOUNT NAME (DROPDOWN THAT IS USED TO FILL BUDGET ACCOUNT COLUMN)]],Table5823[Budget Account Name],Table5823[Budget Account Number],"Not Found",0)</f>
        <v>Not Found</v>
      </c>
      <c r="B30" s="2"/>
      <c r="C30" s="17"/>
      <c r="D30" s="14"/>
      <c r="E30" s="19"/>
      <c r="F30" s="20"/>
      <c r="G30" s="26"/>
    </row>
    <row r="31" spans="1:7" ht="60" customHeight="1">
      <c r="A31" s="4" t="str">
        <f>_xlfn.XLOOKUP(Table_ASU2[[#This Row],[BUDGET ACCOUNT NAME (DROPDOWN THAT IS USED TO FILL BUDGET ACCOUNT COLUMN)]],Table5823[Budget Account Name],Table5823[Budget Account Number],"Not Found",0)</f>
        <v>Not Found</v>
      </c>
      <c r="B31" s="2"/>
      <c r="C31" s="17"/>
      <c r="D31" s="14"/>
      <c r="E31" s="19"/>
      <c r="F31" s="20"/>
      <c r="G31" s="26"/>
    </row>
    <row r="32" spans="1:7" ht="60" customHeight="1">
      <c r="A32" s="4" t="str">
        <f>_xlfn.XLOOKUP(Table_ASU2[[#This Row],[BUDGET ACCOUNT NAME (DROPDOWN THAT IS USED TO FILL BUDGET ACCOUNT COLUMN)]],Table5823[Budget Account Name],Table5823[Budget Account Number],"Not Found",0)</f>
        <v>Not Found</v>
      </c>
      <c r="B32" s="2"/>
      <c r="C32" s="17"/>
      <c r="D32" s="14"/>
      <c r="E32" s="19"/>
      <c r="F32" s="20"/>
      <c r="G32" s="26"/>
    </row>
    <row r="33" spans="1:7" ht="60" customHeight="1">
      <c r="A33" s="4" t="str">
        <f>_xlfn.XLOOKUP(Table_ASU2[[#This Row],[BUDGET ACCOUNT NAME (DROPDOWN THAT IS USED TO FILL BUDGET ACCOUNT COLUMN)]],Table5823[Budget Account Name],Table5823[Budget Account Number],"Not Found",0)</f>
        <v>Not Found</v>
      </c>
      <c r="B33" s="2"/>
      <c r="C33" s="17"/>
      <c r="D33" s="14"/>
      <c r="E33" s="19"/>
      <c r="F33" s="20"/>
      <c r="G33" s="26"/>
    </row>
    <row r="34" spans="1:7" ht="60" customHeight="1">
      <c r="A34" s="4" t="str">
        <f>_xlfn.XLOOKUP(Table_ASU2[[#This Row],[BUDGET ACCOUNT NAME (DROPDOWN THAT IS USED TO FILL BUDGET ACCOUNT COLUMN)]],Table5823[Budget Account Name],Table5823[Budget Account Number],"Not Found",0)</f>
        <v>Not Found</v>
      </c>
      <c r="B34" s="2"/>
      <c r="C34" s="17"/>
      <c r="D34" s="14"/>
      <c r="E34" s="19"/>
      <c r="F34" s="20"/>
      <c r="G34" s="26"/>
    </row>
    <row r="35" spans="1:7" ht="60" customHeight="1">
      <c r="A35" s="4" t="str">
        <f>_xlfn.XLOOKUP(Table_ASU2[[#This Row],[BUDGET ACCOUNT NAME (DROPDOWN THAT IS USED TO FILL BUDGET ACCOUNT COLUMN)]],Table5823[Budget Account Name],Table5823[Budget Account Number],"Not Found",0)</f>
        <v>Not Found</v>
      </c>
      <c r="B35" s="2"/>
      <c r="C35" s="17"/>
      <c r="D35" s="14"/>
      <c r="E35" s="19"/>
      <c r="F35" s="20"/>
      <c r="G35" s="26"/>
    </row>
    <row r="36" spans="1:7" ht="60" customHeight="1">
      <c r="A36" s="4" t="str">
        <f>_xlfn.XLOOKUP(Table_ASU2[[#This Row],[BUDGET ACCOUNT NAME (DROPDOWN THAT IS USED TO FILL BUDGET ACCOUNT COLUMN)]],Table5823[Budget Account Name],Table5823[Budget Account Number],"Not Found",0)</f>
        <v>Not Found</v>
      </c>
      <c r="B36" s="2"/>
      <c r="C36" s="17"/>
      <c r="D36" s="14"/>
      <c r="E36" s="19"/>
      <c r="F36" s="20"/>
      <c r="G36" s="26"/>
    </row>
    <row r="37" spans="1:7" ht="60" customHeight="1">
      <c r="A37" s="4" t="str">
        <f>_xlfn.XLOOKUP(Table_ASU2[[#This Row],[BUDGET ACCOUNT NAME (DROPDOWN THAT IS USED TO FILL BUDGET ACCOUNT COLUMN)]],Table5823[Budget Account Name],Table5823[Budget Account Number],"Not Found",0)</f>
        <v>Not Found</v>
      </c>
      <c r="B37" s="2"/>
      <c r="C37" s="17"/>
      <c r="D37" s="14"/>
      <c r="E37" s="19"/>
      <c r="F37" s="20"/>
      <c r="G37" s="26"/>
    </row>
    <row r="38" spans="1:7" ht="60" customHeight="1">
      <c r="A38" s="4" t="str">
        <f>_xlfn.XLOOKUP(Table_ASU2[[#This Row],[BUDGET ACCOUNT NAME (DROPDOWN THAT IS USED TO FILL BUDGET ACCOUNT COLUMN)]],Table5823[Budget Account Name],Table5823[Budget Account Number],"Not Found",0)</f>
        <v>Not Found</v>
      </c>
      <c r="B38" s="2"/>
      <c r="C38" s="17"/>
      <c r="D38" s="14"/>
      <c r="E38" s="19"/>
      <c r="F38" s="20"/>
      <c r="G38" s="26"/>
    </row>
    <row r="39" spans="1:7" ht="60" customHeight="1">
      <c r="A39" s="4" t="str">
        <f>_xlfn.XLOOKUP(Table_ASU2[[#This Row],[BUDGET ACCOUNT NAME (DROPDOWN THAT IS USED TO FILL BUDGET ACCOUNT COLUMN)]],Table5823[Budget Account Name],Table5823[Budget Account Number],"Not Found",0)</f>
        <v>Not Found</v>
      </c>
      <c r="B39" s="2"/>
      <c r="C39" s="17"/>
      <c r="D39" s="14"/>
      <c r="E39" s="19"/>
      <c r="F39" s="20"/>
      <c r="G39" s="26"/>
    </row>
    <row r="40" spans="1:7" ht="60" customHeight="1">
      <c r="A40" s="4" t="str">
        <f>_xlfn.XLOOKUP(Table_ASU2[[#This Row],[BUDGET ACCOUNT NAME (DROPDOWN THAT IS USED TO FILL BUDGET ACCOUNT COLUMN)]],Table5823[Budget Account Name],Table5823[Budget Account Number],"Not Found",0)</f>
        <v>Not Found</v>
      </c>
      <c r="B40" s="2"/>
      <c r="C40" s="17"/>
      <c r="D40" s="14"/>
      <c r="E40" s="19"/>
      <c r="F40" s="20"/>
      <c r="G40" s="26"/>
    </row>
    <row r="41" spans="1:7" ht="60" customHeight="1">
      <c r="A41" s="4" t="str">
        <f>_xlfn.XLOOKUP(Table_ASU2[[#This Row],[BUDGET ACCOUNT NAME (DROPDOWN THAT IS USED TO FILL BUDGET ACCOUNT COLUMN)]],Table5823[Budget Account Name],Table5823[Budget Account Number],"Not Found",0)</f>
        <v>Not Found</v>
      </c>
      <c r="B41" s="2"/>
      <c r="C41" s="17"/>
      <c r="D41" s="14"/>
      <c r="E41" s="19"/>
      <c r="F41" s="20"/>
      <c r="G41" s="26"/>
    </row>
    <row r="42" spans="1:7" ht="60" customHeight="1">
      <c r="A42" s="4" t="str">
        <f>_xlfn.XLOOKUP(Table_ASU2[[#This Row],[BUDGET ACCOUNT NAME (DROPDOWN THAT IS USED TO FILL BUDGET ACCOUNT COLUMN)]],Table5823[Budget Account Name],Table5823[Budget Account Number],"Not Found",0)</f>
        <v>Not Found</v>
      </c>
      <c r="B42" s="2"/>
      <c r="C42" s="17"/>
      <c r="D42" s="14"/>
      <c r="E42" s="19"/>
      <c r="F42" s="20"/>
      <c r="G42" s="26"/>
    </row>
    <row r="43" spans="1:7" ht="60" customHeight="1">
      <c r="A43" s="4" t="str">
        <f>_xlfn.XLOOKUP(Table_ASU2[[#This Row],[BUDGET ACCOUNT NAME (DROPDOWN THAT IS USED TO FILL BUDGET ACCOUNT COLUMN)]],Table5823[Budget Account Name],Table5823[Budget Account Number],"Not Found",0)</f>
        <v>Not Found</v>
      </c>
      <c r="B43" s="2"/>
      <c r="C43" s="17"/>
      <c r="D43" s="14"/>
      <c r="E43" s="19"/>
      <c r="F43" s="20"/>
      <c r="G43" s="26"/>
    </row>
    <row r="44" spans="1:7" ht="60" customHeight="1">
      <c r="A44" s="4" t="str">
        <f>_xlfn.XLOOKUP(Table_ASU2[[#This Row],[BUDGET ACCOUNT NAME (DROPDOWN THAT IS USED TO FILL BUDGET ACCOUNT COLUMN)]],Table5823[Budget Account Name],Table5823[Budget Account Number],"Not Found",0)</f>
        <v>Not Found</v>
      </c>
      <c r="B44" s="2"/>
      <c r="C44" s="17"/>
      <c r="D44" s="14"/>
      <c r="E44" s="19"/>
      <c r="F44" s="20"/>
      <c r="G44" s="26"/>
    </row>
    <row r="45" spans="1:7" ht="60" customHeight="1">
      <c r="A45" s="4" t="str">
        <f>_xlfn.XLOOKUP(Table_ASU2[[#This Row],[BUDGET ACCOUNT NAME (DROPDOWN THAT IS USED TO FILL BUDGET ACCOUNT COLUMN)]],Table5823[Budget Account Name],Table5823[Budget Account Number],"Not Found",0)</f>
        <v>Not Found</v>
      </c>
      <c r="B45" s="2"/>
      <c r="C45" s="17"/>
      <c r="D45" s="14"/>
      <c r="E45" s="19"/>
      <c r="F45" s="20"/>
      <c r="G45" s="26"/>
    </row>
    <row r="46" spans="1:7" ht="60" customHeight="1">
      <c r="A46" s="4" t="str">
        <f>_xlfn.XLOOKUP(Table_ASU2[[#This Row],[BUDGET ACCOUNT NAME (DROPDOWN THAT IS USED TO FILL BUDGET ACCOUNT COLUMN)]],Table5823[Budget Account Name],Table5823[Budget Account Number],"Not Found",0)</f>
        <v>Not Found</v>
      </c>
      <c r="B46" s="2"/>
      <c r="C46" s="17"/>
      <c r="D46" s="14"/>
      <c r="E46" s="19"/>
      <c r="F46" s="20"/>
      <c r="G46" s="26"/>
    </row>
    <row r="47" spans="1:7" ht="60" customHeight="1">
      <c r="A47" s="4" t="str">
        <f>_xlfn.XLOOKUP(Table_ASU2[[#This Row],[BUDGET ACCOUNT NAME (DROPDOWN THAT IS USED TO FILL BUDGET ACCOUNT COLUMN)]],Table5823[Budget Account Name],Table5823[Budget Account Number],"Not Found",0)</f>
        <v>Not Found</v>
      </c>
      <c r="B47" s="2"/>
      <c r="C47" s="17"/>
      <c r="D47" s="14"/>
      <c r="E47" s="19"/>
      <c r="F47" s="20"/>
      <c r="G47" s="26"/>
    </row>
    <row r="48" spans="1:7" ht="60" customHeight="1">
      <c r="A48" s="4" t="str">
        <f>_xlfn.XLOOKUP(Table_ASU2[[#This Row],[BUDGET ACCOUNT NAME (DROPDOWN THAT IS USED TO FILL BUDGET ACCOUNT COLUMN)]],Table5823[Budget Account Name],Table5823[Budget Account Number],"Not Found",0)</f>
        <v>Not Found</v>
      </c>
      <c r="B48" s="2"/>
      <c r="C48" s="17"/>
      <c r="D48" s="14"/>
      <c r="E48" s="19"/>
      <c r="F48" s="20"/>
      <c r="G48" s="26"/>
    </row>
    <row r="49" spans="1:7" ht="60" customHeight="1">
      <c r="A49" s="4" t="str">
        <f>_xlfn.XLOOKUP(Table_ASU2[[#This Row],[BUDGET ACCOUNT NAME (DROPDOWN THAT IS USED TO FILL BUDGET ACCOUNT COLUMN)]],Table5823[Budget Account Name],Table5823[Budget Account Number],"Not Found",0)</f>
        <v>Not Found</v>
      </c>
      <c r="B49" s="2"/>
      <c r="C49" s="17"/>
      <c r="D49" s="14"/>
      <c r="E49" s="19"/>
      <c r="F49" s="20"/>
      <c r="G49" s="26"/>
    </row>
    <row r="50" spans="1:7" ht="60" customHeight="1">
      <c r="A50" s="4" t="str">
        <f>_xlfn.XLOOKUP(Table_ASU2[[#This Row],[BUDGET ACCOUNT NAME (DROPDOWN THAT IS USED TO FILL BUDGET ACCOUNT COLUMN)]],Table5823[Budget Account Name],Table5823[Budget Account Number],"Not Found",0)</f>
        <v>Not Found</v>
      </c>
      <c r="B50" s="2"/>
      <c r="C50" s="17"/>
      <c r="D50" s="14"/>
      <c r="E50" s="19"/>
      <c r="F50" s="20"/>
      <c r="G50" s="26"/>
    </row>
    <row r="51" spans="1:7" ht="60" customHeight="1">
      <c r="A51" s="4" t="str">
        <f>_xlfn.XLOOKUP(Table_ASU2[[#This Row],[BUDGET ACCOUNT NAME (DROPDOWN THAT IS USED TO FILL BUDGET ACCOUNT COLUMN)]],Table5823[Budget Account Name],Table5823[Budget Account Number],"Not Found",0)</f>
        <v>Not Found</v>
      </c>
      <c r="B51" s="2"/>
      <c r="C51" s="17"/>
      <c r="D51" s="14"/>
      <c r="E51" s="19"/>
      <c r="F51" s="20"/>
      <c r="G51" s="26"/>
    </row>
    <row r="52" spans="1:7" ht="60" customHeight="1">
      <c r="A52" s="4" t="str">
        <f>_xlfn.XLOOKUP(Table_ASU2[[#This Row],[BUDGET ACCOUNT NAME (DROPDOWN THAT IS USED TO FILL BUDGET ACCOUNT COLUMN)]],Table5823[Budget Account Name],Table5823[Budget Account Number],"Not Found",0)</f>
        <v>Not Found</v>
      </c>
      <c r="B52" s="2"/>
      <c r="C52" s="17"/>
      <c r="D52" s="14"/>
      <c r="E52" s="19"/>
      <c r="F52" s="20"/>
      <c r="G52" s="26"/>
    </row>
    <row r="53" spans="1:7" ht="60" customHeight="1">
      <c r="A53" s="4" t="str">
        <f>_xlfn.XLOOKUP(Table_ASU2[[#This Row],[BUDGET ACCOUNT NAME (DROPDOWN THAT IS USED TO FILL BUDGET ACCOUNT COLUMN)]],Table5823[Budget Account Name],Table5823[Budget Account Number],"Not Found",0)</f>
        <v>Not Found</v>
      </c>
      <c r="B53" s="2"/>
      <c r="C53" s="17"/>
      <c r="D53" s="14"/>
      <c r="E53" s="19"/>
      <c r="F53" s="20"/>
      <c r="G53" s="26"/>
    </row>
    <row r="54" spans="1:7" ht="60" customHeight="1">
      <c r="A54" s="4" t="str">
        <f>_xlfn.XLOOKUP(Table_ASU2[[#This Row],[BUDGET ACCOUNT NAME (DROPDOWN THAT IS USED TO FILL BUDGET ACCOUNT COLUMN)]],Table5823[Budget Account Name],Table5823[Budget Account Number],"Not Found",0)</f>
        <v>Not Found</v>
      </c>
      <c r="B54" s="2"/>
      <c r="C54" s="17"/>
      <c r="D54" s="14"/>
      <c r="E54" s="19"/>
      <c r="F54" s="20"/>
      <c r="G54" s="26"/>
    </row>
    <row r="55" spans="1:7" ht="60" customHeight="1">
      <c r="A55" s="4" t="str">
        <f>_xlfn.XLOOKUP(Table_ASU2[[#This Row],[BUDGET ACCOUNT NAME (DROPDOWN THAT IS USED TO FILL BUDGET ACCOUNT COLUMN)]],Table5823[Budget Account Name],Table5823[Budget Account Number],"Not Found",0)</f>
        <v>Not Found</v>
      </c>
      <c r="B55" s="2"/>
      <c r="C55" s="17"/>
      <c r="D55" s="14"/>
      <c r="E55" s="19"/>
      <c r="F55" s="20"/>
      <c r="G55" s="26"/>
    </row>
    <row r="56" spans="1:7" ht="60" customHeight="1">
      <c r="A56" s="4" t="str">
        <f>_xlfn.XLOOKUP(Table_ASU2[[#This Row],[BUDGET ACCOUNT NAME (DROPDOWN THAT IS USED TO FILL BUDGET ACCOUNT COLUMN)]],Table5823[Budget Account Name],Table5823[Budget Account Number],"Not Found",0)</f>
        <v>Not Found</v>
      </c>
      <c r="B56" s="2"/>
      <c r="C56" s="17"/>
      <c r="D56" s="14"/>
      <c r="E56" s="19"/>
      <c r="F56" s="20"/>
      <c r="G56" s="26"/>
    </row>
    <row r="57" spans="1:7" ht="60" customHeight="1">
      <c r="A57" s="4" t="str">
        <f>_xlfn.XLOOKUP(Table_ASU2[[#This Row],[BUDGET ACCOUNT NAME (DROPDOWN THAT IS USED TO FILL BUDGET ACCOUNT COLUMN)]],Table5823[Budget Account Name],Table5823[Budget Account Number],"Not Found",0)</f>
        <v>Not Found</v>
      </c>
      <c r="B57" s="2"/>
      <c r="C57" s="17"/>
      <c r="D57" s="14"/>
      <c r="E57" s="19"/>
      <c r="F57" s="20"/>
      <c r="G57" s="26"/>
    </row>
    <row r="58" spans="1:7" ht="60" customHeight="1">
      <c r="A58" s="4" t="str">
        <f>_xlfn.XLOOKUP(Table_ASU2[[#This Row],[BUDGET ACCOUNT NAME (DROPDOWN THAT IS USED TO FILL BUDGET ACCOUNT COLUMN)]],Table5823[Budget Account Name],Table5823[Budget Account Number],"Not Found",0)</f>
        <v>Not Found</v>
      </c>
      <c r="B58" s="2"/>
      <c r="C58" s="17"/>
      <c r="D58" s="14"/>
      <c r="E58" s="19"/>
      <c r="F58" s="20"/>
      <c r="G58" s="26"/>
    </row>
    <row r="59" spans="1:7" ht="60" customHeight="1">
      <c r="A59" s="4" t="str">
        <f>_xlfn.XLOOKUP(Table_ASU2[[#This Row],[BUDGET ACCOUNT NAME (DROPDOWN THAT IS USED TO FILL BUDGET ACCOUNT COLUMN)]],Table5823[Budget Account Name],Table5823[Budget Account Number],"Not Found",0)</f>
        <v>Not Found</v>
      </c>
      <c r="B59" s="2"/>
      <c r="C59" s="17"/>
      <c r="D59" s="14"/>
      <c r="E59" s="19"/>
      <c r="F59" s="20"/>
      <c r="G59" s="26"/>
    </row>
    <row r="60" spans="1:7" ht="60" customHeight="1">
      <c r="A60" s="4" t="str">
        <f>_xlfn.XLOOKUP(Table_ASU2[[#This Row],[BUDGET ACCOUNT NAME (DROPDOWN THAT IS USED TO FILL BUDGET ACCOUNT COLUMN)]],Table5823[Budget Account Name],Table5823[Budget Account Number],"Not Found",0)</f>
        <v>Not Found</v>
      </c>
      <c r="B60" s="2"/>
      <c r="C60" s="17"/>
      <c r="D60" s="14"/>
      <c r="E60" s="19"/>
      <c r="F60" s="20"/>
      <c r="G60" s="26"/>
    </row>
    <row r="61" spans="1:7" ht="60" customHeight="1">
      <c r="A61" s="4" t="str">
        <f>_xlfn.XLOOKUP(Table_ASU2[[#This Row],[BUDGET ACCOUNT NAME (DROPDOWN THAT IS USED TO FILL BUDGET ACCOUNT COLUMN)]],Table5823[Budget Account Name],Table5823[Budget Account Number],"Not Found",0)</f>
        <v>Not Found</v>
      </c>
      <c r="B61" s="2"/>
      <c r="C61" s="17"/>
      <c r="D61" s="14"/>
      <c r="E61" s="19"/>
      <c r="F61" s="20"/>
      <c r="G61" s="26"/>
    </row>
    <row r="62" spans="1:7" ht="60" customHeight="1">
      <c r="A62" s="4" t="str">
        <f>_xlfn.XLOOKUP(Table_ASU2[[#This Row],[BUDGET ACCOUNT NAME (DROPDOWN THAT IS USED TO FILL BUDGET ACCOUNT COLUMN)]],Table5823[Budget Account Name],Table5823[Budget Account Number],"Not Found",0)</f>
        <v>Not Found</v>
      </c>
      <c r="B62" s="2"/>
      <c r="C62" s="17"/>
      <c r="D62" s="14"/>
      <c r="E62" s="19"/>
      <c r="F62" s="20"/>
      <c r="G62" s="26"/>
    </row>
    <row r="63" spans="1:7" ht="60" customHeight="1">
      <c r="A63" s="4" t="str">
        <f>_xlfn.XLOOKUP(Table_ASU2[[#This Row],[BUDGET ACCOUNT NAME (DROPDOWN THAT IS USED TO FILL BUDGET ACCOUNT COLUMN)]],Table5823[Budget Account Name],Table5823[Budget Account Number],"Not Found",0)</f>
        <v>Not Found</v>
      </c>
      <c r="B63" s="2"/>
      <c r="C63" s="17"/>
      <c r="D63" s="14"/>
      <c r="E63" s="19"/>
      <c r="F63" s="20"/>
      <c r="G63" s="26"/>
    </row>
    <row r="64" spans="1:7" ht="60" customHeight="1">
      <c r="A64" s="4" t="str">
        <f>_xlfn.XLOOKUP(Table_ASU2[[#This Row],[BUDGET ACCOUNT NAME (DROPDOWN THAT IS USED TO FILL BUDGET ACCOUNT COLUMN)]],Table5823[Budget Account Name],Table5823[Budget Account Number],"Not Found",0)</f>
        <v>Not Found</v>
      </c>
      <c r="B64" s="2"/>
      <c r="C64" s="17"/>
      <c r="D64" s="14"/>
      <c r="E64" s="19"/>
      <c r="F64" s="20"/>
      <c r="G64" s="26"/>
    </row>
    <row r="65" spans="1:7" ht="60" customHeight="1">
      <c r="A65" s="4" t="str">
        <f>_xlfn.XLOOKUP(Table_ASU2[[#This Row],[BUDGET ACCOUNT NAME (DROPDOWN THAT IS USED TO FILL BUDGET ACCOUNT COLUMN)]],Table5823[Budget Account Name],Table5823[Budget Account Number],"Not Found",0)</f>
        <v>Not Found</v>
      </c>
      <c r="B65" s="2"/>
      <c r="C65" s="17"/>
      <c r="D65" s="14"/>
      <c r="E65" s="19"/>
      <c r="F65" s="20"/>
      <c r="G65" s="26"/>
    </row>
    <row r="66" spans="1:7" ht="60" customHeight="1">
      <c r="A66" s="4" t="str">
        <f>_xlfn.XLOOKUP(Table_ASU2[[#This Row],[BUDGET ACCOUNT NAME (DROPDOWN THAT IS USED TO FILL BUDGET ACCOUNT COLUMN)]],Table5823[Budget Account Name],Table5823[Budget Account Number],"Not Found",0)</f>
        <v>Not Found</v>
      </c>
      <c r="B66" s="2"/>
      <c r="C66" s="17"/>
      <c r="D66" s="14"/>
      <c r="E66" s="19"/>
      <c r="F66" s="20"/>
      <c r="G66" s="26"/>
    </row>
    <row r="67" spans="1:7" ht="60" customHeight="1">
      <c r="A67" s="4" t="str">
        <f>_xlfn.XLOOKUP(Table_ASU2[[#This Row],[BUDGET ACCOUNT NAME (DROPDOWN THAT IS USED TO FILL BUDGET ACCOUNT COLUMN)]],Table5823[Budget Account Name],Table5823[Budget Account Number],"Not Found",0)</f>
        <v>Not Found</v>
      </c>
      <c r="B67" s="2"/>
      <c r="C67" s="17"/>
      <c r="D67" s="14"/>
      <c r="E67" s="19"/>
      <c r="F67" s="20"/>
      <c r="G67" s="26"/>
    </row>
    <row r="68" spans="1:7" ht="60" customHeight="1">
      <c r="A68" s="4" t="str">
        <f>_xlfn.XLOOKUP(Table_ASU2[[#This Row],[BUDGET ACCOUNT NAME (DROPDOWN THAT IS USED TO FILL BUDGET ACCOUNT COLUMN)]],Table5823[Budget Account Name],Table5823[Budget Account Number],"Not Found",0)</f>
        <v>Not Found</v>
      </c>
      <c r="B68" s="2"/>
      <c r="C68" s="17"/>
      <c r="D68" s="14"/>
      <c r="E68" s="19"/>
      <c r="F68" s="20"/>
      <c r="G68" s="26"/>
    </row>
    <row r="69" spans="1:7" ht="60" customHeight="1">
      <c r="A69" s="4" t="str">
        <f>_xlfn.XLOOKUP(Table_ASU2[[#This Row],[BUDGET ACCOUNT NAME (DROPDOWN THAT IS USED TO FILL BUDGET ACCOUNT COLUMN)]],Table5823[Budget Account Name],Table5823[Budget Account Number],"Not Found",0)</f>
        <v>Not Found</v>
      </c>
      <c r="B69" s="2"/>
      <c r="C69" s="17"/>
      <c r="D69" s="14"/>
      <c r="E69" s="19"/>
      <c r="F69" s="20"/>
      <c r="G69" s="26"/>
    </row>
    <row r="70" spans="1:7" ht="60" customHeight="1">
      <c r="A70" s="4" t="str">
        <f>_xlfn.XLOOKUP(Table_ASU2[[#This Row],[BUDGET ACCOUNT NAME (DROPDOWN THAT IS USED TO FILL BUDGET ACCOUNT COLUMN)]],Table5823[Budget Account Name],Table5823[Budget Account Number],"Not Found",0)</f>
        <v>Not Found</v>
      </c>
      <c r="B70" s="2"/>
      <c r="C70" s="17"/>
      <c r="D70" s="14"/>
      <c r="E70" s="19"/>
      <c r="F70" s="20"/>
      <c r="G70" s="26"/>
    </row>
    <row r="71" spans="1:7" ht="60" customHeight="1">
      <c r="A71" s="4" t="str">
        <f>_xlfn.XLOOKUP(Table_ASU2[[#This Row],[BUDGET ACCOUNT NAME (DROPDOWN THAT IS USED TO FILL BUDGET ACCOUNT COLUMN)]],Table5823[Budget Account Name],Table5823[Budget Account Number],"Not Found",0)</f>
        <v>Not Found</v>
      </c>
      <c r="B71" s="2"/>
      <c r="C71" s="17"/>
      <c r="D71" s="14"/>
      <c r="E71" s="19"/>
      <c r="F71" s="20"/>
      <c r="G71" s="26"/>
    </row>
    <row r="72" spans="1:7" ht="60" customHeight="1">
      <c r="A72" s="4" t="str">
        <f>_xlfn.XLOOKUP(Table_ASU2[[#This Row],[BUDGET ACCOUNT NAME (DROPDOWN THAT IS USED TO FILL BUDGET ACCOUNT COLUMN)]],Table5823[Budget Account Name],Table5823[Budget Account Number],"Not Found",0)</f>
        <v>Not Found</v>
      </c>
      <c r="B72" s="2"/>
      <c r="C72" s="17"/>
      <c r="D72" s="14"/>
      <c r="E72" s="19"/>
      <c r="F72" s="20"/>
      <c r="G72" s="26"/>
    </row>
    <row r="73" spans="1:7" ht="60" customHeight="1">
      <c r="A73" s="4" t="str">
        <f>_xlfn.XLOOKUP(Table_ASU2[[#This Row],[BUDGET ACCOUNT NAME (DROPDOWN THAT IS USED TO FILL BUDGET ACCOUNT COLUMN)]],Table5823[Budget Account Name],Table5823[Budget Account Number],"Not Found",0)</f>
        <v>Not Found</v>
      </c>
      <c r="B73" s="2"/>
      <c r="C73" s="17"/>
      <c r="D73" s="14"/>
      <c r="E73" s="19"/>
      <c r="F73" s="20"/>
      <c r="G73" s="26"/>
    </row>
    <row r="74" spans="1:7" ht="60" customHeight="1">
      <c r="A74" s="4" t="str">
        <f>_xlfn.XLOOKUP(Table_ASU2[[#This Row],[BUDGET ACCOUNT NAME (DROPDOWN THAT IS USED TO FILL BUDGET ACCOUNT COLUMN)]],Table5823[Budget Account Name],Table5823[Budget Account Number],"Not Found",0)</f>
        <v>Not Found</v>
      </c>
      <c r="B74" s="2"/>
      <c r="C74" s="17"/>
      <c r="D74" s="14"/>
      <c r="E74" s="19"/>
      <c r="F74" s="20"/>
      <c r="G74" s="26"/>
    </row>
    <row r="75" spans="1:7" ht="60" customHeight="1">
      <c r="A75" s="4" t="str">
        <f>_xlfn.XLOOKUP(Table_ASU2[[#This Row],[BUDGET ACCOUNT NAME (DROPDOWN THAT IS USED TO FILL BUDGET ACCOUNT COLUMN)]],Table5823[Budget Account Name],Table5823[Budget Account Number],"Not Found",0)</f>
        <v>Not Found</v>
      </c>
      <c r="B75" s="2"/>
      <c r="C75" s="17"/>
      <c r="D75" s="14"/>
      <c r="E75" s="19"/>
      <c r="F75" s="20"/>
      <c r="G75" s="26"/>
    </row>
    <row r="76" spans="1:7" ht="60" customHeight="1">
      <c r="A76" s="4" t="str">
        <f>_xlfn.XLOOKUP(Table_ASU2[[#This Row],[BUDGET ACCOUNT NAME (DROPDOWN THAT IS USED TO FILL BUDGET ACCOUNT COLUMN)]],Table5823[Budget Account Name],Table5823[Budget Account Number],"Not Found",0)</f>
        <v>Not Found</v>
      </c>
      <c r="B76" s="2"/>
      <c r="C76" s="17"/>
      <c r="D76" s="14"/>
      <c r="E76" s="19"/>
      <c r="F76" s="20"/>
      <c r="G76" s="26"/>
    </row>
    <row r="77" spans="1:7" ht="60" customHeight="1">
      <c r="A77" s="4" t="str">
        <f>_xlfn.XLOOKUP(Table_ASU2[[#This Row],[BUDGET ACCOUNT NAME (DROPDOWN THAT IS USED TO FILL BUDGET ACCOUNT COLUMN)]],Table5823[Budget Account Name],Table5823[Budget Account Number],"Not Found",0)</f>
        <v>Not Found</v>
      </c>
      <c r="B77" s="2"/>
      <c r="C77" s="17"/>
      <c r="D77" s="14"/>
      <c r="E77" s="19"/>
      <c r="F77" s="20"/>
      <c r="G77" s="26"/>
    </row>
    <row r="78" spans="1:7" ht="60" customHeight="1">
      <c r="A78" s="4" t="str">
        <f>_xlfn.XLOOKUP(Table_ASU2[[#This Row],[BUDGET ACCOUNT NAME (DROPDOWN THAT IS USED TO FILL BUDGET ACCOUNT COLUMN)]],Table5823[Budget Account Name],Table5823[Budget Account Number],"Not Found",0)</f>
        <v>Not Found</v>
      </c>
      <c r="B78" s="2"/>
      <c r="C78" s="17"/>
      <c r="D78" s="14"/>
      <c r="E78" s="19"/>
      <c r="F78" s="20"/>
      <c r="G78" s="26"/>
    </row>
    <row r="79" spans="1:7" ht="60" customHeight="1">
      <c r="A79" s="4" t="str">
        <f>_xlfn.XLOOKUP(Table_ASU2[[#This Row],[BUDGET ACCOUNT NAME (DROPDOWN THAT IS USED TO FILL BUDGET ACCOUNT COLUMN)]],Table5823[Budget Account Name],Table5823[Budget Account Number],"Not Found",0)</f>
        <v>Not Found</v>
      </c>
      <c r="B79" s="2"/>
      <c r="C79" s="17"/>
      <c r="D79" s="14"/>
      <c r="E79" s="19"/>
      <c r="F79" s="20"/>
      <c r="G79" s="26"/>
    </row>
    <row r="80" spans="1:7" ht="60" customHeight="1">
      <c r="A80" s="4" t="str">
        <f>_xlfn.XLOOKUP(Table_ASU2[[#This Row],[BUDGET ACCOUNT NAME (DROPDOWN THAT IS USED TO FILL BUDGET ACCOUNT COLUMN)]],Table5823[Budget Account Name],Table5823[Budget Account Number],"Not Found",0)</f>
        <v>Not Found</v>
      </c>
      <c r="B80" s="2"/>
      <c r="C80" s="17"/>
      <c r="D80" s="14"/>
      <c r="E80" s="19"/>
      <c r="F80" s="20"/>
      <c r="G80" s="26"/>
    </row>
    <row r="81" spans="1:7" ht="60" customHeight="1">
      <c r="A81" s="4" t="str">
        <f>_xlfn.XLOOKUP(Table_ASU2[[#This Row],[BUDGET ACCOUNT NAME (DROPDOWN THAT IS USED TO FILL BUDGET ACCOUNT COLUMN)]],Table5823[Budget Account Name],Table5823[Budget Account Number],"Not Found",0)</f>
        <v>Not Found</v>
      </c>
      <c r="B81" s="2"/>
      <c r="C81" s="17"/>
      <c r="D81" s="14"/>
      <c r="E81" s="19"/>
      <c r="F81" s="20"/>
      <c r="G81" s="26"/>
    </row>
    <row r="82" spans="1:7" ht="60" customHeight="1">
      <c r="A82" s="4" t="str">
        <f>_xlfn.XLOOKUP(Table_ASU2[[#This Row],[BUDGET ACCOUNT NAME (DROPDOWN THAT IS USED TO FILL BUDGET ACCOUNT COLUMN)]],Table5823[Budget Account Name],Table5823[Budget Account Number],"Not Found",0)</f>
        <v>Not Found</v>
      </c>
      <c r="B82" s="2"/>
      <c r="C82" s="17"/>
      <c r="D82" s="14"/>
      <c r="E82" s="19"/>
      <c r="F82" s="20"/>
      <c r="G82" s="26"/>
    </row>
    <row r="83" spans="1:7" ht="60" customHeight="1">
      <c r="A83" s="4" t="str">
        <f>_xlfn.XLOOKUP(Table_ASU2[[#This Row],[BUDGET ACCOUNT NAME (DROPDOWN THAT IS USED TO FILL BUDGET ACCOUNT COLUMN)]],Table5823[Budget Account Name],Table5823[Budget Account Number],"Not Found",0)</f>
        <v>Not Found</v>
      </c>
      <c r="B83" s="2"/>
      <c r="C83" s="17"/>
      <c r="D83" s="14"/>
      <c r="E83" s="19"/>
      <c r="F83" s="20"/>
      <c r="G83" s="26"/>
    </row>
    <row r="84" spans="1:7" ht="60" customHeight="1">
      <c r="A84" s="4" t="str">
        <f>_xlfn.XLOOKUP(Table_ASU2[[#This Row],[BUDGET ACCOUNT NAME (DROPDOWN THAT IS USED TO FILL BUDGET ACCOUNT COLUMN)]],Table5823[Budget Account Name],Table5823[Budget Account Number],"Not Found",0)</f>
        <v>Not Found</v>
      </c>
      <c r="B84" s="2"/>
      <c r="C84" s="17"/>
      <c r="D84" s="14"/>
      <c r="E84" s="19"/>
      <c r="F84" s="20"/>
      <c r="G84" s="26"/>
    </row>
    <row r="85" spans="1:7" ht="60" customHeight="1">
      <c r="A85" s="4" t="str">
        <f>_xlfn.XLOOKUP(Table_ASU2[[#This Row],[BUDGET ACCOUNT NAME (DROPDOWN THAT IS USED TO FILL BUDGET ACCOUNT COLUMN)]],Table5823[Budget Account Name],Table5823[Budget Account Number],"Not Found",0)</f>
        <v>Not Found</v>
      </c>
      <c r="B85" s="2"/>
      <c r="C85" s="17"/>
      <c r="D85" s="14"/>
      <c r="E85" s="19"/>
      <c r="F85" s="20"/>
      <c r="G85" s="26"/>
    </row>
    <row r="86" spans="1:7" ht="60" customHeight="1">
      <c r="A86" s="4" t="str">
        <f>_xlfn.XLOOKUP(Table_ASU2[[#This Row],[BUDGET ACCOUNT NAME (DROPDOWN THAT IS USED TO FILL BUDGET ACCOUNT COLUMN)]],Table5823[Budget Account Name],Table5823[Budget Account Number],"Not Found",0)</f>
        <v>Not Found</v>
      </c>
      <c r="B86" s="2"/>
      <c r="C86" s="17"/>
      <c r="D86" s="14"/>
      <c r="E86" s="19"/>
      <c r="F86" s="20"/>
      <c r="G86" s="26"/>
    </row>
    <row r="87" spans="1:7" ht="60" customHeight="1">
      <c r="A87" s="4" t="str">
        <f>_xlfn.XLOOKUP(Table_ASU2[[#This Row],[BUDGET ACCOUNT NAME (DROPDOWN THAT IS USED TO FILL BUDGET ACCOUNT COLUMN)]],Table5823[Budget Account Name],Table5823[Budget Account Number],"Not Found",0)</f>
        <v>Not Found</v>
      </c>
      <c r="B87" s="2"/>
      <c r="C87" s="17"/>
      <c r="D87" s="14"/>
      <c r="E87" s="19"/>
      <c r="F87" s="20"/>
      <c r="G87" s="26"/>
    </row>
    <row r="88" spans="1:7" ht="60" customHeight="1">
      <c r="A88" s="4" t="str">
        <f>_xlfn.XLOOKUP(Table_ASU2[[#This Row],[BUDGET ACCOUNT NAME (DROPDOWN THAT IS USED TO FILL BUDGET ACCOUNT COLUMN)]],Table5823[Budget Account Name],Table5823[Budget Account Number],"Not Found",0)</f>
        <v>Not Found</v>
      </c>
      <c r="B88" s="2"/>
      <c r="C88" s="17"/>
      <c r="D88" s="14"/>
      <c r="E88" s="19"/>
      <c r="F88" s="20"/>
      <c r="G88" s="26"/>
    </row>
    <row r="89" spans="1:7" ht="60" customHeight="1">
      <c r="A89" s="4" t="str">
        <f>_xlfn.XLOOKUP(Table_ASU2[[#This Row],[BUDGET ACCOUNT NAME (DROPDOWN THAT IS USED TO FILL BUDGET ACCOUNT COLUMN)]],Table5823[Budget Account Name],Table5823[Budget Account Number],"Not Found",0)</f>
        <v>Not Found</v>
      </c>
      <c r="B89" s="2"/>
      <c r="C89" s="17"/>
      <c r="D89" s="14"/>
      <c r="E89" s="19"/>
      <c r="F89" s="20"/>
      <c r="G89" s="26"/>
    </row>
    <row r="90" spans="1:7" ht="60" customHeight="1">
      <c r="A90" s="4" t="str">
        <f>_xlfn.XLOOKUP(Table_ASU2[[#This Row],[BUDGET ACCOUNT NAME (DROPDOWN THAT IS USED TO FILL BUDGET ACCOUNT COLUMN)]],Table5823[Budget Account Name],Table5823[Budget Account Number],"Not Found",0)</f>
        <v>Not Found</v>
      </c>
      <c r="B90" s="2"/>
      <c r="C90" s="17"/>
      <c r="D90" s="14"/>
      <c r="E90" s="19"/>
      <c r="F90" s="20"/>
      <c r="G90" s="26"/>
    </row>
    <row r="91" spans="1:7" ht="60" customHeight="1">
      <c r="A91" s="4" t="str">
        <f>_xlfn.XLOOKUP(Table_ASU2[[#This Row],[BUDGET ACCOUNT NAME (DROPDOWN THAT IS USED TO FILL BUDGET ACCOUNT COLUMN)]],Table5823[Budget Account Name],Table5823[Budget Account Number],"Not Found",0)</f>
        <v>Not Found</v>
      </c>
      <c r="B91" s="2"/>
      <c r="C91" s="17"/>
      <c r="D91" s="14"/>
      <c r="E91" s="19"/>
      <c r="F91" s="20"/>
      <c r="G91" s="26"/>
    </row>
    <row r="92" spans="1:7" ht="60" customHeight="1">
      <c r="A92" s="4" t="str">
        <f>_xlfn.XLOOKUP(Table_ASU2[[#This Row],[BUDGET ACCOUNT NAME (DROPDOWN THAT IS USED TO FILL BUDGET ACCOUNT COLUMN)]],Table5823[Budget Account Name],Table5823[Budget Account Number],"Not Found",0)</f>
        <v>Not Found</v>
      </c>
      <c r="B92" s="2"/>
      <c r="C92" s="17"/>
      <c r="D92" s="14"/>
      <c r="E92" s="19"/>
      <c r="F92" s="20"/>
      <c r="G92" s="26"/>
    </row>
    <row r="93" spans="1:7" ht="60" customHeight="1">
      <c r="A93" s="4" t="str">
        <f>_xlfn.XLOOKUP(Table_ASU2[[#This Row],[BUDGET ACCOUNT NAME (DROPDOWN THAT IS USED TO FILL BUDGET ACCOUNT COLUMN)]],Table5823[Budget Account Name],Table5823[Budget Account Number],"Not Found",0)</f>
        <v>Not Found</v>
      </c>
      <c r="B93" s="2"/>
      <c r="C93" s="17"/>
      <c r="D93" s="14"/>
      <c r="E93" s="19"/>
      <c r="F93" s="20"/>
      <c r="G93" s="26"/>
    </row>
    <row r="94" spans="1:7" ht="60" customHeight="1">
      <c r="A94" s="4" t="str">
        <f>_xlfn.XLOOKUP(Table_ASU2[[#This Row],[BUDGET ACCOUNT NAME (DROPDOWN THAT IS USED TO FILL BUDGET ACCOUNT COLUMN)]],Table5823[Budget Account Name],Table5823[Budget Account Number],"Not Found",0)</f>
        <v>Not Found</v>
      </c>
      <c r="B94" s="2"/>
      <c r="C94" s="17"/>
      <c r="D94" s="14"/>
      <c r="E94" s="19"/>
      <c r="F94" s="20"/>
      <c r="G94" s="26"/>
    </row>
    <row r="95" spans="1:7" ht="60" customHeight="1">
      <c r="A95" s="4" t="str">
        <f>_xlfn.XLOOKUP(Table_ASU2[[#This Row],[BUDGET ACCOUNT NAME (DROPDOWN THAT IS USED TO FILL BUDGET ACCOUNT COLUMN)]],Table5823[Budget Account Name],Table5823[Budget Account Number],"Not Found",0)</f>
        <v>Not Found</v>
      </c>
      <c r="B95" s="2"/>
      <c r="C95" s="17"/>
      <c r="D95" s="14"/>
      <c r="E95" s="19"/>
      <c r="F95" s="20"/>
      <c r="G95" s="26"/>
    </row>
    <row r="96" spans="1:7" ht="60" customHeight="1">
      <c r="A96" s="4" t="str">
        <f>_xlfn.XLOOKUP(Table_ASU2[[#This Row],[BUDGET ACCOUNT NAME (DROPDOWN THAT IS USED TO FILL BUDGET ACCOUNT COLUMN)]],Table5823[Budget Account Name],Table5823[Budget Account Number],"Not Found",0)</f>
        <v>Not Found</v>
      </c>
      <c r="B96" s="2"/>
      <c r="C96" s="17"/>
      <c r="D96" s="14"/>
      <c r="E96" s="19"/>
      <c r="F96" s="20"/>
      <c r="G96" s="26"/>
    </row>
    <row r="97" spans="1:7" ht="60" customHeight="1">
      <c r="A97" s="4" t="str">
        <f>_xlfn.XLOOKUP(Table_ASU2[[#This Row],[BUDGET ACCOUNT NAME (DROPDOWN THAT IS USED TO FILL BUDGET ACCOUNT COLUMN)]],Table5823[Budget Account Name],Table5823[Budget Account Number],"Not Found",0)</f>
        <v>Not Found</v>
      </c>
      <c r="B97" s="2"/>
      <c r="C97" s="17"/>
      <c r="D97" s="14"/>
      <c r="E97" s="19"/>
      <c r="F97" s="20"/>
      <c r="G97" s="26"/>
    </row>
    <row r="98" spans="1:7" ht="60" customHeight="1">
      <c r="A98" s="4" t="str">
        <f>_xlfn.XLOOKUP(Table_ASU2[[#This Row],[BUDGET ACCOUNT NAME (DROPDOWN THAT IS USED TO FILL BUDGET ACCOUNT COLUMN)]],Table5823[Budget Account Name],Table5823[Budget Account Number],"Not Found",0)</f>
        <v>Not Found</v>
      </c>
      <c r="B98" s="2"/>
      <c r="C98" s="17"/>
      <c r="D98" s="14"/>
      <c r="E98" s="19"/>
      <c r="F98" s="20"/>
      <c r="G98" s="26"/>
    </row>
    <row r="99" spans="1:7" ht="60" customHeight="1">
      <c r="A99" s="4" t="str">
        <f>_xlfn.XLOOKUP(Table_ASU2[[#This Row],[BUDGET ACCOUNT NAME (DROPDOWN THAT IS USED TO FILL BUDGET ACCOUNT COLUMN)]],Table5823[Budget Account Name],Table5823[Budget Account Number],"Not Found",0)</f>
        <v>Not Found</v>
      </c>
      <c r="B99" s="2"/>
      <c r="C99" s="17"/>
      <c r="D99" s="14"/>
      <c r="E99" s="19"/>
      <c r="F99" s="20"/>
      <c r="G99" s="26"/>
    </row>
    <row r="100" spans="1:7" ht="60" customHeight="1">
      <c r="A100" s="4" t="str">
        <f>_xlfn.XLOOKUP(Table_ASU2[[#This Row],[BUDGET ACCOUNT NAME (DROPDOWN THAT IS USED TO FILL BUDGET ACCOUNT COLUMN)]],Table5823[Budget Account Name],Table5823[Budget Account Number],"Not Found",0)</f>
        <v>Not Found</v>
      </c>
      <c r="B100" s="6"/>
      <c r="C100" s="18"/>
      <c r="D100" s="15"/>
      <c r="E100" s="21"/>
      <c r="F100" s="22"/>
      <c r="G100" s="26"/>
    </row>
  </sheetData>
  <protectedRanges>
    <protectedRange algorithmName="SHA-512" hashValue="/4PMRWPYP4vev9pK8MNtD9OWmN4z+I/c2J0B6UqyFgE2QgmlnVejwFwdMWa7D97AYtzQEkLzsxO9Q/7cQVlL4w==" saltValue="1N7JzG3nxWaGUuJzOeqEuQ==" spinCount="100000" sqref="B14:D100" name="ASU"/>
  </protectedRanges>
  <mergeCells count="3">
    <mergeCell ref="A1:F1"/>
    <mergeCell ref="C2:F2"/>
    <mergeCell ref="A12:F12"/>
  </mergeCells>
  <dataValidations count="3">
    <dataValidation type="list" allowBlank="1" showInputMessage="1" showErrorMessage="1" sqref="B14:B100" xr:uid="{2F405D28-9132-4E73-B2D4-F76B4227279D}">
      <formula1>$B$3:$B$11</formula1>
    </dataValidation>
    <dataValidation type="list" allowBlank="1" showInputMessage="1" showErrorMessage="1" sqref="E14:E100" xr:uid="{FACED1E9-C5FC-44C4-BF95-402EA0D11A97}">
      <formula1>$H$2:$H$6</formula1>
    </dataValidation>
    <dataValidation type="list" allowBlank="1" showInputMessage="1" showErrorMessage="1" sqref="G14:G100" xr:uid="{E8491349-9ED9-4E36-B94D-7D6A1D829318}">
      <formula1>$G$1:$G$9</formula1>
    </dataValidation>
  </dataValidation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1499-5C74-45BB-89E1-37A72419878D}">
  <dimension ref="A1:J100"/>
  <sheetViews>
    <sheetView tabSelected="1" zoomScale="70" zoomScaleNormal="70" workbookViewId="0">
      <pane ySplit="13" topLeftCell="A14" activePane="bottomLeft" state="frozen"/>
      <selection pane="bottomLeft" activeCell="F20" sqref="F20"/>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56.25">
      <c r="A13" s="7" t="s">
        <v>140</v>
      </c>
      <c r="B13" s="8" t="s">
        <v>141</v>
      </c>
      <c r="C13" s="9" t="s">
        <v>142</v>
      </c>
      <c r="D13" s="9" t="s">
        <v>143</v>
      </c>
      <c r="E13" s="10" t="s">
        <v>144</v>
      </c>
      <c r="F13" s="11" t="s">
        <v>145</v>
      </c>
      <c r="G13" s="25" t="s">
        <v>146</v>
      </c>
    </row>
    <row r="14" spans="1:10" ht="60" customHeight="1">
      <c r="A14" s="4" t="str">
        <f>_xlfn.XLOOKUP(Table_AU[[#This Row],[BUDGET ACCOUNT NAME (DROPDOWN THAT IS USED TO FILL BUDGET ACCOUNT COLUMN)]],Table512[Budget Account Name],Table512[Budget Account Number],"Not Found",0)</f>
        <v>Not Found</v>
      </c>
      <c r="B14" s="2"/>
      <c r="C14" s="16"/>
      <c r="D14" s="14"/>
      <c r="E14" s="19"/>
      <c r="F14" s="20" t="s">
        <v>222</v>
      </c>
      <c r="G14" s="26"/>
    </row>
    <row r="15" spans="1:10" ht="60" customHeight="1">
      <c r="A15" s="4" t="str">
        <f>_xlfn.XLOOKUP(Table_AU[[#This Row],[BUDGET ACCOUNT NAME (DROPDOWN THAT IS USED TO FILL BUDGET ACCOUNT COLUMN)]],Table512[Budget Account Name],Table512[Budget Account Number],"Not Found",0)</f>
        <v>Not Found</v>
      </c>
      <c r="B15" s="2"/>
      <c r="C15" s="17"/>
      <c r="D15" s="14"/>
      <c r="E15" s="19"/>
      <c r="F15" s="20" t="s">
        <v>223</v>
      </c>
      <c r="G15" s="26"/>
    </row>
    <row r="16" spans="1:10" ht="60" customHeight="1">
      <c r="A16" s="4" t="str">
        <f>_xlfn.XLOOKUP(Table_AU[[#This Row],[BUDGET ACCOUNT NAME (DROPDOWN THAT IS USED TO FILL BUDGET ACCOUNT COLUMN)]],Table512[Budget Account Name],Table512[Budget Account Number],"Not Found",0)</f>
        <v>Not Found</v>
      </c>
      <c r="B16" s="2"/>
      <c r="C16" s="17"/>
      <c r="D16" s="14"/>
      <c r="E16" s="19"/>
      <c r="F16" s="20" t="s">
        <v>224</v>
      </c>
      <c r="G16" s="26"/>
    </row>
    <row r="17" spans="1:7" ht="60" customHeight="1">
      <c r="A17" s="4" t="str">
        <f>_xlfn.XLOOKUP(Table_AU[[#This Row],[BUDGET ACCOUNT NAME (DROPDOWN THAT IS USED TO FILL BUDGET ACCOUNT COLUMN)]],Table512[Budget Account Name],Table512[Budget Account Number],"Not Found",0)</f>
        <v>Not Found</v>
      </c>
      <c r="B17" s="2"/>
      <c r="C17" s="17"/>
      <c r="D17" s="14"/>
      <c r="E17" s="19"/>
      <c r="F17" s="20"/>
      <c r="G17" s="26"/>
    </row>
    <row r="18" spans="1:7" ht="60" customHeight="1">
      <c r="A18" s="4" t="str">
        <f>_xlfn.XLOOKUP(Table_AU[[#This Row],[BUDGET ACCOUNT NAME (DROPDOWN THAT IS USED TO FILL BUDGET ACCOUNT COLUMN)]],Table512[Budget Account Name],Table512[Budget Account Number],"Not Found",0)</f>
        <v>Not Found</v>
      </c>
      <c r="B18" s="2"/>
      <c r="C18" s="17"/>
      <c r="D18" s="14"/>
      <c r="E18" s="19"/>
      <c r="F18" s="20"/>
      <c r="G18" s="26"/>
    </row>
    <row r="19" spans="1:7" ht="60" customHeight="1">
      <c r="A19" s="4" t="str">
        <f>_xlfn.XLOOKUP(Table_AU[[#This Row],[BUDGET ACCOUNT NAME (DROPDOWN THAT IS USED TO FILL BUDGET ACCOUNT COLUMN)]],Table512[Budget Account Name],Table512[Budget Account Number],"Not Found",0)</f>
        <v>Not Found</v>
      </c>
      <c r="B19" s="2"/>
      <c r="C19" s="17"/>
      <c r="D19" s="14"/>
      <c r="E19" s="19"/>
      <c r="F19" s="20"/>
      <c r="G19" s="26"/>
    </row>
    <row r="20" spans="1:7" ht="60" customHeight="1">
      <c r="A20" s="4" t="str">
        <f>_xlfn.XLOOKUP(Table_AU[[#This Row],[BUDGET ACCOUNT NAME (DROPDOWN THAT IS USED TO FILL BUDGET ACCOUNT COLUMN)]],Table512[Budget Account Name],Table512[Budget Account Number],"Not Found",0)</f>
        <v>Not Found</v>
      </c>
      <c r="B20" s="2"/>
      <c r="C20" s="17"/>
      <c r="D20" s="14"/>
      <c r="E20" s="19"/>
      <c r="F20" s="20"/>
      <c r="G20" s="26"/>
    </row>
    <row r="21" spans="1:7" ht="60" customHeight="1">
      <c r="A21" s="4" t="str">
        <f>_xlfn.XLOOKUP(Table_AU[[#This Row],[BUDGET ACCOUNT NAME (DROPDOWN THAT IS USED TO FILL BUDGET ACCOUNT COLUMN)]],Table512[Budget Account Name],Table512[Budget Account Number],"Not Found",0)</f>
        <v>Not Found</v>
      </c>
      <c r="B21" s="2"/>
      <c r="C21" s="17"/>
      <c r="D21" s="14"/>
      <c r="E21" s="19"/>
      <c r="F21" s="20"/>
      <c r="G21" s="26"/>
    </row>
    <row r="22" spans="1:7" ht="66.75" customHeight="1">
      <c r="A22" s="4" t="str">
        <f>_xlfn.XLOOKUP(Table_AU[[#This Row],[BUDGET ACCOUNT NAME (DROPDOWN THAT IS USED TO FILL BUDGET ACCOUNT COLUMN)]],Table512[Budget Account Name],Table512[Budget Account Number],"Not Found",0)</f>
        <v>Not Found</v>
      </c>
      <c r="B22" s="2"/>
      <c r="C22" s="17"/>
      <c r="D22" s="14"/>
      <c r="E22" s="19"/>
      <c r="F22" s="20"/>
      <c r="G22" s="26"/>
    </row>
    <row r="23" spans="1:7" ht="60" customHeight="1">
      <c r="A23" s="4" t="str">
        <f>_xlfn.XLOOKUP(Table_AU[[#This Row],[BUDGET ACCOUNT NAME (DROPDOWN THAT IS USED TO FILL BUDGET ACCOUNT COLUMN)]],Table512[Budget Account Name],Table512[Budget Account Number],"Not Found",0)</f>
        <v>Not Found</v>
      </c>
      <c r="B23" s="2"/>
      <c r="C23" s="17"/>
      <c r="D23" s="14"/>
      <c r="E23" s="19"/>
      <c r="F23" s="20"/>
      <c r="G23" s="26"/>
    </row>
    <row r="24" spans="1:7" ht="60" customHeight="1">
      <c r="A24" s="4" t="str">
        <f>_xlfn.XLOOKUP(Table_AU[[#This Row],[BUDGET ACCOUNT NAME (DROPDOWN THAT IS USED TO FILL BUDGET ACCOUNT COLUMN)]],Table512[Budget Account Name],Table512[Budget Account Number],"Not Found",0)</f>
        <v>Not Found</v>
      </c>
      <c r="B24" s="2"/>
      <c r="C24" s="17"/>
      <c r="D24" s="14"/>
      <c r="E24" s="19"/>
      <c r="F24" s="20"/>
      <c r="G24" s="26"/>
    </row>
    <row r="25" spans="1:7" ht="60" customHeight="1">
      <c r="A25" s="4" t="str">
        <f>_xlfn.XLOOKUP(Table_AU[[#This Row],[BUDGET ACCOUNT NAME (DROPDOWN THAT IS USED TO FILL BUDGET ACCOUNT COLUMN)]],Table512[Budget Account Name],Table512[Budget Account Number],"Not Found",0)</f>
        <v>Not Found</v>
      </c>
      <c r="B25" s="2"/>
      <c r="C25" s="17"/>
      <c r="D25" s="14"/>
      <c r="E25" s="19"/>
      <c r="F25" s="20"/>
      <c r="G25" s="26"/>
    </row>
    <row r="26" spans="1:7" ht="60" customHeight="1">
      <c r="A26" s="4" t="str">
        <f>_xlfn.XLOOKUP(Table_AU[[#This Row],[BUDGET ACCOUNT NAME (DROPDOWN THAT IS USED TO FILL BUDGET ACCOUNT COLUMN)]],Table512[Budget Account Name],Table512[Budget Account Number],"Not Found",0)</f>
        <v>Not Found</v>
      </c>
      <c r="B26" s="2"/>
      <c r="C26" s="17"/>
      <c r="D26" s="14"/>
      <c r="E26" s="19"/>
      <c r="F26" s="20"/>
      <c r="G26" s="26"/>
    </row>
    <row r="27" spans="1:7" ht="60" customHeight="1">
      <c r="A27" s="4" t="str">
        <f>_xlfn.XLOOKUP(Table_AU[[#This Row],[BUDGET ACCOUNT NAME (DROPDOWN THAT IS USED TO FILL BUDGET ACCOUNT COLUMN)]],Table512[Budget Account Name],Table512[Budget Account Number],"Not Found",0)</f>
        <v>Not Found</v>
      </c>
      <c r="B27" s="2"/>
      <c r="C27" s="17"/>
      <c r="D27" s="14"/>
      <c r="E27" s="19"/>
      <c r="F27" s="20"/>
      <c r="G27" s="26"/>
    </row>
    <row r="28" spans="1:7" ht="60" customHeight="1">
      <c r="A28" s="4" t="str">
        <f>_xlfn.XLOOKUP(Table_AU[[#This Row],[BUDGET ACCOUNT NAME (DROPDOWN THAT IS USED TO FILL BUDGET ACCOUNT COLUMN)]],Table512[Budget Account Name],Table512[Budget Account Number],"Not Found",0)</f>
        <v>Not Found</v>
      </c>
      <c r="B28" s="2"/>
      <c r="C28" s="17"/>
      <c r="D28" s="14"/>
      <c r="E28" s="19"/>
      <c r="F28" s="20"/>
      <c r="G28" s="26"/>
    </row>
    <row r="29" spans="1:7" ht="60" customHeight="1">
      <c r="A29" s="4" t="str">
        <f>_xlfn.XLOOKUP(Table_AU[[#This Row],[BUDGET ACCOUNT NAME (DROPDOWN THAT IS USED TO FILL BUDGET ACCOUNT COLUMN)]],Table512[Budget Account Name],Table512[Budget Account Number],"Not Found",0)</f>
        <v>Not Found</v>
      </c>
      <c r="B29" s="2"/>
      <c r="C29" s="17"/>
      <c r="D29" s="14"/>
      <c r="E29" s="19"/>
      <c r="F29" s="20"/>
      <c r="G29" s="26"/>
    </row>
    <row r="30" spans="1:7" ht="60" customHeight="1">
      <c r="A30" s="4" t="str">
        <f>_xlfn.XLOOKUP(Table_AU[[#This Row],[BUDGET ACCOUNT NAME (DROPDOWN THAT IS USED TO FILL BUDGET ACCOUNT COLUMN)]],Table512[Budget Account Name],Table512[Budget Account Number],"Not Found",0)</f>
        <v>Not Found</v>
      </c>
      <c r="B30" s="2"/>
      <c r="C30" s="17"/>
      <c r="D30" s="14"/>
      <c r="E30" s="19"/>
      <c r="F30" s="20"/>
      <c r="G30" s="26"/>
    </row>
    <row r="31" spans="1:7" ht="88.5" customHeight="1">
      <c r="A31" s="4" t="str">
        <f>_xlfn.XLOOKUP(Table_AU[[#This Row],[BUDGET ACCOUNT NAME (DROPDOWN THAT IS USED TO FILL BUDGET ACCOUNT COLUMN)]],Table512[Budget Account Name],Table512[Budget Account Number],"Not Found",0)</f>
        <v>Not Found</v>
      </c>
      <c r="B31" s="2"/>
      <c r="C31" s="17"/>
      <c r="D31" s="38"/>
      <c r="E31" s="19"/>
      <c r="F31" s="20"/>
      <c r="G31" s="26"/>
    </row>
    <row r="32" spans="1:7" ht="60" customHeight="1">
      <c r="A32" s="4" t="str">
        <f>_xlfn.XLOOKUP(Table_AU[[#This Row],[BUDGET ACCOUNT NAME (DROPDOWN THAT IS USED TO FILL BUDGET ACCOUNT COLUMN)]],Table512[Budget Account Name],Table512[Budget Account Number],"Not Found",0)</f>
        <v>Not Found</v>
      </c>
      <c r="B32" s="2"/>
      <c r="C32" s="17"/>
      <c r="D32" s="14"/>
      <c r="E32" s="19"/>
      <c r="F32" s="20"/>
      <c r="G32" s="26"/>
    </row>
    <row r="33" spans="1:7" ht="60" customHeight="1">
      <c r="A33" s="4" t="str">
        <f>_xlfn.XLOOKUP(Table_AU[[#This Row],[BUDGET ACCOUNT NAME (DROPDOWN THAT IS USED TO FILL BUDGET ACCOUNT COLUMN)]],Table512[Budget Account Name],Table512[Budget Account Number],"Not Found",0)</f>
        <v>Not Found</v>
      </c>
      <c r="B33" s="2"/>
      <c r="C33" s="17"/>
      <c r="D33" s="14"/>
      <c r="E33" s="19"/>
      <c r="F33" s="20"/>
      <c r="G33" s="26"/>
    </row>
    <row r="34" spans="1:7" ht="60" customHeight="1">
      <c r="A34" s="4" t="str">
        <f>_xlfn.XLOOKUP(Table_AU[[#This Row],[BUDGET ACCOUNT NAME (DROPDOWN THAT IS USED TO FILL BUDGET ACCOUNT COLUMN)]],Table512[Budget Account Name],Table512[Budget Account Number],"Not Found",0)</f>
        <v>Not Found</v>
      </c>
      <c r="B34" s="2"/>
      <c r="C34" s="17"/>
      <c r="D34" s="14"/>
      <c r="E34" s="19"/>
      <c r="F34" s="20"/>
      <c r="G34" s="26"/>
    </row>
    <row r="35" spans="1:7" ht="60" customHeight="1">
      <c r="A35" s="4" t="str">
        <f>_xlfn.XLOOKUP(Table_AU[[#This Row],[BUDGET ACCOUNT NAME (DROPDOWN THAT IS USED TO FILL BUDGET ACCOUNT COLUMN)]],Table512[Budget Account Name],Table512[Budget Account Number],"Not Found",0)</f>
        <v>Not Found</v>
      </c>
      <c r="B35" s="2"/>
      <c r="C35" s="17"/>
      <c r="D35" s="14"/>
      <c r="E35" s="19"/>
      <c r="F35" s="20"/>
      <c r="G35" s="26"/>
    </row>
    <row r="36" spans="1:7" ht="60" customHeight="1">
      <c r="A36" s="4" t="str">
        <f>_xlfn.XLOOKUP(Table_AU[[#This Row],[BUDGET ACCOUNT NAME (DROPDOWN THAT IS USED TO FILL BUDGET ACCOUNT COLUMN)]],Table512[Budget Account Name],Table512[Budget Account Number],"Not Found",0)</f>
        <v>Not Found</v>
      </c>
      <c r="B36" s="2"/>
      <c r="C36" s="17"/>
      <c r="D36" s="14"/>
      <c r="E36" s="19"/>
      <c r="F36" s="20"/>
      <c r="G36" s="26"/>
    </row>
    <row r="37" spans="1:7" ht="60" customHeight="1">
      <c r="A37" s="4" t="str">
        <f>_xlfn.XLOOKUP(Table_AU[[#This Row],[BUDGET ACCOUNT NAME (DROPDOWN THAT IS USED TO FILL BUDGET ACCOUNT COLUMN)]],Table512[Budget Account Name],Table512[Budget Account Number],"Not Found",0)</f>
        <v>Not Found</v>
      </c>
      <c r="B37" s="2"/>
      <c r="C37" s="17"/>
      <c r="D37" s="14"/>
      <c r="E37" s="19"/>
      <c r="F37" s="20"/>
      <c r="G37" s="26"/>
    </row>
    <row r="38" spans="1:7" ht="60" customHeight="1">
      <c r="A38" s="4" t="str">
        <f>_xlfn.XLOOKUP(Table_AU[[#This Row],[BUDGET ACCOUNT NAME (DROPDOWN THAT IS USED TO FILL BUDGET ACCOUNT COLUMN)]],Table512[Budget Account Name],Table512[Budget Account Number],"Not Found",0)</f>
        <v>Not Found</v>
      </c>
      <c r="B38" s="2"/>
      <c r="C38" s="17"/>
      <c r="D38" s="14"/>
      <c r="E38" s="19"/>
      <c r="F38" s="20"/>
      <c r="G38" s="26"/>
    </row>
    <row r="39" spans="1:7" ht="60" customHeight="1">
      <c r="A39" s="4" t="str">
        <f>_xlfn.XLOOKUP(Table_AU[[#This Row],[BUDGET ACCOUNT NAME (DROPDOWN THAT IS USED TO FILL BUDGET ACCOUNT COLUMN)]],Table512[Budget Account Name],Table512[Budget Account Number],"Not Found",0)</f>
        <v>Not Found</v>
      </c>
      <c r="B39" s="2"/>
      <c r="C39" s="17"/>
      <c r="D39" s="14"/>
      <c r="E39" s="19"/>
      <c r="F39" s="20"/>
      <c r="G39" s="26"/>
    </row>
    <row r="40" spans="1:7" ht="60" customHeight="1">
      <c r="A40" s="4" t="str">
        <f>_xlfn.XLOOKUP(Table_AU[[#This Row],[BUDGET ACCOUNT NAME (DROPDOWN THAT IS USED TO FILL BUDGET ACCOUNT COLUMN)]],Table512[Budget Account Name],Table512[Budget Account Number],"Not Found",0)</f>
        <v>Not Found</v>
      </c>
      <c r="B40" s="2"/>
      <c r="C40" s="17"/>
      <c r="D40" s="38"/>
      <c r="E40" s="19"/>
      <c r="F40" s="20"/>
      <c r="G40" s="26"/>
    </row>
    <row r="41" spans="1:7" ht="60" customHeight="1">
      <c r="A41" s="4" t="str">
        <f>_xlfn.XLOOKUP(Table_AU[[#This Row],[BUDGET ACCOUNT NAME (DROPDOWN THAT IS USED TO FILL BUDGET ACCOUNT COLUMN)]],Table512[Budget Account Name],Table512[Budget Account Number],"Not Found",0)</f>
        <v>Not Found</v>
      </c>
      <c r="B41" s="2"/>
      <c r="C41" s="17"/>
      <c r="D41" s="14"/>
      <c r="E41" s="19"/>
      <c r="F41" s="20"/>
      <c r="G41" s="26"/>
    </row>
    <row r="42" spans="1:7" ht="60" customHeight="1">
      <c r="A42" s="4" t="str">
        <f>_xlfn.XLOOKUP(Table_AU[[#This Row],[BUDGET ACCOUNT NAME (DROPDOWN THAT IS USED TO FILL BUDGET ACCOUNT COLUMN)]],Table512[Budget Account Name],Table512[Budget Account Number],"Not Found",0)</f>
        <v>Not Found</v>
      </c>
      <c r="B42" s="2"/>
      <c r="C42" s="17"/>
      <c r="D42" s="14"/>
      <c r="E42" s="19"/>
      <c r="F42" s="20"/>
      <c r="G42" s="26"/>
    </row>
    <row r="43" spans="1:7" ht="60" customHeight="1">
      <c r="A43" s="4" t="str">
        <f>_xlfn.XLOOKUP(Table_AU[[#This Row],[BUDGET ACCOUNT NAME (DROPDOWN THAT IS USED TO FILL BUDGET ACCOUNT COLUMN)]],Table512[Budget Account Name],Table512[Budget Account Number],"Not Found",0)</f>
        <v>Not Found</v>
      </c>
      <c r="B43" s="2"/>
      <c r="C43" s="17"/>
      <c r="D43" s="14"/>
      <c r="E43" s="19"/>
      <c r="F43" s="20"/>
      <c r="G43" s="26"/>
    </row>
    <row r="44" spans="1:7" ht="60" customHeight="1">
      <c r="A44" s="4" t="str">
        <f>_xlfn.XLOOKUP(Table_AU[[#This Row],[BUDGET ACCOUNT NAME (DROPDOWN THAT IS USED TO FILL BUDGET ACCOUNT COLUMN)]],Table512[Budget Account Name],Table512[Budget Account Number],"Not Found",0)</f>
        <v>Not Found</v>
      </c>
      <c r="B44" s="2"/>
      <c r="C44" s="17"/>
      <c r="D44" s="14"/>
      <c r="E44" s="19"/>
      <c r="F44" s="20"/>
      <c r="G44" s="26"/>
    </row>
    <row r="45" spans="1:7" ht="60" customHeight="1">
      <c r="A45" s="4" t="str">
        <f>_xlfn.XLOOKUP(Table_AU[[#This Row],[BUDGET ACCOUNT NAME (DROPDOWN THAT IS USED TO FILL BUDGET ACCOUNT COLUMN)]],Table512[Budget Account Name],Table512[Budget Account Number],"Not Found",0)</f>
        <v>Not Found</v>
      </c>
      <c r="B45" s="2"/>
      <c r="C45" s="17"/>
      <c r="D45" s="14"/>
      <c r="E45" s="19"/>
      <c r="F45" s="20"/>
      <c r="G45" s="26"/>
    </row>
    <row r="46" spans="1:7" ht="60" customHeight="1">
      <c r="A46" s="4" t="str">
        <f>_xlfn.XLOOKUP(Table_AU[[#This Row],[BUDGET ACCOUNT NAME (DROPDOWN THAT IS USED TO FILL BUDGET ACCOUNT COLUMN)]],Table512[Budget Account Name],Table512[Budget Account Number],"Not Found",0)</f>
        <v>Not Found</v>
      </c>
      <c r="B46" s="2"/>
      <c r="C46" s="17"/>
      <c r="D46" s="14"/>
      <c r="E46" s="19"/>
      <c r="F46" s="20"/>
      <c r="G46" s="26"/>
    </row>
    <row r="47" spans="1:7" ht="60" customHeight="1">
      <c r="A47" s="4" t="str">
        <f>_xlfn.XLOOKUP(Table_AU[[#This Row],[BUDGET ACCOUNT NAME (DROPDOWN THAT IS USED TO FILL BUDGET ACCOUNT COLUMN)]],Table512[Budget Account Name],Table512[Budget Account Number],"Not Found",0)</f>
        <v>Not Found</v>
      </c>
      <c r="B47" s="2"/>
      <c r="C47" s="17"/>
      <c r="D47" s="14"/>
      <c r="E47" s="19"/>
      <c r="F47" s="20"/>
      <c r="G47" s="26"/>
    </row>
    <row r="48" spans="1:7" ht="60" customHeight="1">
      <c r="A48" s="4" t="str">
        <f>_xlfn.XLOOKUP(Table_AU[[#This Row],[BUDGET ACCOUNT NAME (DROPDOWN THAT IS USED TO FILL BUDGET ACCOUNT COLUMN)]],Table512[Budget Account Name],Table512[Budget Account Number],"Not Found",0)</f>
        <v>Not Found</v>
      </c>
      <c r="B48" s="2"/>
      <c r="C48" s="17"/>
      <c r="D48" s="14"/>
      <c r="E48" s="19"/>
      <c r="F48" s="20"/>
      <c r="G48" s="26"/>
    </row>
    <row r="49" spans="1:7" ht="60" customHeight="1">
      <c r="A49" s="4" t="str">
        <f>_xlfn.XLOOKUP(Table_AU[[#This Row],[BUDGET ACCOUNT NAME (DROPDOWN THAT IS USED TO FILL BUDGET ACCOUNT COLUMN)]],Table512[Budget Account Name],Table512[Budget Account Number],"Not Found",0)</f>
        <v>Not Found</v>
      </c>
      <c r="B49" s="2"/>
      <c r="C49" s="17"/>
      <c r="D49" s="14"/>
      <c r="E49" s="19"/>
      <c r="F49" s="20"/>
      <c r="G49" s="26"/>
    </row>
    <row r="50" spans="1:7" ht="60" customHeight="1">
      <c r="A50" s="4" t="str">
        <f>_xlfn.XLOOKUP(Table_AU[[#This Row],[BUDGET ACCOUNT NAME (DROPDOWN THAT IS USED TO FILL BUDGET ACCOUNT COLUMN)]],Table512[Budget Account Name],Table512[Budget Account Number],"Not Found",0)</f>
        <v>Not Found</v>
      </c>
      <c r="B50" s="2"/>
      <c r="C50" s="17"/>
      <c r="D50" s="14"/>
      <c r="E50" s="19"/>
      <c r="F50" s="20"/>
      <c r="G50" s="26"/>
    </row>
    <row r="51" spans="1:7" ht="60" customHeight="1">
      <c r="A51" s="4" t="str">
        <f>_xlfn.XLOOKUP(Table_AU[[#This Row],[BUDGET ACCOUNT NAME (DROPDOWN THAT IS USED TO FILL BUDGET ACCOUNT COLUMN)]],Table512[Budget Account Name],Table512[Budget Account Number],"Not Found",0)</f>
        <v>Not Found</v>
      </c>
      <c r="B51" s="2"/>
      <c r="C51" s="17"/>
      <c r="D51" s="14"/>
      <c r="E51" s="19"/>
      <c r="F51" s="20"/>
      <c r="G51" s="26"/>
    </row>
    <row r="52" spans="1:7" ht="60" customHeight="1">
      <c r="A52" s="4" t="str">
        <f>_xlfn.XLOOKUP(Table_AU[[#This Row],[BUDGET ACCOUNT NAME (DROPDOWN THAT IS USED TO FILL BUDGET ACCOUNT COLUMN)]],Table512[Budget Account Name],Table512[Budget Account Number],"Not Found",0)</f>
        <v>Not Found</v>
      </c>
      <c r="B52" s="2"/>
      <c r="C52" s="17"/>
      <c r="D52" s="14"/>
      <c r="E52" s="19"/>
      <c r="F52" s="20"/>
      <c r="G52" s="26"/>
    </row>
    <row r="53" spans="1:7" ht="60" customHeight="1">
      <c r="A53" s="4" t="str">
        <f>_xlfn.XLOOKUP(Table_AU[[#This Row],[BUDGET ACCOUNT NAME (DROPDOWN THAT IS USED TO FILL BUDGET ACCOUNT COLUMN)]],Table512[Budget Account Name],Table512[Budget Account Number],"Not Found",0)</f>
        <v>Not Found</v>
      </c>
      <c r="B53" s="2"/>
      <c r="C53" s="17"/>
      <c r="D53" s="14"/>
      <c r="E53" s="19"/>
      <c r="F53" s="20"/>
      <c r="G53" s="26"/>
    </row>
    <row r="54" spans="1:7" ht="60" customHeight="1">
      <c r="A54" s="4" t="str">
        <f>_xlfn.XLOOKUP(Table_AU[[#This Row],[BUDGET ACCOUNT NAME (DROPDOWN THAT IS USED TO FILL BUDGET ACCOUNT COLUMN)]],Table512[Budget Account Name],Table512[Budget Account Number],"Not Found",0)</f>
        <v>Not Found</v>
      </c>
      <c r="B54" s="2"/>
      <c r="C54" s="17"/>
      <c r="D54" s="14"/>
      <c r="E54" s="19"/>
      <c r="F54" s="20"/>
      <c r="G54" s="26"/>
    </row>
    <row r="55" spans="1:7" ht="60" customHeight="1">
      <c r="A55" s="4" t="str">
        <f>_xlfn.XLOOKUP(Table_AU[[#This Row],[BUDGET ACCOUNT NAME (DROPDOWN THAT IS USED TO FILL BUDGET ACCOUNT COLUMN)]],Table512[Budget Account Name],Table512[Budget Account Number],"Not Found",0)</f>
        <v>Not Found</v>
      </c>
      <c r="B55" s="2"/>
      <c r="C55" s="17"/>
      <c r="D55" s="14"/>
      <c r="E55" s="19"/>
      <c r="F55" s="20"/>
      <c r="G55" s="26"/>
    </row>
    <row r="56" spans="1:7" ht="60" customHeight="1">
      <c r="A56" s="4" t="str">
        <f>_xlfn.XLOOKUP(Table_AU[[#This Row],[BUDGET ACCOUNT NAME (DROPDOWN THAT IS USED TO FILL BUDGET ACCOUNT COLUMN)]],Table512[Budget Account Name],Table512[Budget Account Number],"Not Found",0)</f>
        <v>Not Found</v>
      </c>
      <c r="B56" s="2"/>
      <c r="C56" s="17"/>
      <c r="D56" s="14"/>
      <c r="E56" s="19"/>
      <c r="F56" s="20"/>
      <c r="G56" s="26"/>
    </row>
    <row r="57" spans="1:7" ht="60" customHeight="1">
      <c r="A57" s="4" t="str">
        <f>_xlfn.XLOOKUP(Table_AU[[#This Row],[BUDGET ACCOUNT NAME (DROPDOWN THAT IS USED TO FILL BUDGET ACCOUNT COLUMN)]],Table512[Budget Account Name],Table512[Budget Account Number],"Not Found",0)</f>
        <v>Not Found</v>
      </c>
      <c r="B57" s="2"/>
      <c r="C57" s="17"/>
      <c r="D57" s="14"/>
      <c r="E57" s="19"/>
      <c r="F57" s="20"/>
      <c r="G57" s="26"/>
    </row>
    <row r="58" spans="1:7" ht="60" customHeight="1">
      <c r="A58" s="4" t="str">
        <f>_xlfn.XLOOKUP(Table_AU[[#This Row],[BUDGET ACCOUNT NAME (DROPDOWN THAT IS USED TO FILL BUDGET ACCOUNT COLUMN)]],Table512[Budget Account Name],Table512[Budget Account Number],"Not Found",0)</f>
        <v>Not Found</v>
      </c>
      <c r="B58" s="2"/>
      <c r="C58" s="17"/>
      <c r="D58" s="14"/>
      <c r="E58" s="19"/>
      <c r="F58" s="20"/>
      <c r="G58" s="26"/>
    </row>
    <row r="59" spans="1:7" ht="60" customHeight="1">
      <c r="A59" s="4" t="str">
        <f>_xlfn.XLOOKUP(Table_AU[[#This Row],[BUDGET ACCOUNT NAME (DROPDOWN THAT IS USED TO FILL BUDGET ACCOUNT COLUMN)]],Table512[Budget Account Name],Table512[Budget Account Number],"Not Found",0)</f>
        <v>Not Found</v>
      </c>
      <c r="B59" s="2"/>
      <c r="C59" s="17"/>
      <c r="D59" s="14"/>
      <c r="E59" s="19"/>
      <c r="F59" s="20"/>
      <c r="G59" s="26"/>
    </row>
    <row r="60" spans="1:7" ht="60" customHeight="1">
      <c r="A60" s="4" t="str">
        <f>_xlfn.XLOOKUP(Table_AU[[#This Row],[BUDGET ACCOUNT NAME (DROPDOWN THAT IS USED TO FILL BUDGET ACCOUNT COLUMN)]],Table512[Budget Account Name],Table512[Budget Account Number],"Not Found",0)</f>
        <v>Not Found</v>
      </c>
      <c r="B60" s="2"/>
      <c r="C60" s="17"/>
      <c r="D60" s="14"/>
      <c r="E60" s="19"/>
      <c r="F60" s="20"/>
      <c r="G60" s="26"/>
    </row>
    <row r="61" spans="1:7" ht="60" customHeight="1">
      <c r="A61" s="4" t="str">
        <f>_xlfn.XLOOKUP(Table_AU[[#This Row],[BUDGET ACCOUNT NAME (DROPDOWN THAT IS USED TO FILL BUDGET ACCOUNT COLUMN)]],Table512[Budget Account Name],Table512[Budget Account Number],"Not Found",0)</f>
        <v>Not Found</v>
      </c>
      <c r="B61" s="2"/>
      <c r="C61" s="17"/>
      <c r="D61" s="14"/>
      <c r="E61" s="19"/>
      <c r="F61" s="20"/>
      <c r="G61" s="26"/>
    </row>
    <row r="62" spans="1:7" ht="60" customHeight="1">
      <c r="A62" s="4" t="str">
        <f>_xlfn.XLOOKUP(Table_AU[[#This Row],[BUDGET ACCOUNT NAME (DROPDOWN THAT IS USED TO FILL BUDGET ACCOUNT COLUMN)]],Table512[Budget Account Name],Table512[Budget Account Number],"Not Found",0)</f>
        <v>Not Found</v>
      </c>
      <c r="B62" s="2"/>
      <c r="C62" s="17"/>
      <c r="D62" s="14"/>
      <c r="E62" s="19"/>
      <c r="F62" s="20"/>
      <c r="G62" s="26"/>
    </row>
    <row r="63" spans="1:7" ht="60" customHeight="1">
      <c r="A63" s="4" t="str">
        <f>_xlfn.XLOOKUP(Table_AU[[#This Row],[BUDGET ACCOUNT NAME (DROPDOWN THAT IS USED TO FILL BUDGET ACCOUNT COLUMN)]],Table512[Budget Account Name],Table512[Budget Account Number],"Not Found",0)</f>
        <v>Not Found</v>
      </c>
      <c r="B63" s="2"/>
      <c r="C63" s="17"/>
      <c r="D63" s="14"/>
      <c r="E63" s="19"/>
      <c r="F63" s="20"/>
      <c r="G63" s="26"/>
    </row>
    <row r="64" spans="1:7" ht="60" customHeight="1">
      <c r="A64" s="4" t="str">
        <f>_xlfn.XLOOKUP(Table_AU[[#This Row],[BUDGET ACCOUNT NAME (DROPDOWN THAT IS USED TO FILL BUDGET ACCOUNT COLUMN)]],Table512[Budget Account Name],Table512[Budget Account Number],"Not Found",0)</f>
        <v>Not Found</v>
      </c>
      <c r="B64" s="2"/>
      <c r="C64" s="17"/>
      <c r="D64" s="14"/>
      <c r="E64" s="19"/>
      <c r="F64" s="20"/>
      <c r="G64" s="26"/>
    </row>
    <row r="65" spans="1:7" ht="60" customHeight="1">
      <c r="A65" s="4" t="str">
        <f>_xlfn.XLOOKUP(Table_AU[[#This Row],[BUDGET ACCOUNT NAME (DROPDOWN THAT IS USED TO FILL BUDGET ACCOUNT COLUMN)]],Table512[Budget Account Name],Table512[Budget Account Number],"Not Found",0)</f>
        <v>Not Found</v>
      </c>
      <c r="B65" s="2"/>
      <c r="C65" s="17"/>
      <c r="D65" s="14"/>
      <c r="E65" s="19"/>
      <c r="F65" s="20"/>
      <c r="G65" s="26"/>
    </row>
    <row r="66" spans="1:7" ht="60" customHeight="1">
      <c r="A66" s="4" t="str">
        <f>_xlfn.XLOOKUP(Table_AU[[#This Row],[BUDGET ACCOUNT NAME (DROPDOWN THAT IS USED TO FILL BUDGET ACCOUNT COLUMN)]],Table512[Budget Account Name],Table512[Budget Account Number],"Not Found",0)</f>
        <v>Not Found</v>
      </c>
      <c r="B66" s="2"/>
      <c r="C66" s="17"/>
      <c r="D66" s="14"/>
      <c r="E66" s="19"/>
      <c r="F66" s="20"/>
      <c r="G66" s="26"/>
    </row>
    <row r="67" spans="1:7" ht="60" customHeight="1">
      <c r="A67" s="4" t="str">
        <f>_xlfn.XLOOKUP(Table_AU[[#This Row],[BUDGET ACCOUNT NAME (DROPDOWN THAT IS USED TO FILL BUDGET ACCOUNT COLUMN)]],Table512[Budget Account Name],Table512[Budget Account Number],"Not Found",0)</f>
        <v>Not Found</v>
      </c>
      <c r="B67" s="2"/>
      <c r="C67" s="17"/>
      <c r="D67" s="14"/>
      <c r="E67" s="19"/>
      <c r="F67" s="20"/>
      <c r="G67" s="26"/>
    </row>
    <row r="68" spans="1:7" ht="60" customHeight="1">
      <c r="A68" s="4" t="str">
        <f>_xlfn.XLOOKUP(Table_AU[[#This Row],[BUDGET ACCOUNT NAME (DROPDOWN THAT IS USED TO FILL BUDGET ACCOUNT COLUMN)]],Table512[Budget Account Name],Table512[Budget Account Number],"Not Found",0)</f>
        <v>Not Found</v>
      </c>
      <c r="B68" s="2"/>
      <c r="C68" s="17"/>
      <c r="D68" s="14"/>
      <c r="E68" s="19"/>
      <c r="F68" s="20"/>
      <c r="G68" s="26"/>
    </row>
    <row r="69" spans="1:7" ht="60" customHeight="1">
      <c r="A69" s="4" t="str">
        <f>_xlfn.XLOOKUP(Table_AU[[#This Row],[BUDGET ACCOUNT NAME (DROPDOWN THAT IS USED TO FILL BUDGET ACCOUNT COLUMN)]],Table512[Budget Account Name],Table512[Budget Account Number],"Not Found",0)</f>
        <v>Not Found</v>
      </c>
      <c r="B69" s="2"/>
      <c r="C69" s="17"/>
      <c r="D69" s="14"/>
      <c r="E69" s="19"/>
      <c r="F69" s="20"/>
      <c r="G69" s="26"/>
    </row>
    <row r="70" spans="1:7" ht="60" customHeight="1">
      <c r="A70" s="4" t="str">
        <f>_xlfn.XLOOKUP(Table_AU[[#This Row],[BUDGET ACCOUNT NAME (DROPDOWN THAT IS USED TO FILL BUDGET ACCOUNT COLUMN)]],Table512[Budget Account Name],Table512[Budget Account Number],"Not Found",0)</f>
        <v>Not Found</v>
      </c>
      <c r="B70" s="2"/>
      <c r="C70" s="17"/>
      <c r="D70" s="14"/>
      <c r="E70" s="19"/>
      <c r="F70" s="20"/>
      <c r="G70" s="26"/>
    </row>
    <row r="71" spans="1:7" ht="60" customHeight="1">
      <c r="A71" s="4" t="str">
        <f>_xlfn.XLOOKUP(Table_AU[[#This Row],[BUDGET ACCOUNT NAME (DROPDOWN THAT IS USED TO FILL BUDGET ACCOUNT COLUMN)]],Table512[Budget Account Name],Table512[Budget Account Number],"Not Found",0)</f>
        <v>Not Found</v>
      </c>
      <c r="B71" s="2"/>
      <c r="C71" s="17"/>
      <c r="D71" s="14"/>
      <c r="E71" s="19"/>
      <c r="F71" s="20"/>
      <c r="G71" s="26"/>
    </row>
    <row r="72" spans="1:7" ht="60" customHeight="1">
      <c r="A72" s="4" t="str">
        <f>_xlfn.XLOOKUP(Table_AU[[#This Row],[BUDGET ACCOUNT NAME (DROPDOWN THAT IS USED TO FILL BUDGET ACCOUNT COLUMN)]],Table512[Budget Account Name],Table512[Budget Account Number],"Not Found",0)</f>
        <v>Not Found</v>
      </c>
      <c r="B72" s="2"/>
      <c r="C72" s="17"/>
      <c r="D72" s="14"/>
      <c r="E72" s="19"/>
      <c r="F72" s="20"/>
      <c r="G72" s="26"/>
    </row>
    <row r="73" spans="1:7" ht="60" customHeight="1">
      <c r="A73" s="4" t="str">
        <f>_xlfn.XLOOKUP(Table_AU[[#This Row],[BUDGET ACCOUNT NAME (DROPDOWN THAT IS USED TO FILL BUDGET ACCOUNT COLUMN)]],Table512[Budget Account Name],Table512[Budget Account Number],"Not Found",0)</f>
        <v>Not Found</v>
      </c>
      <c r="B73" s="2"/>
      <c r="C73" s="17"/>
      <c r="D73" s="14"/>
      <c r="E73" s="19"/>
      <c r="F73" s="20"/>
      <c r="G73" s="26"/>
    </row>
    <row r="74" spans="1:7" ht="60" customHeight="1">
      <c r="A74" s="4" t="str">
        <f>_xlfn.XLOOKUP(Table_AU[[#This Row],[BUDGET ACCOUNT NAME (DROPDOWN THAT IS USED TO FILL BUDGET ACCOUNT COLUMN)]],Table512[Budget Account Name],Table512[Budget Account Number],"Not Found",0)</f>
        <v>Not Found</v>
      </c>
      <c r="B74" s="2"/>
      <c r="C74" s="17"/>
      <c r="D74" s="14"/>
      <c r="E74" s="19"/>
      <c r="F74" s="20"/>
      <c r="G74" s="26"/>
    </row>
    <row r="75" spans="1:7" ht="60" customHeight="1">
      <c r="A75" s="4" t="str">
        <f>_xlfn.XLOOKUP(Table_AU[[#This Row],[BUDGET ACCOUNT NAME (DROPDOWN THAT IS USED TO FILL BUDGET ACCOUNT COLUMN)]],Table512[Budget Account Name],Table512[Budget Account Number],"Not Found",0)</f>
        <v>Not Found</v>
      </c>
      <c r="B75" s="2"/>
      <c r="C75" s="17"/>
      <c r="D75" s="14"/>
      <c r="E75" s="19"/>
      <c r="F75" s="20"/>
      <c r="G75" s="26"/>
    </row>
    <row r="76" spans="1:7" ht="60" customHeight="1">
      <c r="A76" s="4" t="str">
        <f>_xlfn.XLOOKUP(Table_AU[[#This Row],[BUDGET ACCOUNT NAME (DROPDOWN THAT IS USED TO FILL BUDGET ACCOUNT COLUMN)]],Table512[Budget Account Name],Table512[Budget Account Number],"Not Found",0)</f>
        <v>Not Found</v>
      </c>
      <c r="B76" s="2"/>
      <c r="C76" s="17"/>
      <c r="D76" s="14"/>
      <c r="E76" s="19"/>
      <c r="F76" s="20"/>
      <c r="G76" s="26"/>
    </row>
    <row r="77" spans="1:7" ht="60" customHeight="1">
      <c r="A77" s="4" t="str">
        <f>_xlfn.XLOOKUP(Table_AU[[#This Row],[BUDGET ACCOUNT NAME (DROPDOWN THAT IS USED TO FILL BUDGET ACCOUNT COLUMN)]],Table512[Budget Account Name],Table512[Budget Account Number],"Not Found",0)</f>
        <v>Not Found</v>
      </c>
      <c r="B77" s="2"/>
      <c r="C77" s="17"/>
      <c r="D77" s="14"/>
      <c r="E77" s="19"/>
      <c r="F77" s="20"/>
      <c r="G77" s="26"/>
    </row>
    <row r="78" spans="1:7" ht="60" customHeight="1">
      <c r="A78" s="4" t="str">
        <f>_xlfn.XLOOKUP(Table_AU[[#This Row],[BUDGET ACCOUNT NAME (DROPDOWN THAT IS USED TO FILL BUDGET ACCOUNT COLUMN)]],Table512[Budget Account Name],Table512[Budget Account Number],"Not Found",0)</f>
        <v>Not Found</v>
      </c>
      <c r="B78" s="2"/>
      <c r="C78" s="17"/>
      <c r="D78" s="14"/>
      <c r="E78" s="19"/>
      <c r="F78" s="20"/>
      <c r="G78" s="26"/>
    </row>
    <row r="79" spans="1:7" ht="60" customHeight="1">
      <c r="A79" s="4" t="str">
        <f>_xlfn.XLOOKUP(Table_AU[[#This Row],[BUDGET ACCOUNT NAME (DROPDOWN THAT IS USED TO FILL BUDGET ACCOUNT COLUMN)]],Table512[Budget Account Name],Table512[Budget Account Number],"Not Found",0)</f>
        <v>Not Found</v>
      </c>
      <c r="B79" s="2"/>
      <c r="C79" s="17"/>
      <c r="D79" s="14"/>
      <c r="E79" s="19"/>
      <c r="F79" s="20"/>
      <c r="G79" s="26"/>
    </row>
    <row r="80" spans="1:7" ht="60" customHeight="1">
      <c r="A80" s="4" t="str">
        <f>_xlfn.XLOOKUP(Table_AU[[#This Row],[BUDGET ACCOUNT NAME (DROPDOWN THAT IS USED TO FILL BUDGET ACCOUNT COLUMN)]],Table512[Budget Account Name],Table512[Budget Account Number],"Not Found",0)</f>
        <v>Not Found</v>
      </c>
      <c r="B80" s="2"/>
      <c r="C80" s="17"/>
      <c r="D80" s="14"/>
      <c r="E80" s="19"/>
      <c r="F80" s="20"/>
      <c r="G80" s="26"/>
    </row>
    <row r="81" spans="1:7" ht="60" customHeight="1">
      <c r="A81" s="4" t="str">
        <f>_xlfn.XLOOKUP(Table_AU[[#This Row],[BUDGET ACCOUNT NAME (DROPDOWN THAT IS USED TO FILL BUDGET ACCOUNT COLUMN)]],Table512[Budget Account Name],Table512[Budget Account Number],"Not Found",0)</f>
        <v>Not Found</v>
      </c>
      <c r="B81" s="2"/>
      <c r="C81" s="17"/>
      <c r="D81" s="14"/>
      <c r="E81" s="19"/>
      <c r="F81" s="20"/>
      <c r="G81" s="26"/>
    </row>
    <row r="82" spans="1:7" ht="60" customHeight="1">
      <c r="A82" s="4" t="str">
        <f>_xlfn.XLOOKUP(Table_AU[[#This Row],[BUDGET ACCOUNT NAME (DROPDOWN THAT IS USED TO FILL BUDGET ACCOUNT COLUMN)]],Table512[Budget Account Name],Table512[Budget Account Number],"Not Found",0)</f>
        <v>Not Found</v>
      </c>
      <c r="B82" s="2"/>
      <c r="C82" s="17"/>
      <c r="D82" s="14"/>
      <c r="E82" s="19"/>
      <c r="F82" s="20"/>
      <c r="G82" s="26"/>
    </row>
    <row r="83" spans="1:7" ht="60" customHeight="1">
      <c r="A83" s="4" t="str">
        <f>_xlfn.XLOOKUP(Table_AU[[#This Row],[BUDGET ACCOUNT NAME (DROPDOWN THAT IS USED TO FILL BUDGET ACCOUNT COLUMN)]],Table512[Budget Account Name],Table512[Budget Account Number],"Not Found",0)</f>
        <v>Not Found</v>
      </c>
      <c r="B83" s="2"/>
      <c r="C83" s="17"/>
      <c r="D83" s="14"/>
      <c r="E83" s="19"/>
      <c r="F83" s="20"/>
      <c r="G83" s="26"/>
    </row>
    <row r="84" spans="1:7" ht="60" customHeight="1">
      <c r="A84" s="4" t="str">
        <f>_xlfn.XLOOKUP(Table_AU[[#This Row],[BUDGET ACCOUNT NAME (DROPDOWN THAT IS USED TO FILL BUDGET ACCOUNT COLUMN)]],Table512[Budget Account Name],Table512[Budget Account Number],"Not Found",0)</f>
        <v>Not Found</v>
      </c>
      <c r="B84" s="2"/>
      <c r="C84" s="17"/>
      <c r="D84" s="14"/>
      <c r="E84" s="19"/>
      <c r="F84" s="20"/>
      <c r="G84" s="26"/>
    </row>
    <row r="85" spans="1:7" ht="60" customHeight="1">
      <c r="A85" s="4" t="str">
        <f>_xlfn.XLOOKUP(Table_AU[[#This Row],[BUDGET ACCOUNT NAME (DROPDOWN THAT IS USED TO FILL BUDGET ACCOUNT COLUMN)]],Table512[Budget Account Name],Table512[Budget Account Number],"Not Found",0)</f>
        <v>Not Found</v>
      </c>
      <c r="B85" s="2"/>
      <c r="C85" s="17"/>
      <c r="D85" s="14"/>
      <c r="E85" s="19"/>
      <c r="F85" s="20"/>
      <c r="G85" s="26"/>
    </row>
    <row r="86" spans="1:7" ht="60" customHeight="1">
      <c r="A86" s="4" t="str">
        <f>_xlfn.XLOOKUP(Table_AU[[#This Row],[BUDGET ACCOUNT NAME (DROPDOWN THAT IS USED TO FILL BUDGET ACCOUNT COLUMN)]],Table512[Budget Account Name],Table512[Budget Account Number],"Not Found",0)</f>
        <v>Not Found</v>
      </c>
      <c r="B86" s="2"/>
      <c r="C86" s="17"/>
      <c r="D86" s="14"/>
      <c r="E86" s="19"/>
      <c r="F86" s="20"/>
      <c r="G86" s="26"/>
    </row>
    <row r="87" spans="1:7" ht="60" customHeight="1">
      <c r="A87" s="4" t="str">
        <f>_xlfn.XLOOKUP(Table_AU[[#This Row],[BUDGET ACCOUNT NAME (DROPDOWN THAT IS USED TO FILL BUDGET ACCOUNT COLUMN)]],Table512[Budget Account Name],Table512[Budget Account Number],"Not Found",0)</f>
        <v>Not Found</v>
      </c>
      <c r="B87" s="2"/>
      <c r="C87" s="17"/>
      <c r="D87" s="14"/>
      <c r="E87" s="19"/>
      <c r="F87" s="20"/>
      <c r="G87" s="26"/>
    </row>
    <row r="88" spans="1:7" ht="60" customHeight="1">
      <c r="A88" s="4" t="str">
        <f>_xlfn.XLOOKUP(Table_AU[[#This Row],[BUDGET ACCOUNT NAME (DROPDOWN THAT IS USED TO FILL BUDGET ACCOUNT COLUMN)]],Table512[Budget Account Name],Table512[Budget Account Number],"Not Found",0)</f>
        <v>Not Found</v>
      </c>
      <c r="B88" s="2"/>
      <c r="C88" s="17"/>
      <c r="D88" s="14"/>
      <c r="E88" s="19"/>
      <c r="F88" s="20"/>
      <c r="G88" s="26"/>
    </row>
    <row r="89" spans="1:7" ht="60" customHeight="1">
      <c r="A89" s="4" t="str">
        <f>_xlfn.XLOOKUP(Table_AU[[#This Row],[BUDGET ACCOUNT NAME (DROPDOWN THAT IS USED TO FILL BUDGET ACCOUNT COLUMN)]],Table512[Budget Account Name],Table512[Budget Account Number],"Not Found",0)</f>
        <v>Not Found</v>
      </c>
      <c r="B89" s="2"/>
      <c r="C89" s="17"/>
      <c r="D89" s="14"/>
      <c r="E89" s="19"/>
      <c r="F89" s="20"/>
      <c r="G89" s="26"/>
    </row>
    <row r="90" spans="1:7" ht="60" customHeight="1">
      <c r="A90" s="4" t="str">
        <f>_xlfn.XLOOKUP(Table_AU[[#This Row],[BUDGET ACCOUNT NAME (DROPDOWN THAT IS USED TO FILL BUDGET ACCOUNT COLUMN)]],Table512[Budget Account Name],Table512[Budget Account Number],"Not Found",0)</f>
        <v>Not Found</v>
      </c>
      <c r="B90" s="2"/>
      <c r="C90" s="17"/>
      <c r="D90" s="14"/>
      <c r="E90" s="19"/>
      <c r="F90" s="20"/>
      <c r="G90" s="26"/>
    </row>
    <row r="91" spans="1:7" ht="60" customHeight="1">
      <c r="A91" s="4" t="str">
        <f>_xlfn.XLOOKUP(Table_AU[[#This Row],[BUDGET ACCOUNT NAME (DROPDOWN THAT IS USED TO FILL BUDGET ACCOUNT COLUMN)]],Table512[Budget Account Name],Table512[Budget Account Number],"Not Found",0)</f>
        <v>Not Found</v>
      </c>
      <c r="B91" s="2"/>
      <c r="C91" s="17"/>
      <c r="D91" s="14"/>
      <c r="E91" s="19"/>
      <c r="F91" s="20"/>
      <c r="G91" s="26"/>
    </row>
    <row r="92" spans="1:7" ht="60" customHeight="1">
      <c r="A92" s="4" t="str">
        <f>_xlfn.XLOOKUP(Table_AU[[#This Row],[BUDGET ACCOUNT NAME (DROPDOWN THAT IS USED TO FILL BUDGET ACCOUNT COLUMN)]],Table512[Budget Account Name],Table512[Budget Account Number],"Not Found",0)</f>
        <v>Not Found</v>
      </c>
      <c r="B92" s="2"/>
      <c r="C92" s="17"/>
      <c r="D92" s="14"/>
      <c r="E92" s="19"/>
      <c r="F92" s="20"/>
      <c r="G92" s="26"/>
    </row>
    <row r="93" spans="1:7" ht="60" customHeight="1">
      <c r="A93" s="4" t="str">
        <f>_xlfn.XLOOKUP(Table_AU[[#This Row],[BUDGET ACCOUNT NAME (DROPDOWN THAT IS USED TO FILL BUDGET ACCOUNT COLUMN)]],Table512[Budget Account Name],Table512[Budget Account Number],"Not Found",0)</f>
        <v>Not Found</v>
      </c>
      <c r="B93" s="2"/>
      <c r="C93" s="17"/>
      <c r="D93" s="14"/>
      <c r="E93" s="19"/>
      <c r="F93" s="20"/>
      <c r="G93" s="26"/>
    </row>
    <row r="94" spans="1:7" ht="60" customHeight="1">
      <c r="A94" s="4" t="str">
        <f>_xlfn.XLOOKUP(Table_AU[[#This Row],[BUDGET ACCOUNT NAME (DROPDOWN THAT IS USED TO FILL BUDGET ACCOUNT COLUMN)]],Table512[Budget Account Name],Table512[Budget Account Number],"Not Found",0)</f>
        <v>Not Found</v>
      </c>
      <c r="B94" s="2"/>
      <c r="C94" s="17"/>
      <c r="D94" s="14"/>
      <c r="E94" s="19"/>
      <c r="F94" s="20"/>
      <c r="G94" s="26"/>
    </row>
    <row r="95" spans="1:7" ht="60" customHeight="1">
      <c r="A95" s="4" t="str">
        <f>_xlfn.XLOOKUP(Table_AU[[#This Row],[BUDGET ACCOUNT NAME (DROPDOWN THAT IS USED TO FILL BUDGET ACCOUNT COLUMN)]],Table512[Budget Account Name],Table512[Budget Account Number],"Not Found",0)</f>
        <v>Not Found</v>
      </c>
      <c r="B95" s="2"/>
      <c r="C95" s="17"/>
      <c r="D95" s="14"/>
      <c r="E95" s="19"/>
      <c r="F95" s="20"/>
      <c r="G95" s="26"/>
    </row>
    <row r="96" spans="1:7" ht="60" customHeight="1">
      <c r="A96" s="4" t="str">
        <f>_xlfn.XLOOKUP(Table_AU[[#This Row],[BUDGET ACCOUNT NAME (DROPDOWN THAT IS USED TO FILL BUDGET ACCOUNT COLUMN)]],Table512[Budget Account Name],Table512[Budget Account Number],"Not Found",0)</f>
        <v>Not Found</v>
      </c>
      <c r="B96" s="2"/>
      <c r="C96" s="17"/>
      <c r="D96" s="14"/>
      <c r="E96" s="19"/>
      <c r="F96" s="20"/>
      <c r="G96" s="26"/>
    </row>
    <row r="97" spans="1:7" ht="60" customHeight="1">
      <c r="A97" s="4" t="str">
        <f>_xlfn.XLOOKUP(Table_AU[[#This Row],[BUDGET ACCOUNT NAME (DROPDOWN THAT IS USED TO FILL BUDGET ACCOUNT COLUMN)]],Table512[Budget Account Name],Table512[Budget Account Number],"Not Found",0)</f>
        <v>Not Found</v>
      </c>
      <c r="B97" s="2"/>
      <c r="C97" s="17"/>
      <c r="D97" s="14"/>
      <c r="E97" s="19"/>
      <c r="F97" s="20"/>
      <c r="G97" s="26"/>
    </row>
    <row r="98" spans="1:7" ht="60" customHeight="1">
      <c r="A98" s="4" t="str">
        <f>_xlfn.XLOOKUP(Table_AU[[#This Row],[BUDGET ACCOUNT NAME (DROPDOWN THAT IS USED TO FILL BUDGET ACCOUNT COLUMN)]],Table512[Budget Account Name],Table512[Budget Account Number],"Not Found",0)</f>
        <v>Not Found</v>
      </c>
      <c r="B98" s="2"/>
      <c r="C98" s="17"/>
      <c r="D98" s="14"/>
      <c r="E98" s="19"/>
      <c r="F98" s="20"/>
      <c r="G98" s="26"/>
    </row>
    <row r="99" spans="1:7" ht="60" customHeight="1">
      <c r="A99" s="4" t="str">
        <f>_xlfn.XLOOKUP(Table_AU[[#This Row],[BUDGET ACCOUNT NAME (DROPDOWN THAT IS USED TO FILL BUDGET ACCOUNT COLUMN)]],Table512[Budget Account Name],Table512[Budget Account Number],"Not Found",0)</f>
        <v>Not Found</v>
      </c>
      <c r="B99" s="2"/>
      <c r="C99" s="17"/>
      <c r="D99" s="14"/>
      <c r="E99" s="19"/>
      <c r="F99" s="20"/>
      <c r="G99" s="26"/>
    </row>
    <row r="100" spans="1:7" ht="60" customHeight="1">
      <c r="A100" s="4" t="str">
        <f>_xlfn.XLOOKUP(Table_AU[[#This Row],[BUDGET ACCOUNT NAME (DROPDOWN THAT IS USED TO FILL BUDGET ACCOUNT COLUMN)]],Table512[Budget Account Name],Table512[Budget Account Number],"Not Found",0)</f>
        <v>Not Found</v>
      </c>
      <c r="B100" s="6"/>
      <c r="C100" s="18"/>
      <c r="D100" s="15"/>
      <c r="E100" s="21"/>
      <c r="F100" s="22"/>
      <c r="G100" s="26"/>
    </row>
  </sheetData>
  <protectedRanges>
    <protectedRange algorithmName="SHA-512" hashValue="CA3U4kzj4eqaSt818bqW56YejFgppppGhxFmkdMH4/eNef/5Do8NQOdOeIr2gbLV5B3cRJi7ySA0aGnxb2mtLQ==" saltValue="xoUmAdZJw1zBMpqYUsnfpw==" spinCount="100000" sqref="B14:D100" name="AU"/>
  </protectedRanges>
  <mergeCells count="3">
    <mergeCell ref="A1:F1"/>
    <mergeCell ref="C2:F2"/>
    <mergeCell ref="A12:F12"/>
  </mergeCells>
  <phoneticPr fontId="14" type="noConversion"/>
  <dataValidations count="3">
    <dataValidation type="list" allowBlank="1" showInputMessage="1" showErrorMessage="1" sqref="G14:G100" xr:uid="{AF040B88-21BD-4ED1-AC89-B4A82221374C}">
      <formula1>$G$1:$G$9</formula1>
    </dataValidation>
    <dataValidation type="list" allowBlank="1" showInputMessage="1" showErrorMessage="1" sqref="E14:E100" xr:uid="{F72EE12D-DA56-47AD-BA4B-EBF125896034}">
      <formula1>$H$2:$H$6</formula1>
    </dataValidation>
    <dataValidation type="list" allowBlank="1" showInputMessage="1" showErrorMessage="1" sqref="B14:B100" xr:uid="{64FEE61A-9A0B-452A-AEA8-E1A81CDD2FA2}">
      <formula1>$B$3:$B$11</formula1>
    </dataValidation>
  </dataValidation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C1C6-BE8C-4059-ABE1-922590C02811}">
  <dimension ref="A1:J104"/>
  <sheetViews>
    <sheetView zoomScale="70" zoomScaleNormal="70" workbookViewId="0">
      <pane ySplit="13" topLeftCell="A14" activePane="bottomLeft" state="frozen"/>
      <selection pane="bottomLeft" activeCell="E14" sqref="E14"/>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t="s">
        <v>155</v>
      </c>
      <c r="H10" s="23"/>
      <c r="I10" s="28"/>
      <c r="J10" s="28"/>
    </row>
    <row r="11" spans="1:10">
      <c r="A11" s="5">
        <v>88800</v>
      </c>
      <c r="B11" s="12" t="s">
        <v>26</v>
      </c>
      <c r="C11" s="3" t="s">
        <v>138</v>
      </c>
      <c r="D11" s="3" t="s">
        <v>89</v>
      </c>
      <c r="E11" s="3" t="s">
        <v>92</v>
      </c>
      <c r="F11" s="3" t="s">
        <v>93</v>
      </c>
      <c r="G11" s="27" t="s">
        <v>156</v>
      </c>
      <c r="H11" s="23"/>
      <c r="I11" s="28"/>
      <c r="J11" s="28"/>
    </row>
    <row r="12" spans="1:10" ht="21">
      <c r="A12" s="51" t="s">
        <v>139</v>
      </c>
      <c r="B12" s="51"/>
      <c r="C12" s="51"/>
      <c r="D12" s="51"/>
      <c r="E12" s="51"/>
      <c r="F12" s="51"/>
      <c r="G12" s="23"/>
      <c r="H12" s="23"/>
      <c r="I12" s="28"/>
      <c r="J12" s="28"/>
    </row>
    <row r="13" spans="1:10" ht="56.25">
      <c r="A13" s="7" t="s">
        <v>140</v>
      </c>
      <c r="B13" s="8" t="s">
        <v>141</v>
      </c>
      <c r="C13" s="9" t="s">
        <v>142</v>
      </c>
      <c r="D13" s="9" t="s">
        <v>143</v>
      </c>
      <c r="E13" s="10" t="s">
        <v>144</v>
      </c>
      <c r="F13" s="11" t="s">
        <v>145</v>
      </c>
      <c r="G13" s="25" t="s">
        <v>146</v>
      </c>
    </row>
    <row r="14" spans="1:10" ht="60" customHeight="1">
      <c r="A14" s="4" t="str">
        <f>_xlfn.XLOOKUP(Table_CMU[[#This Row],[BUDGET ACCOUNT NAME (DROPDOWN THAT IS USED TO FILL BUDGET ACCOUNT COLUMN)]],Table58[Budget Account Name],Table58[Budget Account Number],"Not Found",0)</f>
        <v>Not Found</v>
      </c>
      <c r="B14" s="2"/>
      <c r="C14" s="16"/>
      <c r="D14" s="14"/>
      <c r="E14" s="19"/>
      <c r="F14" s="20"/>
      <c r="G14" s="26"/>
    </row>
    <row r="15" spans="1:10" ht="60" customHeight="1">
      <c r="A15" s="4" t="str">
        <f>_xlfn.XLOOKUP(Table_CMU[[#This Row],[BUDGET ACCOUNT NAME (DROPDOWN THAT IS USED TO FILL BUDGET ACCOUNT COLUMN)]],Table58[Budget Account Name],Table58[Budget Account Number],"Not Found",0)</f>
        <v>Not Found</v>
      </c>
      <c r="B15" s="2"/>
      <c r="C15" s="17"/>
      <c r="D15" s="14"/>
      <c r="E15" s="19"/>
      <c r="F15" s="20"/>
      <c r="G15" s="26"/>
    </row>
    <row r="16" spans="1:10" ht="60" customHeight="1">
      <c r="A16" s="4" t="str">
        <f>_xlfn.XLOOKUP(Table_CMU[[#This Row],[BUDGET ACCOUNT NAME (DROPDOWN THAT IS USED TO FILL BUDGET ACCOUNT COLUMN)]],Table58[Budget Account Name],Table58[Budget Account Number],"Not Found",0)</f>
        <v>Not Found</v>
      </c>
      <c r="B16" s="2"/>
      <c r="C16" s="17"/>
      <c r="D16" s="14"/>
      <c r="E16" s="19"/>
      <c r="F16" s="20"/>
      <c r="G16" s="26"/>
    </row>
    <row r="17" spans="1:7" ht="60" customHeight="1">
      <c r="A17" s="4" t="str">
        <f>_xlfn.XLOOKUP(Table_CMU[[#This Row],[BUDGET ACCOUNT NAME (DROPDOWN THAT IS USED TO FILL BUDGET ACCOUNT COLUMN)]],Table58[Budget Account Name],Table58[Budget Account Number],"Not Found",0)</f>
        <v>Not Found</v>
      </c>
      <c r="B17" s="2"/>
      <c r="C17" s="17"/>
      <c r="D17" s="14"/>
      <c r="E17" s="19"/>
      <c r="F17" s="20"/>
      <c r="G17" s="26"/>
    </row>
    <row r="18" spans="1:7" ht="60" customHeight="1">
      <c r="A18" s="4" t="str">
        <f>_xlfn.XLOOKUP(Table_CMU[[#This Row],[BUDGET ACCOUNT NAME (DROPDOWN THAT IS USED TO FILL BUDGET ACCOUNT COLUMN)]],Table58[Budget Account Name],Table58[Budget Account Number],"Not Found",0)</f>
        <v>Not Found</v>
      </c>
      <c r="B18" s="2"/>
      <c r="C18" s="17"/>
      <c r="D18" s="14"/>
      <c r="E18" s="19"/>
      <c r="F18" s="20"/>
      <c r="G18" s="26"/>
    </row>
    <row r="19" spans="1:7" ht="60" customHeight="1">
      <c r="A19" s="4" t="str">
        <f>_xlfn.XLOOKUP(Table_CMU[[#This Row],[BUDGET ACCOUNT NAME (DROPDOWN THAT IS USED TO FILL BUDGET ACCOUNT COLUMN)]],Table58[Budget Account Name],Table58[Budget Account Number],"Not Found",0)</f>
        <v>Not Found</v>
      </c>
      <c r="B19" s="2"/>
      <c r="C19" s="17"/>
      <c r="D19" s="14"/>
      <c r="E19" s="19"/>
      <c r="F19" s="20"/>
      <c r="G19" s="26"/>
    </row>
    <row r="20" spans="1:7" ht="60" customHeight="1">
      <c r="A20" s="4" t="str">
        <f>_xlfn.XLOOKUP(Table_CMU[[#This Row],[BUDGET ACCOUNT NAME (DROPDOWN THAT IS USED TO FILL BUDGET ACCOUNT COLUMN)]],Table58[Budget Account Name],Table58[Budget Account Number],"Not Found",0)</f>
        <v>Not Found</v>
      </c>
      <c r="B20" s="2"/>
      <c r="C20" s="17"/>
      <c r="D20" s="14"/>
      <c r="E20" s="19"/>
      <c r="F20" s="20"/>
      <c r="G20" s="26"/>
    </row>
    <row r="21" spans="1:7" ht="60" customHeight="1">
      <c r="A21" s="4" t="str">
        <f>_xlfn.XLOOKUP(Table_CMU[[#This Row],[BUDGET ACCOUNT NAME (DROPDOWN THAT IS USED TO FILL BUDGET ACCOUNT COLUMN)]],Table58[Budget Account Name],Table58[Budget Account Number],"Not Found",0)</f>
        <v>Not Found</v>
      </c>
      <c r="B21" s="2"/>
      <c r="C21" s="17"/>
      <c r="D21" s="14"/>
      <c r="E21" s="19"/>
      <c r="F21" s="20"/>
      <c r="G21" s="26"/>
    </row>
    <row r="22" spans="1:7" ht="60" customHeight="1">
      <c r="A22" s="4" t="str">
        <f>_xlfn.XLOOKUP(Table_CMU[[#This Row],[BUDGET ACCOUNT NAME (DROPDOWN THAT IS USED TO FILL BUDGET ACCOUNT COLUMN)]],Table58[Budget Account Name],Table58[Budget Account Number],"Not Found",0)</f>
        <v>Not Found</v>
      </c>
      <c r="B22" s="2"/>
      <c r="C22" s="17"/>
      <c r="D22" s="14"/>
      <c r="E22" s="19"/>
      <c r="F22" s="20"/>
      <c r="G22" s="26"/>
    </row>
    <row r="23" spans="1:7" ht="60" customHeight="1">
      <c r="A23" s="4" t="str">
        <f>_xlfn.XLOOKUP(Table_CMU[[#This Row],[BUDGET ACCOUNT NAME (DROPDOWN THAT IS USED TO FILL BUDGET ACCOUNT COLUMN)]],Table58[Budget Account Name],Table58[Budget Account Number],"Not Found",0)</f>
        <v>Not Found</v>
      </c>
      <c r="B23" s="2"/>
      <c r="C23" s="17"/>
      <c r="D23" s="14"/>
      <c r="E23" s="19"/>
      <c r="F23" s="20"/>
      <c r="G23" s="26"/>
    </row>
    <row r="24" spans="1:7" ht="60" customHeight="1">
      <c r="A24" s="4" t="str">
        <f>_xlfn.XLOOKUP(Table_CMU[[#This Row],[BUDGET ACCOUNT NAME (DROPDOWN THAT IS USED TO FILL BUDGET ACCOUNT COLUMN)]],Table58[Budget Account Name],Table58[Budget Account Number],"Not Found",0)</f>
        <v>Not Found</v>
      </c>
      <c r="B24" s="2"/>
      <c r="C24" s="17"/>
      <c r="D24" s="14"/>
      <c r="E24" s="19"/>
      <c r="F24" s="20"/>
      <c r="G24" s="26"/>
    </row>
    <row r="25" spans="1:7" ht="60" customHeight="1">
      <c r="A25" s="4" t="str">
        <f>_xlfn.XLOOKUP(Table_CMU[[#This Row],[BUDGET ACCOUNT NAME (DROPDOWN THAT IS USED TO FILL BUDGET ACCOUNT COLUMN)]],Table58[Budget Account Name],Table58[Budget Account Number],"Not Found",0)</f>
        <v>Not Found</v>
      </c>
      <c r="B25" s="2"/>
      <c r="C25" s="17"/>
      <c r="D25" s="14"/>
      <c r="E25" s="19"/>
      <c r="F25" s="20"/>
      <c r="G25" s="26"/>
    </row>
    <row r="26" spans="1:7" ht="60" customHeight="1">
      <c r="A26" s="4" t="str">
        <f>_xlfn.XLOOKUP(Table_CMU[[#This Row],[BUDGET ACCOUNT NAME (DROPDOWN THAT IS USED TO FILL BUDGET ACCOUNT COLUMN)]],Table58[Budget Account Name],Table58[Budget Account Number],"Not Found",0)</f>
        <v>Not Found</v>
      </c>
      <c r="B26" s="2"/>
      <c r="C26" s="17"/>
      <c r="D26" s="14"/>
      <c r="E26" s="19"/>
      <c r="F26" s="20"/>
      <c r="G26" s="26"/>
    </row>
    <row r="27" spans="1:7" ht="60" customHeight="1">
      <c r="A27" s="4" t="str">
        <f>_xlfn.XLOOKUP(Table_CMU[[#This Row],[BUDGET ACCOUNT NAME (DROPDOWN THAT IS USED TO FILL BUDGET ACCOUNT COLUMN)]],Table58[Budget Account Name],Table58[Budget Account Number],"Not Found",0)</f>
        <v>Not Found</v>
      </c>
      <c r="B27" s="2"/>
      <c r="C27" s="17"/>
      <c r="D27" s="14"/>
      <c r="E27" s="19"/>
      <c r="F27" s="20"/>
      <c r="G27" s="26"/>
    </row>
    <row r="28" spans="1:7" ht="60" customHeight="1">
      <c r="A28" s="4" t="str">
        <f>_xlfn.XLOOKUP(Table_CMU[[#This Row],[BUDGET ACCOUNT NAME (DROPDOWN THAT IS USED TO FILL BUDGET ACCOUNT COLUMN)]],Table58[Budget Account Name],Table58[Budget Account Number],"Not Found",0)</f>
        <v>Not Found</v>
      </c>
      <c r="B28" s="2"/>
      <c r="C28" s="17"/>
      <c r="D28" s="14"/>
      <c r="E28" s="19"/>
      <c r="F28" s="20"/>
      <c r="G28" s="26"/>
    </row>
    <row r="29" spans="1:7" ht="60" customHeight="1">
      <c r="A29" s="4" t="str">
        <f>_xlfn.XLOOKUP(Table_CMU[[#This Row],[BUDGET ACCOUNT NAME (DROPDOWN THAT IS USED TO FILL BUDGET ACCOUNT COLUMN)]],Table58[Budget Account Name],Table58[Budget Account Number],"Not Found",0)</f>
        <v>Not Found</v>
      </c>
      <c r="B29" s="2"/>
      <c r="C29" s="17"/>
      <c r="D29" s="14"/>
      <c r="E29" s="19"/>
      <c r="F29" s="20"/>
      <c r="G29" s="26"/>
    </row>
    <row r="30" spans="1:7" ht="60" customHeight="1">
      <c r="A30" s="4" t="str">
        <f>_xlfn.XLOOKUP(Table_CMU[[#This Row],[BUDGET ACCOUNT NAME (DROPDOWN THAT IS USED TO FILL BUDGET ACCOUNT COLUMN)]],Table58[Budget Account Name],Table58[Budget Account Number],"Not Found",0)</f>
        <v>Not Found</v>
      </c>
      <c r="B30" s="2"/>
      <c r="C30" s="17"/>
      <c r="D30" s="14"/>
      <c r="E30" s="19"/>
      <c r="F30" s="20"/>
      <c r="G30" s="26"/>
    </row>
    <row r="31" spans="1:7" ht="60" customHeight="1">
      <c r="A31" s="4" t="str">
        <f>_xlfn.XLOOKUP(Table_CMU[[#This Row],[BUDGET ACCOUNT NAME (DROPDOWN THAT IS USED TO FILL BUDGET ACCOUNT COLUMN)]],Table58[Budget Account Name],Table58[Budget Account Number],"Not Found",0)</f>
        <v>Not Found</v>
      </c>
      <c r="B31" s="2"/>
      <c r="C31" s="17"/>
      <c r="D31" s="14"/>
      <c r="E31" s="19"/>
      <c r="F31" s="20"/>
      <c r="G31" s="26"/>
    </row>
    <row r="32" spans="1:7" ht="60" customHeight="1">
      <c r="A32" s="4" t="str">
        <f>_xlfn.XLOOKUP(Table_CMU[[#This Row],[BUDGET ACCOUNT NAME (DROPDOWN THAT IS USED TO FILL BUDGET ACCOUNT COLUMN)]],Table58[Budget Account Name],Table58[Budget Account Number],"Not Found",0)</f>
        <v>Not Found</v>
      </c>
      <c r="B32" s="2"/>
      <c r="C32" s="17"/>
      <c r="D32" s="14"/>
      <c r="E32" s="19"/>
      <c r="F32" s="20"/>
      <c r="G32" s="26"/>
    </row>
    <row r="33" spans="1:7" ht="60" customHeight="1">
      <c r="A33" s="4" t="str">
        <f>_xlfn.XLOOKUP(Table_CMU[[#This Row],[BUDGET ACCOUNT NAME (DROPDOWN THAT IS USED TO FILL BUDGET ACCOUNT COLUMN)]],Table58[Budget Account Name],Table58[Budget Account Number],"Not Found",0)</f>
        <v>Not Found</v>
      </c>
      <c r="B33" s="2"/>
      <c r="C33" s="17"/>
      <c r="D33" s="14"/>
      <c r="E33" s="19"/>
      <c r="F33" s="20"/>
      <c r="G33" s="26"/>
    </row>
    <row r="34" spans="1:7" ht="60" customHeight="1">
      <c r="A34" s="4" t="str">
        <f>_xlfn.XLOOKUP(Table_CMU[[#This Row],[BUDGET ACCOUNT NAME (DROPDOWN THAT IS USED TO FILL BUDGET ACCOUNT COLUMN)]],Table58[Budget Account Name],Table58[Budget Account Number],"Not Found",0)</f>
        <v>Not Found</v>
      </c>
      <c r="B34" s="2"/>
      <c r="C34" s="17"/>
      <c r="D34" s="14"/>
      <c r="E34" s="19"/>
      <c r="F34" s="20"/>
      <c r="G34" s="26"/>
    </row>
    <row r="35" spans="1:7" ht="60" customHeight="1">
      <c r="A35" s="4" t="str">
        <f>_xlfn.XLOOKUP(Table_CMU[[#This Row],[BUDGET ACCOUNT NAME (DROPDOWN THAT IS USED TO FILL BUDGET ACCOUNT COLUMN)]],Table58[Budget Account Name],Table58[Budget Account Number],"Not Found",0)</f>
        <v>Not Found</v>
      </c>
      <c r="B35" s="2"/>
      <c r="C35" s="17"/>
      <c r="D35" s="14"/>
      <c r="E35" s="19"/>
      <c r="F35" s="20"/>
      <c r="G35" s="26"/>
    </row>
    <row r="36" spans="1:7" ht="60" customHeight="1">
      <c r="A36" s="4" t="str">
        <f>_xlfn.XLOOKUP(Table_CMU[[#This Row],[BUDGET ACCOUNT NAME (DROPDOWN THAT IS USED TO FILL BUDGET ACCOUNT COLUMN)]],Table58[Budget Account Name],Table58[Budget Account Number],"Not Found",0)</f>
        <v>Not Found</v>
      </c>
      <c r="B36" s="2"/>
      <c r="C36" s="17"/>
      <c r="D36" s="14"/>
      <c r="E36" s="19"/>
      <c r="F36" s="20"/>
      <c r="G36" s="26"/>
    </row>
    <row r="37" spans="1:7" ht="60" customHeight="1">
      <c r="A37" s="4" t="str">
        <f>_xlfn.XLOOKUP(Table_CMU[[#This Row],[BUDGET ACCOUNT NAME (DROPDOWN THAT IS USED TO FILL BUDGET ACCOUNT COLUMN)]],Table58[Budget Account Name],Table58[Budget Account Number],"Not Found",0)</f>
        <v>Not Found</v>
      </c>
      <c r="B37" s="2"/>
      <c r="C37" s="17"/>
      <c r="D37" s="14"/>
      <c r="E37" s="19"/>
      <c r="F37" s="20"/>
      <c r="G37" s="26"/>
    </row>
    <row r="38" spans="1:7" ht="60" customHeight="1">
      <c r="A38" s="4" t="str">
        <f>_xlfn.XLOOKUP(Table_CMU[[#This Row],[BUDGET ACCOUNT NAME (DROPDOWN THAT IS USED TO FILL BUDGET ACCOUNT COLUMN)]],Table58[Budget Account Name],Table58[Budget Account Number],"Not Found",0)</f>
        <v>Not Found</v>
      </c>
      <c r="B38" s="2"/>
      <c r="C38" s="17"/>
      <c r="D38" s="14"/>
      <c r="E38" s="19"/>
      <c r="F38" s="20"/>
      <c r="G38" s="26"/>
    </row>
    <row r="39" spans="1:7" ht="60" customHeight="1">
      <c r="A39" s="4" t="str">
        <f>_xlfn.XLOOKUP(Table_CMU[[#This Row],[BUDGET ACCOUNT NAME (DROPDOWN THAT IS USED TO FILL BUDGET ACCOUNT COLUMN)]],Table58[Budget Account Name],Table58[Budget Account Number],"Not Found",0)</f>
        <v>Not Found</v>
      </c>
      <c r="B39" s="2"/>
      <c r="C39" s="17"/>
      <c r="D39" s="14"/>
      <c r="E39" s="19"/>
      <c r="F39" s="20"/>
      <c r="G39" s="26"/>
    </row>
    <row r="40" spans="1:7" ht="60" customHeight="1">
      <c r="A40" s="4" t="str">
        <f>_xlfn.XLOOKUP(Table_CMU[[#This Row],[BUDGET ACCOUNT NAME (DROPDOWN THAT IS USED TO FILL BUDGET ACCOUNT COLUMN)]],Table58[Budget Account Name],Table58[Budget Account Number],"Not Found",0)</f>
        <v>Not Found</v>
      </c>
      <c r="B40" s="2"/>
      <c r="C40" s="17"/>
      <c r="D40" s="14"/>
      <c r="E40" s="19"/>
      <c r="F40" s="20"/>
      <c r="G40" s="26"/>
    </row>
    <row r="41" spans="1:7" ht="60" customHeight="1">
      <c r="A41" s="4" t="str">
        <f>_xlfn.XLOOKUP(Table_CMU[[#This Row],[BUDGET ACCOUNT NAME (DROPDOWN THAT IS USED TO FILL BUDGET ACCOUNT COLUMN)]],Table58[Budget Account Name],Table58[Budget Account Number],"Not Found",0)</f>
        <v>Not Found</v>
      </c>
      <c r="B41" s="2"/>
      <c r="C41" s="17"/>
      <c r="D41" s="14"/>
      <c r="E41" s="19"/>
      <c r="F41" s="20"/>
      <c r="G41" s="26"/>
    </row>
    <row r="42" spans="1:7" ht="60" customHeight="1">
      <c r="A42" s="4" t="str">
        <f>_xlfn.XLOOKUP(Table_CMU[[#This Row],[BUDGET ACCOUNT NAME (DROPDOWN THAT IS USED TO FILL BUDGET ACCOUNT COLUMN)]],Table58[Budget Account Name],Table58[Budget Account Number],"Not Found",0)</f>
        <v>Not Found</v>
      </c>
      <c r="B42" s="2"/>
      <c r="C42" s="17"/>
      <c r="D42" s="14"/>
      <c r="E42" s="19"/>
      <c r="F42" s="20"/>
      <c r="G42" s="26"/>
    </row>
    <row r="43" spans="1:7" ht="60" customHeight="1">
      <c r="A43" s="4" t="str">
        <f>_xlfn.XLOOKUP(Table_CMU[[#This Row],[BUDGET ACCOUNT NAME (DROPDOWN THAT IS USED TO FILL BUDGET ACCOUNT COLUMN)]],Table58[Budget Account Name],Table58[Budget Account Number],"Not Found",0)</f>
        <v>Not Found</v>
      </c>
      <c r="B43" s="2"/>
      <c r="C43" s="17"/>
      <c r="D43" s="14"/>
      <c r="E43" s="19"/>
      <c r="F43" s="20"/>
      <c r="G43" s="26"/>
    </row>
    <row r="44" spans="1:7" ht="60" customHeight="1">
      <c r="A44" s="4" t="str">
        <f>_xlfn.XLOOKUP(Table_CMU[[#This Row],[BUDGET ACCOUNT NAME (DROPDOWN THAT IS USED TO FILL BUDGET ACCOUNT COLUMN)]],Table58[Budget Account Name],Table58[Budget Account Number],"Not Found",0)</f>
        <v>Not Found</v>
      </c>
      <c r="B44" s="2"/>
      <c r="C44" s="17"/>
      <c r="D44" s="14"/>
      <c r="E44" s="19"/>
      <c r="F44" s="20"/>
      <c r="G44" s="26"/>
    </row>
    <row r="45" spans="1:7" ht="60" customHeight="1">
      <c r="A45" s="4" t="str">
        <f>_xlfn.XLOOKUP(Table_CMU[[#This Row],[BUDGET ACCOUNT NAME (DROPDOWN THAT IS USED TO FILL BUDGET ACCOUNT COLUMN)]],Table58[Budget Account Name],Table58[Budget Account Number],"Not Found",0)</f>
        <v>Not Found</v>
      </c>
      <c r="B45" s="2"/>
      <c r="C45" s="17"/>
      <c r="D45" s="14"/>
      <c r="E45" s="19"/>
      <c r="F45" s="20"/>
      <c r="G45" s="26"/>
    </row>
    <row r="46" spans="1:7" ht="60" customHeight="1">
      <c r="A46" s="4" t="str">
        <f>_xlfn.XLOOKUP(Table_CMU[[#This Row],[BUDGET ACCOUNT NAME (DROPDOWN THAT IS USED TO FILL BUDGET ACCOUNT COLUMN)]],Table58[Budget Account Name],Table58[Budget Account Number],"Not Found",0)</f>
        <v>Not Found</v>
      </c>
      <c r="B46" s="2"/>
      <c r="C46" s="17"/>
      <c r="D46" s="14"/>
      <c r="E46" s="19"/>
      <c r="F46" s="20"/>
      <c r="G46" s="26"/>
    </row>
    <row r="47" spans="1:7" ht="60" customHeight="1">
      <c r="A47" s="4" t="str">
        <f>_xlfn.XLOOKUP(Table_CMU[[#This Row],[BUDGET ACCOUNT NAME (DROPDOWN THAT IS USED TO FILL BUDGET ACCOUNT COLUMN)]],Table58[Budget Account Name],Table58[Budget Account Number],"Not Found",0)</f>
        <v>Not Found</v>
      </c>
      <c r="B47" s="2"/>
      <c r="C47" s="17"/>
      <c r="D47" s="14"/>
      <c r="E47" s="19"/>
      <c r="F47" s="20"/>
      <c r="G47" s="26"/>
    </row>
    <row r="48" spans="1:7" ht="60" customHeight="1">
      <c r="A48" s="4" t="str">
        <f>_xlfn.XLOOKUP(Table_CMU[[#This Row],[BUDGET ACCOUNT NAME (DROPDOWN THAT IS USED TO FILL BUDGET ACCOUNT COLUMN)]],Table58[Budget Account Name],Table58[Budget Account Number],"Not Found",0)</f>
        <v>Not Found</v>
      </c>
      <c r="B48" s="2"/>
      <c r="C48" s="17"/>
      <c r="D48" s="14"/>
      <c r="E48" s="19"/>
      <c r="F48" s="20"/>
      <c r="G48" s="26"/>
    </row>
    <row r="49" spans="1:7" ht="60" customHeight="1">
      <c r="A49" s="4" t="str">
        <f>_xlfn.XLOOKUP(Table_CMU[[#This Row],[BUDGET ACCOUNT NAME (DROPDOWN THAT IS USED TO FILL BUDGET ACCOUNT COLUMN)]],Table58[Budget Account Name],Table58[Budget Account Number],"Not Found",0)</f>
        <v>Not Found</v>
      </c>
      <c r="B49" s="2"/>
      <c r="C49" s="17"/>
      <c r="D49" s="14"/>
      <c r="E49" s="19"/>
      <c r="F49" s="20"/>
      <c r="G49" s="26"/>
    </row>
    <row r="50" spans="1:7" ht="60" customHeight="1">
      <c r="A50" s="4" t="str">
        <f>_xlfn.XLOOKUP(Table_CMU[[#This Row],[BUDGET ACCOUNT NAME (DROPDOWN THAT IS USED TO FILL BUDGET ACCOUNT COLUMN)]],Table58[Budget Account Name],Table58[Budget Account Number],"Not Found",0)</f>
        <v>Not Found</v>
      </c>
      <c r="B50" s="2"/>
      <c r="C50" s="17"/>
      <c r="D50" s="14"/>
      <c r="E50" s="19"/>
      <c r="F50" s="20"/>
      <c r="G50" s="26"/>
    </row>
    <row r="51" spans="1:7" ht="60" customHeight="1">
      <c r="A51" s="4" t="str">
        <f>_xlfn.XLOOKUP(Table_CMU[[#This Row],[BUDGET ACCOUNT NAME (DROPDOWN THAT IS USED TO FILL BUDGET ACCOUNT COLUMN)]],Table58[Budget Account Name],Table58[Budget Account Number],"Not Found",0)</f>
        <v>Not Found</v>
      </c>
      <c r="B51" s="2"/>
      <c r="C51" s="17"/>
      <c r="D51" s="14"/>
      <c r="E51" s="19"/>
      <c r="F51" s="20"/>
      <c r="G51" s="26"/>
    </row>
    <row r="52" spans="1:7" ht="60" customHeight="1">
      <c r="A52" s="4" t="str">
        <f>_xlfn.XLOOKUP(Table_CMU[[#This Row],[BUDGET ACCOUNT NAME (DROPDOWN THAT IS USED TO FILL BUDGET ACCOUNT COLUMN)]],Table58[Budget Account Name],Table58[Budget Account Number],"Not Found",0)</f>
        <v>Not Found</v>
      </c>
      <c r="B52" s="2"/>
      <c r="C52" s="17"/>
      <c r="D52" s="14"/>
      <c r="E52" s="19"/>
      <c r="F52" s="20"/>
      <c r="G52" s="26"/>
    </row>
    <row r="53" spans="1:7" ht="60" customHeight="1">
      <c r="A53" s="4" t="str">
        <f>_xlfn.XLOOKUP(Table_CMU[[#This Row],[BUDGET ACCOUNT NAME (DROPDOWN THAT IS USED TO FILL BUDGET ACCOUNT COLUMN)]],Table58[Budget Account Name],Table58[Budget Account Number],"Not Found",0)</f>
        <v>Not Found</v>
      </c>
      <c r="B53" s="2"/>
      <c r="C53" s="17"/>
      <c r="D53" s="14"/>
      <c r="E53" s="19"/>
      <c r="F53" s="20"/>
      <c r="G53" s="26"/>
    </row>
    <row r="54" spans="1:7" ht="60" customHeight="1">
      <c r="A54" s="4" t="str">
        <f>_xlfn.XLOOKUP(Table_CMU[[#This Row],[BUDGET ACCOUNT NAME (DROPDOWN THAT IS USED TO FILL BUDGET ACCOUNT COLUMN)]],Table58[Budget Account Name],Table58[Budget Account Number],"Not Found",0)</f>
        <v>Not Found</v>
      </c>
      <c r="B54" s="2"/>
      <c r="C54" s="17"/>
      <c r="D54" s="14"/>
      <c r="E54" s="19"/>
      <c r="F54" s="20"/>
      <c r="G54" s="26"/>
    </row>
    <row r="55" spans="1:7" ht="60" customHeight="1">
      <c r="A55" s="4" t="str">
        <f>_xlfn.XLOOKUP(Table_CMU[[#This Row],[BUDGET ACCOUNT NAME (DROPDOWN THAT IS USED TO FILL BUDGET ACCOUNT COLUMN)]],Table58[Budget Account Name],Table58[Budget Account Number],"Not Found",0)</f>
        <v>Not Found</v>
      </c>
      <c r="B55" s="2"/>
      <c r="C55" s="17"/>
      <c r="D55" s="14"/>
      <c r="E55" s="19"/>
      <c r="F55" s="20"/>
      <c r="G55" s="26"/>
    </row>
    <row r="56" spans="1:7" ht="60" customHeight="1">
      <c r="A56" s="4" t="str">
        <f>_xlfn.XLOOKUP(Table_CMU[[#This Row],[BUDGET ACCOUNT NAME (DROPDOWN THAT IS USED TO FILL BUDGET ACCOUNT COLUMN)]],Table58[Budget Account Name],Table58[Budget Account Number],"Not Found",0)</f>
        <v>Not Found</v>
      </c>
      <c r="B56" s="2"/>
      <c r="C56" s="17"/>
      <c r="D56" s="14"/>
      <c r="E56" s="19"/>
      <c r="F56" s="20"/>
      <c r="G56" s="26"/>
    </row>
    <row r="57" spans="1:7" ht="60" customHeight="1">
      <c r="A57" s="4" t="str">
        <f>_xlfn.XLOOKUP(Table_CMU[[#This Row],[BUDGET ACCOUNT NAME (DROPDOWN THAT IS USED TO FILL BUDGET ACCOUNT COLUMN)]],Table58[Budget Account Name],Table58[Budget Account Number],"Not Found",0)</f>
        <v>Not Found</v>
      </c>
      <c r="B57" s="2"/>
      <c r="C57" s="17"/>
      <c r="D57" s="14"/>
      <c r="E57" s="19"/>
      <c r="F57" s="20"/>
      <c r="G57" s="26"/>
    </row>
    <row r="58" spans="1:7" ht="60" customHeight="1">
      <c r="A58" s="4" t="str">
        <f>_xlfn.XLOOKUP(Table_CMU[[#This Row],[BUDGET ACCOUNT NAME (DROPDOWN THAT IS USED TO FILL BUDGET ACCOUNT COLUMN)]],Table58[Budget Account Name],Table58[Budget Account Number],"Not Found",0)</f>
        <v>Not Found</v>
      </c>
      <c r="B58" s="2"/>
      <c r="C58" s="17"/>
      <c r="D58" s="14"/>
      <c r="E58" s="19"/>
      <c r="F58" s="20"/>
      <c r="G58" s="26"/>
    </row>
    <row r="59" spans="1:7" ht="60" customHeight="1">
      <c r="A59" s="4" t="str">
        <f>_xlfn.XLOOKUP(Table_CMU[[#This Row],[BUDGET ACCOUNT NAME (DROPDOWN THAT IS USED TO FILL BUDGET ACCOUNT COLUMN)]],Table58[Budget Account Name],Table58[Budget Account Number],"Not Found",0)</f>
        <v>Not Found</v>
      </c>
      <c r="B59" s="2"/>
      <c r="C59" s="17"/>
      <c r="D59" s="14"/>
      <c r="E59" s="19"/>
      <c r="F59" s="20"/>
      <c r="G59" s="26"/>
    </row>
    <row r="60" spans="1:7" ht="60" customHeight="1">
      <c r="A60" s="4" t="str">
        <f>_xlfn.XLOOKUP(Table_CMU[[#This Row],[BUDGET ACCOUNT NAME (DROPDOWN THAT IS USED TO FILL BUDGET ACCOUNT COLUMN)]],Table58[Budget Account Name],Table58[Budget Account Number],"Not Found",0)</f>
        <v>Not Found</v>
      </c>
      <c r="B60" s="2"/>
      <c r="C60" s="17"/>
      <c r="D60" s="14"/>
      <c r="E60" s="19"/>
      <c r="F60" s="20"/>
      <c r="G60" s="26"/>
    </row>
    <row r="61" spans="1:7" ht="60" customHeight="1">
      <c r="A61" s="4" t="str">
        <f>_xlfn.XLOOKUP(Table_CMU[[#This Row],[BUDGET ACCOUNT NAME (DROPDOWN THAT IS USED TO FILL BUDGET ACCOUNT COLUMN)]],Table58[Budget Account Name],Table58[Budget Account Number],"Not Found",0)</f>
        <v>Not Found</v>
      </c>
      <c r="B61" s="2"/>
      <c r="C61" s="17"/>
      <c r="D61" s="14"/>
      <c r="E61" s="19"/>
      <c r="F61" s="20"/>
      <c r="G61" s="26"/>
    </row>
    <row r="62" spans="1:7" ht="60" customHeight="1">
      <c r="A62" s="4" t="str">
        <f>_xlfn.XLOOKUP(Table_CMU[[#This Row],[BUDGET ACCOUNT NAME (DROPDOWN THAT IS USED TO FILL BUDGET ACCOUNT COLUMN)]],Table58[Budget Account Name],Table58[Budget Account Number],"Not Found",0)</f>
        <v>Not Found</v>
      </c>
      <c r="B62" s="2"/>
      <c r="C62" s="17"/>
      <c r="D62" s="14"/>
      <c r="E62" s="19"/>
      <c r="F62" s="20"/>
      <c r="G62" s="26"/>
    </row>
    <row r="63" spans="1:7" ht="60" customHeight="1">
      <c r="A63" s="4" t="str">
        <f>_xlfn.XLOOKUP(Table_CMU[[#This Row],[BUDGET ACCOUNT NAME (DROPDOWN THAT IS USED TO FILL BUDGET ACCOUNT COLUMN)]],Table58[Budget Account Name],Table58[Budget Account Number],"Not Found",0)</f>
        <v>Not Found</v>
      </c>
      <c r="B63" s="2"/>
      <c r="C63" s="17"/>
      <c r="D63" s="14"/>
      <c r="E63" s="19"/>
      <c r="F63" s="20"/>
      <c r="G63" s="26"/>
    </row>
    <row r="64" spans="1:7" ht="60" customHeight="1">
      <c r="A64" s="4" t="str">
        <f>_xlfn.XLOOKUP(Table_CMU[[#This Row],[BUDGET ACCOUNT NAME (DROPDOWN THAT IS USED TO FILL BUDGET ACCOUNT COLUMN)]],Table58[Budget Account Name],Table58[Budget Account Number],"Not Found",0)</f>
        <v>Not Found</v>
      </c>
      <c r="B64" s="2"/>
      <c r="C64" s="17"/>
      <c r="D64" s="14"/>
      <c r="E64" s="19"/>
      <c r="F64" s="20"/>
      <c r="G64" s="26"/>
    </row>
    <row r="65" spans="1:7" ht="60" customHeight="1">
      <c r="A65" s="4" t="str">
        <f>_xlfn.XLOOKUP(Table_CMU[[#This Row],[BUDGET ACCOUNT NAME (DROPDOWN THAT IS USED TO FILL BUDGET ACCOUNT COLUMN)]],Table58[Budget Account Name],Table58[Budget Account Number],"Not Found",0)</f>
        <v>Not Found</v>
      </c>
      <c r="B65" s="2"/>
      <c r="C65" s="17"/>
      <c r="D65" s="14"/>
      <c r="E65" s="19"/>
      <c r="F65" s="20"/>
      <c r="G65" s="26"/>
    </row>
    <row r="66" spans="1:7" ht="60" customHeight="1">
      <c r="A66" s="4" t="str">
        <f>_xlfn.XLOOKUP(Table_CMU[[#This Row],[BUDGET ACCOUNT NAME (DROPDOWN THAT IS USED TO FILL BUDGET ACCOUNT COLUMN)]],Table58[Budget Account Name],Table58[Budget Account Number],"Not Found",0)</f>
        <v>Not Found</v>
      </c>
      <c r="B66" s="2"/>
      <c r="C66" s="17"/>
      <c r="D66" s="14"/>
      <c r="E66" s="19"/>
      <c r="F66" s="20"/>
      <c r="G66" s="26"/>
    </row>
    <row r="67" spans="1:7" ht="60" customHeight="1">
      <c r="A67" s="4" t="str">
        <f>_xlfn.XLOOKUP(Table_CMU[[#This Row],[BUDGET ACCOUNT NAME (DROPDOWN THAT IS USED TO FILL BUDGET ACCOUNT COLUMN)]],Table58[Budget Account Name],Table58[Budget Account Number],"Not Found",0)</f>
        <v>Not Found</v>
      </c>
      <c r="B67" s="2"/>
      <c r="C67" s="17"/>
      <c r="D67" s="14"/>
      <c r="E67" s="19"/>
      <c r="F67" s="20"/>
      <c r="G67" s="26"/>
    </row>
    <row r="68" spans="1:7" ht="60" customHeight="1">
      <c r="A68" s="4" t="str">
        <f>_xlfn.XLOOKUP(Table_CMU[[#This Row],[BUDGET ACCOUNT NAME (DROPDOWN THAT IS USED TO FILL BUDGET ACCOUNT COLUMN)]],Table58[Budget Account Name],Table58[Budget Account Number],"Not Found",0)</f>
        <v>Not Found</v>
      </c>
      <c r="B68" s="2"/>
      <c r="C68" s="17"/>
      <c r="D68" s="14"/>
      <c r="E68" s="19"/>
      <c r="F68" s="20"/>
      <c r="G68" s="26"/>
    </row>
    <row r="69" spans="1:7" ht="60" customHeight="1">
      <c r="A69" s="4" t="str">
        <f>_xlfn.XLOOKUP(Table_CMU[[#This Row],[BUDGET ACCOUNT NAME (DROPDOWN THAT IS USED TO FILL BUDGET ACCOUNT COLUMN)]],Table58[Budget Account Name],Table58[Budget Account Number],"Not Found",0)</f>
        <v>Not Found</v>
      </c>
      <c r="B69" s="2"/>
      <c r="C69" s="17"/>
      <c r="D69" s="14"/>
      <c r="E69" s="19"/>
      <c r="F69" s="20"/>
      <c r="G69" s="26"/>
    </row>
    <row r="70" spans="1:7" ht="60" customHeight="1">
      <c r="A70" s="4" t="str">
        <f>_xlfn.XLOOKUP(Table_CMU[[#This Row],[BUDGET ACCOUNT NAME (DROPDOWN THAT IS USED TO FILL BUDGET ACCOUNT COLUMN)]],Table58[Budget Account Name],Table58[Budget Account Number],"Not Found",0)</f>
        <v>Not Found</v>
      </c>
      <c r="B70" s="2"/>
      <c r="C70" s="17"/>
      <c r="D70" s="14"/>
      <c r="E70" s="19"/>
      <c r="F70" s="20"/>
      <c r="G70" s="26"/>
    </row>
    <row r="71" spans="1:7" ht="60" customHeight="1">
      <c r="A71" s="4" t="str">
        <f>_xlfn.XLOOKUP(Table_CMU[[#This Row],[BUDGET ACCOUNT NAME (DROPDOWN THAT IS USED TO FILL BUDGET ACCOUNT COLUMN)]],Table58[Budget Account Name],Table58[Budget Account Number],"Not Found",0)</f>
        <v>Not Found</v>
      </c>
      <c r="B71" s="2"/>
      <c r="C71" s="17"/>
      <c r="D71" s="14"/>
      <c r="E71" s="19"/>
      <c r="F71" s="20"/>
      <c r="G71" s="26"/>
    </row>
    <row r="72" spans="1:7" ht="60" customHeight="1">
      <c r="A72" s="4" t="str">
        <f>_xlfn.XLOOKUP(Table_CMU[[#This Row],[BUDGET ACCOUNT NAME (DROPDOWN THAT IS USED TO FILL BUDGET ACCOUNT COLUMN)]],Table58[Budget Account Name],Table58[Budget Account Number],"Not Found",0)</f>
        <v>Not Found</v>
      </c>
      <c r="B72" s="2"/>
      <c r="C72" s="17"/>
      <c r="D72" s="14"/>
      <c r="E72" s="19"/>
      <c r="F72" s="20"/>
      <c r="G72" s="26"/>
    </row>
    <row r="73" spans="1:7" ht="60" customHeight="1">
      <c r="A73" s="4" t="str">
        <f>_xlfn.XLOOKUP(Table_CMU[[#This Row],[BUDGET ACCOUNT NAME (DROPDOWN THAT IS USED TO FILL BUDGET ACCOUNT COLUMN)]],Table58[Budget Account Name],Table58[Budget Account Number],"Not Found",0)</f>
        <v>Not Found</v>
      </c>
      <c r="B73" s="2"/>
      <c r="C73" s="17"/>
      <c r="D73" s="14"/>
      <c r="E73" s="19"/>
      <c r="F73" s="20"/>
      <c r="G73" s="26"/>
    </row>
    <row r="74" spans="1:7" ht="60" customHeight="1">
      <c r="A74" s="4" t="str">
        <f>_xlfn.XLOOKUP(Table_CMU[[#This Row],[BUDGET ACCOUNT NAME (DROPDOWN THAT IS USED TO FILL BUDGET ACCOUNT COLUMN)]],Table58[Budget Account Name],Table58[Budget Account Number],"Not Found",0)</f>
        <v>Not Found</v>
      </c>
      <c r="B74" s="2"/>
      <c r="C74" s="17"/>
      <c r="D74" s="14"/>
      <c r="E74" s="19"/>
      <c r="F74" s="20"/>
      <c r="G74" s="26"/>
    </row>
    <row r="75" spans="1:7" ht="60" customHeight="1">
      <c r="A75" s="4" t="str">
        <f>_xlfn.XLOOKUP(Table_CMU[[#This Row],[BUDGET ACCOUNT NAME (DROPDOWN THAT IS USED TO FILL BUDGET ACCOUNT COLUMN)]],Table58[Budget Account Name],Table58[Budget Account Number],"Not Found",0)</f>
        <v>Not Found</v>
      </c>
      <c r="B75" s="2"/>
      <c r="C75" s="17"/>
      <c r="D75" s="14"/>
      <c r="E75" s="19"/>
      <c r="F75" s="20"/>
      <c r="G75" s="26"/>
    </row>
    <row r="76" spans="1:7" ht="60" customHeight="1">
      <c r="A76" s="4" t="str">
        <f>_xlfn.XLOOKUP(Table_CMU[[#This Row],[BUDGET ACCOUNT NAME (DROPDOWN THAT IS USED TO FILL BUDGET ACCOUNT COLUMN)]],Table58[Budget Account Name],Table58[Budget Account Number],"Not Found",0)</f>
        <v>Not Found</v>
      </c>
      <c r="B76" s="2"/>
      <c r="C76" s="17"/>
      <c r="D76" s="14"/>
      <c r="E76" s="19"/>
      <c r="F76" s="20"/>
      <c r="G76" s="26"/>
    </row>
    <row r="77" spans="1:7" ht="60" customHeight="1">
      <c r="A77" s="4" t="str">
        <f>_xlfn.XLOOKUP(Table_CMU[[#This Row],[BUDGET ACCOUNT NAME (DROPDOWN THAT IS USED TO FILL BUDGET ACCOUNT COLUMN)]],Table58[Budget Account Name],Table58[Budget Account Number],"Not Found",0)</f>
        <v>Not Found</v>
      </c>
      <c r="B77" s="2"/>
      <c r="C77" s="17"/>
      <c r="D77" s="14"/>
      <c r="E77" s="19"/>
      <c r="F77" s="20"/>
      <c r="G77" s="26"/>
    </row>
    <row r="78" spans="1:7" ht="60" customHeight="1">
      <c r="A78" s="4" t="str">
        <f>_xlfn.XLOOKUP(Table_CMU[[#This Row],[BUDGET ACCOUNT NAME (DROPDOWN THAT IS USED TO FILL BUDGET ACCOUNT COLUMN)]],Table58[Budget Account Name],Table58[Budget Account Number],"Not Found",0)</f>
        <v>Not Found</v>
      </c>
      <c r="B78" s="2"/>
      <c r="C78" s="17"/>
      <c r="D78" s="14"/>
      <c r="E78" s="19"/>
      <c r="F78" s="20"/>
      <c r="G78" s="26"/>
    </row>
    <row r="79" spans="1:7" ht="60" customHeight="1">
      <c r="A79" s="4" t="str">
        <f>_xlfn.XLOOKUP(Table_CMU[[#This Row],[BUDGET ACCOUNT NAME (DROPDOWN THAT IS USED TO FILL BUDGET ACCOUNT COLUMN)]],Table58[Budget Account Name],Table58[Budget Account Number],"Not Found",0)</f>
        <v>Not Found</v>
      </c>
      <c r="B79" s="2"/>
      <c r="C79" s="17"/>
      <c r="D79" s="14"/>
      <c r="E79" s="19"/>
      <c r="F79" s="20"/>
      <c r="G79" s="26"/>
    </row>
    <row r="80" spans="1:7" ht="60" customHeight="1">
      <c r="A80" s="4" t="str">
        <f>_xlfn.XLOOKUP(Table_CMU[[#This Row],[BUDGET ACCOUNT NAME (DROPDOWN THAT IS USED TO FILL BUDGET ACCOUNT COLUMN)]],Table58[Budget Account Name],Table58[Budget Account Number],"Not Found",0)</f>
        <v>Not Found</v>
      </c>
      <c r="B80" s="2"/>
      <c r="C80" s="17"/>
      <c r="D80" s="14"/>
      <c r="E80" s="19"/>
      <c r="F80" s="20"/>
      <c r="G80" s="26"/>
    </row>
    <row r="81" spans="1:7" ht="60" customHeight="1">
      <c r="A81" s="4" t="str">
        <f>_xlfn.XLOOKUP(Table_CMU[[#This Row],[BUDGET ACCOUNT NAME (DROPDOWN THAT IS USED TO FILL BUDGET ACCOUNT COLUMN)]],Table58[Budget Account Name],Table58[Budget Account Number],"Not Found",0)</f>
        <v>Not Found</v>
      </c>
      <c r="B81" s="2"/>
      <c r="C81" s="17"/>
      <c r="D81" s="14"/>
      <c r="E81" s="19"/>
      <c r="F81" s="20"/>
      <c r="G81" s="26"/>
    </row>
    <row r="82" spans="1:7" ht="60" customHeight="1">
      <c r="A82" s="4" t="str">
        <f>_xlfn.XLOOKUP(Table_CMU[[#This Row],[BUDGET ACCOUNT NAME (DROPDOWN THAT IS USED TO FILL BUDGET ACCOUNT COLUMN)]],Table58[Budget Account Name],Table58[Budget Account Number],"Not Found",0)</f>
        <v>Not Found</v>
      </c>
      <c r="B82" s="2"/>
      <c r="C82" s="17"/>
      <c r="D82" s="14"/>
      <c r="E82" s="19"/>
      <c r="F82" s="20"/>
      <c r="G82" s="26"/>
    </row>
    <row r="83" spans="1:7" ht="60" customHeight="1">
      <c r="A83" s="4" t="str">
        <f>_xlfn.XLOOKUP(Table_CMU[[#This Row],[BUDGET ACCOUNT NAME (DROPDOWN THAT IS USED TO FILL BUDGET ACCOUNT COLUMN)]],Table58[Budget Account Name],Table58[Budget Account Number],"Not Found",0)</f>
        <v>Not Found</v>
      </c>
      <c r="B83" s="2"/>
      <c r="C83" s="17"/>
      <c r="D83" s="14"/>
      <c r="E83" s="19"/>
      <c r="F83" s="20"/>
      <c r="G83" s="26"/>
    </row>
    <row r="84" spans="1:7" ht="60" customHeight="1">
      <c r="A84" s="4" t="str">
        <f>_xlfn.XLOOKUP(Table_CMU[[#This Row],[BUDGET ACCOUNT NAME (DROPDOWN THAT IS USED TO FILL BUDGET ACCOUNT COLUMN)]],Table58[Budget Account Name],Table58[Budget Account Number],"Not Found",0)</f>
        <v>Not Found</v>
      </c>
      <c r="B84" s="2"/>
      <c r="C84" s="17"/>
      <c r="D84" s="14"/>
      <c r="E84" s="19"/>
      <c r="F84" s="20"/>
      <c r="G84" s="26"/>
    </row>
    <row r="85" spans="1:7" ht="60" customHeight="1">
      <c r="A85" s="4" t="str">
        <f>_xlfn.XLOOKUP(Table_CMU[[#This Row],[BUDGET ACCOUNT NAME (DROPDOWN THAT IS USED TO FILL BUDGET ACCOUNT COLUMN)]],Table58[Budget Account Name],Table58[Budget Account Number],"Not Found",0)</f>
        <v>Not Found</v>
      </c>
      <c r="B85" s="2"/>
      <c r="C85" s="17"/>
      <c r="D85" s="14"/>
      <c r="E85" s="19"/>
      <c r="F85" s="20"/>
      <c r="G85" s="26"/>
    </row>
    <row r="86" spans="1:7" ht="60" customHeight="1">
      <c r="A86" s="4" t="str">
        <f>_xlfn.XLOOKUP(Table_CMU[[#This Row],[BUDGET ACCOUNT NAME (DROPDOWN THAT IS USED TO FILL BUDGET ACCOUNT COLUMN)]],Table58[Budget Account Name],Table58[Budget Account Number],"Not Found",0)</f>
        <v>Not Found</v>
      </c>
      <c r="B86" s="2"/>
      <c r="C86" s="17"/>
      <c r="D86" s="14"/>
      <c r="E86" s="19"/>
      <c r="F86" s="20"/>
      <c r="G86" s="26"/>
    </row>
    <row r="87" spans="1:7" ht="60" customHeight="1">
      <c r="A87" s="4" t="str">
        <f>_xlfn.XLOOKUP(Table_CMU[[#This Row],[BUDGET ACCOUNT NAME (DROPDOWN THAT IS USED TO FILL BUDGET ACCOUNT COLUMN)]],Table58[Budget Account Name],Table58[Budget Account Number],"Not Found",0)</f>
        <v>Not Found</v>
      </c>
      <c r="B87" s="2"/>
      <c r="C87" s="17"/>
      <c r="D87" s="14"/>
      <c r="E87" s="19"/>
      <c r="F87" s="20"/>
      <c r="G87" s="26"/>
    </row>
    <row r="88" spans="1:7" ht="60" customHeight="1">
      <c r="A88" s="4" t="str">
        <f>_xlfn.XLOOKUP(Table_CMU[[#This Row],[BUDGET ACCOUNT NAME (DROPDOWN THAT IS USED TO FILL BUDGET ACCOUNT COLUMN)]],Table58[Budget Account Name],Table58[Budget Account Number],"Not Found",0)</f>
        <v>Not Found</v>
      </c>
      <c r="B88" s="2"/>
      <c r="C88" s="17"/>
      <c r="D88" s="14"/>
      <c r="E88" s="19"/>
      <c r="F88" s="20"/>
      <c r="G88" s="26"/>
    </row>
    <row r="89" spans="1:7" ht="60" customHeight="1">
      <c r="A89" s="4" t="str">
        <f>_xlfn.XLOOKUP(Table_CMU[[#This Row],[BUDGET ACCOUNT NAME (DROPDOWN THAT IS USED TO FILL BUDGET ACCOUNT COLUMN)]],Table58[Budget Account Name],Table58[Budget Account Number],"Not Found",0)</f>
        <v>Not Found</v>
      </c>
      <c r="B89" s="2"/>
      <c r="C89" s="17"/>
      <c r="D89" s="14"/>
      <c r="E89" s="19"/>
      <c r="F89" s="20"/>
      <c r="G89" s="26"/>
    </row>
    <row r="90" spans="1:7" ht="60" customHeight="1">
      <c r="A90" s="4" t="str">
        <f>_xlfn.XLOOKUP(Table_CMU[[#This Row],[BUDGET ACCOUNT NAME (DROPDOWN THAT IS USED TO FILL BUDGET ACCOUNT COLUMN)]],Table58[Budget Account Name],Table58[Budget Account Number],"Not Found",0)</f>
        <v>Not Found</v>
      </c>
      <c r="B90" s="2"/>
      <c r="C90" s="17"/>
      <c r="D90" s="14"/>
      <c r="E90" s="19"/>
      <c r="F90" s="20"/>
      <c r="G90" s="26"/>
    </row>
    <row r="91" spans="1:7" ht="60" customHeight="1">
      <c r="A91" s="4" t="str">
        <f>_xlfn.XLOOKUP(Table_CMU[[#This Row],[BUDGET ACCOUNT NAME (DROPDOWN THAT IS USED TO FILL BUDGET ACCOUNT COLUMN)]],Table58[Budget Account Name],Table58[Budget Account Number],"Not Found",0)</f>
        <v>Not Found</v>
      </c>
      <c r="B91" s="2"/>
      <c r="C91" s="17"/>
      <c r="D91" s="14"/>
      <c r="E91" s="19"/>
      <c r="F91" s="20"/>
      <c r="G91" s="26"/>
    </row>
    <row r="92" spans="1:7" ht="60" customHeight="1">
      <c r="A92" s="4" t="str">
        <f>_xlfn.XLOOKUP(Table_CMU[[#This Row],[BUDGET ACCOUNT NAME (DROPDOWN THAT IS USED TO FILL BUDGET ACCOUNT COLUMN)]],Table58[Budget Account Name],Table58[Budget Account Number],"Not Found",0)</f>
        <v>Not Found</v>
      </c>
      <c r="B92" s="2"/>
      <c r="C92" s="17"/>
      <c r="D92" s="14"/>
      <c r="E92" s="19"/>
      <c r="F92" s="20"/>
      <c r="G92" s="26"/>
    </row>
    <row r="93" spans="1:7" ht="60" customHeight="1">
      <c r="A93" s="4" t="str">
        <f>_xlfn.XLOOKUP(Table_CMU[[#This Row],[BUDGET ACCOUNT NAME (DROPDOWN THAT IS USED TO FILL BUDGET ACCOUNT COLUMN)]],Table58[Budget Account Name],Table58[Budget Account Number],"Not Found",0)</f>
        <v>Not Found</v>
      </c>
      <c r="B93" s="2"/>
      <c r="C93" s="17"/>
      <c r="D93" s="14"/>
      <c r="E93" s="19"/>
      <c r="F93" s="20"/>
      <c r="G93" s="26"/>
    </row>
    <row r="94" spans="1:7" ht="60" customHeight="1">
      <c r="A94" s="4" t="str">
        <f>_xlfn.XLOOKUP(Table_CMU[[#This Row],[BUDGET ACCOUNT NAME (DROPDOWN THAT IS USED TO FILL BUDGET ACCOUNT COLUMN)]],Table58[Budget Account Name],Table58[Budget Account Number],"Not Found",0)</f>
        <v>Not Found</v>
      </c>
      <c r="B94" s="2"/>
      <c r="C94" s="17"/>
      <c r="D94" s="14"/>
      <c r="E94" s="19"/>
      <c r="F94" s="20"/>
      <c r="G94" s="26"/>
    </row>
    <row r="95" spans="1:7" ht="60" customHeight="1">
      <c r="A95" s="4" t="str">
        <f>_xlfn.XLOOKUP(Table_CMU[[#This Row],[BUDGET ACCOUNT NAME (DROPDOWN THAT IS USED TO FILL BUDGET ACCOUNT COLUMN)]],Table58[Budget Account Name],Table58[Budget Account Number],"Not Found",0)</f>
        <v>Not Found</v>
      </c>
      <c r="B95" s="2"/>
      <c r="C95" s="17"/>
      <c r="D95" s="14"/>
      <c r="E95" s="19"/>
      <c r="F95" s="20"/>
      <c r="G95" s="26"/>
    </row>
    <row r="96" spans="1:7" ht="60" customHeight="1">
      <c r="A96" s="4" t="str">
        <f>_xlfn.XLOOKUP(Table_CMU[[#This Row],[BUDGET ACCOUNT NAME (DROPDOWN THAT IS USED TO FILL BUDGET ACCOUNT COLUMN)]],Table58[Budget Account Name],Table58[Budget Account Number],"Not Found",0)</f>
        <v>Not Found</v>
      </c>
      <c r="B96" s="2"/>
      <c r="C96" s="17"/>
      <c r="D96" s="14"/>
      <c r="E96" s="19"/>
      <c r="F96" s="20"/>
      <c r="G96" s="26"/>
    </row>
    <row r="97" spans="1:7" ht="60" customHeight="1">
      <c r="A97" s="4" t="str">
        <f>_xlfn.XLOOKUP(Table_CMU[[#This Row],[BUDGET ACCOUNT NAME (DROPDOWN THAT IS USED TO FILL BUDGET ACCOUNT COLUMN)]],Table58[Budget Account Name],Table58[Budget Account Number],"Not Found",0)</f>
        <v>Not Found</v>
      </c>
      <c r="B97" s="2"/>
      <c r="C97" s="17"/>
      <c r="D97" s="14"/>
      <c r="E97" s="19"/>
      <c r="F97" s="20"/>
      <c r="G97" s="26"/>
    </row>
    <row r="98" spans="1:7" ht="60" customHeight="1">
      <c r="A98" s="4" t="str">
        <f>_xlfn.XLOOKUP(Table_CMU[[#This Row],[BUDGET ACCOUNT NAME (DROPDOWN THAT IS USED TO FILL BUDGET ACCOUNT COLUMN)]],Table58[Budget Account Name],Table58[Budget Account Number],"Not Found",0)</f>
        <v>Not Found</v>
      </c>
      <c r="B98" s="2"/>
      <c r="C98" s="17"/>
      <c r="D98" s="14"/>
      <c r="E98" s="19"/>
      <c r="F98" s="20"/>
      <c r="G98" s="26"/>
    </row>
    <row r="99" spans="1:7" ht="60" customHeight="1">
      <c r="A99" s="4" t="str">
        <f>_xlfn.XLOOKUP(Table_CMU[[#This Row],[BUDGET ACCOUNT NAME (DROPDOWN THAT IS USED TO FILL BUDGET ACCOUNT COLUMN)]],Table58[Budget Account Name],Table58[Budget Account Number],"Not Found",0)</f>
        <v>Not Found</v>
      </c>
      <c r="B99" s="2"/>
      <c r="C99" s="17"/>
      <c r="D99" s="14"/>
      <c r="E99" s="19"/>
      <c r="F99" s="20"/>
      <c r="G99" s="26"/>
    </row>
    <row r="100" spans="1:7" ht="60" customHeight="1">
      <c r="A100" s="4" t="str">
        <f>_xlfn.XLOOKUP(Table_CMU[[#This Row],[BUDGET ACCOUNT NAME (DROPDOWN THAT IS USED TO FILL BUDGET ACCOUNT COLUMN)]],Table58[Budget Account Name],Table58[Budget Account Number],"Not Found",0)</f>
        <v>Not Found</v>
      </c>
      <c r="B100" s="2"/>
      <c r="C100" s="17"/>
      <c r="D100" s="14"/>
      <c r="E100" s="19"/>
      <c r="F100" s="20"/>
      <c r="G100" s="26"/>
    </row>
    <row r="101" spans="1:7" ht="31.5">
      <c r="A101" s="4" t="str">
        <f>_xlfn.XLOOKUP(Table_CMU[[#This Row],[BUDGET ACCOUNT NAME (DROPDOWN THAT IS USED TO FILL BUDGET ACCOUNT COLUMN)]],Table58[Budget Account Name],Table58[Budget Account Number],"Not Found",0)</f>
        <v>Not Found</v>
      </c>
      <c r="B101" s="2"/>
      <c r="C101" s="17"/>
      <c r="D101" s="14"/>
      <c r="E101" s="19"/>
      <c r="F101" s="20"/>
      <c r="G101" s="26"/>
    </row>
    <row r="102" spans="1:7" ht="31.5">
      <c r="A102" s="4" t="str">
        <f>_xlfn.XLOOKUP(Table_CMU[[#This Row],[BUDGET ACCOUNT NAME (DROPDOWN THAT IS USED TO FILL BUDGET ACCOUNT COLUMN)]],Table58[Budget Account Name],Table58[Budget Account Number],"Not Found",0)</f>
        <v>Not Found</v>
      </c>
      <c r="B102" s="2"/>
      <c r="C102" s="17"/>
      <c r="D102" s="14"/>
      <c r="E102" s="19"/>
      <c r="F102" s="20"/>
      <c r="G102" s="26"/>
    </row>
    <row r="103" spans="1:7" ht="31.5">
      <c r="A103" s="4" t="str">
        <f>_xlfn.XLOOKUP(Table_CMU[[#This Row],[BUDGET ACCOUNT NAME (DROPDOWN THAT IS USED TO FILL BUDGET ACCOUNT COLUMN)]],Table58[Budget Account Name],Table58[Budget Account Number],"Not Found",0)</f>
        <v>Not Found</v>
      </c>
      <c r="B103" s="2"/>
      <c r="C103" s="17"/>
      <c r="D103" s="14"/>
      <c r="E103" s="19"/>
      <c r="F103" s="20"/>
      <c r="G103" s="26"/>
    </row>
    <row r="104" spans="1:7" ht="31.5">
      <c r="A104" s="4" t="str">
        <f>_xlfn.XLOOKUP(Table_CMU[[#This Row],[BUDGET ACCOUNT NAME (DROPDOWN THAT IS USED TO FILL BUDGET ACCOUNT COLUMN)]],Table58[Budget Account Name],Table58[Budget Account Number],"Not Found",0)</f>
        <v>Not Found</v>
      </c>
      <c r="B104" s="6"/>
      <c r="C104" s="18"/>
      <c r="D104" s="15"/>
      <c r="E104" s="21"/>
      <c r="F104" s="22"/>
      <c r="G104" s="26"/>
    </row>
  </sheetData>
  <protectedRanges>
    <protectedRange algorithmName="SHA-512" hashValue="p6d/J7IQ6X3gQUcu4iwpt2RuO7wJMqxQJiGwlWaJ82UOPTWyBy3gBEvlg7EpAw4DkgYq0kV3npt4+/sv9MZMMg==" saltValue="FjmrE9hwNLT7/8ohG6t+MA==" spinCount="100000" sqref="B14:D104" name="CMU"/>
  </protectedRanges>
  <mergeCells count="3">
    <mergeCell ref="A1:F1"/>
    <mergeCell ref="C2:F2"/>
    <mergeCell ref="A12:F12"/>
  </mergeCells>
  <phoneticPr fontId="14" type="noConversion"/>
  <dataValidations count="3">
    <dataValidation type="list" allowBlank="1" showInputMessage="1" showErrorMessage="1" sqref="E14:E104" xr:uid="{CE985410-63BB-4179-AA4D-86C4335E9E50}">
      <formula1>$H$2:$H$6</formula1>
    </dataValidation>
    <dataValidation type="list" allowBlank="1" showInputMessage="1" showErrorMessage="1" sqref="B14:B104" xr:uid="{0C9E14D3-2B51-4CBB-A1B3-5059FCB1A8C0}">
      <formula1>$B$3:$B$11</formula1>
    </dataValidation>
    <dataValidation type="list" allowBlank="1" showInputMessage="1" showErrorMessage="1" sqref="G14:G104" xr:uid="{4B2AADAD-8D20-47B6-B1E5-4C7629787FAF}">
      <formula1>$G$1:$G$11</formula1>
    </dataValidation>
  </dataValidation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4042-7645-4C1C-B244-4B045ADB2F11}">
  <dimension ref="A1:J100"/>
  <sheetViews>
    <sheetView zoomScale="70" zoomScaleNormal="70" workbookViewId="0">
      <pane ySplit="13" topLeftCell="A14" activePane="bottomLeft" state="frozen"/>
      <selection pane="bottomLeft" activeCell="G86" sqref="G86"/>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56.25">
      <c r="A13" s="7" t="s">
        <v>140</v>
      </c>
      <c r="B13" s="8" t="s">
        <v>141</v>
      </c>
      <c r="C13" s="9" t="s">
        <v>142</v>
      </c>
      <c r="D13" s="9" t="s">
        <v>143</v>
      </c>
      <c r="E13" s="10" t="s">
        <v>144</v>
      </c>
      <c r="F13" s="11" t="s">
        <v>145</v>
      </c>
      <c r="G13" s="25" t="s">
        <v>146</v>
      </c>
    </row>
    <row r="14" spans="1:10" ht="63" customHeight="1">
      <c r="A14" s="4" t="str">
        <f>_xlfn.XLOOKUP(Table_E[[#This Row],[BUDGET ACCOUNT NAME (DROPDOWN THAT IS USED TO FILL BUDGET ACCOUNT COLUMN)]],Table518[Budget Account Name],Table518[Budget Account Number],"Not Found",0)</f>
        <v>Not Found</v>
      </c>
      <c r="B14" s="2"/>
      <c r="C14" s="16"/>
      <c r="D14" s="14"/>
      <c r="E14" s="19"/>
      <c r="F14" s="20"/>
      <c r="G14" s="26"/>
    </row>
    <row r="15" spans="1:10" ht="73.5" customHeight="1">
      <c r="A15" s="4" t="str">
        <f>_xlfn.XLOOKUP(Table_E[[#This Row],[BUDGET ACCOUNT NAME (DROPDOWN THAT IS USED TO FILL BUDGET ACCOUNT COLUMN)]],Table518[Budget Account Name],Table518[Budget Account Number],"Not Found",0)</f>
        <v>Not Found</v>
      </c>
      <c r="B15" s="2"/>
      <c r="C15" s="17"/>
      <c r="D15" s="14"/>
      <c r="E15" s="19"/>
      <c r="F15" s="20"/>
      <c r="G15" s="26"/>
    </row>
    <row r="16" spans="1:10" ht="60" customHeight="1">
      <c r="A16" s="4" t="str">
        <f>_xlfn.XLOOKUP(Table_E[[#This Row],[BUDGET ACCOUNT NAME (DROPDOWN THAT IS USED TO FILL BUDGET ACCOUNT COLUMN)]],Table518[Budget Account Name],Table518[Budget Account Number],"Not Found",0)</f>
        <v>Not Found</v>
      </c>
      <c r="B16" s="2"/>
      <c r="C16" s="17"/>
      <c r="D16" s="14"/>
      <c r="E16" s="19"/>
      <c r="F16" s="20"/>
      <c r="G16" s="26"/>
    </row>
    <row r="17" spans="1:7" ht="60" customHeight="1">
      <c r="A17" s="4" t="str">
        <f>_xlfn.XLOOKUP(Table_E[[#This Row],[BUDGET ACCOUNT NAME (DROPDOWN THAT IS USED TO FILL BUDGET ACCOUNT COLUMN)]],Table518[Budget Account Name],Table518[Budget Account Number],"Not Found",0)</f>
        <v>Not Found</v>
      </c>
      <c r="B17" s="2"/>
      <c r="C17" s="17"/>
      <c r="D17" s="14"/>
      <c r="E17" s="19"/>
      <c r="F17" s="20"/>
      <c r="G17" s="26"/>
    </row>
    <row r="18" spans="1:7" ht="75" customHeight="1">
      <c r="A18" s="4" t="str">
        <f>_xlfn.XLOOKUP(Table_E[[#This Row],[BUDGET ACCOUNT NAME (DROPDOWN THAT IS USED TO FILL BUDGET ACCOUNT COLUMN)]],Table518[Budget Account Name],Table518[Budget Account Number],"Not Found",0)</f>
        <v>Not Found</v>
      </c>
      <c r="B18" s="2"/>
      <c r="C18" s="17"/>
      <c r="D18" s="14"/>
      <c r="E18" s="19"/>
      <c r="F18" s="20"/>
      <c r="G18" s="26"/>
    </row>
    <row r="19" spans="1:7" ht="60" customHeight="1">
      <c r="A19" s="4" t="str">
        <f>_xlfn.XLOOKUP(Table_E[[#This Row],[BUDGET ACCOUNT NAME (DROPDOWN THAT IS USED TO FILL BUDGET ACCOUNT COLUMN)]],Table518[Budget Account Name],Table518[Budget Account Number],"Not Found",0)</f>
        <v>Not Found</v>
      </c>
      <c r="B19" s="2"/>
      <c r="C19" s="17"/>
      <c r="D19" s="14"/>
      <c r="E19" s="19"/>
      <c r="F19" s="20"/>
      <c r="G19" s="26"/>
    </row>
    <row r="20" spans="1:7" ht="60" customHeight="1">
      <c r="A20" s="4" t="str">
        <f>_xlfn.XLOOKUP(Table_E[[#This Row],[BUDGET ACCOUNT NAME (DROPDOWN THAT IS USED TO FILL BUDGET ACCOUNT COLUMN)]],Table518[Budget Account Name],Table518[Budget Account Number],"Not Found",0)</f>
        <v>Not Found</v>
      </c>
      <c r="B20" s="2"/>
      <c r="C20" s="17"/>
      <c r="D20" s="14"/>
      <c r="E20" s="19"/>
      <c r="F20" s="20"/>
      <c r="G20" s="26"/>
    </row>
    <row r="21" spans="1:7" ht="60" customHeight="1">
      <c r="A21" s="4" t="str">
        <f>_xlfn.XLOOKUP(Table_E[[#This Row],[BUDGET ACCOUNT NAME (DROPDOWN THAT IS USED TO FILL BUDGET ACCOUNT COLUMN)]],Table518[Budget Account Name],Table518[Budget Account Number],"Not Found",0)</f>
        <v>Not Found</v>
      </c>
      <c r="B21" s="2"/>
      <c r="C21" s="17"/>
      <c r="D21" s="14"/>
      <c r="E21" s="19"/>
      <c r="F21" s="20"/>
      <c r="G21" s="26"/>
    </row>
    <row r="22" spans="1:7" ht="60" customHeight="1">
      <c r="A22" s="4" t="str">
        <f>_xlfn.XLOOKUP(Table_E[[#This Row],[BUDGET ACCOUNT NAME (DROPDOWN THAT IS USED TO FILL BUDGET ACCOUNT COLUMN)]],Table518[Budget Account Name],Table518[Budget Account Number],"Not Found",0)</f>
        <v>Not Found</v>
      </c>
      <c r="B22" s="2"/>
      <c r="C22" s="17"/>
      <c r="D22" s="14"/>
      <c r="E22" s="19"/>
      <c r="F22" s="20"/>
      <c r="G22" s="26"/>
    </row>
    <row r="23" spans="1:7" ht="60" customHeight="1">
      <c r="A23" s="4" t="str">
        <f>_xlfn.XLOOKUP(Table_E[[#This Row],[BUDGET ACCOUNT NAME (DROPDOWN THAT IS USED TO FILL BUDGET ACCOUNT COLUMN)]],Table518[Budget Account Name],Table518[Budget Account Number],"Not Found",0)</f>
        <v>Not Found</v>
      </c>
      <c r="B23" s="2"/>
      <c r="C23" s="17"/>
      <c r="D23" s="14"/>
      <c r="E23" s="19"/>
      <c r="F23" s="20"/>
      <c r="G23" s="26"/>
    </row>
    <row r="24" spans="1:7" ht="60" customHeight="1">
      <c r="A24" s="4" t="str">
        <f>_xlfn.XLOOKUP(Table_E[[#This Row],[BUDGET ACCOUNT NAME (DROPDOWN THAT IS USED TO FILL BUDGET ACCOUNT COLUMN)]],Table518[Budget Account Name],Table518[Budget Account Number],"Not Found",0)</f>
        <v>Not Found</v>
      </c>
      <c r="B24" s="2"/>
      <c r="C24" s="17"/>
      <c r="D24" s="14"/>
      <c r="E24" s="19"/>
      <c r="F24" s="20"/>
      <c r="G24" s="26"/>
    </row>
    <row r="25" spans="1:7" ht="60" customHeight="1">
      <c r="A25" s="4" t="str">
        <f>_xlfn.XLOOKUP(Table_E[[#This Row],[BUDGET ACCOUNT NAME (DROPDOWN THAT IS USED TO FILL BUDGET ACCOUNT COLUMN)]],Table518[Budget Account Name],Table518[Budget Account Number],"Not Found",0)</f>
        <v>Not Found</v>
      </c>
      <c r="B25" s="2"/>
      <c r="C25" s="17"/>
      <c r="D25" s="14"/>
      <c r="E25" s="19"/>
      <c r="F25" s="20"/>
      <c r="G25" s="26"/>
    </row>
    <row r="26" spans="1:7" ht="60" customHeight="1">
      <c r="A26" s="4" t="str">
        <f>_xlfn.XLOOKUP(Table_E[[#This Row],[BUDGET ACCOUNT NAME (DROPDOWN THAT IS USED TO FILL BUDGET ACCOUNT COLUMN)]],Table518[Budget Account Name],Table518[Budget Account Number],"Not Found",0)</f>
        <v>Not Found</v>
      </c>
      <c r="B26" s="2"/>
      <c r="C26" s="17"/>
      <c r="D26" s="14"/>
      <c r="E26" s="19"/>
      <c r="F26" s="20"/>
      <c r="G26" s="26"/>
    </row>
    <row r="27" spans="1:7" ht="60" customHeight="1">
      <c r="A27" s="4" t="str">
        <f>_xlfn.XLOOKUP(Table_E[[#This Row],[BUDGET ACCOUNT NAME (DROPDOWN THAT IS USED TO FILL BUDGET ACCOUNT COLUMN)]],Table518[Budget Account Name],Table518[Budget Account Number],"Not Found",0)</f>
        <v>Not Found</v>
      </c>
      <c r="B27" s="2"/>
      <c r="C27" s="17"/>
      <c r="D27" s="14"/>
      <c r="E27" s="19"/>
      <c r="F27" s="20"/>
      <c r="G27" s="26"/>
    </row>
    <row r="28" spans="1:7" ht="60" customHeight="1">
      <c r="A28" s="4" t="str">
        <f>_xlfn.XLOOKUP(Table_E[[#This Row],[BUDGET ACCOUNT NAME (DROPDOWN THAT IS USED TO FILL BUDGET ACCOUNT COLUMN)]],Table518[Budget Account Name],Table518[Budget Account Number],"Not Found",0)</f>
        <v>Not Found</v>
      </c>
      <c r="B28" s="2"/>
      <c r="C28" s="17"/>
      <c r="D28" s="14"/>
      <c r="E28" s="19"/>
      <c r="F28" s="20"/>
      <c r="G28" s="26"/>
    </row>
    <row r="29" spans="1:7" ht="60" customHeight="1">
      <c r="A29" s="4" t="str">
        <f>_xlfn.XLOOKUP(Table_E[[#This Row],[BUDGET ACCOUNT NAME (DROPDOWN THAT IS USED TO FILL BUDGET ACCOUNT COLUMN)]],Table518[Budget Account Name],Table518[Budget Account Number],"Not Found",0)</f>
        <v>Not Found</v>
      </c>
      <c r="B29" s="2"/>
      <c r="C29" s="17"/>
      <c r="D29" s="14"/>
      <c r="E29" s="19"/>
      <c r="F29" s="20"/>
      <c r="G29" s="26"/>
    </row>
    <row r="30" spans="1:7" ht="60" customHeight="1">
      <c r="A30" s="4" t="str">
        <f>_xlfn.XLOOKUP(Table_E[[#This Row],[BUDGET ACCOUNT NAME (DROPDOWN THAT IS USED TO FILL BUDGET ACCOUNT COLUMN)]],Table518[Budget Account Name],Table518[Budget Account Number],"Not Found",0)</f>
        <v>Not Found</v>
      </c>
      <c r="B30" s="2"/>
      <c r="C30" s="17"/>
      <c r="D30" s="14"/>
      <c r="E30" s="19"/>
      <c r="F30" s="20"/>
      <c r="G30" s="26"/>
    </row>
    <row r="31" spans="1:7" ht="60" customHeight="1">
      <c r="A31" s="4" t="str">
        <f>_xlfn.XLOOKUP(Table_E[[#This Row],[BUDGET ACCOUNT NAME (DROPDOWN THAT IS USED TO FILL BUDGET ACCOUNT COLUMN)]],Table518[Budget Account Name],Table518[Budget Account Number],"Not Found",0)</f>
        <v>Not Found</v>
      </c>
      <c r="B31" s="2"/>
      <c r="C31" s="17"/>
      <c r="D31" s="14"/>
      <c r="E31" s="19"/>
      <c r="F31" s="20"/>
      <c r="G31" s="26"/>
    </row>
    <row r="32" spans="1:7" ht="60" customHeight="1">
      <c r="A32" s="4" t="str">
        <f>_xlfn.XLOOKUP(Table_E[[#This Row],[BUDGET ACCOUNT NAME (DROPDOWN THAT IS USED TO FILL BUDGET ACCOUNT COLUMN)]],Table518[Budget Account Name],Table518[Budget Account Number],"Not Found",0)</f>
        <v>Not Found</v>
      </c>
      <c r="B32" s="2"/>
      <c r="C32" s="17"/>
      <c r="D32" s="14"/>
      <c r="E32" s="19"/>
      <c r="F32" s="20"/>
      <c r="G32" s="26"/>
    </row>
    <row r="33" spans="1:7" ht="60" customHeight="1">
      <c r="A33" s="4" t="str">
        <f>_xlfn.XLOOKUP(Table_E[[#This Row],[BUDGET ACCOUNT NAME (DROPDOWN THAT IS USED TO FILL BUDGET ACCOUNT COLUMN)]],Table518[Budget Account Name],Table518[Budget Account Number],"Not Found",0)</f>
        <v>Not Found</v>
      </c>
      <c r="B33" s="2"/>
      <c r="C33" s="17"/>
      <c r="D33" s="14"/>
      <c r="E33" s="19"/>
      <c r="F33" s="20"/>
      <c r="G33" s="26"/>
    </row>
    <row r="34" spans="1:7" ht="60" customHeight="1">
      <c r="A34" s="4" t="str">
        <f>_xlfn.XLOOKUP(Table_E[[#This Row],[BUDGET ACCOUNT NAME (DROPDOWN THAT IS USED TO FILL BUDGET ACCOUNT COLUMN)]],Table518[Budget Account Name],Table518[Budget Account Number],"Not Found",0)</f>
        <v>Not Found</v>
      </c>
      <c r="B34" s="2"/>
      <c r="C34" s="17"/>
      <c r="D34" s="14"/>
      <c r="E34" s="19"/>
      <c r="F34" s="20"/>
      <c r="G34" s="26"/>
    </row>
    <row r="35" spans="1:7" ht="60" customHeight="1">
      <c r="A35" s="4" t="str">
        <f>_xlfn.XLOOKUP(Table_E[[#This Row],[BUDGET ACCOUNT NAME (DROPDOWN THAT IS USED TO FILL BUDGET ACCOUNT COLUMN)]],Table518[Budget Account Name],Table518[Budget Account Number],"Not Found",0)</f>
        <v>Not Found</v>
      </c>
      <c r="B35" s="2"/>
      <c r="C35" s="17"/>
      <c r="D35" s="14"/>
      <c r="E35" s="19"/>
      <c r="F35" s="20"/>
      <c r="G35" s="26"/>
    </row>
    <row r="36" spans="1:7" ht="60" customHeight="1">
      <c r="A36" s="4" t="str">
        <f>_xlfn.XLOOKUP(Table_E[[#This Row],[BUDGET ACCOUNT NAME (DROPDOWN THAT IS USED TO FILL BUDGET ACCOUNT COLUMN)]],Table518[Budget Account Name],Table518[Budget Account Number],"Not Found",0)</f>
        <v>Not Found</v>
      </c>
      <c r="B36" s="2"/>
      <c r="C36" s="17"/>
      <c r="D36" s="14"/>
      <c r="E36" s="19"/>
      <c r="F36" s="20"/>
      <c r="G36" s="26"/>
    </row>
    <row r="37" spans="1:7" ht="60" customHeight="1">
      <c r="A37" s="4" t="str">
        <f>_xlfn.XLOOKUP(Table_E[[#This Row],[BUDGET ACCOUNT NAME (DROPDOWN THAT IS USED TO FILL BUDGET ACCOUNT COLUMN)]],Table518[Budget Account Name],Table518[Budget Account Number],"Not Found",0)</f>
        <v>Not Found</v>
      </c>
      <c r="B37" s="2"/>
      <c r="C37" s="17"/>
      <c r="D37" s="14"/>
      <c r="E37" s="19"/>
      <c r="F37" s="20"/>
      <c r="G37" s="26"/>
    </row>
    <row r="38" spans="1:7" ht="60" customHeight="1">
      <c r="A38" s="4" t="str">
        <f>_xlfn.XLOOKUP(Table_E[[#This Row],[BUDGET ACCOUNT NAME (DROPDOWN THAT IS USED TO FILL BUDGET ACCOUNT COLUMN)]],Table518[Budget Account Name],Table518[Budget Account Number],"Not Found",0)</f>
        <v>Not Found</v>
      </c>
      <c r="B38" s="2"/>
      <c r="C38" s="17"/>
      <c r="D38" s="14"/>
      <c r="E38" s="19"/>
      <c r="F38" s="20"/>
      <c r="G38" s="26"/>
    </row>
    <row r="39" spans="1:7" ht="60" customHeight="1">
      <c r="A39" s="4" t="str">
        <f>_xlfn.XLOOKUP(Table_E[[#This Row],[BUDGET ACCOUNT NAME (DROPDOWN THAT IS USED TO FILL BUDGET ACCOUNT COLUMN)]],Table518[Budget Account Name],Table518[Budget Account Number],"Not Found",0)</f>
        <v>Not Found</v>
      </c>
      <c r="B39" s="2"/>
      <c r="C39" s="17"/>
      <c r="D39" s="14"/>
      <c r="E39" s="19"/>
      <c r="F39" s="20"/>
      <c r="G39" s="26"/>
    </row>
    <row r="40" spans="1:7" ht="60" customHeight="1">
      <c r="A40" s="4" t="str">
        <f>_xlfn.XLOOKUP(Table_E[[#This Row],[BUDGET ACCOUNT NAME (DROPDOWN THAT IS USED TO FILL BUDGET ACCOUNT COLUMN)]],Table518[Budget Account Name],Table518[Budget Account Number],"Not Found",0)</f>
        <v>Not Found</v>
      </c>
      <c r="B40" s="2"/>
      <c r="C40" s="17"/>
      <c r="D40" s="14"/>
      <c r="E40" s="19"/>
      <c r="F40" s="20"/>
      <c r="G40" s="26"/>
    </row>
    <row r="41" spans="1:7" ht="60" customHeight="1">
      <c r="A41" s="4" t="str">
        <f>_xlfn.XLOOKUP(Table_E[[#This Row],[BUDGET ACCOUNT NAME (DROPDOWN THAT IS USED TO FILL BUDGET ACCOUNT COLUMN)]],Table518[Budget Account Name],Table518[Budget Account Number],"Not Found",0)</f>
        <v>Not Found</v>
      </c>
      <c r="B41" s="2"/>
      <c r="C41" s="17"/>
      <c r="D41" s="14"/>
      <c r="E41" s="19"/>
      <c r="F41" s="20"/>
      <c r="G41" s="26"/>
    </row>
    <row r="42" spans="1:7" ht="60" customHeight="1">
      <c r="A42" s="4" t="str">
        <f>_xlfn.XLOOKUP(Table_E[[#This Row],[BUDGET ACCOUNT NAME (DROPDOWN THAT IS USED TO FILL BUDGET ACCOUNT COLUMN)]],Table518[Budget Account Name],Table518[Budget Account Number],"Not Found",0)</f>
        <v>Not Found</v>
      </c>
      <c r="B42" s="2"/>
      <c r="C42" s="17"/>
      <c r="D42" s="14"/>
      <c r="E42" s="19"/>
      <c r="F42" s="20"/>
      <c r="G42" s="26"/>
    </row>
    <row r="43" spans="1:7" ht="60" customHeight="1">
      <c r="A43" s="4" t="str">
        <f>_xlfn.XLOOKUP(Table_E[[#This Row],[BUDGET ACCOUNT NAME (DROPDOWN THAT IS USED TO FILL BUDGET ACCOUNT COLUMN)]],Table518[Budget Account Name],Table518[Budget Account Number],"Not Found",0)</f>
        <v>Not Found</v>
      </c>
      <c r="B43" s="2"/>
      <c r="C43" s="17"/>
      <c r="D43" s="14"/>
      <c r="E43" s="19"/>
      <c r="F43" s="20"/>
      <c r="G43" s="26"/>
    </row>
    <row r="44" spans="1:7" ht="60" customHeight="1">
      <c r="A44" s="4" t="str">
        <f>_xlfn.XLOOKUP(Table_E[[#This Row],[BUDGET ACCOUNT NAME (DROPDOWN THAT IS USED TO FILL BUDGET ACCOUNT COLUMN)]],Table518[Budget Account Name],Table518[Budget Account Number],"Not Found",0)</f>
        <v>Not Found</v>
      </c>
      <c r="B44" s="2"/>
      <c r="C44" s="17"/>
      <c r="D44" s="14"/>
      <c r="E44" s="19"/>
      <c r="F44" s="20"/>
      <c r="G44" s="26"/>
    </row>
    <row r="45" spans="1:7" ht="60" customHeight="1">
      <c r="A45" s="4" t="str">
        <f>_xlfn.XLOOKUP(Table_E[[#This Row],[BUDGET ACCOUNT NAME (DROPDOWN THAT IS USED TO FILL BUDGET ACCOUNT COLUMN)]],Table518[Budget Account Name],Table518[Budget Account Number],"Not Found",0)</f>
        <v>Not Found</v>
      </c>
      <c r="B45" s="2"/>
      <c r="C45" s="17"/>
      <c r="D45" s="14"/>
      <c r="E45" s="19"/>
      <c r="F45" s="20"/>
      <c r="G45" s="26"/>
    </row>
    <row r="46" spans="1:7" ht="60" customHeight="1">
      <c r="A46" s="4" t="str">
        <f>_xlfn.XLOOKUP(Table_E[[#This Row],[BUDGET ACCOUNT NAME (DROPDOWN THAT IS USED TO FILL BUDGET ACCOUNT COLUMN)]],Table518[Budget Account Name],Table518[Budget Account Number],"Not Found",0)</f>
        <v>Not Found</v>
      </c>
      <c r="B46" s="2"/>
      <c r="C46" s="17"/>
      <c r="D46" s="14"/>
      <c r="E46" s="19"/>
      <c r="F46" s="20"/>
      <c r="G46" s="26"/>
    </row>
    <row r="47" spans="1:7" ht="60" customHeight="1">
      <c r="A47" s="4" t="str">
        <f>_xlfn.XLOOKUP(Table_E[[#This Row],[BUDGET ACCOUNT NAME (DROPDOWN THAT IS USED TO FILL BUDGET ACCOUNT COLUMN)]],Table518[Budget Account Name],Table518[Budget Account Number],"Not Found",0)</f>
        <v>Not Found</v>
      </c>
      <c r="B47" s="2"/>
      <c r="C47" s="17"/>
      <c r="D47" s="14"/>
      <c r="E47" s="19"/>
      <c r="F47" s="20"/>
      <c r="G47" s="26"/>
    </row>
    <row r="48" spans="1:7" ht="60" customHeight="1">
      <c r="A48" s="4" t="str">
        <f>_xlfn.XLOOKUP(Table_E[[#This Row],[BUDGET ACCOUNT NAME (DROPDOWN THAT IS USED TO FILL BUDGET ACCOUNT COLUMN)]],Table518[Budget Account Name],Table518[Budget Account Number],"Not Found",0)</f>
        <v>Not Found</v>
      </c>
      <c r="B48" s="2"/>
      <c r="C48" s="17"/>
      <c r="D48" s="14"/>
      <c r="E48" s="19"/>
      <c r="F48" s="20"/>
      <c r="G48" s="26"/>
    </row>
    <row r="49" spans="1:7" ht="60" customHeight="1">
      <c r="A49" s="4" t="str">
        <f>_xlfn.XLOOKUP(Table_E[[#This Row],[BUDGET ACCOUNT NAME (DROPDOWN THAT IS USED TO FILL BUDGET ACCOUNT COLUMN)]],Table518[Budget Account Name],Table518[Budget Account Number],"Not Found",0)</f>
        <v>Not Found</v>
      </c>
      <c r="B49" s="2"/>
      <c r="C49" s="17"/>
      <c r="D49" s="14"/>
      <c r="E49" s="19"/>
      <c r="F49" s="20"/>
      <c r="G49" s="26"/>
    </row>
    <row r="50" spans="1:7" ht="60" customHeight="1">
      <c r="A50" s="4" t="str">
        <f>_xlfn.XLOOKUP(Table_E[[#This Row],[BUDGET ACCOUNT NAME (DROPDOWN THAT IS USED TO FILL BUDGET ACCOUNT COLUMN)]],Table518[Budget Account Name],Table518[Budget Account Number],"Not Found",0)</f>
        <v>Not Found</v>
      </c>
      <c r="B50" s="2"/>
      <c r="C50" s="17"/>
      <c r="D50" s="14"/>
      <c r="E50" s="19"/>
      <c r="F50" s="20"/>
      <c r="G50" s="26"/>
    </row>
    <row r="51" spans="1:7" ht="60" customHeight="1">
      <c r="A51" s="4" t="str">
        <f>_xlfn.XLOOKUP(Table_E[[#This Row],[BUDGET ACCOUNT NAME (DROPDOWN THAT IS USED TO FILL BUDGET ACCOUNT COLUMN)]],Table518[Budget Account Name],Table518[Budget Account Number],"Not Found",0)</f>
        <v>Not Found</v>
      </c>
      <c r="B51" s="2"/>
      <c r="C51" s="17"/>
      <c r="D51" s="14"/>
      <c r="E51" s="19"/>
      <c r="F51" s="20"/>
      <c r="G51" s="26"/>
    </row>
    <row r="52" spans="1:7" ht="60" customHeight="1">
      <c r="A52" s="4" t="str">
        <f>_xlfn.XLOOKUP(Table_E[[#This Row],[BUDGET ACCOUNT NAME (DROPDOWN THAT IS USED TO FILL BUDGET ACCOUNT COLUMN)]],Table518[Budget Account Name],Table518[Budget Account Number],"Not Found",0)</f>
        <v>Not Found</v>
      </c>
      <c r="B52" s="2"/>
      <c r="C52" s="17"/>
      <c r="D52" s="14"/>
      <c r="E52" s="19"/>
      <c r="F52" s="20"/>
      <c r="G52" s="26"/>
    </row>
    <row r="53" spans="1:7" ht="60" customHeight="1">
      <c r="A53" s="4" t="str">
        <f>_xlfn.XLOOKUP(Table_E[[#This Row],[BUDGET ACCOUNT NAME (DROPDOWN THAT IS USED TO FILL BUDGET ACCOUNT COLUMN)]],Table518[Budget Account Name],Table518[Budget Account Number],"Not Found",0)</f>
        <v>Not Found</v>
      </c>
      <c r="B53" s="2"/>
      <c r="C53" s="17"/>
      <c r="D53" s="14"/>
      <c r="E53" s="19"/>
      <c r="F53" s="20"/>
      <c r="G53" s="26"/>
    </row>
    <row r="54" spans="1:7" ht="60" customHeight="1">
      <c r="A54" s="4" t="str">
        <f>_xlfn.XLOOKUP(Table_E[[#This Row],[BUDGET ACCOUNT NAME (DROPDOWN THAT IS USED TO FILL BUDGET ACCOUNT COLUMN)]],Table518[Budget Account Name],Table518[Budget Account Number],"Not Found",0)</f>
        <v>Not Found</v>
      </c>
      <c r="B54" s="2"/>
      <c r="C54" s="17"/>
      <c r="D54" s="14"/>
      <c r="E54" s="19"/>
      <c r="F54" s="20"/>
      <c r="G54" s="26"/>
    </row>
    <row r="55" spans="1:7" ht="60" customHeight="1">
      <c r="A55" s="4" t="str">
        <f>_xlfn.XLOOKUP(Table_E[[#This Row],[BUDGET ACCOUNT NAME (DROPDOWN THAT IS USED TO FILL BUDGET ACCOUNT COLUMN)]],Table518[Budget Account Name],Table518[Budget Account Number],"Not Found",0)</f>
        <v>Not Found</v>
      </c>
      <c r="B55" s="2"/>
      <c r="C55" s="17"/>
      <c r="D55" s="14"/>
      <c r="E55" s="19"/>
      <c r="F55" s="20"/>
      <c r="G55" s="26"/>
    </row>
    <row r="56" spans="1:7" ht="60" customHeight="1">
      <c r="A56" s="4" t="str">
        <f>_xlfn.XLOOKUP(Table_E[[#This Row],[BUDGET ACCOUNT NAME (DROPDOWN THAT IS USED TO FILL BUDGET ACCOUNT COLUMN)]],Table518[Budget Account Name],Table518[Budget Account Number],"Not Found",0)</f>
        <v>Not Found</v>
      </c>
      <c r="B56" s="2"/>
      <c r="C56" s="17"/>
      <c r="D56" s="14"/>
      <c r="E56" s="19"/>
      <c r="F56" s="20"/>
      <c r="G56" s="26"/>
    </row>
    <row r="57" spans="1:7" ht="60" customHeight="1">
      <c r="A57" s="4" t="str">
        <f>_xlfn.XLOOKUP(Table_E[[#This Row],[BUDGET ACCOUNT NAME (DROPDOWN THAT IS USED TO FILL BUDGET ACCOUNT COLUMN)]],Table518[Budget Account Name],Table518[Budget Account Number],"Not Found",0)</f>
        <v>Not Found</v>
      </c>
      <c r="B57" s="2"/>
      <c r="C57" s="17"/>
      <c r="D57" s="14"/>
      <c r="E57" s="19"/>
      <c r="F57" s="20"/>
      <c r="G57" s="26"/>
    </row>
    <row r="58" spans="1:7" ht="60" customHeight="1">
      <c r="A58" s="4" t="str">
        <f>_xlfn.XLOOKUP(Table_E[[#This Row],[BUDGET ACCOUNT NAME (DROPDOWN THAT IS USED TO FILL BUDGET ACCOUNT COLUMN)]],Table518[Budget Account Name],Table518[Budget Account Number],"Not Found",0)</f>
        <v>Not Found</v>
      </c>
      <c r="B58" s="2"/>
      <c r="C58" s="17"/>
      <c r="D58" s="14"/>
      <c r="E58" s="19"/>
      <c r="F58" s="20"/>
      <c r="G58" s="26"/>
    </row>
    <row r="59" spans="1:7" ht="60" customHeight="1">
      <c r="A59" s="4" t="str">
        <f>_xlfn.XLOOKUP(Table_E[[#This Row],[BUDGET ACCOUNT NAME (DROPDOWN THAT IS USED TO FILL BUDGET ACCOUNT COLUMN)]],Table518[Budget Account Name],Table518[Budget Account Number],"Not Found",0)</f>
        <v>Not Found</v>
      </c>
      <c r="B59" s="2"/>
      <c r="C59" s="17"/>
      <c r="D59" s="14"/>
      <c r="E59" s="19"/>
      <c r="F59" s="20"/>
      <c r="G59" s="26"/>
    </row>
    <row r="60" spans="1:7" ht="60" customHeight="1">
      <c r="A60" s="4" t="str">
        <f>_xlfn.XLOOKUP(Table_E[[#This Row],[BUDGET ACCOUNT NAME (DROPDOWN THAT IS USED TO FILL BUDGET ACCOUNT COLUMN)]],Table518[Budget Account Name],Table518[Budget Account Number],"Not Found",0)</f>
        <v>Not Found</v>
      </c>
      <c r="B60" s="2"/>
      <c r="C60" s="17"/>
      <c r="D60" s="14"/>
      <c r="E60" s="19"/>
      <c r="F60" s="20"/>
      <c r="G60" s="26"/>
    </row>
    <row r="61" spans="1:7" ht="60" customHeight="1">
      <c r="A61" s="4" t="str">
        <f>_xlfn.XLOOKUP(Table_E[[#This Row],[BUDGET ACCOUNT NAME (DROPDOWN THAT IS USED TO FILL BUDGET ACCOUNT COLUMN)]],Table518[Budget Account Name],Table518[Budget Account Number],"Not Found",0)</f>
        <v>Not Found</v>
      </c>
      <c r="B61" s="2"/>
      <c r="C61" s="17"/>
      <c r="D61" s="14"/>
      <c r="E61" s="19"/>
      <c r="F61" s="20"/>
      <c r="G61" s="26"/>
    </row>
    <row r="62" spans="1:7" ht="60" customHeight="1">
      <c r="A62" s="4" t="str">
        <f>_xlfn.XLOOKUP(Table_E[[#This Row],[BUDGET ACCOUNT NAME (DROPDOWN THAT IS USED TO FILL BUDGET ACCOUNT COLUMN)]],Table518[Budget Account Name],Table518[Budget Account Number],"Not Found",0)</f>
        <v>Not Found</v>
      </c>
      <c r="B62" s="2"/>
      <c r="C62" s="17"/>
      <c r="D62" s="14"/>
      <c r="E62" s="19"/>
      <c r="F62" s="20"/>
      <c r="G62" s="26"/>
    </row>
    <row r="63" spans="1:7" ht="60" customHeight="1">
      <c r="A63" s="4" t="str">
        <f>_xlfn.XLOOKUP(Table_E[[#This Row],[BUDGET ACCOUNT NAME (DROPDOWN THAT IS USED TO FILL BUDGET ACCOUNT COLUMN)]],Table518[Budget Account Name],Table518[Budget Account Number],"Not Found",0)</f>
        <v>Not Found</v>
      </c>
      <c r="B63" s="2"/>
      <c r="C63" s="17"/>
      <c r="D63" s="14"/>
      <c r="E63" s="19"/>
      <c r="F63" s="20"/>
      <c r="G63" s="26"/>
    </row>
    <row r="64" spans="1:7" ht="60" customHeight="1">
      <c r="A64" s="4" t="str">
        <f>_xlfn.XLOOKUP(Table_E[[#This Row],[BUDGET ACCOUNT NAME (DROPDOWN THAT IS USED TO FILL BUDGET ACCOUNT COLUMN)]],Table518[Budget Account Name],Table518[Budget Account Number],"Not Found",0)</f>
        <v>Not Found</v>
      </c>
      <c r="B64" s="2"/>
      <c r="C64" s="17"/>
      <c r="D64" s="14"/>
      <c r="E64" s="19"/>
      <c r="F64" s="20"/>
      <c r="G64" s="26"/>
    </row>
    <row r="65" spans="1:7" ht="60" customHeight="1">
      <c r="A65" s="4" t="str">
        <f>_xlfn.XLOOKUP(Table_E[[#This Row],[BUDGET ACCOUNT NAME (DROPDOWN THAT IS USED TO FILL BUDGET ACCOUNT COLUMN)]],Table518[Budget Account Name],Table518[Budget Account Number],"Not Found",0)</f>
        <v>Not Found</v>
      </c>
      <c r="B65" s="2"/>
      <c r="C65" s="17"/>
      <c r="D65" s="14"/>
      <c r="E65" s="19"/>
      <c r="F65" s="20"/>
      <c r="G65" s="26"/>
    </row>
    <row r="66" spans="1:7" ht="60" customHeight="1">
      <c r="A66" s="4" t="str">
        <f>_xlfn.XLOOKUP(Table_E[[#This Row],[BUDGET ACCOUNT NAME (DROPDOWN THAT IS USED TO FILL BUDGET ACCOUNT COLUMN)]],Table518[Budget Account Name],Table518[Budget Account Number],"Not Found",0)</f>
        <v>Not Found</v>
      </c>
      <c r="B66" s="2"/>
      <c r="C66" s="17"/>
      <c r="D66" s="14"/>
      <c r="E66" s="19"/>
      <c r="F66" s="20"/>
      <c r="G66" s="26"/>
    </row>
    <row r="67" spans="1:7" ht="60" customHeight="1">
      <c r="A67" s="4" t="str">
        <f>_xlfn.XLOOKUP(Table_E[[#This Row],[BUDGET ACCOUNT NAME (DROPDOWN THAT IS USED TO FILL BUDGET ACCOUNT COLUMN)]],Table518[Budget Account Name],Table518[Budget Account Number],"Not Found",0)</f>
        <v>Not Found</v>
      </c>
      <c r="B67" s="2"/>
      <c r="C67" s="17"/>
      <c r="D67" s="14"/>
      <c r="E67" s="19"/>
      <c r="F67" s="20"/>
      <c r="G67" s="26"/>
    </row>
    <row r="68" spans="1:7" ht="60" customHeight="1">
      <c r="A68" s="4" t="str">
        <f>_xlfn.XLOOKUP(Table_E[[#This Row],[BUDGET ACCOUNT NAME (DROPDOWN THAT IS USED TO FILL BUDGET ACCOUNT COLUMN)]],Table518[Budget Account Name],Table518[Budget Account Number],"Not Found",0)</f>
        <v>Not Found</v>
      </c>
      <c r="B68" s="2"/>
      <c r="C68" s="17"/>
      <c r="D68" s="14"/>
      <c r="E68" s="19"/>
      <c r="F68" s="20"/>
      <c r="G68" s="26"/>
    </row>
    <row r="69" spans="1:7" ht="60" customHeight="1">
      <c r="A69" s="4" t="str">
        <f>_xlfn.XLOOKUP(Table_E[[#This Row],[BUDGET ACCOUNT NAME (DROPDOWN THAT IS USED TO FILL BUDGET ACCOUNT COLUMN)]],Table518[Budget Account Name],Table518[Budget Account Number],"Not Found",0)</f>
        <v>Not Found</v>
      </c>
      <c r="B69" s="2"/>
      <c r="C69" s="17"/>
      <c r="D69" s="14"/>
      <c r="E69" s="19"/>
      <c r="F69" s="20"/>
      <c r="G69" s="26"/>
    </row>
    <row r="70" spans="1:7" ht="60" customHeight="1">
      <c r="A70" s="4" t="str">
        <f>_xlfn.XLOOKUP(Table_E[[#This Row],[BUDGET ACCOUNT NAME (DROPDOWN THAT IS USED TO FILL BUDGET ACCOUNT COLUMN)]],Table518[Budget Account Name],Table518[Budget Account Number],"Not Found",0)</f>
        <v>Not Found</v>
      </c>
      <c r="B70" s="2"/>
      <c r="C70" s="17"/>
      <c r="D70" s="14"/>
      <c r="E70" s="19"/>
      <c r="F70" s="20"/>
      <c r="G70" s="26"/>
    </row>
    <row r="71" spans="1:7" ht="60" customHeight="1">
      <c r="A71" s="4" t="str">
        <f>_xlfn.XLOOKUP(Table_E[[#This Row],[BUDGET ACCOUNT NAME (DROPDOWN THAT IS USED TO FILL BUDGET ACCOUNT COLUMN)]],Table518[Budget Account Name],Table518[Budget Account Number],"Not Found",0)</f>
        <v>Not Found</v>
      </c>
      <c r="B71" s="2"/>
      <c r="C71" s="17"/>
      <c r="D71" s="14"/>
      <c r="E71" s="19"/>
      <c r="F71" s="20"/>
      <c r="G71" s="26"/>
    </row>
    <row r="72" spans="1:7" ht="60" customHeight="1">
      <c r="A72" s="4" t="str">
        <f>_xlfn.XLOOKUP(Table_E[[#This Row],[BUDGET ACCOUNT NAME (DROPDOWN THAT IS USED TO FILL BUDGET ACCOUNT COLUMN)]],Table518[Budget Account Name],Table518[Budget Account Number],"Not Found",0)</f>
        <v>Not Found</v>
      </c>
      <c r="B72" s="2"/>
      <c r="C72" s="17"/>
      <c r="D72" s="14"/>
      <c r="E72" s="19"/>
      <c r="F72" s="20"/>
      <c r="G72" s="26"/>
    </row>
    <row r="73" spans="1:7" ht="60" customHeight="1">
      <c r="A73" s="4" t="str">
        <f>_xlfn.XLOOKUP(Table_E[[#This Row],[BUDGET ACCOUNT NAME (DROPDOWN THAT IS USED TO FILL BUDGET ACCOUNT COLUMN)]],Table518[Budget Account Name],Table518[Budget Account Number],"Not Found",0)</f>
        <v>Not Found</v>
      </c>
      <c r="B73" s="2"/>
      <c r="C73" s="17"/>
      <c r="D73" s="14"/>
      <c r="E73" s="19"/>
      <c r="F73" s="20"/>
      <c r="G73" s="26"/>
    </row>
    <row r="74" spans="1:7" ht="60" customHeight="1">
      <c r="A74" s="4" t="str">
        <f>_xlfn.XLOOKUP(Table_E[[#This Row],[BUDGET ACCOUNT NAME (DROPDOWN THAT IS USED TO FILL BUDGET ACCOUNT COLUMN)]],Table518[Budget Account Name],Table518[Budget Account Number],"Not Found",0)</f>
        <v>Not Found</v>
      </c>
      <c r="B74" s="2"/>
      <c r="C74" s="17"/>
      <c r="D74" s="14"/>
      <c r="E74" s="19"/>
      <c r="F74" s="20"/>
      <c r="G74" s="26"/>
    </row>
    <row r="75" spans="1:7" ht="60" customHeight="1">
      <c r="A75" s="4" t="str">
        <f>_xlfn.XLOOKUP(Table_E[[#This Row],[BUDGET ACCOUNT NAME (DROPDOWN THAT IS USED TO FILL BUDGET ACCOUNT COLUMN)]],Table518[Budget Account Name],Table518[Budget Account Number],"Not Found",0)</f>
        <v>Not Found</v>
      </c>
      <c r="B75" s="2"/>
      <c r="C75" s="17"/>
      <c r="D75" s="14"/>
      <c r="E75" s="19"/>
      <c r="F75" s="20"/>
      <c r="G75" s="26"/>
    </row>
    <row r="76" spans="1:7" ht="60" customHeight="1">
      <c r="A76" s="4" t="str">
        <f>_xlfn.XLOOKUP(Table_E[[#This Row],[BUDGET ACCOUNT NAME (DROPDOWN THAT IS USED TO FILL BUDGET ACCOUNT COLUMN)]],Table518[Budget Account Name],Table518[Budget Account Number],"Not Found",0)</f>
        <v>Not Found</v>
      </c>
      <c r="B76" s="2"/>
      <c r="C76" s="17"/>
      <c r="D76" s="14"/>
      <c r="E76" s="19"/>
      <c r="F76" s="20"/>
      <c r="G76" s="26"/>
    </row>
    <row r="77" spans="1:7" ht="60" customHeight="1">
      <c r="A77" s="4" t="str">
        <f>_xlfn.XLOOKUP(Table_E[[#This Row],[BUDGET ACCOUNT NAME (DROPDOWN THAT IS USED TO FILL BUDGET ACCOUNT COLUMN)]],Table518[Budget Account Name],Table518[Budget Account Number],"Not Found",0)</f>
        <v>Not Found</v>
      </c>
      <c r="B77" s="2"/>
      <c r="C77" s="17"/>
      <c r="D77" s="14"/>
      <c r="E77" s="19"/>
      <c r="F77" s="20"/>
      <c r="G77" s="26"/>
    </row>
    <row r="78" spans="1:7" ht="60" customHeight="1">
      <c r="A78" s="4" t="str">
        <f>_xlfn.XLOOKUP(Table_E[[#This Row],[BUDGET ACCOUNT NAME (DROPDOWN THAT IS USED TO FILL BUDGET ACCOUNT COLUMN)]],Table518[Budget Account Name],Table518[Budget Account Number],"Not Found",0)</f>
        <v>Not Found</v>
      </c>
      <c r="B78" s="2"/>
      <c r="C78" s="17"/>
      <c r="D78" s="14"/>
      <c r="E78" s="19"/>
      <c r="F78" s="20"/>
      <c r="G78" s="26"/>
    </row>
    <row r="79" spans="1:7" ht="60" customHeight="1">
      <c r="A79" s="4" t="str">
        <f>_xlfn.XLOOKUP(Table_E[[#This Row],[BUDGET ACCOUNT NAME (DROPDOWN THAT IS USED TO FILL BUDGET ACCOUNT COLUMN)]],Table518[Budget Account Name],Table518[Budget Account Number],"Not Found",0)</f>
        <v>Not Found</v>
      </c>
      <c r="B79" s="2"/>
      <c r="C79" s="17"/>
      <c r="D79" s="14"/>
      <c r="E79" s="19"/>
      <c r="F79" s="20"/>
      <c r="G79" s="26"/>
    </row>
    <row r="80" spans="1:7" ht="60" customHeight="1">
      <c r="A80" s="4" t="str">
        <f>_xlfn.XLOOKUP(Table_E[[#This Row],[BUDGET ACCOUNT NAME (DROPDOWN THAT IS USED TO FILL BUDGET ACCOUNT COLUMN)]],Table518[Budget Account Name],Table518[Budget Account Number],"Not Found",0)</f>
        <v>Not Found</v>
      </c>
      <c r="B80" s="2"/>
      <c r="C80" s="17"/>
      <c r="D80" s="14"/>
      <c r="E80" s="19"/>
      <c r="F80" s="20"/>
      <c r="G80" s="26"/>
    </row>
    <row r="81" spans="1:7" ht="60" customHeight="1">
      <c r="A81" s="4" t="str">
        <f>_xlfn.XLOOKUP(Table_E[[#This Row],[BUDGET ACCOUNT NAME (DROPDOWN THAT IS USED TO FILL BUDGET ACCOUNT COLUMN)]],Table518[Budget Account Name],Table518[Budget Account Number],"Not Found",0)</f>
        <v>Not Found</v>
      </c>
      <c r="B81" s="2"/>
      <c r="C81" s="17"/>
      <c r="D81" s="14"/>
      <c r="E81" s="19"/>
      <c r="F81" s="20"/>
      <c r="G81" s="26"/>
    </row>
    <row r="82" spans="1:7" ht="60" customHeight="1">
      <c r="A82" s="4" t="str">
        <f>_xlfn.XLOOKUP(Table_E[[#This Row],[BUDGET ACCOUNT NAME (DROPDOWN THAT IS USED TO FILL BUDGET ACCOUNT COLUMN)]],Table518[Budget Account Name],Table518[Budget Account Number],"Not Found",0)</f>
        <v>Not Found</v>
      </c>
      <c r="B82" s="2"/>
      <c r="C82" s="17"/>
      <c r="D82" s="14"/>
      <c r="E82" s="19"/>
      <c r="F82" s="20"/>
      <c r="G82" s="26"/>
    </row>
    <row r="83" spans="1:7" ht="60" customHeight="1">
      <c r="A83" s="4" t="str">
        <f>_xlfn.XLOOKUP(Table_E[[#This Row],[BUDGET ACCOUNT NAME (DROPDOWN THAT IS USED TO FILL BUDGET ACCOUNT COLUMN)]],Table518[Budget Account Name],Table518[Budget Account Number],"Not Found",0)</f>
        <v>Not Found</v>
      </c>
      <c r="B83" s="2"/>
      <c r="C83" s="17"/>
      <c r="D83" s="14"/>
      <c r="E83" s="19"/>
      <c r="F83" s="20"/>
      <c r="G83" s="26"/>
    </row>
    <row r="84" spans="1:7" ht="60" customHeight="1">
      <c r="A84" s="4" t="str">
        <f>_xlfn.XLOOKUP(Table_E[[#This Row],[BUDGET ACCOUNT NAME (DROPDOWN THAT IS USED TO FILL BUDGET ACCOUNT COLUMN)]],Table518[Budget Account Name],Table518[Budget Account Number],"Not Found",0)</f>
        <v>Not Found</v>
      </c>
      <c r="B84" s="2"/>
      <c r="C84" s="17"/>
      <c r="D84" s="14"/>
      <c r="E84" s="19"/>
      <c r="F84" s="20"/>
      <c r="G84" s="26"/>
    </row>
    <row r="85" spans="1:7" ht="60" customHeight="1">
      <c r="A85" s="4" t="str">
        <f>_xlfn.XLOOKUP(Table_E[[#This Row],[BUDGET ACCOUNT NAME (DROPDOWN THAT IS USED TO FILL BUDGET ACCOUNT COLUMN)]],Table518[Budget Account Name],Table518[Budget Account Number],"Not Found",0)</f>
        <v>Not Found</v>
      </c>
      <c r="B85" s="2"/>
      <c r="C85" s="17"/>
      <c r="D85" s="14"/>
      <c r="E85" s="19"/>
      <c r="F85" s="20"/>
      <c r="G85" s="26"/>
    </row>
    <row r="86" spans="1:7" ht="60" customHeight="1">
      <c r="A86" s="4" t="str">
        <f>_xlfn.XLOOKUP(Table_E[[#This Row],[BUDGET ACCOUNT NAME (DROPDOWN THAT IS USED TO FILL BUDGET ACCOUNT COLUMN)]],Table518[Budget Account Name],Table518[Budget Account Number],"Not Found",0)</f>
        <v>Not Found</v>
      </c>
      <c r="B86" s="2"/>
      <c r="C86" s="17"/>
      <c r="D86" s="14"/>
      <c r="E86" s="19"/>
      <c r="F86" s="20"/>
      <c r="G86" s="26"/>
    </row>
    <row r="87" spans="1:7" ht="60" customHeight="1">
      <c r="A87" s="4" t="str">
        <f>_xlfn.XLOOKUP(Table_E[[#This Row],[BUDGET ACCOUNT NAME (DROPDOWN THAT IS USED TO FILL BUDGET ACCOUNT COLUMN)]],Table518[Budget Account Name],Table518[Budget Account Number],"Not Found",0)</f>
        <v>Not Found</v>
      </c>
      <c r="B87" s="2"/>
      <c r="C87" s="17"/>
      <c r="D87" s="14"/>
      <c r="E87" s="19"/>
      <c r="F87" s="20"/>
      <c r="G87" s="26"/>
    </row>
    <row r="88" spans="1:7" ht="60" customHeight="1">
      <c r="A88" s="4" t="str">
        <f>_xlfn.XLOOKUP(Table_E[[#This Row],[BUDGET ACCOUNT NAME (DROPDOWN THAT IS USED TO FILL BUDGET ACCOUNT COLUMN)]],Table518[Budget Account Name],Table518[Budget Account Number],"Not Found",0)</f>
        <v>Not Found</v>
      </c>
      <c r="B88" s="2"/>
      <c r="C88" s="17"/>
      <c r="D88" s="14"/>
      <c r="E88" s="19"/>
      <c r="F88" s="20"/>
      <c r="G88" s="26"/>
    </row>
    <row r="89" spans="1:7" ht="60" customHeight="1">
      <c r="A89" s="4" t="str">
        <f>_xlfn.XLOOKUP(Table_E[[#This Row],[BUDGET ACCOUNT NAME (DROPDOWN THAT IS USED TO FILL BUDGET ACCOUNT COLUMN)]],Table518[Budget Account Name],Table518[Budget Account Number],"Not Found",0)</f>
        <v>Not Found</v>
      </c>
      <c r="B89" s="2"/>
      <c r="C89" s="17"/>
      <c r="D89" s="14"/>
      <c r="E89" s="19"/>
      <c r="F89" s="20"/>
      <c r="G89" s="26"/>
    </row>
    <row r="90" spans="1:7" ht="60" customHeight="1">
      <c r="A90" s="4" t="str">
        <f>_xlfn.XLOOKUP(Table_E[[#This Row],[BUDGET ACCOUNT NAME (DROPDOWN THAT IS USED TO FILL BUDGET ACCOUNT COLUMN)]],Table518[Budget Account Name],Table518[Budget Account Number],"Not Found",0)</f>
        <v>Not Found</v>
      </c>
      <c r="B90" s="2"/>
      <c r="C90" s="17"/>
      <c r="D90" s="14"/>
      <c r="E90" s="19"/>
      <c r="F90" s="20"/>
      <c r="G90" s="26"/>
    </row>
    <row r="91" spans="1:7" ht="60" customHeight="1">
      <c r="A91" s="4" t="str">
        <f>_xlfn.XLOOKUP(Table_E[[#This Row],[BUDGET ACCOUNT NAME (DROPDOWN THAT IS USED TO FILL BUDGET ACCOUNT COLUMN)]],Table518[Budget Account Name],Table518[Budget Account Number],"Not Found",0)</f>
        <v>Not Found</v>
      </c>
      <c r="B91" s="2"/>
      <c r="C91" s="17"/>
      <c r="D91" s="14"/>
      <c r="E91" s="19"/>
      <c r="F91" s="20"/>
      <c r="G91" s="26"/>
    </row>
    <row r="92" spans="1:7" ht="60" customHeight="1">
      <c r="A92" s="4" t="str">
        <f>_xlfn.XLOOKUP(Table_E[[#This Row],[BUDGET ACCOUNT NAME (DROPDOWN THAT IS USED TO FILL BUDGET ACCOUNT COLUMN)]],Table518[Budget Account Name],Table518[Budget Account Number],"Not Found",0)</f>
        <v>Not Found</v>
      </c>
      <c r="B92" s="2"/>
      <c r="C92" s="17"/>
      <c r="D92" s="14"/>
      <c r="E92" s="19"/>
      <c r="F92" s="20"/>
      <c r="G92" s="26"/>
    </row>
    <row r="93" spans="1:7" ht="60" customHeight="1">
      <c r="A93" s="4" t="str">
        <f>_xlfn.XLOOKUP(Table_E[[#This Row],[BUDGET ACCOUNT NAME (DROPDOWN THAT IS USED TO FILL BUDGET ACCOUNT COLUMN)]],Table518[Budget Account Name],Table518[Budget Account Number],"Not Found",0)</f>
        <v>Not Found</v>
      </c>
      <c r="B93" s="2"/>
      <c r="C93" s="17"/>
      <c r="D93" s="14"/>
      <c r="E93" s="19"/>
      <c r="F93" s="20"/>
      <c r="G93" s="26"/>
    </row>
    <row r="94" spans="1:7" ht="60" customHeight="1">
      <c r="A94" s="4" t="str">
        <f>_xlfn.XLOOKUP(Table_E[[#This Row],[BUDGET ACCOUNT NAME (DROPDOWN THAT IS USED TO FILL BUDGET ACCOUNT COLUMN)]],Table518[Budget Account Name],Table518[Budget Account Number],"Not Found",0)</f>
        <v>Not Found</v>
      </c>
      <c r="B94" s="2"/>
      <c r="C94" s="17"/>
      <c r="D94" s="14"/>
      <c r="E94" s="19"/>
      <c r="F94" s="20"/>
      <c r="G94" s="26"/>
    </row>
    <row r="95" spans="1:7" ht="60" customHeight="1">
      <c r="A95" s="4" t="str">
        <f>_xlfn.XLOOKUP(Table_E[[#This Row],[BUDGET ACCOUNT NAME (DROPDOWN THAT IS USED TO FILL BUDGET ACCOUNT COLUMN)]],Table518[Budget Account Name],Table518[Budget Account Number],"Not Found",0)</f>
        <v>Not Found</v>
      </c>
      <c r="B95" s="2"/>
      <c r="C95" s="17"/>
      <c r="D95" s="14"/>
      <c r="E95" s="19"/>
      <c r="F95" s="20"/>
      <c r="G95" s="26"/>
    </row>
    <row r="96" spans="1:7" ht="60" customHeight="1">
      <c r="A96" s="4" t="str">
        <f>_xlfn.XLOOKUP(Table_E[[#This Row],[BUDGET ACCOUNT NAME (DROPDOWN THAT IS USED TO FILL BUDGET ACCOUNT COLUMN)]],Table518[Budget Account Name],Table518[Budget Account Number],"Not Found",0)</f>
        <v>Not Found</v>
      </c>
      <c r="B96" s="2"/>
      <c r="C96" s="17"/>
      <c r="D96" s="14"/>
      <c r="E96" s="19"/>
      <c r="F96" s="20"/>
      <c r="G96" s="26"/>
    </row>
    <row r="97" spans="1:7" ht="60" customHeight="1">
      <c r="A97" s="4" t="str">
        <f>_xlfn.XLOOKUP(Table_E[[#This Row],[BUDGET ACCOUNT NAME (DROPDOWN THAT IS USED TO FILL BUDGET ACCOUNT COLUMN)]],Table518[Budget Account Name],Table518[Budget Account Number],"Not Found",0)</f>
        <v>Not Found</v>
      </c>
      <c r="B97" s="2"/>
      <c r="C97" s="17"/>
      <c r="D97" s="14"/>
      <c r="E97" s="19"/>
      <c r="F97" s="20"/>
      <c r="G97" s="26"/>
    </row>
    <row r="98" spans="1:7" ht="60" customHeight="1">
      <c r="A98" s="4" t="str">
        <f>_xlfn.XLOOKUP(Table_E[[#This Row],[BUDGET ACCOUNT NAME (DROPDOWN THAT IS USED TO FILL BUDGET ACCOUNT COLUMN)]],Table518[Budget Account Name],Table518[Budget Account Number],"Not Found",0)</f>
        <v>Not Found</v>
      </c>
      <c r="B98" s="2"/>
      <c r="C98" s="17"/>
      <c r="D98" s="14"/>
      <c r="E98" s="19"/>
      <c r="F98" s="20"/>
      <c r="G98" s="26"/>
    </row>
    <row r="99" spans="1:7" ht="60" customHeight="1">
      <c r="A99" s="4" t="str">
        <f>_xlfn.XLOOKUP(Table_E[[#This Row],[BUDGET ACCOUNT NAME (DROPDOWN THAT IS USED TO FILL BUDGET ACCOUNT COLUMN)]],Table518[Budget Account Name],Table518[Budget Account Number],"Not Found",0)</f>
        <v>Not Found</v>
      </c>
      <c r="B99" s="2"/>
      <c r="C99" s="17"/>
      <c r="D99" s="14"/>
      <c r="E99" s="19"/>
      <c r="F99" s="20"/>
      <c r="G99" s="26"/>
    </row>
    <row r="100" spans="1:7" ht="60" customHeight="1">
      <c r="A100" s="4" t="str">
        <f>_xlfn.XLOOKUP(Table_E[[#This Row],[BUDGET ACCOUNT NAME (DROPDOWN THAT IS USED TO FILL BUDGET ACCOUNT COLUMN)]],Table518[Budget Account Name],Table518[Budget Account Number],"Not Found",0)</f>
        <v>Not Found</v>
      </c>
      <c r="B100" s="6"/>
      <c r="C100" s="18"/>
      <c r="D100" s="15"/>
      <c r="E100" s="21"/>
      <c r="F100" s="22"/>
      <c r="G100" s="26"/>
    </row>
  </sheetData>
  <protectedRanges>
    <protectedRange algorithmName="SHA-512" hashValue="mDR+IX4B2bM05M/Ze2wM6160QkVQ7mi4n2YDTbZWXQ3fr2ArFGJQIhQJBumpKshKU4fx4546RKmQXJ803wJLsQ==" saltValue="1lmEQPzB02oc9fsfNb6ZSg==" spinCount="100000" sqref="B14:D100" name="E"/>
  </protectedRanges>
  <mergeCells count="3">
    <mergeCell ref="A1:F1"/>
    <mergeCell ref="C2:F2"/>
    <mergeCell ref="A12:F12"/>
  </mergeCells>
  <dataValidations count="3">
    <dataValidation type="list" allowBlank="1" showInputMessage="1" showErrorMessage="1" sqref="G14:G100" xr:uid="{2C05D5EF-B42A-4335-947E-D607769A8536}">
      <formula1>$G$1:$G$9</formula1>
    </dataValidation>
    <dataValidation type="list" allowBlank="1" showInputMessage="1" showErrorMessage="1" sqref="E14:E100" xr:uid="{301CEB8B-25DC-499A-B1F2-5B0292CAB46C}">
      <formula1>$H$2:$H$6</formula1>
    </dataValidation>
    <dataValidation type="list" allowBlank="1" showInputMessage="1" showErrorMessage="1" sqref="B14:B100" xr:uid="{23221FDE-D09A-4B0E-BE08-57B948C22A35}">
      <formula1>$B$3:$B$11</formula1>
    </dataValidation>
  </dataValidation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292D8-7B94-4ED1-A54E-04CC7D741F57}">
  <dimension ref="A1:J100"/>
  <sheetViews>
    <sheetView zoomScale="70" zoomScaleNormal="70" workbookViewId="0">
      <pane ySplit="13" topLeftCell="A14" activePane="bottomLeft" state="frozen"/>
      <selection pane="bottomLeft" activeCell="G11" sqref="G11"/>
    </sheetView>
  </sheetViews>
  <sheetFormatPr defaultRowHeight="15"/>
  <cols>
    <col min="1" max="1" width="37.42578125" bestFit="1" customWidth="1"/>
    <col min="2" max="3" width="49" customWidth="1"/>
    <col min="4" max="4" width="44" bestFit="1" customWidth="1"/>
    <col min="5" max="5" width="57.28515625" bestFit="1" customWidth="1"/>
    <col min="6" max="6" width="72.140625" customWidth="1"/>
    <col min="7" max="7" width="55.140625" customWidth="1"/>
    <col min="8" max="8" width="32.7109375" bestFit="1" customWidth="1"/>
    <col min="9" max="9" width="38.5703125" customWidth="1"/>
    <col min="10" max="10" width="38.28515625" customWidth="1"/>
    <col min="11" max="11" width="25.28515625" bestFit="1" customWidth="1"/>
    <col min="12" max="12" width="31" customWidth="1"/>
    <col min="13" max="13" width="33.140625" bestFit="1" customWidth="1"/>
    <col min="14" max="14" width="22.28515625" customWidth="1"/>
    <col min="15" max="15" width="15.42578125" bestFit="1" customWidth="1"/>
    <col min="16" max="16" width="27" bestFit="1" customWidth="1"/>
  </cols>
  <sheetData>
    <row r="1" spans="1:10" ht="21">
      <c r="A1" s="51" t="s">
        <v>108</v>
      </c>
      <c r="B1" s="51"/>
      <c r="C1" s="51"/>
      <c r="D1" s="51"/>
      <c r="E1" s="51"/>
      <c r="F1" s="51"/>
      <c r="G1" s="23" t="s">
        <v>109</v>
      </c>
      <c r="H1" s="23"/>
      <c r="I1" s="28"/>
      <c r="J1" s="28"/>
    </row>
    <row r="2" spans="1:10" ht="18.75">
      <c r="A2" s="7" t="s">
        <v>110</v>
      </c>
      <c r="B2" s="13" t="s">
        <v>111</v>
      </c>
      <c r="C2" s="52" t="s">
        <v>112</v>
      </c>
      <c r="D2" s="53"/>
      <c r="E2" s="53"/>
      <c r="F2" s="54"/>
      <c r="G2" s="23" t="s">
        <v>235</v>
      </c>
      <c r="H2" s="23" t="s">
        <v>114</v>
      </c>
      <c r="I2" s="28"/>
      <c r="J2" s="28"/>
    </row>
    <row r="3" spans="1:10">
      <c r="A3" s="4">
        <v>88100</v>
      </c>
      <c r="B3" s="1" t="s">
        <v>12</v>
      </c>
      <c r="C3" s="3" t="s">
        <v>115</v>
      </c>
      <c r="D3" s="3" t="s">
        <v>116</v>
      </c>
      <c r="E3" s="3" t="s">
        <v>117</v>
      </c>
      <c r="F3" s="3" t="s">
        <v>34</v>
      </c>
      <c r="G3" s="27" t="s">
        <v>118</v>
      </c>
      <c r="H3" s="24" t="s">
        <v>119</v>
      </c>
      <c r="I3" s="28"/>
      <c r="J3" s="28"/>
    </row>
    <row r="4" spans="1:10">
      <c r="A4" s="4">
        <v>88200</v>
      </c>
      <c r="B4" s="1" t="s">
        <v>13</v>
      </c>
      <c r="C4" s="3" t="s">
        <v>120</v>
      </c>
      <c r="D4" s="3" t="s">
        <v>121</v>
      </c>
      <c r="E4" s="3" t="s">
        <v>39</v>
      </c>
      <c r="F4" s="3"/>
      <c r="G4" s="27" t="s">
        <v>122</v>
      </c>
      <c r="H4" s="24" t="s">
        <v>123</v>
      </c>
      <c r="I4" s="28"/>
      <c r="J4" s="28"/>
    </row>
    <row r="5" spans="1:10">
      <c r="A5" s="4">
        <v>88250</v>
      </c>
      <c r="B5" s="1" t="s">
        <v>15</v>
      </c>
      <c r="C5" s="3" t="s">
        <v>40</v>
      </c>
      <c r="D5" s="3" t="s">
        <v>124</v>
      </c>
      <c r="E5" s="3" t="s">
        <v>125</v>
      </c>
      <c r="F5" s="3"/>
      <c r="G5" s="27" t="s">
        <v>126</v>
      </c>
      <c r="H5" s="24" t="s">
        <v>127</v>
      </c>
      <c r="I5" s="28"/>
      <c r="J5" s="28"/>
    </row>
    <row r="6" spans="1:10">
      <c r="A6" s="4">
        <v>88350</v>
      </c>
      <c r="B6" s="1" t="s">
        <v>16</v>
      </c>
      <c r="C6" s="3" t="s">
        <v>47</v>
      </c>
      <c r="D6" s="3" t="s">
        <v>48</v>
      </c>
      <c r="E6" s="3" t="s">
        <v>49</v>
      </c>
      <c r="F6" s="3"/>
      <c r="G6" s="27" t="s">
        <v>128</v>
      </c>
      <c r="H6" s="24" t="s">
        <v>129</v>
      </c>
      <c r="I6" s="28"/>
      <c r="J6" s="28"/>
    </row>
    <row r="7" spans="1:10" ht="30">
      <c r="A7" s="4">
        <v>88400</v>
      </c>
      <c r="B7" s="1" t="s">
        <v>18</v>
      </c>
      <c r="C7" s="3" t="s">
        <v>130</v>
      </c>
      <c r="D7" s="3" t="s">
        <v>131</v>
      </c>
      <c r="E7" s="3" t="s">
        <v>132</v>
      </c>
      <c r="F7" s="3"/>
      <c r="G7" s="27" t="s">
        <v>133</v>
      </c>
      <c r="H7" s="23"/>
      <c r="I7" s="28"/>
      <c r="J7" s="28"/>
    </row>
    <row r="8" spans="1:10">
      <c r="A8" s="4">
        <v>88420</v>
      </c>
      <c r="B8" s="1" t="s">
        <v>19</v>
      </c>
      <c r="C8" s="3" t="s">
        <v>134</v>
      </c>
      <c r="D8" s="3" t="s">
        <v>71</v>
      </c>
      <c r="E8" s="3"/>
      <c r="F8" s="3"/>
      <c r="G8" s="27" t="s">
        <v>135</v>
      </c>
      <c r="H8" s="23"/>
      <c r="I8" s="28"/>
      <c r="J8" s="28"/>
    </row>
    <row r="9" spans="1:10">
      <c r="A9" s="4">
        <v>88500</v>
      </c>
      <c r="B9" s="1" t="s">
        <v>21</v>
      </c>
      <c r="C9" s="3" t="s">
        <v>72</v>
      </c>
      <c r="D9" s="3"/>
      <c r="E9" s="3"/>
      <c r="F9" s="3"/>
      <c r="G9" s="27" t="s">
        <v>136</v>
      </c>
      <c r="H9" s="23"/>
      <c r="I9" s="28"/>
      <c r="J9" s="28"/>
    </row>
    <row r="10" spans="1:10">
      <c r="A10" s="4">
        <v>88510</v>
      </c>
      <c r="B10" s="1" t="s">
        <v>23</v>
      </c>
      <c r="C10" s="3" t="s">
        <v>85</v>
      </c>
      <c r="D10" s="3" t="s">
        <v>137</v>
      </c>
      <c r="E10" s="3" t="s">
        <v>79</v>
      </c>
      <c r="F10" s="3" t="s">
        <v>84</v>
      </c>
      <c r="G10" s="23" t="s">
        <v>155</v>
      </c>
      <c r="H10" s="23"/>
      <c r="I10" s="28"/>
      <c r="J10" s="28"/>
    </row>
    <row r="11" spans="1:10">
      <c r="A11" s="5">
        <v>88800</v>
      </c>
      <c r="B11" s="12" t="s">
        <v>26</v>
      </c>
      <c r="C11" s="3" t="s">
        <v>138</v>
      </c>
      <c r="D11" s="3" t="s">
        <v>89</v>
      </c>
      <c r="E11" s="3" t="s">
        <v>92</v>
      </c>
      <c r="F11" s="3" t="s">
        <v>93</v>
      </c>
      <c r="G11" s="27"/>
      <c r="H11" s="23"/>
      <c r="I11" s="28"/>
      <c r="J11" s="28"/>
    </row>
    <row r="12" spans="1:10" ht="21">
      <c r="A12" s="51" t="s">
        <v>139</v>
      </c>
      <c r="B12" s="51"/>
      <c r="C12" s="51"/>
      <c r="D12" s="51"/>
      <c r="E12" s="51"/>
      <c r="F12" s="51"/>
      <c r="G12" s="23"/>
      <c r="H12" s="23"/>
      <c r="I12" s="28"/>
      <c r="J12" s="28"/>
    </row>
    <row r="13" spans="1:10" ht="56.25">
      <c r="A13" s="7" t="s">
        <v>154</v>
      </c>
      <c r="B13" s="8" t="s">
        <v>141</v>
      </c>
      <c r="C13" s="9" t="s">
        <v>142</v>
      </c>
      <c r="D13" s="9" t="s">
        <v>143</v>
      </c>
      <c r="E13" s="10" t="s">
        <v>144</v>
      </c>
      <c r="F13" s="11" t="s">
        <v>145</v>
      </c>
      <c r="G13" s="25" t="s">
        <v>146</v>
      </c>
    </row>
    <row r="14" spans="1:10" ht="60" customHeight="1">
      <c r="A14" s="4" t="str">
        <f>_xlfn.XLOOKUP(Table_HCA[[#This Row],[BUDGET ACCOUNT NAME (DROPDOWN THAT IS USED TO FILL BUDGET ACCOUNT COLUMN)]],Table5521[Budget Account Name],Table5521[Budget Account Number],"Not Found",0)</f>
        <v>Not Found</v>
      </c>
      <c r="B14" s="2"/>
      <c r="C14" s="16"/>
      <c r="D14" s="14"/>
      <c r="E14" s="19"/>
      <c r="F14" s="20"/>
      <c r="G14" s="26"/>
    </row>
    <row r="15" spans="1:10" ht="60" customHeight="1">
      <c r="A15" s="4" t="str">
        <f>_xlfn.XLOOKUP(Table_HCA[[#This Row],[BUDGET ACCOUNT NAME (DROPDOWN THAT IS USED TO FILL BUDGET ACCOUNT COLUMN)]],Table5521[Budget Account Name],Table5521[Budget Account Number],"Not Found",0)</f>
        <v>Not Found</v>
      </c>
      <c r="B15" s="2"/>
      <c r="C15" s="17"/>
      <c r="D15" s="14"/>
      <c r="E15" s="19"/>
      <c r="F15" s="20"/>
      <c r="G15" s="26"/>
    </row>
    <row r="16" spans="1:10" ht="60" customHeight="1">
      <c r="A16" s="4" t="str">
        <f>_xlfn.XLOOKUP(Table_HCA[[#This Row],[BUDGET ACCOUNT NAME (DROPDOWN THAT IS USED TO FILL BUDGET ACCOUNT COLUMN)]],Table5521[Budget Account Name],Table5521[Budget Account Number],"Not Found",0)</f>
        <v>Not Found</v>
      </c>
      <c r="B16" s="2"/>
      <c r="C16" s="17"/>
      <c r="D16" s="14"/>
      <c r="E16" s="19"/>
      <c r="F16" s="20"/>
      <c r="G16" s="26"/>
    </row>
    <row r="17" spans="1:7" ht="60" customHeight="1">
      <c r="A17" s="4" t="str">
        <f>_xlfn.XLOOKUP(Table_HCA[[#This Row],[BUDGET ACCOUNT NAME (DROPDOWN THAT IS USED TO FILL BUDGET ACCOUNT COLUMN)]],Table5521[Budget Account Name],Table5521[Budget Account Number],"Not Found",0)</f>
        <v>Not Found</v>
      </c>
      <c r="B17" s="2"/>
      <c r="C17" s="17"/>
      <c r="D17" s="14"/>
      <c r="E17" s="19"/>
      <c r="F17" s="20"/>
      <c r="G17" s="26"/>
    </row>
    <row r="18" spans="1:7" ht="60" customHeight="1">
      <c r="A18" s="4" t="str">
        <f>_xlfn.XLOOKUP(Table_HCA[[#This Row],[BUDGET ACCOUNT NAME (DROPDOWN THAT IS USED TO FILL BUDGET ACCOUNT COLUMN)]],Table5521[Budget Account Name],Table5521[Budget Account Number],"Not Found",0)</f>
        <v>Not Found</v>
      </c>
      <c r="B18" s="2"/>
      <c r="C18" s="17"/>
      <c r="D18" s="14"/>
      <c r="E18" s="19"/>
      <c r="F18" s="20"/>
      <c r="G18" s="26"/>
    </row>
    <row r="19" spans="1:7" ht="60" customHeight="1">
      <c r="A19" s="4" t="str">
        <f>_xlfn.XLOOKUP(Table_HCA[[#This Row],[BUDGET ACCOUNT NAME (DROPDOWN THAT IS USED TO FILL BUDGET ACCOUNT COLUMN)]],Table5521[Budget Account Name],Table5521[Budget Account Number],"Not Found",0)</f>
        <v>Not Found</v>
      </c>
      <c r="B19" s="2"/>
      <c r="C19" s="17"/>
      <c r="D19" s="14"/>
      <c r="E19" s="19"/>
      <c r="F19" s="20"/>
      <c r="G19" s="26"/>
    </row>
    <row r="20" spans="1:7" ht="60" customHeight="1">
      <c r="A20" s="4" t="str">
        <f>_xlfn.XLOOKUP(Table_HCA[[#This Row],[BUDGET ACCOUNT NAME (DROPDOWN THAT IS USED TO FILL BUDGET ACCOUNT COLUMN)]],Table5521[Budget Account Name],Table5521[Budget Account Number],"Not Found",0)</f>
        <v>Not Found</v>
      </c>
      <c r="B20" s="2"/>
      <c r="C20" s="17"/>
      <c r="D20" s="14"/>
      <c r="E20" s="19"/>
      <c r="F20" s="20"/>
      <c r="G20" s="26"/>
    </row>
    <row r="21" spans="1:7" ht="60" customHeight="1">
      <c r="A21" s="4" t="str">
        <f>_xlfn.XLOOKUP(Table_HCA[[#This Row],[BUDGET ACCOUNT NAME (DROPDOWN THAT IS USED TO FILL BUDGET ACCOUNT COLUMN)]],Table5521[Budget Account Name],Table5521[Budget Account Number],"Not Found",0)</f>
        <v>Not Found</v>
      </c>
      <c r="B21" s="2"/>
      <c r="C21" s="17"/>
      <c r="D21" s="14"/>
      <c r="E21" s="19"/>
      <c r="F21" s="20"/>
      <c r="G21" s="26"/>
    </row>
    <row r="22" spans="1:7" ht="60" customHeight="1">
      <c r="A22" s="4" t="str">
        <f>_xlfn.XLOOKUP(Table_HCA[[#This Row],[BUDGET ACCOUNT NAME (DROPDOWN THAT IS USED TO FILL BUDGET ACCOUNT COLUMN)]],Table5521[Budget Account Name],Table5521[Budget Account Number],"Not Found",0)</f>
        <v>Not Found</v>
      </c>
      <c r="B22" s="2"/>
      <c r="C22" s="17"/>
      <c r="D22" s="14"/>
      <c r="E22" s="19"/>
      <c r="F22" s="20"/>
      <c r="G22" s="26"/>
    </row>
    <row r="23" spans="1:7" ht="60" customHeight="1">
      <c r="A23" s="4" t="str">
        <f>_xlfn.XLOOKUP(Table_HCA[[#This Row],[BUDGET ACCOUNT NAME (DROPDOWN THAT IS USED TO FILL BUDGET ACCOUNT COLUMN)]],Table5521[Budget Account Name],Table5521[Budget Account Number],"Not Found",0)</f>
        <v>Not Found</v>
      </c>
      <c r="B23" s="2"/>
      <c r="C23" s="17"/>
      <c r="D23" s="14"/>
      <c r="E23" s="19"/>
      <c r="F23" s="20"/>
      <c r="G23" s="26"/>
    </row>
    <row r="24" spans="1:7" ht="60" customHeight="1">
      <c r="A24" s="4" t="str">
        <f>_xlfn.XLOOKUP(Table_HCA[[#This Row],[BUDGET ACCOUNT NAME (DROPDOWN THAT IS USED TO FILL BUDGET ACCOUNT COLUMN)]],Table5521[Budget Account Name],Table5521[Budget Account Number],"Not Found",0)</f>
        <v>Not Found</v>
      </c>
      <c r="B24" s="2"/>
      <c r="C24" s="17"/>
      <c r="D24" s="14"/>
      <c r="E24" s="19"/>
      <c r="F24" s="20"/>
      <c r="G24" s="26"/>
    </row>
    <row r="25" spans="1:7" ht="60" customHeight="1">
      <c r="A25" s="4" t="str">
        <f>_xlfn.XLOOKUP(Table_HCA[[#This Row],[BUDGET ACCOUNT NAME (DROPDOWN THAT IS USED TO FILL BUDGET ACCOUNT COLUMN)]],Table5521[Budget Account Name],Table5521[Budget Account Number],"Not Found",0)</f>
        <v>Not Found</v>
      </c>
      <c r="B25" s="2"/>
      <c r="C25" s="17"/>
      <c r="D25" s="14"/>
      <c r="E25" s="19"/>
      <c r="F25" s="20"/>
      <c r="G25" s="26"/>
    </row>
    <row r="26" spans="1:7" ht="60" customHeight="1">
      <c r="A26" s="4" t="str">
        <f>_xlfn.XLOOKUP(Table_HCA[[#This Row],[BUDGET ACCOUNT NAME (DROPDOWN THAT IS USED TO FILL BUDGET ACCOUNT COLUMN)]],Table5521[Budget Account Name],Table5521[Budget Account Number],"Not Found",0)</f>
        <v>Not Found</v>
      </c>
      <c r="B26" s="2"/>
      <c r="C26" s="17"/>
      <c r="D26" s="14"/>
      <c r="E26" s="19"/>
      <c r="F26" s="20"/>
      <c r="G26" s="26"/>
    </row>
    <row r="27" spans="1:7" ht="60" customHeight="1">
      <c r="A27" s="4" t="str">
        <f>_xlfn.XLOOKUP(Table_HCA[[#This Row],[BUDGET ACCOUNT NAME (DROPDOWN THAT IS USED TO FILL BUDGET ACCOUNT COLUMN)]],Table5521[Budget Account Name],Table5521[Budget Account Number],"Not Found",0)</f>
        <v>Not Found</v>
      </c>
      <c r="B27" s="2"/>
      <c r="C27" s="17"/>
      <c r="D27" s="14"/>
      <c r="E27" s="19"/>
      <c r="F27" s="20"/>
      <c r="G27" s="26"/>
    </row>
    <row r="28" spans="1:7" ht="60" customHeight="1">
      <c r="A28" s="4" t="str">
        <f>_xlfn.XLOOKUP(Table_HCA[[#This Row],[BUDGET ACCOUNT NAME (DROPDOWN THAT IS USED TO FILL BUDGET ACCOUNT COLUMN)]],Table5521[Budget Account Name],Table5521[Budget Account Number],"Not Found",0)</f>
        <v>Not Found</v>
      </c>
      <c r="B28" s="2"/>
      <c r="C28" s="17"/>
      <c r="D28" s="14"/>
      <c r="E28" s="19"/>
      <c r="F28" s="20"/>
      <c r="G28" s="26"/>
    </row>
    <row r="29" spans="1:7" ht="60" customHeight="1">
      <c r="A29" s="4" t="str">
        <f>_xlfn.XLOOKUP(Table_HCA[[#This Row],[BUDGET ACCOUNT NAME (DROPDOWN THAT IS USED TO FILL BUDGET ACCOUNT COLUMN)]],Table5521[Budget Account Name],Table5521[Budget Account Number],"Not Found",0)</f>
        <v>Not Found</v>
      </c>
      <c r="B29" s="2"/>
      <c r="C29" s="17"/>
      <c r="D29" s="14"/>
      <c r="E29" s="19"/>
      <c r="F29" s="20"/>
      <c r="G29" s="26"/>
    </row>
    <row r="30" spans="1:7" ht="60" customHeight="1">
      <c r="A30" s="4" t="str">
        <f>_xlfn.XLOOKUP(Table_HCA[[#This Row],[BUDGET ACCOUNT NAME (DROPDOWN THAT IS USED TO FILL BUDGET ACCOUNT COLUMN)]],Table5521[Budget Account Name],Table5521[Budget Account Number],"Not Found",0)</f>
        <v>Not Found</v>
      </c>
      <c r="B30" s="2"/>
      <c r="C30" s="17"/>
      <c r="D30" s="14"/>
      <c r="E30" s="19"/>
      <c r="F30" s="20"/>
      <c r="G30" s="26"/>
    </row>
    <row r="31" spans="1:7" ht="60" customHeight="1">
      <c r="A31" s="4" t="str">
        <f>_xlfn.XLOOKUP(Table_HCA[[#This Row],[BUDGET ACCOUNT NAME (DROPDOWN THAT IS USED TO FILL BUDGET ACCOUNT COLUMN)]],Table5521[Budget Account Name],Table5521[Budget Account Number],"Not Found",0)</f>
        <v>Not Found</v>
      </c>
      <c r="B31" s="2"/>
      <c r="C31" s="17"/>
      <c r="D31" s="14"/>
      <c r="E31" s="19"/>
      <c r="F31" s="20"/>
      <c r="G31" s="26"/>
    </row>
    <row r="32" spans="1:7" ht="60" customHeight="1">
      <c r="A32" s="4" t="str">
        <f>_xlfn.XLOOKUP(Table_HCA[[#This Row],[BUDGET ACCOUNT NAME (DROPDOWN THAT IS USED TO FILL BUDGET ACCOUNT COLUMN)]],Table5521[Budget Account Name],Table5521[Budget Account Number],"Not Found",0)</f>
        <v>Not Found</v>
      </c>
      <c r="B32" s="2"/>
      <c r="C32" s="17"/>
      <c r="D32" s="14"/>
      <c r="E32" s="19"/>
      <c r="F32" s="20"/>
      <c r="G32" s="26"/>
    </row>
    <row r="33" spans="1:7" ht="60" customHeight="1">
      <c r="A33" s="4" t="str">
        <f>_xlfn.XLOOKUP(Table_HCA[[#This Row],[BUDGET ACCOUNT NAME (DROPDOWN THAT IS USED TO FILL BUDGET ACCOUNT COLUMN)]],Table5521[Budget Account Name],Table5521[Budget Account Number],"Not Found",0)</f>
        <v>Not Found</v>
      </c>
      <c r="B33" s="2"/>
      <c r="C33" s="17"/>
      <c r="D33" s="14"/>
      <c r="E33" s="19"/>
      <c r="F33" s="20"/>
      <c r="G33" s="26"/>
    </row>
    <row r="34" spans="1:7" ht="60" customHeight="1">
      <c r="A34" s="4" t="str">
        <f>_xlfn.XLOOKUP(Table_HCA[[#This Row],[BUDGET ACCOUNT NAME (DROPDOWN THAT IS USED TO FILL BUDGET ACCOUNT COLUMN)]],Table5521[Budget Account Name],Table5521[Budget Account Number],"Not Found",0)</f>
        <v>Not Found</v>
      </c>
      <c r="B34" s="2"/>
      <c r="C34" s="17"/>
      <c r="D34" s="14"/>
      <c r="E34" s="19"/>
      <c r="F34" s="20"/>
      <c r="G34" s="26"/>
    </row>
    <row r="35" spans="1:7" ht="60" customHeight="1">
      <c r="A35" s="4" t="str">
        <f>_xlfn.XLOOKUP(Table_HCA[[#This Row],[BUDGET ACCOUNT NAME (DROPDOWN THAT IS USED TO FILL BUDGET ACCOUNT COLUMN)]],Table5521[Budget Account Name],Table5521[Budget Account Number],"Not Found",0)</f>
        <v>Not Found</v>
      </c>
      <c r="B35" s="2"/>
      <c r="C35" s="17"/>
      <c r="D35" s="14"/>
      <c r="E35" s="19"/>
      <c r="F35" s="20"/>
      <c r="G35" s="26"/>
    </row>
    <row r="36" spans="1:7" ht="60" customHeight="1">
      <c r="A36" s="4" t="str">
        <f>_xlfn.XLOOKUP(Table_HCA[[#This Row],[BUDGET ACCOUNT NAME (DROPDOWN THAT IS USED TO FILL BUDGET ACCOUNT COLUMN)]],Table5521[Budget Account Name],Table5521[Budget Account Number],"Not Found",0)</f>
        <v>Not Found</v>
      </c>
      <c r="B36" s="2"/>
      <c r="C36" s="17"/>
      <c r="D36" s="14"/>
      <c r="E36" s="19"/>
      <c r="F36" s="20"/>
      <c r="G36" s="26"/>
    </row>
    <row r="37" spans="1:7" ht="60" customHeight="1">
      <c r="A37" s="4" t="str">
        <f>_xlfn.XLOOKUP(Table_HCA[[#This Row],[BUDGET ACCOUNT NAME (DROPDOWN THAT IS USED TO FILL BUDGET ACCOUNT COLUMN)]],Table5521[Budget Account Name],Table5521[Budget Account Number],"Not Found",0)</f>
        <v>Not Found</v>
      </c>
      <c r="B37" s="2"/>
      <c r="C37" s="17"/>
      <c r="D37" s="14"/>
      <c r="E37" s="19"/>
      <c r="F37" s="20"/>
      <c r="G37" s="26"/>
    </row>
    <row r="38" spans="1:7" ht="60" customHeight="1">
      <c r="A38" s="4" t="str">
        <f>_xlfn.XLOOKUP(Table_HCA[[#This Row],[BUDGET ACCOUNT NAME (DROPDOWN THAT IS USED TO FILL BUDGET ACCOUNT COLUMN)]],Table5521[Budget Account Name],Table5521[Budget Account Number],"Not Found",0)</f>
        <v>Not Found</v>
      </c>
      <c r="B38" s="2"/>
      <c r="C38" s="17"/>
      <c r="D38" s="14"/>
      <c r="E38" s="19"/>
      <c r="F38" s="20"/>
      <c r="G38" s="26"/>
    </row>
    <row r="39" spans="1:7" ht="60" customHeight="1">
      <c r="A39" s="4" t="str">
        <f>_xlfn.XLOOKUP(Table_HCA[[#This Row],[BUDGET ACCOUNT NAME (DROPDOWN THAT IS USED TO FILL BUDGET ACCOUNT COLUMN)]],Table5521[Budget Account Name],Table5521[Budget Account Number],"Not Found",0)</f>
        <v>Not Found</v>
      </c>
      <c r="B39" s="2"/>
      <c r="C39" s="17"/>
      <c r="D39" s="14"/>
      <c r="E39" s="19"/>
      <c r="F39" s="20"/>
      <c r="G39" s="26"/>
    </row>
    <row r="40" spans="1:7" ht="60" customHeight="1">
      <c r="A40" s="4" t="str">
        <f>_xlfn.XLOOKUP(Table_HCA[[#This Row],[BUDGET ACCOUNT NAME (DROPDOWN THAT IS USED TO FILL BUDGET ACCOUNT COLUMN)]],Table5521[Budget Account Name],Table5521[Budget Account Number],"Not Found",0)</f>
        <v>Not Found</v>
      </c>
      <c r="B40" s="2"/>
      <c r="C40" s="17"/>
      <c r="D40" s="14"/>
      <c r="E40" s="19"/>
      <c r="F40" s="20"/>
      <c r="G40" s="26"/>
    </row>
    <row r="41" spans="1:7" ht="60" customHeight="1">
      <c r="A41" s="4" t="str">
        <f>_xlfn.XLOOKUP(Table_HCA[[#This Row],[BUDGET ACCOUNT NAME (DROPDOWN THAT IS USED TO FILL BUDGET ACCOUNT COLUMN)]],Table5521[Budget Account Name],Table5521[Budget Account Number],"Not Found",0)</f>
        <v>Not Found</v>
      </c>
      <c r="B41" s="2"/>
      <c r="C41" s="17"/>
      <c r="D41" s="14"/>
      <c r="E41" s="19"/>
      <c r="F41" s="20"/>
      <c r="G41" s="26"/>
    </row>
    <row r="42" spans="1:7" ht="60" customHeight="1">
      <c r="A42" s="4" t="str">
        <f>_xlfn.XLOOKUP(Table_HCA[[#This Row],[BUDGET ACCOUNT NAME (DROPDOWN THAT IS USED TO FILL BUDGET ACCOUNT COLUMN)]],Table5521[Budget Account Name],Table5521[Budget Account Number],"Not Found",0)</f>
        <v>Not Found</v>
      </c>
      <c r="B42" s="2"/>
      <c r="C42" s="17"/>
      <c r="D42" s="14"/>
      <c r="E42" s="19"/>
      <c r="F42" s="20"/>
      <c r="G42" s="26"/>
    </row>
    <row r="43" spans="1:7" ht="60" customHeight="1">
      <c r="A43" s="4" t="str">
        <f>_xlfn.XLOOKUP(Table_HCA[[#This Row],[BUDGET ACCOUNT NAME (DROPDOWN THAT IS USED TO FILL BUDGET ACCOUNT COLUMN)]],Table5521[Budget Account Name],Table5521[Budget Account Number],"Not Found",0)</f>
        <v>Not Found</v>
      </c>
      <c r="B43" s="2"/>
      <c r="C43" s="17"/>
      <c r="D43" s="14"/>
      <c r="E43" s="19"/>
      <c r="F43" s="20"/>
      <c r="G43" s="26"/>
    </row>
    <row r="44" spans="1:7" ht="60" customHeight="1">
      <c r="A44" s="4" t="str">
        <f>_xlfn.XLOOKUP(Table_HCA[[#This Row],[BUDGET ACCOUNT NAME (DROPDOWN THAT IS USED TO FILL BUDGET ACCOUNT COLUMN)]],Table5521[Budget Account Name],Table5521[Budget Account Number],"Not Found",0)</f>
        <v>Not Found</v>
      </c>
      <c r="B44" s="2"/>
      <c r="C44" s="17"/>
      <c r="D44" s="14"/>
      <c r="E44" s="19"/>
      <c r="F44" s="20"/>
      <c r="G44" s="26"/>
    </row>
    <row r="45" spans="1:7" ht="60" customHeight="1">
      <c r="A45" s="4" t="str">
        <f>_xlfn.XLOOKUP(Table_HCA[[#This Row],[BUDGET ACCOUNT NAME (DROPDOWN THAT IS USED TO FILL BUDGET ACCOUNT COLUMN)]],Table5521[Budget Account Name],Table5521[Budget Account Number],"Not Found",0)</f>
        <v>Not Found</v>
      </c>
      <c r="B45" s="2"/>
      <c r="C45" s="17"/>
      <c r="D45" s="14"/>
      <c r="E45" s="19"/>
      <c r="F45" s="20"/>
      <c r="G45" s="26"/>
    </row>
    <row r="46" spans="1:7" ht="60" customHeight="1">
      <c r="A46" s="4" t="str">
        <f>_xlfn.XLOOKUP(Table_HCA[[#This Row],[BUDGET ACCOUNT NAME (DROPDOWN THAT IS USED TO FILL BUDGET ACCOUNT COLUMN)]],Table5521[Budget Account Name],Table5521[Budget Account Number],"Not Found",0)</f>
        <v>Not Found</v>
      </c>
      <c r="B46" s="2"/>
      <c r="C46" s="17"/>
      <c r="D46" s="14"/>
      <c r="E46" s="19"/>
      <c r="F46" s="20"/>
      <c r="G46" s="26"/>
    </row>
    <row r="47" spans="1:7" ht="60" customHeight="1">
      <c r="A47" s="4" t="str">
        <f>_xlfn.XLOOKUP(Table_HCA[[#This Row],[BUDGET ACCOUNT NAME (DROPDOWN THAT IS USED TO FILL BUDGET ACCOUNT COLUMN)]],Table5521[Budget Account Name],Table5521[Budget Account Number],"Not Found",0)</f>
        <v>Not Found</v>
      </c>
      <c r="B47" s="2"/>
      <c r="C47" s="17"/>
      <c r="D47" s="14"/>
      <c r="E47" s="19"/>
      <c r="F47" s="20"/>
      <c r="G47" s="26"/>
    </row>
    <row r="48" spans="1:7" ht="60" customHeight="1">
      <c r="A48" s="4" t="str">
        <f>_xlfn.XLOOKUP(Table_HCA[[#This Row],[BUDGET ACCOUNT NAME (DROPDOWN THAT IS USED TO FILL BUDGET ACCOUNT COLUMN)]],Table5521[Budget Account Name],Table5521[Budget Account Number],"Not Found",0)</f>
        <v>Not Found</v>
      </c>
      <c r="B48" s="2"/>
      <c r="C48" s="17"/>
      <c r="D48" s="14"/>
      <c r="E48" s="19"/>
      <c r="F48" s="20"/>
      <c r="G48" s="26"/>
    </row>
    <row r="49" spans="1:7" ht="60" customHeight="1">
      <c r="A49" s="4" t="str">
        <f>_xlfn.XLOOKUP(Table_HCA[[#This Row],[BUDGET ACCOUNT NAME (DROPDOWN THAT IS USED TO FILL BUDGET ACCOUNT COLUMN)]],Table5521[Budget Account Name],Table5521[Budget Account Number],"Not Found",0)</f>
        <v>Not Found</v>
      </c>
      <c r="B49" s="2"/>
      <c r="C49" s="17"/>
      <c r="D49" s="14"/>
      <c r="E49" s="19"/>
      <c r="F49" s="20"/>
      <c r="G49" s="26"/>
    </row>
    <row r="50" spans="1:7" ht="60" customHeight="1">
      <c r="A50" s="4" t="str">
        <f>_xlfn.XLOOKUP(Table_HCA[[#This Row],[BUDGET ACCOUNT NAME (DROPDOWN THAT IS USED TO FILL BUDGET ACCOUNT COLUMN)]],Table5521[Budget Account Name],Table5521[Budget Account Number],"Not Found",0)</f>
        <v>Not Found</v>
      </c>
      <c r="B50" s="2"/>
      <c r="C50" s="17"/>
      <c r="D50" s="14"/>
      <c r="E50" s="19"/>
      <c r="F50" s="20"/>
      <c r="G50" s="26"/>
    </row>
    <row r="51" spans="1:7" ht="60" customHeight="1">
      <c r="A51" s="4" t="str">
        <f>_xlfn.XLOOKUP(Table_HCA[[#This Row],[BUDGET ACCOUNT NAME (DROPDOWN THAT IS USED TO FILL BUDGET ACCOUNT COLUMN)]],Table5521[Budget Account Name],Table5521[Budget Account Number],"Not Found",0)</f>
        <v>Not Found</v>
      </c>
      <c r="B51" s="2"/>
      <c r="C51" s="17"/>
      <c r="D51" s="14"/>
      <c r="E51" s="19"/>
      <c r="F51" s="20"/>
      <c r="G51" s="26"/>
    </row>
    <row r="52" spans="1:7" ht="60" customHeight="1">
      <c r="A52" s="4" t="str">
        <f>_xlfn.XLOOKUP(Table_HCA[[#This Row],[BUDGET ACCOUNT NAME (DROPDOWN THAT IS USED TO FILL BUDGET ACCOUNT COLUMN)]],Table5521[Budget Account Name],Table5521[Budget Account Number],"Not Found",0)</f>
        <v>Not Found</v>
      </c>
      <c r="B52" s="2"/>
      <c r="C52" s="17"/>
      <c r="D52" s="14"/>
      <c r="E52" s="19"/>
      <c r="F52" s="20"/>
      <c r="G52" s="26"/>
    </row>
    <row r="53" spans="1:7" ht="60" customHeight="1">
      <c r="A53" s="4" t="str">
        <f>_xlfn.XLOOKUP(Table_HCA[[#This Row],[BUDGET ACCOUNT NAME (DROPDOWN THAT IS USED TO FILL BUDGET ACCOUNT COLUMN)]],Table5521[Budget Account Name],Table5521[Budget Account Number],"Not Found",0)</f>
        <v>Not Found</v>
      </c>
      <c r="B53" s="2"/>
      <c r="C53" s="17"/>
      <c r="D53" s="14"/>
      <c r="E53" s="19"/>
      <c r="F53" s="20"/>
      <c r="G53" s="26"/>
    </row>
    <row r="54" spans="1:7" ht="60" customHeight="1">
      <c r="A54" s="4" t="str">
        <f>_xlfn.XLOOKUP(Table_HCA[[#This Row],[BUDGET ACCOUNT NAME (DROPDOWN THAT IS USED TO FILL BUDGET ACCOUNT COLUMN)]],Table5521[Budget Account Name],Table5521[Budget Account Number],"Not Found",0)</f>
        <v>Not Found</v>
      </c>
      <c r="B54" s="2"/>
      <c r="C54" s="17"/>
      <c r="D54" s="14"/>
      <c r="E54" s="19"/>
      <c r="F54" s="20"/>
      <c r="G54" s="26"/>
    </row>
    <row r="55" spans="1:7" ht="60" customHeight="1">
      <c r="A55" s="4" t="str">
        <f>_xlfn.XLOOKUP(Table_HCA[[#This Row],[BUDGET ACCOUNT NAME (DROPDOWN THAT IS USED TO FILL BUDGET ACCOUNT COLUMN)]],Table5521[Budget Account Name],Table5521[Budget Account Number],"Not Found",0)</f>
        <v>Not Found</v>
      </c>
      <c r="B55" s="2"/>
      <c r="C55" s="17"/>
      <c r="D55" s="14"/>
      <c r="E55" s="19"/>
      <c r="F55" s="20"/>
      <c r="G55" s="26"/>
    </row>
    <row r="56" spans="1:7" ht="60" customHeight="1">
      <c r="A56" s="4" t="str">
        <f>_xlfn.XLOOKUP(Table_HCA[[#This Row],[BUDGET ACCOUNT NAME (DROPDOWN THAT IS USED TO FILL BUDGET ACCOUNT COLUMN)]],Table5521[Budget Account Name],Table5521[Budget Account Number],"Not Found",0)</f>
        <v>Not Found</v>
      </c>
      <c r="B56" s="2"/>
      <c r="C56" s="17"/>
      <c r="D56" s="14"/>
      <c r="E56" s="19"/>
      <c r="F56" s="20"/>
      <c r="G56" s="26"/>
    </row>
    <row r="57" spans="1:7" ht="60" customHeight="1">
      <c r="A57" s="4" t="str">
        <f>_xlfn.XLOOKUP(Table_HCA[[#This Row],[BUDGET ACCOUNT NAME (DROPDOWN THAT IS USED TO FILL BUDGET ACCOUNT COLUMN)]],Table5521[Budget Account Name],Table5521[Budget Account Number],"Not Found",0)</f>
        <v>Not Found</v>
      </c>
      <c r="B57" s="2"/>
      <c r="C57" s="17"/>
      <c r="D57" s="14"/>
      <c r="E57" s="19"/>
      <c r="F57" s="20"/>
      <c r="G57" s="26"/>
    </row>
    <row r="58" spans="1:7" ht="60" customHeight="1">
      <c r="A58" s="4" t="str">
        <f>_xlfn.XLOOKUP(Table_HCA[[#This Row],[BUDGET ACCOUNT NAME (DROPDOWN THAT IS USED TO FILL BUDGET ACCOUNT COLUMN)]],Table5521[Budget Account Name],Table5521[Budget Account Number],"Not Found",0)</f>
        <v>Not Found</v>
      </c>
      <c r="B58" s="2"/>
      <c r="C58" s="17"/>
      <c r="D58" s="14"/>
      <c r="E58" s="19"/>
      <c r="F58" s="20"/>
      <c r="G58" s="26"/>
    </row>
    <row r="59" spans="1:7" ht="60" customHeight="1">
      <c r="A59" s="4" t="str">
        <f>_xlfn.XLOOKUP(Table_HCA[[#This Row],[BUDGET ACCOUNT NAME (DROPDOWN THAT IS USED TO FILL BUDGET ACCOUNT COLUMN)]],Table5521[Budget Account Name],Table5521[Budget Account Number],"Not Found",0)</f>
        <v>Not Found</v>
      </c>
      <c r="B59" s="2"/>
      <c r="C59" s="17"/>
      <c r="D59" s="14"/>
      <c r="E59" s="19"/>
      <c r="F59" s="20"/>
      <c r="G59" s="26"/>
    </row>
    <row r="60" spans="1:7" ht="60" customHeight="1">
      <c r="A60" s="4" t="str">
        <f>_xlfn.XLOOKUP(Table_HCA[[#This Row],[BUDGET ACCOUNT NAME (DROPDOWN THAT IS USED TO FILL BUDGET ACCOUNT COLUMN)]],Table5521[Budget Account Name],Table5521[Budget Account Number],"Not Found",0)</f>
        <v>Not Found</v>
      </c>
      <c r="B60" s="2"/>
      <c r="C60" s="17"/>
      <c r="D60" s="14"/>
      <c r="E60" s="19"/>
      <c r="F60" s="20"/>
      <c r="G60" s="26"/>
    </row>
    <row r="61" spans="1:7" ht="60" customHeight="1">
      <c r="A61" s="4" t="str">
        <f>_xlfn.XLOOKUP(Table_HCA[[#This Row],[BUDGET ACCOUNT NAME (DROPDOWN THAT IS USED TO FILL BUDGET ACCOUNT COLUMN)]],Table5521[Budget Account Name],Table5521[Budget Account Number],"Not Found",0)</f>
        <v>Not Found</v>
      </c>
      <c r="B61" s="2"/>
      <c r="C61" s="17"/>
      <c r="D61" s="14"/>
      <c r="E61" s="19"/>
      <c r="F61" s="20"/>
      <c r="G61" s="26"/>
    </row>
    <row r="62" spans="1:7" ht="60" customHeight="1">
      <c r="A62" s="4" t="str">
        <f>_xlfn.XLOOKUP(Table_HCA[[#This Row],[BUDGET ACCOUNT NAME (DROPDOWN THAT IS USED TO FILL BUDGET ACCOUNT COLUMN)]],Table5521[Budget Account Name],Table5521[Budget Account Number],"Not Found",0)</f>
        <v>Not Found</v>
      </c>
      <c r="B62" s="2"/>
      <c r="C62" s="17"/>
      <c r="D62" s="14"/>
      <c r="E62" s="19"/>
      <c r="F62" s="20"/>
      <c r="G62" s="26"/>
    </row>
    <row r="63" spans="1:7" ht="60" customHeight="1">
      <c r="A63" s="4" t="str">
        <f>_xlfn.XLOOKUP(Table_HCA[[#This Row],[BUDGET ACCOUNT NAME (DROPDOWN THAT IS USED TO FILL BUDGET ACCOUNT COLUMN)]],Table5521[Budget Account Name],Table5521[Budget Account Number],"Not Found",0)</f>
        <v>Not Found</v>
      </c>
      <c r="B63" s="2"/>
      <c r="C63" s="17"/>
      <c r="D63" s="14"/>
      <c r="E63" s="19"/>
      <c r="F63" s="20"/>
      <c r="G63" s="26"/>
    </row>
    <row r="64" spans="1:7" ht="60" customHeight="1">
      <c r="A64" s="4" t="str">
        <f>_xlfn.XLOOKUP(Table_HCA[[#This Row],[BUDGET ACCOUNT NAME (DROPDOWN THAT IS USED TO FILL BUDGET ACCOUNT COLUMN)]],Table5521[Budget Account Name],Table5521[Budget Account Number],"Not Found",0)</f>
        <v>Not Found</v>
      </c>
      <c r="B64" s="2"/>
      <c r="C64" s="17"/>
      <c r="D64" s="14"/>
      <c r="E64" s="19"/>
      <c r="F64" s="20"/>
      <c r="G64" s="26"/>
    </row>
    <row r="65" spans="1:7" ht="60" customHeight="1">
      <c r="A65" s="4" t="str">
        <f>_xlfn.XLOOKUP(Table_HCA[[#This Row],[BUDGET ACCOUNT NAME (DROPDOWN THAT IS USED TO FILL BUDGET ACCOUNT COLUMN)]],Table5521[Budget Account Name],Table5521[Budget Account Number],"Not Found",0)</f>
        <v>Not Found</v>
      </c>
      <c r="B65" s="2"/>
      <c r="C65" s="17"/>
      <c r="D65" s="14"/>
      <c r="E65" s="19"/>
      <c r="F65" s="20"/>
      <c r="G65" s="26"/>
    </row>
    <row r="66" spans="1:7" ht="60" customHeight="1">
      <c r="A66" s="4" t="str">
        <f>_xlfn.XLOOKUP(Table_HCA[[#This Row],[BUDGET ACCOUNT NAME (DROPDOWN THAT IS USED TO FILL BUDGET ACCOUNT COLUMN)]],Table5521[Budget Account Name],Table5521[Budget Account Number],"Not Found",0)</f>
        <v>Not Found</v>
      </c>
      <c r="B66" s="2"/>
      <c r="C66" s="17"/>
      <c r="D66" s="14"/>
      <c r="E66" s="19"/>
      <c r="F66" s="20"/>
      <c r="G66" s="26"/>
    </row>
    <row r="67" spans="1:7" ht="60" customHeight="1">
      <c r="A67" s="4" t="str">
        <f>_xlfn.XLOOKUP(Table_HCA[[#This Row],[BUDGET ACCOUNT NAME (DROPDOWN THAT IS USED TO FILL BUDGET ACCOUNT COLUMN)]],Table5521[Budget Account Name],Table5521[Budget Account Number],"Not Found",0)</f>
        <v>Not Found</v>
      </c>
      <c r="B67" s="2"/>
      <c r="C67" s="17"/>
      <c r="D67" s="14"/>
      <c r="E67" s="19"/>
      <c r="F67" s="20"/>
      <c r="G67" s="26"/>
    </row>
    <row r="68" spans="1:7" ht="60" customHeight="1">
      <c r="A68" s="4" t="str">
        <f>_xlfn.XLOOKUP(Table_HCA[[#This Row],[BUDGET ACCOUNT NAME (DROPDOWN THAT IS USED TO FILL BUDGET ACCOUNT COLUMN)]],Table5521[Budget Account Name],Table5521[Budget Account Number],"Not Found",0)</f>
        <v>Not Found</v>
      </c>
      <c r="B68" s="2"/>
      <c r="C68" s="17"/>
      <c r="D68" s="14"/>
      <c r="E68" s="19"/>
      <c r="F68" s="20"/>
      <c r="G68" s="26"/>
    </row>
    <row r="69" spans="1:7" ht="60" customHeight="1">
      <c r="A69" s="4" t="str">
        <f>_xlfn.XLOOKUP(Table_HCA[[#This Row],[BUDGET ACCOUNT NAME (DROPDOWN THAT IS USED TO FILL BUDGET ACCOUNT COLUMN)]],Table5521[Budget Account Name],Table5521[Budget Account Number],"Not Found",0)</f>
        <v>Not Found</v>
      </c>
      <c r="B69" s="2"/>
      <c r="C69" s="17"/>
      <c r="D69" s="14"/>
      <c r="E69" s="19"/>
      <c r="F69" s="20"/>
      <c r="G69" s="26"/>
    </row>
    <row r="70" spans="1:7" ht="60" customHeight="1">
      <c r="A70" s="4" t="str">
        <f>_xlfn.XLOOKUP(Table_HCA[[#This Row],[BUDGET ACCOUNT NAME (DROPDOWN THAT IS USED TO FILL BUDGET ACCOUNT COLUMN)]],Table5521[Budget Account Name],Table5521[Budget Account Number],"Not Found",0)</f>
        <v>Not Found</v>
      </c>
      <c r="B70" s="2"/>
      <c r="C70" s="17"/>
      <c r="D70" s="14"/>
      <c r="E70" s="19"/>
      <c r="F70" s="20"/>
      <c r="G70" s="26"/>
    </row>
    <row r="71" spans="1:7" ht="60" customHeight="1">
      <c r="A71" s="4" t="str">
        <f>_xlfn.XLOOKUP(Table_HCA[[#This Row],[BUDGET ACCOUNT NAME (DROPDOWN THAT IS USED TO FILL BUDGET ACCOUNT COLUMN)]],Table5521[Budget Account Name],Table5521[Budget Account Number],"Not Found",0)</f>
        <v>Not Found</v>
      </c>
      <c r="B71" s="2"/>
      <c r="C71" s="17"/>
      <c r="D71" s="14"/>
      <c r="E71" s="19"/>
      <c r="F71" s="20"/>
      <c r="G71" s="26"/>
    </row>
    <row r="72" spans="1:7" ht="60" customHeight="1">
      <c r="A72" s="4" t="str">
        <f>_xlfn.XLOOKUP(Table_HCA[[#This Row],[BUDGET ACCOUNT NAME (DROPDOWN THAT IS USED TO FILL BUDGET ACCOUNT COLUMN)]],Table5521[Budget Account Name],Table5521[Budget Account Number],"Not Found",0)</f>
        <v>Not Found</v>
      </c>
      <c r="B72" s="2"/>
      <c r="C72" s="17"/>
      <c r="D72" s="14"/>
      <c r="E72" s="19"/>
      <c r="F72" s="20"/>
      <c r="G72" s="26"/>
    </row>
    <row r="73" spans="1:7" ht="60" customHeight="1">
      <c r="A73" s="4" t="str">
        <f>_xlfn.XLOOKUP(Table_HCA[[#This Row],[BUDGET ACCOUNT NAME (DROPDOWN THAT IS USED TO FILL BUDGET ACCOUNT COLUMN)]],Table5521[Budget Account Name],Table5521[Budget Account Number],"Not Found",0)</f>
        <v>Not Found</v>
      </c>
      <c r="B73" s="2"/>
      <c r="C73" s="17"/>
      <c r="D73" s="14"/>
      <c r="E73" s="19"/>
      <c r="F73" s="20"/>
      <c r="G73" s="26"/>
    </row>
    <row r="74" spans="1:7" ht="60" customHeight="1">
      <c r="A74" s="4" t="str">
        <f>_xlfn.XLOOKUP(Table_HCA[[#This Row],[BUDGET ACCOUNT NAME (DROPDOWN THAT IS USED TO FILL BUDGET ACCOUNT COLUMN)]],Table5521[Budget Account Name],Table5521[Budget Account Number],"Not Found",0)</f>
        <v>Not Found</v>
      </c>
      <c r="B74" s="2"/>
      <c r="C74" s="17"/>
      <c r="D74" s="14"/>
      <c r="E74" s="19"/>
      <c r="F74" s="20"/>
      <c r="G74" s="26"/>
    </row>
    <row r="75" spans="1:7" ht="60" customHeight="1">
      <c r="A75" s="4" t="str">
        <f>_xlfn.XLOOKUP(Table_HCA[[#This Row],[BUDGET ACCOUNT NAME (DROPDOWN THAT IS USED TO FILL BUDGET ACCOUNT COLUMN)]],Table5521[Budget Account Name],Table5521[Budget Account Number],"Not Found",0)</f>
        <v>Not Found</v>
      </c>
      <c r="B75" s="2"/>
      <c r="C75" s="17"/>
      <c r="D75" s="14"/>
      <c r="E75" s="19"/>
      <c r="F75" s="20"/>
      <c r="G75" s="26"/>
    </row>
    <row r="76" spans="1:7" ht="60" customHeight="1">
      <c r="A76" s="4" t="str">
        <f>_xlfn.XLOOKUP(Table_HCA[[#This Row],[BUDGET ACCOUNT NAME (DROPDOWN THAT IS USED TO FILL BUDGET ACCOUNT COLUMN)]],Table5521[Budget Account Name],Table5521[Budget Account Number],"Not Found",0)</f>
        <v>Not Found</v>
      </c>
      <c r="B76" s="2"/>
      <c r="C76" s="17"/>
      <c r="D76" s="14"/>
      <c r="E76" s="19"/>
      <c r="F76" s="20"/>
      <c r="G76" s="26"/>
    </row>
    <row r="77" spans="1:7" ht="60" customHeight="1">
      <c r="A77" s="4" t="str">
        <f>_xlfn.XLOOKUP(Table_HCA[[#This Row],[BUDGET ACCOUNT NAME (DROPDOWN THAT IS USED TO FILL BUDGET ACCOUNT COLUMN)]],Table5521[Budget Account Name],Table5521[Budget Account Number],"Not Found",0)</f>
        <v>Not Found</v>
      </c>
      <c r="B77" s="2"/>
      <c r="C77" s="17"/>
      <c r="D77" s="14"/>
      <c r="E77" s="19"/>
      <c r="F77" s="20"/>
      <c r="G77" s="26"/>
    </row>
    <row r="78" spans="1:7" ht="60" customHeight="1">
      <c r="A78" s="4" t="str">
        <f>_xlfn.XLOOKUP(Table_HCA[[#This Row],[BUDGET ACCOUNT NAME (DROPDOWN THAT IS USED TO FILL BUDGET ACCOUNT COLUMN)]],Table5521[Budget Account Name],Table5521[Budget Account Number],"Not Found",0)</f>
        <v>Not Found</v>
      </c>
      <c r="B78" s="2"/>
      <c r="C78" s="17"/>
      <c r="D78" s="14"/>
      <c r="E78" s="19"/>
      <c r="F78" s="20"/>
      <c r="G78" s="26"/>
    </row>
    <row r="79" spans="1:7" ht="60" customHeight="1">
      <c r="A79" s="4" t="str">
        <f>_xlfn.XLOOKUP(Table_HCA[[#This Row],[BUDGET ACCOUNT NAME (DROPDOWN THAT IS USED TO FILL BUDGET ACCOUNT COLUMN)]],Table5521[Budget Account Name],Table5521[Budget Account Number],"Not Found",0)</f>
        <v>Not Found</v>
      </c>
      <c r="B79" s="2"/>
      <c r="C79" s="17"/>
      <c r="D79" s="14"/>
      <c r="E79" s="19"/>
      <c r="F79" s="20"/>
      <c r="G79" s="26"/>
    </row>
    <row r="80" spans="1:7" ht="60" customHeight="1">
      <c r="A80" s="4" t="str">
        <f>_xlfn.XLOOKUP(Table_HCA[[#This Row],[BUDGET ACCOUNT NAME (DROPDOWN THAT IS USED TO FILL BUDGET ACCOUNT COLUMN)]],Table5521[Budget Account Name],Table5521[Budget Account Number],"Not Found",0)</f>
        <v>Not Found</v>
      </c>
      <c r="B80" s="2"/>
      <c r="C80" s="17"/>
      <c r="D80" s="14"/>
      <c r="E80" s="19"/>
      <c r="F80" s="20"/>
      <c r="G80" s="26"/>
    </row>
    <row r="81" spans="1:7" ht="60" customHeight="1">
      <c r="A81" s="4" t="str">
        <f>_xlfn.XLOOKUP(Table_HCA[[#This Row],[BUDGET ACCOUNT NAME (DROPDOWN THAT IS USED TO FILL BUDGET ACCOUNT COLUMN)]],Table5521[Budget Account Name],Table5521[Budget Account Number],"Not Found",0)</f>
        <v>Not Found</v>
      </c>
      <c r="B81" s="2"/>
      <c r="C81" s="17"/>
      <c r="D81" s="14"/>
      <c r="E81" s="19"/>
      <c r="F81" s="20"/>
      <c r="G81" s="26"/>
    </row>
    <row r="82" spans="1:7" ht="60" customHeight="1">
      <c r="A82" s="4" t="str">
        <f>_xlfn.XLOOKUP(Table_HCA[[#This Row],[BUDGET ACCOUNT NAME (DROPDOWN THAT IS USED TO FILL BUDGET ACCOUNT COLUMN)]],Table5521[Budget Account Name],Table5521[Budget Account Number],"Not Found",0)</f>
        <v>Not Found</v>
      </c>
      <c r="B82" s="2"/>
      <c r="C82" s="17"/>
      <c r="D82" s="14"/>
      <c r="E82" s="19"/>
      <c r="F82" s="20"/>
      <c r="G82" s="26"/>
    </row>
    <row r="83" spans="1:7" ht="60" customHeight="1">
      <c r="A83" s="4" t="str">
        <f>_xlfn.XLOOKUP(Table_HCA[[#This Row],[BUDGET ACCOUNT NAME (DROPDOWN THAT IS USED TO FILL BUDGET ACCOUNT COLUMN)]],Table5521[Budget Account Name],Table5521[Budget Account Number],"Not Found",0)</f>
        <v>Not Found</v>
      </c>
      <c r="B83" s="2"/>
      <c r="C83" s="17"/>
      <c r="D83" s="14"/>
      <c r="E83" s="19"/>
      <c r="F83" s="20"/>
      <c r="G83" s="26"/>
    </row>
    <row r="84" spans="1:7" ht="60" customHeight="1">
      <c r="A84" s="4" t="str">
        <f>_xlfn.XLOOKUP(Table_HCA[[#This Row],[BUDGET ACCOUNT NAME (DROPDOWN THAT IS USED TO FILL BUDGET ACCOUNT COLUMN)]],Table5521[Budget Account Name],Table5521[Budget Account Number],"Not Found",0)</f>
        <v>Not Found</v>
      </c>
      <c r="B84" s="2"/>
      <c r="C84" s="17"/>
      <c r="D84" s="14"/>
      <c r="E84" s="19"/>
      <c r="F84" s="20"/>
      <c r="G84" s="26"/>
    </row>
    <row r="85" spans="1:7" ht="60" customHeight="1">
      <c r="A85" s="4" t="str">
        <f>_xlfn.XLOOKUP(Table_HCA[[#This Row],[BUDGET ACCOUNT NAME (DROPDOWN THAT IS USED TO FILL BUDGET ACCOUNT COLUMN)]],Table5521[Budget Account Name],Table5521[Budget Account Number],"Not Found",0)</f>
        <v>Not Found</v>
      </c>
      <c r="B85" s="2"/>
      <c r="C85" s="17"/>
      <c r="D85" s="14"/>
      <c r="E85" s="19"/>
      <c r="F85" s="20"/>
      <c r="G85" s="26"/>
    </row>
    <row r="86" spans="1:7" ht="60" customHeight="1">
      <c r="A86" s="4" t="str">
        <f>_xlfn.XLOOKUP(Table_HCA[[#This Row],[BUDGET ACCOUNT NAME (DROPDOWN THAT IS USED TO FILL BUDGET ACCOUNT COLUMN)]],Table5521[Budget Account Name],Table5521[Budget Account Number],"Not Found",0)</f>
        <v>Not Found</v>
      </c>
      <c r="B86" s="2"/>
      <c r="C86" s="17"/>
      <c r="D86" s="14"/>
      <c r="E86" s="19"/>
      <c r="F86" s="20"/>
      <c r="G86" s="26"/>
    </row>
    <row r="87" spans="1:7" ht="60" customHeight="1">
      <c r="A87" s="4" t="str">
        <f>_xlfn.XLOOKUP(Table_HCA[[#This Row],[BUDGET ACCOUNT NAME (DROPDOWN THAT IS USED TO FILL BUDGET ACCOUNT COLUMN)]],Table5521[Budget Account Name],Table5521[Budget Account Number],"Not Found",0)</f>
        <v>Not Found</v>
      </c>
      <c r="B87" s="2"/>
      <c r="C87" s="17"/>
      <c r="D87" s="14"/>
      <c r="E87" s="19"/>
      <c r="F87" s="20"/>
      <c r="G87" s="26"/>
    </row>
    <row r="88" spans="1:7" ht="60" customHeight="1">
      <c r="A88" s="4" t="str">
        <f>_xlfn.XLOOKUP(Table_HCA[[#This Row],[BUDGET ACCOUNT NAME (DROPDOWN THAT IS USED TO FILL BUDGET ACCOUNT COLUMN)]],Table5521[Budget Account Name],Table5521[Budget Account Number],"Not Found",0)</f>
        <v>Not Found</v>
      </c>
      <c r="B88" s="2"/>
      <c r="C88" s="17"/>
      <c r="D88" s="14"/>
      <c r="E88" s="19"/>
      <c r="F88" s="20"/>
      <c r="G88" s="26"/>
    </row>
    <row r="89" spans="1:7" ht="60" customHeight="1">
      <c r="A89" s="4" t="str">
        <f>_xlfn.XLOOKUP(Table_HCA[[#This Row],[BUDGET ACCOUNT NAME (DROPDOWN THAT IS USED TO FILL BUDGET ACCOUNT COLUMN)]],Table5521[Budget Account Name],Table5521[Budget Account Number],"Not Found",0)</f>
        <v>Not Found</v>
      </c>
      <c r="B89" s="2"/>
      <c r="C89" s="17"/>
      <c r="D89" s="14"/>
      <c r="E89" s="19"/>
      <c r="F89" s="20"/>
      <c r="G89" s="26"/>
    </row>
    <row r="90" spans="1:7" ht="60" customHeight="1">
      <c r="A90" s="4" t="str">
        <f>_xlfn.XLOOKUP(Table_HCA[[#This Row],[BUDGET ACCOUNT NAME (DROPDOWN THAT IS USED TO FILL BUDGET ACCOUNT COLUMN)]],Table5521[Budget Account Name],Table5521[Budget Account Number],"Not Found",0)</f>
        <v>Not Found</v>
      </c>
      <c r="B90" s="2"/>
      <c r="C90" s="17"/>
      <c r="D90" s="14"/>
      <c r="E90" s="19"/>
      <c r="F90" s="20"/>
      <c r="G90" s="26"/>
    </row>
    <row r="91" spans="1:7" ht="60" customHeight="1">
      <c r="A91" s="4" t="str">
        <f>_xlfn.XLOOKUP(Table_HCA[[#This Row],[BUDGET ACCOUNT NAME (DROPDOWN THAT IS USED TO FILL BUDGET ACCOUNT COLUMN)]],Table5521[Budget Account Name],Table5521[Budget Account Number],"Not Found",0)</f>
        <v>Not Found</v>
      </c>
      <c r="B91" s="2"/>
      <c r="C91" s="17"/>
      <c r="D91" s="14"/>
      <c r="E91" s="19"/>
      <c r="F91" s="20"/>
      <c r="G91" s="26"/>
    </row>
    <row r="92" spans="1:7" ht="60" customHeight="1">
      <c r="A92" s="4" t="str">
        <f>_xlfn.XLOOKUP(Table_HCA[[#This Row],[BUDGET ACCOUNT NAME (DROPDOWN THAT IS USED TO FILL BUDGET ACCOUNT COLUMN)]],Table5521[Budget Account Name],Table5521[Budget Account Number],"Not Found",0)</f>
        <v>Not Found</v>
      </c>
      <c r="B92" s="2"/>
      <c r="C92" s="17"/>
      <c r="D92" s="14"/>
      <c r="E92" s="19"/>
      <c r="F92" s="20"/>
      <c r="G92" s="26"/>
    </row>
    <row r="93" spans="1:7" ht="60" customHeight="1">
      <c r="A93" s="4" t="str">
        <f>_xlfn.XLOOKUP(Table_HCA[[#This Row],[BUDGET ACCOUNT NAME (DROPDOWN THAT IS USED TO FILL BUDGET ACCOUNT COLUMN)]],Table5521[Budget Account Name],Table5521[Budget Account Number],"Not Found",0)</f>
        <v>Not Found</v>
      </c>
      <c r="B93" s="2"/>
      <c r="C93" s="17"/>
      <c r="D93" s="14"/>
      <c r="E93" s="19"/>
      <c r="F93" s="20"/>
      <c r="G93" s="26"/>
    </row>
    <row r="94" spans="1:7" ht="60" customHeight="1">
      <c r="A94" s="4" t="str">
        <f>_xlfn.XLOOKUP(Table_HCA[[#This Row],[BUDGET ACCOUNT NAME (DROPDOWN THAT IS USED TO FILL BUDGET ACCOUNT COLUMN)]],Table5521[Budget Account Name],Table5521[Budget Account Number],"Not Found",0)</f>
        <v>Not Found</v>
      </c>
      <c r="B94" s="2"/>
      <c r="C94" s="17"/>
      <c r="D94" s="14"/>
      <c r="E94" s="19"/>
      <c r="F94" s="20"/>
      <c r="G94" s="26"/>
    </row>
    <row r="95" spans="1:7" ht="60" customHeight="1">
      <c r="A95" s="4" t="str">
        <f>_xlfn.XLOOKUP(Table_HCA[[#This Row],[BUDGET ACCOUNT NAME (DROPDOWN THAT IS USED TO FILL BUDGET ACCOUNT COLUMN)]],Table5521[Budget Account Name],Table5521[Budget Account Number],"Not Found",0)</f>
        <v>Not Found</v>
      </c>
      <c r="B95" s="2"/>
      <c r="C95" s="17"/>
      <c r="D95" s="14"/>
      <c r="E95" s="19"/>
      <c r="F95" s="20"/>
      <c r="G95" s="26"/>
    </row>
    <row r="96" spans="1:7" ht="60" customHeight="1">
      <c r="A96" s="4" t="str">
        <f>_xlfn.XLOOKUP(Table_HCA[[#This Row],[BUDGET ACCOUNT NAME (DROPDOWN THAT IS USED TO FILL BUDGET ACCOUNT COLUMN)]],Table5521[Budget Account Name],Table5521[Budget Account Number],"Not Found",0)</f>
        <v>Not Found</v>
      </c>
      <c r="B96" s="2"/>
      <c r="C96" s="17"/>
      <c r="D96" s="14"/>
      <c r="E96" s="19"/>
      <c r="F96" s="20"/>
      <c r="G96" s="26"/>
    </row>
    <row r="97" spans="1:7" ht="60" customHeight="1">
      <c r="A97" s="4" t="str">
        <f>_xlfn.XLOOKUP(Table_HCA[[#This Row],[BUDGET ACCOUNT NAME (DROPDOWN THAT IS USED TO FILL BUDGET ACCOUNT COLUMN)]],Table5521[Budget Account Name],Table5521[Budget Account Number],"Not Found",0)</f>
        <v>Not Found</v>
      </c>
      <c r="B97" s="2"/>
      <c r="C97" s="17"/>
      <c r="D97" s="14"/>
      <c r="E97" s="19"/>
      <c r="F97" s="20"/>
      <c r="G97" s="26"/>
    </row>
    <row r="98" spans="1:7" ht="60" customHeight="1">
      <c r="A98" s="4" t="str">
        <f>_xlfn.XLOOKUP(Table_HCA[[#This Row],[BUDGET ACCOUNT NAME (DROPDOWN THAT IS USED TO FILL BUDGET ACCOUNT COLUMN)]],Table5521[Budget Account Name],Table5521[Budget Account Number],"Not Found",0)</f>
        <v>Not Found</v>
      </c>
      <c r="B98" s="2"/>
      <c r="C98" s="17"/>
      <c r="D98" s="14"/>
      <c r="E98" s="19"/>
      <c r="F98" s="20"/>
      <c r="G98" s="26"/>
    </row>
    <row r="99" spans="1:7" ht="60" customHeight="1">
      <c r="A99" s="4" t="str">
        <f>_xlfn.XLOOKUP(Table_HCA[[#This Row],[BUDGET ACCOUNT NAME (DROPDOWN THAT IS USED TO FILL BUDGET ACCOUNT COLUMN)]],Table5521[Budget Account Name],Table5521[Budget Account Number],"Not Found",0)</f>
        <v>Not Found</v>
      </c>
      <c r="B99" s="2"/>
      <c r="C99" s="17"/>
      <c r="D99" s="14"/>
      <c r="E99" s="19"/>
      <c r="F99" s="20"/>
      <c r="G99" s="26"/>
    </row>
    <row r="100" spans="1:7" ht="60" customHeight="1">
      <c r="A100" s="4" t="str">
        <f>_xlfn.XLOOKUP(Table_HCA[[#This Row],[BUDGET ACCOUNT NAME (DROPDOWN THAT IS USED TO FILL BUDGET ACCOUNT COLUMN)]],Table5521[Budget Account Name],Table5521[Budget Account Number],"Not Found",0)</f>
        <v>Not Found</v>
      </c>
      <c r="B100" s="6"/>
      <c r="C100" s="18"/>
      <c r="D100" s="15"/>
      <c r="E100" s="21"/>
      <c r="F100" s="22"/>
      <c r="G100" s="26"/>
    </row>
  </sheetData>
  <protectedRanges>
    <protectedRange algorithmName="SHA-512" hashValue="0Pa0Hq+hf0tjzNnG7TlzJTNL8amoWb9Vbhc/Q3rJYgwy26qaosXGd2YteBhpQmIPvj9eHtmwiWsSnDZy7YfTzQ==" saltValue="Z2/FmhPwLD9qhjqeTneojQ==" spinCount="100000" sqref="B14:D100" name="HCA"/>
  </protectedRanges>
  <mergeCells count="3">
    <mergeCell ref="A1:F1"/>
    <mergeCell ref="C2:F2"/>
    <mergeCell ref="A12:F12"/>
  </mergeCells>
  <dataValidations count="3">
    <dataValidation type="list" allowBlank="1" showInputMessage="1" showErrorMessage="1" sqref="B14:B100" xr:uid="{6E22FAC8-351F-4DCF-97D1-9CFC12DC6298}">
      <formula1>$B$3:$B$11</formula1>
    </dataValidation>
    <dataValidation type="list" allowBlank="1" showInputMessage="1" showErrorMessage="1" sqref="E14:E100" xr:uid="{0AACE5E3-5A01-41EA-A69A-F1615F49B986}">
      <formula1>$H$2:$H$6</formula1>
    </dataValidation>
    <dataValidation type="list" allowBlank="1" showInputMessage="1" showErrorMessage="1" sqref="G14:G100" xr:uid="{948F7207-0F3E-4748-AFAE-6B737109D6BF}">
      <formula1>$G$1:$G$10</formula1>
    </dataValidation>
  </dataValidation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B m s 1 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A Z r N 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a z V a K I p H u A 4 A A A A R A A A A E w A c A E Z v c m 1 1 b G F z L 1 N l Y 3 R p b 2 4 x L m 0 g o h g A K K A U A A A A A A A A A A A A A A A A A A A A A A A A A A A A K 0 5 N L s n M z 1 M I h t C G 1 g B Q S w E C L Q A U A A I A C A A G a z V a T H W Q k q U A A A D 2 A A A A E g A A A A A A A A A A A A A A A A A A A A A A Q 2 9 u Z m l n L 1 B h Y 2 t h Z 2 U u e G 1 s U E s B A i 0 A F A A C A A g A B m s 1 W g / K 6 a u k A A A A 6 Q A A A B M A A A A A A A A A A A A A A A A A 8 Q A A A F t D b 2 5 0 Z W 5 0 X 1 R 5 c G V z X S 5 4 b W x Q S w E C L Q A U A A I A C A A G a z V 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Z S + t X a t o E m / k r u 2 u 0 I z V g A A A A A C A A A A A A A Q Z g A A A A E A A C A A A A C m 9 y g R W N 1 f u R b V l + R C S N + M b S h 7 R w a P G J 3 8 R y 2 3 y A h N / w A A A A A O g A A A A A I A A C A A A A C x N c D 7 P p t p T T w W u e m T k F W J v 2 1 d L 2 R P R 4 k r q F g W / K M d Y V A A A A B y w / d i 4 O V L X 4 x B Z M V a L o H U V 8 Z 5 L o 7 M V l A J 0 j 6 B d 1 l m I U r z J S + G X B w C w 9 T b / Q U N g 0 Z i Y X z J s N y 3 E A r x 5 j P m I / o P B 5 E O a 0 v h d P B W s y I 7 D 5 n i + 0 A A A A B E X Z Q B j 1 n D b Z o h l T z o b x Q 7 f H p X F T G T z R 5 4 u c O Y R S A H w b f z 6 p Q J 9 v 7 U I R E r p 9 N X F z x 4 f m 2 d Q K 7 m T H K B K v T 8 3 p M n < / D a t a M a s h u p > 
</file>

<file path=customXml/itemProps1.xml><?xml version="1.0" encoding="utf-8"?>
<ds:datastoreItem xmlns:ds="http://schemas.openxmlformats.org/officeDocument/2006/customXml" ds:itemID="{0AF40E26-32FA-45C2-93B6-94C529DCBF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Instructions</vt:lpstr>
      <vt:lpstr>Budget Codes (Don't Edit!)</vt:lpstr>
      <vt:lpstr>Template</vt:lpstr>
      <vt:lpstr>Access Services Unit - Shimberg</vt:lpstr>
      <vt:lpstr>Access Services Unit - FBHKE</vt:lpstr>
      <vt:lpstr>Administrative Unit</vt:lpstr>
      <vt:lpstr>Collection Management Unit</vt:lpstr>
      <vt:lpstr>Events Team</vt:lpstr>
      <vt:lpstr>HCA</vt:lpstr>
      <vt:lpstr>Passport Team</vt:lpstr>
      <vt:lpstr>Research &amp; Education Unit</vt:lpstr>
      <vt:lpstr>Systems Unit</vt:lpstr>
      <vt:lpstr>Off Cycle</vt:lpstr>
      <vt:lpstr>Approved Total</vt:lpstr>
      <vt:lpstr>Pivot Tables</vt:lpstr>
      <vt:lpstr>Questions and Feedback</vt:lpstr>
      <vt:lpstr>'Access Services Unit - FBHKE'!Table_Systems</vt:lpstr>
      <vt:lpstr>'Events Team'!Table_Systems</vt:lpstr>
      <vt:lpstr>HCA!Table_Systems</vt:lpstr>
      <vt:lpstr>'Off Cycle'!Table_Systems</vt:lpstr>
      <vt:lpstr>Table_Systems</vt:lpstr>
      <vt:lpstr>'Access Services Unit - FBHKE'!Table_Total</vt:lpstr>
      <vt:lpstr>'Events Team'!Table_Total</vt:lpstr>
      <vt:lpstr>HCA!Table_Total</vt:lpstr>
      <vt:lpstr>'Off Cycle'!Table_Total</vt:lpstr>
      <vt:lpstr>Table_Total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Reeder</dc:creator>
  <cp:keywords/>
  <dc:description/>
  <cp:lastModifiedBy>Bryan Reeder</cp:lastModifiedBy>
  <cp:revision/>
  <dcterms:created xsi:type="dcterms:W3CDTF">2023-11-13T17:06:40Z</dcterms:created>
  <dcterms:modified xsi:type="dcterms:W3CDTF">2025-02-12T14:55:11Z</dcterms:modified>
  <cp:category/>
  <cp:contentStatus/>
</cp:coreProperties>
</file>